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en_skoroszyt" defaultThemeVersion="124226"/>
  <bookViews>
    <workbookView xWindow="10230" yWindow="45" windowWidth="10260" windowHeight="7755" tabRatio="785"/>
  </bookViews>
  <sheets>
    <sheet name="Kluczowe informacje_Key data" sheetId="24" r:id="rId1"/>
    <sheet name="RZiS_P&amp;L" sheetId="25" r:id="rId2"/>
    <sheet name="RZiS B. Korp._P&amp;L Corporate" sheetId="42" r:id="rId3"/>
    <sheet name="RZiS B. Detaliczna_P&amp;L Retail" sheetId="26" r:id="rId4"/>
    <sheet name="Wynik odsetkowy_Interest income" sheetId="28" r:id="rId5"/>
    <sheet name="Wynik prowizyjny_F&amp;C income" sheetId="29" r:id="rId6"/>
    <sheet name="Pozost. przychody_Other income" sheetId="30" r:id="rId7"/>
    <sheet name="Koszty działania_Operating cost" sheetId="43" r:id="rId8"/>
    <sheet name="Bilans_BS" sheetId="44" r:id="rId9"/>
    <sheet name="Kredyty_loans" sheetId="46" r:id="rId10"/>
    <sheet name="Jakość portfela_Portf. quality" sheetId="50" r:id="rId11"/>
    <sheet name="Aktywa finans_Financial assets" sheetId="47" r:id="rId12"/>
    <sheet name="Depozyty_Deposits" sheetId="49" r:id="rId13"/>
    <sheet name="Łączny współ kap_TCR_GROUP" sheetId="41" r:id="rId14"/>
    <sheet name="Pozostałe informacje_other info" sheetId="36" r:id="rId15"/>
    <sheet name="Depozyty i zobow_Deposits_old" sheetId="35" r:id="rId16"/>
    <sheet name="Kredyty_loans_old" sheetId="32" r:id="rId17"/>
  </sheets>
  <definedNames>
    <definedName name="_AMO_UniqueIdentifier" hidden="1">"'7fbdc4b5-972f-4100-9e99-b44859b6f5b1'"</definedName>
    <definedName name="_xlnm.Print_Area" localSheetId="11">'Aktywa finans_Financial assets'!$A$1:$AX$26</definedName>
    <definedName name="_xlnm.Print_Area" localSheetId="8">Bilans_BS!$A$1:$AX$47</definedName>
    <definedName name="_xlnm.Print_Area" localSheetId="15">'Depozyty i zobow_Deposits_old'!$A$1:$AT$41</definedName>
    <definedName name="_xlnm.Print_Area" localSheetId="12">Depozyty_Deposits!$A$1:$AX$26</definedName>
    <definedName name="_xlnm.Print_Area" localSheetId="10">'Jakość portfela_Portf. quality'!$A$1:$AX$91</definedName>
    <definedName name="_xlnm.Print_Area" localSheetId="0">'Kluczowe informacje_Key data'!$A$1:$AX$54</definedName>
    <definedName name="_xlnm.Print_Area" localSheetId="7">'Koszty działania_Operating cost'!$A$1:$AX$10</definedName>
    <definedName name="_xlnm.Print_Area" localSheetId="9">Kredyty_loans!$A$1:$AX$82</definedName>
    <definedName name="_xlnm.Print_Area" localSheetId="16">Kredyty_loans_old!$A$1:$AT$91</definedName>
    <definedName name="_xlnm.Print_Area" localSheetId="13">'Łączny współ kap_TCR_GROUP'!$A$1:$AX$59</definedName>
    <definedName name="_xlnm.Print_Area" localSheetId="6">'Pozost. przychody_Other income'!$A$1:$AX$33</definedName>
    <definedName name="_xlnm.Print_Area" localSheetId="14">'Pozostałe informacje_other info'!$A$1:$AX$19</definedName>
    <definedName name="_xlnm.Print_Area" localSheetId="3">'RZiS B. Detaliczna_P&amp;L Retail'!$A$1:$AX$20</definedName>
    <definedName name="_xlnm.Print_Area" localSheetId="2">'RZiS B. Korp._P&amp;L Corporate'!$A$1:$AX$20</definedName>
    <definedName name="_xlnm.Print_Area" localSheetId="1">'RZiS_P&amp;L'!$A$1:$AX$28</definedName>
    <definedName name="_xlnm.Print_Area" localSheetId="4">'Wynik odsetkowy_Interest income'!$A$1:$AX$28</definedName>
    <definedName name="_xlnm.Print_Area" localSheetId="5">'Wynik prowizyjny_F&amp;C income'!$A$1:$AX$22</definedName>
  </definedNames>
  <calcPr calcId="152511"/>
</workbook>
</file>

<file path=xl/calcChain.xml><?xml version="1.0" encoding="utf-8"?>
<calcChain xmlns="http://schemas.openxmlformats.org/spreadsheetml/2006/main">
  <c r="AP25" i="46" l="1"/>
  <c r="AP30" i="46"/>
  <c r="AX16" i="36" l="1"/>
  <c r="AX47" i="24" l="1"/>
  <c r="AX46" i="24"/>
  <c r="AX41" i="24"/>
  <c r="AX8" i="24"/>
  <c r="AX7" i="24"/>
  <c r="AX12" i="25"/>
  <c r="AX10" i="42"/>
  <c r="AX5" i="42"/>
  <c r="AX10" i="26"/>
  <c r="AX5" i="26"/>
  <c r="AX31" i="30"/>
  <c r="AX28" i="30"/>
  <c r="AX5" i="30"/>
  <c r="AX17" i="30" s="1"/>
  <c r="AX7" i="43"/>
  <c r="AW7" i="43"/>
  <c r="AV7" i="43"/>
  <c r="AU7" i="43"/>
  <c r="AT7" i="43"/>
  <c r="AS7" i="43"/>
  <c r="AR7" i="43"/>
  <c r="AQ7" i="43"/>
  <c r="AP7" i="43" l="1"/>
  <c r="AX9" i="25"/>
  <c r="AX18" i="25" s="1"/>
  <c r="AX24" i="25" s="1"/>
  <c r="AX26" i="30"/>
  <c r="AX14" i="26"/>
  <c r="AX17" i="26" s="1"/>
  <c r="AX18" i="29"/>
  <c r="AX22" i="29" s="1"/>
  <c r="AX14" i="42"/>
  <c r="AX17" i="42" s="1"/>
  <c r="AX6" i="24" l="1"/>
  <c r="AX32" i="24" s="1"/>
  <c r="AX26" i="25"/>
  <c r="AX27" i="25" s="1"/>
  <c r="AX10" i="24" s="1"/>
  <c r="AX40" i="24" s="1"/>
  <c r="AX9" i="24"/>
  <c r="AX18" i="24"/>
  <c r="AX35" i="44"/>
  <c r="AX14" i="24"/>
  <c r="AX20" i="44"/>
  <c r="AX13" i="24" s="1"/>
  <c r="AX49" i="46"/>
  <c r="AX82" i="46"/>
  <c r="AW82" i="46"/>
  <c r="AV82" i="46"/>
  <c r="AX81" i="46"/>
  <c r="AW81" i="46"/>
  <c r="AX80" i="46"/>
  <c r="AV79" i="46"/>
  <c r="AX77" i="46"/>
  <c r="AW77" i="46"/>
  <c r="AV77" i="46"/>
  <c r="AX76" i="46"/>
  <c r="AW76" i="46"/>
  <c r="AX75" i="46"/>
  <c r="AV75" i="46"/>
  <c r="AW74" i="46"/>
  <c r="AV74" i="46"/>
  <c r="AX72" i="46"/>
  <c r="AW72" i="46"/>
  <c r="AV72" i="46"/>
  <c r="AX71" i="46"/>
  <c r="AW71" i="46"/>
  <c r="AX70" i="46"/>
  <c r="AV70" i="46"/>
  <c r="AX69" i="46"/>
  <c r="AW69" i="46"/>
  <c r="AV69" i="46"/>
  <c r="AX68" i="46"/>
  <c r="AX67" i="46" s="1"/>
  <c r="AW68" i="46"/>
  <c r="AV68" i="46"/>
  <c r="AX65" i="46"/>
  <c r="AW65" i="46"/>
  <c r="AX64" i="46"/>
  <c r="AV64" i="46"/>
  <c r="AW63" i="46"/>
  <c r="AV63" i="46"/>
  <c r="AX17" i="24"/>
  <c r="AX19" i="46"/>
  <c r="AX24" i="50"/>
  <c r="AX31" i="50"/>
  <c r="AX30" i="50"/>
  <c r="AX20" i="50"/>
  <c r="AX40" i="50"/>
  <c r="AX39" i="50"/>
  <c r="AX37" i="50"/>
  <c r="AX36" i="50"/>
  <c r="AX41" i="50"/>
  <c r="AX16" i="47"/>
  <c r="AX19" i="47"/>
  <c r="AX63" i="46" l="1"/>
  <c r="AX62" i="46" s="1"/>
  <c r="AW64" i="46"/>
  <c r="AW62" i="46" s="1"/>
  <c r="AV65" i="46"/>
  <c r="AV62" i="46" s="1"/>
  <c r="AV71" i="46"/>
  <c r="AV67" i="46" s="1"/>
  <c r="AV66" i="46" s="1"/>
  <c r="AV76" i="46"/>
  <c r="AV73" i="46" s="1"/>
  <c r="AV80" i="46"/>
  <c r="AV78" i="46" s="1"/>
  <c r="AV81" i="46"/>
  <c r="AW70" i="46"/>
  <c r="AW67" i="46" s="1"/>
  <c r="AW75" i="46"/>
  <c r="AW73" i="46" s="1"/>
  <c r="AW79" i="46"/>
  <c r="AW80" i="46"/>
  <c r="AX74" i="46"/>
  <c r="AX73" i="46" s="1"/>
  <c r="AX66" i="46" s="1"/>
  <c r="AX79" i="46"/>
  <c r="AX78" i="46" s="1"/>
  <c r="AX14" i="47"/>
  <c r="AX29" i="50"/>
  <c r="AX6" i="50"/>
  <c r="AX38" i="50"/>
  <c r="AX35" i="50"/>
  <c r="AX34" i="50" s="1"/>
  <c r="AX49" i="50" s="1"/>
  <c r="AX25" i="46"/>
  <c r="AX16" i="50"/>
  <c r="AX14" i="46"/>
  <c r="AX38" i="46"/>
  <c r="AX53" i="50"/>
  <c r="AX44" i="50"/>
  <c r="AX41" i="44"/>
  <c r="AX45" i="44" s="1"/>
  <c r="AX47" i="44" s="1"/>
  <c r="AX15" i="50"/>
  <c r="AX43" i="50" s="1"/>
  <c r="AX16" i="24"/>
  <c r="AX17" i="50"/>
  <c r="AX30" i="46"/>
  <c r="AX54" i="46"/>
  <c r="AX10" i="50"/>
  <c r="AX43" i="46"/>
  <c r="AX42" i="46" s="1"/>
  <c r="AX18" i="46"/>
  <c r="AX28" i="50"/>
  <c r="AX52" i="50"/>
  <c r="AX51" i="50"/>
  <c r="AX26" i="47"/>
  <c r="AX19" i="24" l="1"/>
  <c r="AX38" i="24" s="1"/>
  <c r="AX39" i="24" s="1"/>
  <c r="AX60" i="46"/>
  <c r="AX5" i="46" s="1"/>
  <c r="AX7" i="46" s="1"/>
  <c r="AV60" i="46"/>
  <c r="AW66" i="46"/>
  <c r="AX36" i="46"/>
  <c r="AW78" i="46"/>
  <c r="AW60" i="46" s="1"/>
  <c r="AX12" i="46"/>
  <c r="AR28" i="41"/>
  <c r="AV28" i="41"/>
  <c r="AX14" i="50"/>
  <c r="AX15" i="24"/>
  <c r="AX18" i="41"/>
  <c r="AX17" i="41" s="1"/>
  <c r="AP28" i="41"/>
  <c r="AT28" i="41"/>
  <c r="AX28" i="41"/>
  <c r="AQ28" i="41"/>
  <c r="AU28" i="41"/>
  <c r="AS28" i="41"/>
  <c r="AW28" i="41"/>
  <c r="AX47" i="41"/>
  <c r="AX22" i="49"/>
  <c r="AX17" i="49"/>
  <c r="AX45" i="50"/>
  <c r="AX42" i="50" s="1"/>
  <c r="AX14" i="41"/>
  <c r="AX48" i="50"/>
  <c r="AX47" i="50"/>
  <c r="AX53" i="41"/>
  <c r="AX13" i="49"/>
  <c r="AX8" i="49"/>
  <c r="AX6" i="49" s="1"/>
  <c r="AX58" i="41"/>
  <c r="AX57" i="41"/>
  <c r="AX56" i="41" s="1"/>
  <c r="AX12" i="49" l="1"/>
  <c r="AX52" i="41"/>
  <c r="AX51" i="41" s="1"/>
  <c r="AX21" i="24" s="1"/>
  <c r="AX26" i="28" l="1"/>
  <c r="AX10" i="28"/>
  <c r="AX5" i="28"/>
  <c r="AX18" i="28" l="1"/>
  <c r="AX28" i="28" s="1"/>
  <c r="AV18" i="41"/>
  <c r="AV17" i="41" s="1"/>
  <c r="AW18" i="41"/>
  <c r="AW17" i="41" s="1"/>
  <c r="AW16" i="36" l="1"/>
  <c r="AW14" i="41"/>
  <c r="AW8" i="49"/>
  <c r="AW22" i="49"/>
  <c r="AW19" i="47"/>
  <c r="AW6" i="50"/>
  <c r="AW41" i="50"/>
  <c r="AW39" i="50"/>
  <c r="AW31" i="50"/>
  <c r="AW37" i="50"/>
  <c r="AW17" i="24"/>
  <c r="AW14" i="24"/>
  <c r="AW18" i="24"/>
  <c r="AW31" i="30"/>
  <c r="AW10" i="28"/>
  <c r="AW8" i="24"/>
  <c r="AW7" i="24"/>
  <c r="AW12" i="25"/>
  <c r="AW9" i="25"/>
  <c r="AW41" i="24"/>
  <c r="AW46" i="24"/>
  <c r="AW47" i="24"/>
  <c r="AW18" i="25" l="1"/>
  <c r="AW15" i="50"/>
  <c r="AW16" i="24"/>
  <c r="AW53" i="50"/>
  <c r="AW10" i="26"/>
  <c r="AW41" i="44"/>
  <c r="AW45" i="44" s="1"/>
  <c r="AW24" i="50"/>
  <c r="AW29" i="50"/>
  <c r="AW5" i="26"/>
  <c r="AW14" i="26" s="1"/>
  <c r="AW17" i="26" s="1"/>
  <c r="AW18" i="29"/>
  <c r="AW22" i="29" s="1"/>
  <c r="AW47" i="41"/>
  <c r="AW57" i="41" s="1"/>
  <c r="AW56" i="41" s="1"/>
  <c r="AW5" i="30"/>
  <c r="AW17" i="30" s="1"/>
  <c r="AW49" i="46"/>
  <c r="AW19" i="46"/>
  <c r="AW14" i="46"/>
  <c r="AW30" i="50"/>
  <c r="AW17" i="50"/>
  <c r="AW45" i="50" s="1"/>
  <c r="AW10" i="50"/>
  <c r="AW26" i="30"/>
  <c r="AW20" i="44"/>
  <c r="AW13" i="24" s="1"/>
  <c r="AW25" i="46"/>
  <c r="AW36" i="50"/>
  <c r="AW16" i="50"/>
  <c r="AW13" i="49"/>
  <c r="AW10" i="42"/>
  <c r="AW5" i="42"/>
  <c r="AW26" i="28"/>
  <c r="AW28" i="30"/>
  <c r="AW35" i="44"/>
  <c r="AW30" i="46"/>
  <c r="AW40" i="50"/>
  <c r="AW38" i="50" s="1"/>
  <c r="AW35" i="50"/>
  <c r="AW51" i="50" s="1"/>
  <c r="AW20" i="50"/>
  <c r="AW16" i="47"/>
  <c r="AW26" i="47" s="1"/>
  <c r="AW14" i="47"/>
  <c r="AW17" i="49"/>
  <c r="AW6" i="49"/>
  <c r="AW54" i="46"/>
  <c r="AW38" i="46"/>
  <c r="AW36" i="46" s="1"/>
  <c r="AW43" i="46"/>
  <c r="AW24" i="25"/>
  <c r="AW6" i="24"/>
  <c r="AW28" i="50" l="1"/>
  <c r="AW43" i="50"/>
  <c r="AW52" i="41"/>
  <c r="AW51" i="41" s="1"/>
  <c r="AW21" i="24" s="1"/>
  <c r="AW19" i="24"/>
  <c r="AW38" i="24" s="1"/>
  <c r="AW39" i="24" s="1"/>
  <c r="AW12" i="46"/>
  <c r="AW58" i="41"/>
  <c r="AW5" i="46"/>
  <c r="AW7" i="46" s="1"/>
  <c r="AW15" i="24"/>
  <c r="AW52" i="50"/>
  <c r="AW53" i="41"/>
  <c r="AW14" i="42"/>
  <c r="AW17" i="42" s="1"/>
  <c r="AW18" i="46"/>
  <c r="AW12" i="49"/>
  <c r="AW47" i="44"/>
  <c r="AW14" i="50"/>
  <c r="AW44" i="50"/>
  <c r="AW42" i="50" s="1"/>
  <c r="AW42" i="46"/>
  <c r="AW34" i="50"/>
  <c r="AW9" i="24"/>
  <c r="AW26" i="25"/>
  <c r="AW27" i="25" s="1"/>
  <c r="AW10" i="24" s="1"/>
  <c r="AW40" i="24" s="1"/>
  <c r="AW32" i="24"/>
  <c r="AW5" i="28"/>
  <c r="AW18" i="28" s="1"/>
  <c r="AW47" i="50" l="1"/>
  <c r="AW49" i="50"/>
  <c r="AW48" i="50"/>
  <c r="AW28" i="28"/>
  <c r="AS16" i="36"/>
  <c r="AP47" i="41"/>
  <c r="AQ47" i="41"/>
  <c r="AR47" i="41"/>
  <c r="AS47" i="41"/>
  <c r="AT47" i="41"/>
  <c r="AU47" i="41"/>
  <c r="AV47" i="41"/>
  <c r="AP13" i="49"/>
  <c r="AS13" i="49"/>
  <c r="AT13" i="49"/>
  <c r="AU20" i="50"/>
  <c r="AU30" i="50"/>
  <c r="AU31" i="50"/>
  <c r="AU29" i="50"/>
  <c r="AU6" i="50"/>
  <c r="AU17" i="50"/>
  <c r="AU15" i="50"/>
  <c r="AU16" i="50"/>
  <c r="AU38" i="46"/>
  <c r="AQ38" i="46"/>
  <c r="AS49" i="46"/>
  <c r="AR49" i="46"/>
  <c r="AU49" i="46"/>
  <c r="AT49" i="46"/>
  <c r="AQ49" i="46"/>
  <c r="AP49" i="46"/>
  <c r="AS43" i="46"/>
  <c r="AR43" i="46"/>
  <c r="AU43" i="46"/>
  <c r="AT43" i="46"/>
  <c r="AQ43" i="46"/>
  <c r="AP43" i="46"/>
  <c r="AT38" i="46"/>
  <c r="AP38" i="46"/>
  <c r="AR38" i="46"/>
  <c r="AP54" i="46"/>
  <c r="AQ54" i="46"/>
  <c r="AR54" i="46"/>
  <c r="AS54" i="46"/>
  <c r="AT54" i="46"/>
  <c r="AU54" i="46"/>
  <c r="AS10" i="26"/>
  <c r="AV31" i="30"/>
  <c r="AV28" i="30"/>
  <c r="AP42" i="46" l="1"/>
  <c r="AQ42" i="46"/>
  <c r="AS42" i="46"/>
  <c r="AT42" i="46"/>
  <c r="AU42" i="46"/>
  <c r="AS10" i="42"/>
  <c r="AU10" i="42"/>
  <c r="AQ10" i="42"/>
  <c r="AR19" i="46"/>
  <c r="AT19" i="46"/>
  <c r="AP19" i="46"/>
  <c r="AR13" i="49"/>
  <c r="AU16" i="36"/>
  <c r="AQ16" i="36"/>
  <c r="AT10" i="42"/>
  <c r="AP10" i="42"/>
  <c r="AR10" i="26"/>
  <c r="AS25" i="46"/>
  <c r="AU25" i="46"/>
  <c r="AQ25" i="46"/>
  <c r="AS38" i="46"/>
  <c r="AU24" i="50"/>
  <c r="AU13" i="49"/>
  <c r="AQ13" i="49"/>
  <c r="AU10" i="26"/>
  <c r="AQ10" i="26"/>
  <c r="AR25" i="46"/>
  <c r="AT25" i="46"/>
  <c r="AU28" i="50"/>
  <c r="AT17" i="49"/>
  <c r="AT12" i="49" s="1"/>
  <c r="AP17" i="49"/>
  <c r="AP12" i="49" s="1"/>
  <c r="AR17" i="49"/>
  <c r="AR10" i="42"/>
  <c r="AT10" i="26"/>
  <c r="AP10" i="26"/>
  <c r="AS19" i="46"/>
  <c r="AU19" i="46"/>
  <c r="AQ19" i="46"/>
  <c r="AU10" i="50"/>
  <c r="AS17" i="49"/>
  <c r="AS12" i="49" s="1"/>
  <c r="AU17" i="49"/>
  <c r="AQ17" i="49"/>
  <c r="AT16" i="36"/>
  <c r="AP16" i="36"/>
  <c r="AR16" i="36"/>
  <c r="AV16" i="36"/>
  <c r="AU14" i="50"/>
  <c r="AR42" i="46"/>
  <c r="AQ18" i="46" l="1"/>
  <c r="AU18" i="46"/>
  <c r="AQ12" i="49"/>
  <c r="AR18" i="46"/>
  <c r="AP18" i="46"/>
  <c r="AS18" i="46"/>
  <c r="AU12" i="49"/>
  <c r="AR12" i="49"/>
  <c r="AT18" i="46"/>
  <c r="AV10" i="26" l="1"/>
  <c r="AT5" i="26"/>
  <c r="AT14" i="26" s="1"/>
  <c r="AT17" i="26" s="1"/>
  <c r="AV5" i="26"/>
  <c r="AU5" i="26"/>
  <c r="AU14" i="26" s="1"/>
  <c r="AU17" i="26" s="1"/>
  <c r="AS5" i="26"/>
  <c r="AS14" i="26" s="1"/>
  <c r="AS17" i="26" s="1"/>
  <c r="AR5" i="26"/>
  <c r="AR14" i="26" s="1"/>
  <c r="AR17" i="26" s="1"/>
  <c r="AQ5" i="26"/>
  <c r="AQ14" i="26" s="1"/>
  <c r="AQ17" i="26" s="1"/>
  <c r="AV10" i="42"/>
  <c r="AV5" i="42"/>
  <c r="AU5" i="42"/>
  <c r="AU14" i="42" s="1"/>
  <c r="AT5" i="42"/>
  <c r="AT14" i="42" s="1"/>
  <c r="AS5" i="42"/>
  <c r="AS14" i="42" s="1"/>
  <c r="AR5" i="42"/>
  <c r="AR14" i="42" s="1"/>
  <c r="AQ5" i="42"/>
  <c r="AQ14" i="42" s="1"/>
  <c r="AU17" i="42" l="1"/>
  <c r="AR17" i="42"/>
  <c r="AS17" i="42"/>
  <c r="AQ17" i="42"/>
  <c r="AT17" i="42"/>
  <c r="AV14" i="26"/>
  <c r="AV17" i="26" s="1"/>
  <c r="AV14" i="42"/>
  <c r="AV17" i="42" s="1"/>
  <c r="AV58" i="41"/>
  <c r="AV57" i="41"/>
  <c r="AV56" i="41" s="1"/>
  <c r="AV14" i="41"/>
  <c r="AV53" i="41" l="1"/>
  <c r="AV52" i="41"/>
  <c r="AV51" i="41" s="1"/>
  <c r="AV8" i="49"/>
  <c r="AV13" i="49"/>
  <c r="AV17" i="49"/>
  <c r="AV22" i="49"/>
  <c r="AV16" i="47"/>
  <c r="AV19" i="47"/>
  <c r="AV14" i="47"/>
  <c r="AV6" i="50"/>
  <c r="AV41" i="50"/>
  <c r="AV40" i="50"/>
  <c r="AV39" i="50"/>
  <c r="AV37" i="50"/>
  <c r="AV36" i="50"/>
  <c r="AV35" i="50"/>
  <c r="AV31" i="50"/>
  <c r="AV30" i="50"/>
  <c r="AV29" i="50"/>
  <c r="AV24" i="50"/>
  <c r="AV20" i="50"/>
  <c r="AV17" i="50"/>
  <c r="AV16" i="50"/>
  <c r="AV15" i="50"/>
  <c r="AV10" i="50"/>
  <c r="AV54" i="46"/>
  <c r="AV49" i="46"/>
  <c r="AV43" i="46"/>
  <c r="AV38" i="46"/>
  <c r="AV30" i="46"/>
  <c r="AV25" i="46"/>
  <c r="AV19" i="46"/>
  <c r="AV14" i="46"/>
  <c r="AV41" i="44"/>
  <c r="AV45" i="44" s="1"/>
  <c r="AV35" i="44"/>
  <c r="AV20" i="44"/>
  <c r="AV44" i="50" l="1"/>
  <c r="AV36" i="46"/>
  <c r="AV42" i="46"/>
  <c r="AV6" i="49"/>
  <c r="AV12" i="49"/>
  <c r="AV26" i="47"/>
  <c r="AV28" i="50"/>
  <c r="AV43" i="50"/>
  <c r="AV53" i="50"/>
  <c r="AV52" i="50"/>
  <c r="AV34" i="50"/>
  <c r="AV47" i="50" s="1"/>
  <c r="AV51" i="50"/>
  <c r="AV45" i="50"/>
  <c r="AV14" i="50"/>
  <c r="AV38" i="50"/>
  <c r="AV12" i="46"/>
  <c r="AV18" i="46"/>
  <c r="AV47" i="44"/>
  <c r="AV42" i="50" l="1"/>
  <c r="AV49" i="50"/>
  <c r="AV48" i="50"/>
  <c r="AV5" i="46"/>
  <c r="AV7" i="46" s="1"/>
  <c r="AS18" i="28" l="1"/>
  <c r="AR18" i="28"/>
  <c r="AQ18" i="28"/>
  <c r="AP18" i="28"/>
  <c r="AO18" i="28"/>
  <c r="AN18" i="28"/>
  <c r="AM18" i="28"/>
  <c r="AL18" i="28"/>
  <c r="AK18" i="28"/>
  <c r="AJ18" i="28"/>
  <c r="AI18" i="28"/>
  <c r="AH18" i="28"/>
  <c r="AG18" i="28"/>
  <c r="AF18" i="28"/>
  <c r="AE18" i="28"/>
  <c r="AD18" i="28"/>
  <c r="AC18" i="28"/>
  <c r="AB18" i="28"/>
  <c r="AA18" i="28"/>
  <c r="Z18" i="28"/>
  <c r="Y18" i="28"/>
  <c r="X18" i="28"/>
  <c r="W18" i="28"/>
  <c r="V18" i="28"/>
  <c r="U18" i="28"/>
  <c r="T18" i="28"/>
  <c r="S18" i="28"/>
  <c r="R18" i="28"/>
  <c r="Q18" i="28"/>
  <c r="P18" i="28"/>
  <c r="O18" i="28"/>
  <c r="N18" i="28"/>
  <c r="M18" i="28"/>
  <c r="L18" i="28"/>
  <c r="K18" i="28"/>
  <c r="J18" i="28"/>
  <c r="I18" i="28"/>
  <c r="H18" i="28"/>
  <c r="G18" i="28"/>
  <c r="F18" i="28"/>
  <c r="E18" i="28"/>
  <c r="D18" i="28"/>
  <c r="C18" i="28"/>
  <c r="AT18" i="28"/>
  <c r="AO17" i="30" l="1"/>
  <c r="AN17" i="30"/>
  <c r="AM17" i="30"/>
  <c r="AL17" i="30"/>
  <c r="AK17" i="30"/>
  <c r="AJ17" i="30"/>
  <c r="AI17" i="30"/>
  <c r="AH17" i="30"/>
  <c r="AG17" i="30"/>
  <c r="AF17" i="30"/>
  <c r="AE17" i="30"/>
  <c r="AD17" i="30"/>
  <c r="AC17" i="30"/>
  <c r="AB17" i="30"/>
  <c r="AA17" i="30"/>
  <c r="Z17" i="30"/>
  <c r="Y17" i="30"/>
  <c r="X17" i="30"/>
  <c r="W17" i="30"/>
  <c r="V17" i="30"/>
  <c r="U17" i="30"/>
  <c r="T17" i="30"/>
  <c r="S17" i="30"/>
  <c r="R17" i="30"/>
  <c r="Q17" i="30"/>
  <c r="P17" i="30"/>
  <c r="O17" i="30"/>
  <c r="N17" i="30"/>
  <c r="M17" i="30"/>
  <c r="L17" i="30"/>
  <c r="K17" i="30"/>
  <c r="J17" i="30"/>
  <c r="I17" i="30"/>
  <c r="H17" i="30"/>
  <c r="G17" i="30"/>
  <c r="F17" i="30"/>
  <c r="E17" i="30"/>
  <c r="D17" i="30"/>
  <c r="C17" i="30"/>
  <c r="C5" i="30"/>
  <c r="AU5" i="30"/>
  <c r="AU17" i="30" s="1"/>
  <c r="AT5" i="30"/>
  <c r="AT17" i="30" s="1"/>
  <c r="AS5" i="30"/>
  <c r="AS17" i="30" s="1"/>
  <c r="AR5" i="30"/>
  <c r="AR17" i="30" s="1"/>
  <c r="AQ5" i="30"/>
  <c r="AQ17" i="30" s="1"/>
  <c r="AP5" i="30"/>
  <c r="AP17" i="30" s="1"/>
  <c r="AO5" i="30"/>
  <c r="AN5" i="30"/>
  <c r="AM5" i="30"/>
  <c r="AL5" i="30"/>
  <c r="AK5" i="30"/>
  <c r="AJ5" i="30"/>
  <c r="AI5" i="30"/>
  <c r="AH5" i="30"/>
  <c r="AG5" i="30"/>
  <c r="AF5" i="30"/>
  <c r="AE5" i="30"/>
  <c r="AD5" i="30"/>
  <c r="AA5" i="30"/>
  <c r="Z5" i="30"/>
  <c r="Y5" i="30"/>
  <c r="X5" i="30"/>
  <c r="W5" i="30"/>
  <c r="V5" i="30"/>
  <c r="U5" i="30"/>
  <c r="T5" i="30"/>
  <c r="S5" i="30"/>
  <c r="R5" i="30"/>
  <c r="Q5" i="30"/>
  <c r="P5" i="30"/>
  <c r="O5" i="30"/>
  <c r="N5" i="30"/>
  <c r="M5" i="30"/>
  <c r="L5" i="30"/>
  <c r="K5" i="30"/>
  <c r="J5" i="30"/>
  <c r="I5" i="30"/>
  <c r="H5" i="30"/>
  <c r="G5" i="30"/>
  <c r="F5" i="30"/>
  <c r="E5" i="30"/>
  <c r="D5" i="30"/>
  <c r="AV5" i="30"/>
  <c r="AV17" i="30" s="1"/>
  <c r="AV47" i="24" l="1"/>
  <c r="AV46" i="24"/>
  <c r="AV41" i="24"/>
  <c r="AV21" i="24"/>
  <c r="AV19" i="24"/>
  <c r="AV38" i="24" s="1"/>
  <c r="AV39" i="24" s="1"/>
  <c r="AV18" i="24"/>
  <c r="AV17" i="24"/>
  <c r="AV16" i="24"/>
  <c r="AV15" i="24"/>
  <c r="AV14" i="24"/>
  <c r="AV13" i="24"/>
  <c r="AV8" i="24"/>
  <c r="AV7" i="24"/>
  <c r="AV5" i="28" l="1"/>
  <c r="AU5" i="28"/>
  <c r="AU10" i="28"/>
  <c r="AV26" i="28" l="1"/>
  <c r="AV10" i="28" l="1"/>
  <c r="AV18" i="28" s="1"/>
  <c r="AV28" i="28" l="1"/>
  <c r="AV26" i="30" l="1"/>
  <c r="AV18" i="29"/>
  <c r="AV22" i="29" s="1"/>
  <c r="AV12" i="25"/>
  <c r="AV9" i="25"/>
  <c r="AV18" i="25" l="1"/>
  <c r="AV24" i="25" s="1"/>
  <c r="AV26" i="25" s="1"/>
  <c r="AV27" i="25" s="1"/>
  <c r="AV10" i="24" s="1"/>
  <c r="AV40" i="24" s="1"/>
  <c r="AN15" i="24"/>
  <c r="AM15" i="24"/>
  <c r="AL15" i="24"/>
  <c r="AK15"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F15" i="24"/>
  <c r="E15" i="24"/>
  <c r="D15" i="24"/>
  <c r="C15" i="24"/>
  <c r="AO15" i="24"/>
  <c r="AS14" i="24"/>
  <c r="AR14" i="24"/>
  <c r="AQ14" i="24"/>
  <c r="AP14" i="24"/>
  <c r="AO14" i="24"/>
  <c r="AN14" i="24"/>
  <c r="AM14" i="24"/>
  <c r="AL14" i="24"/>
  <c r="AK14"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F14" i="24"/>
  <c r="E14" i="24"/>
  <c r="D14" i="24"/>
  <c r="C14" i="24"/>
  <c r="AT14" i="24"/>
  <c r="AU14" i="24"/>
  <c r="AN17" i="24"/>
  <c r="AM17" i="24"/>
  <c r="AL17" i="24"/>
  <c r="AK17"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F17" i="24"/>
  <c r="E17" i="24"/>
  <c r="D17" i="24"/>
  <c r="C17" i="24"/>
  <c r="AO17" i="24"/>
  <c r="AT18" i="24"/>
  <c r="AS18" i="24"/>
  <c r="AR18" i="24"/>
  <c r="AQ18" i="24"/>
  <c r="AP18" i="24"/>
  <c r="AO18" i="24"/>
  <c r="AN18" i="24"/>
  <c r="AM18" i="24"/>
  <c r="AL18" i="24"/>
  <c r="AK18" i="24"/>
  <c r="AJ18" i="24"/>
  <c r="AI18" i="24"/>
  <c r="AH18" i="24"/>
  <c r="AG18" i="24"/>
  <c r="AF18" i="24"/>
  <c r="AE18" i="24"/>
  <c r="AD18" i="24"/>
  <c r="AC18" i="24"/>
  <c r="AB18" i="24"/>
  <c r="AA18" i="24"/>
  <c r="Z18" i="24"/>
  <c r="Y18" i="24"/>
  <c r="X18" i="24"/>
  <c r="W18" i="24"/>
  <c r="V18" i="24"/>
  <c r="U18" i="24"/>
  <c r="T18" i="24"/>
  <c r="S18" i="24"/>
  <c r="R18" i="24"/>
  <c r="Q18" i="24"/>
  <c r="P18" i="24"/>
  <c r="O18" i="24"/>
  <c r="N18" i="24"/>
  <c r="M18" i="24"/>
  <c r="L18" i="24"/>
  <c r="K18" i="24"/>
  <c r="J18" i="24"/>
  <c r="I18" i="24"/>
  <c r="H18" i="24"/>
  <c r="G18" i="24"/>
  <c r="F18" i="24"/>
  <c r="E18" i="24"/>
  <c r="D18" i="24"/>
  <c r="C18" i="24"/>
  <c r="AU18" i="24"/>
  <c r="AO19" i="24"/>
  <c r="AN19" i="24"/>
  <c r="AM19" i="24"/>
  <c r="AL19" i="24"/>
  <c r="AK19"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F19" i="24"/>
  <c r="E19" i="24"/>
  <c r="D19" i="24"/>
  <c r="C19" i="24"/>
  <c r="AU41" i="24"/>
  <c r="AU47" i="24"/>
  <c r="AU46" i="24"/>
  <c r="AU8" i="24"/>
  <c r="AU7" i="24"/>
  <c r="AT14" i="47"/>
  <c r="AS14" i="47"/>
  <c r="AR14" i="47"/>
  <c r="AQ14" i="47"/>
  <c r="AP14" i="47"/>
  <c r="AO14" i="47"/>
  <c r="AN14" i="47"/>
  <c r="AM14" i="47"/>
  <c r="AL14" i="47"/>
  <c r="AK14" i="47"/>
  <c r="AJ14" i="47"/>
  <c r="AI14" i="47"/>
  <c r="AH14" i="47"/>
  <c r="AG14" i="47"/>
  <c r="AF14" i="47"/>
  <c r="AE14" i="47"/>
  <c r="AD14" i="47"/>
  <c r="AC14" i="47"/>
  <c r="AB14" i="47"/>
  <c r="AA14" i="47"/>
  <c r="Z14" i="47"/>
  <c r="Y14" i="47"/>
  <c r="X14" i="47"/>
  <c r="W14" i="47"/>
  <c r="V14" i="47"/>
  <c r="U14" i="47"/>
  <c r="T14" i="47"/>
  <c r="S14" i="47"/>
  <c r="R14" i="47"/>
  <c r="Q14" i="47"/>
  <c r="P14" i="47"/>
  <c r="O14" i="47"/>
  <c r="N14" i="47"/>
  <c r="M14" i="47"/>
  <c r="L14" i="47"/>
  <c r="K14" i="47"/>
  <c r="J14" i="47"/>
  <c r="I14" i="47"/>
  <c r="H14" i="47"/>
  <c r="G14" i="47"/>
  <c r="F14" i="47"/>
  <c r="E14" i="47"/>
  <c r="D14" i="47"/>
  <c r="C14" i="47"/>
  <c r="AU14" i="47"/>
  <c r="AV9" i="24" l="1"/>
  <c r="AV6" i="24"/>
  <c r="AX33" i="24" s="1"/>
  <c r="AT91" i="50"/>
  <c r="AS91" i="50"/>
  <c r="AR91" i="50"/>
  <c r="AQ91" i="50"/>
  <c r="AP91" i="50"/>
  <c r="AO91" i="50"/>
  <c r="AN91" i="50"/>
  <c r="AM91" i="50"/>
  <c r="AL91" i="50"/>
  <c r="AK91" i="50"/>
  <c r="AJ91" i="50"/>
  <c r="AI91" i="50"/>
  <c r="AH91" i="50"/>
  <c r="AG91" i="50"/>
  <c r="AF91" i="50"/>
  <c r="AD91" i="50"/>
  <c r="AC91" i="50"/>
  <c r="AB91" i="50"/>
  <c r="AA91" i="50"/>
  <c r="Z91" i="50"/>
  <c r="Y91" i="50"/>
  <c r="X91" i="50"/>
  <c r="W91" i="50"/>
  <c r="V91" i="50"/>
  <c r="U91" i="50"/>
  <c r="T91" i="50"/>
  <c r="S91" i="50"/>
  <c r="R91" i="50"/>
  <c r="Q91" i="50"/>
  <c r="P91" i="50"/>
  <c r="O91" i="50"/>
  <c r="N91" i="50"/>
  <c r="M91" i="50"/>
  <c r="L91" i="50"/>
  <c r="K91" i="50"/>
  <c r="J91" i="50"/>
  <c r="I91" i="50"/>
  <c r="H91" i="50"/>
  <c r="AT87" i="50"/>
  <c r="AT85" i="50" s="1"/>
  <c r="AS87" i="50"/>
  <c r="AR87" i="50"/>
  <c r="AQ87" i="50"/>
  <c r="AP87" i="50"/>
  <c r="AP85" i="50" s="1"/>
  <c r="AO87" i="50"/>
  <c r="AN87" i="50"/>
  <c r="AM87" i="50"/>
  <c r="AL87" i="50"/>
  <c r="AL85" i="50" s="1"/>
  <c r="AK87" i="50"/>
  <c r="AJ87" i="50"/>
  <c r="AI87" i="50"/>
  <c r="AH87" i="50"/>
  <c r="AH85" i="50" s="1"/>
  <c r="AG87" i="50"/>
  <c r="AF87" i="50"/>
  <c r="AE87" i="50"/>
  <c r="AD87" i="50"/>
  <c r="AD85" i="50" s="1"/>
  <c r="AC87" i="50"/>
  <c r="AB87" i="50"/>
  <c r="AA87" i="50"/>
  <c r="Z87" i="50"/>
  <c r="Y87" i="50"/>
  <c r="X87" i="50"/>
  <c r="X85" i="50" s="1"/>
  <c r="W87" i="50"/>
  <c r="V87" i="50"/>
  <c r="V85" i="50" s="1"/>
  <c r="U87" i="50"/>
  <c r="T87" i="50"/>
  <c r="T85" i="50" s="1"/>
  <c r="S87" i="50"/>
  <c r="R87" i="50"/>
  <c r="R85" i="50" s="1"/>
  <c r="Q87" i="50"/>
  <c r="P87" i="50"/>
  <c r="P85" i="50" s="1"/>
  <c r="O87" i="50"/>
  <c r="N87" i="50"/>
  <c r="N85" i="50" s="1"/>
  <c r="M87" i="50"/>
  <c r="L87" i="50"/>
  <c r="L85" i="50" s="1"/>
  <c r="K87" i="50"/>
  <c r="J87" i="50"/>
  <c r="J85" i="50" s="1"/>
  <c r="I87" i="50"/>
  <c r="H87" i="50"/>
  <c r="H85" i="50" s="1"/>
  <c r="AT86" i="50"/>
  <c r="AS86" i="50"/>
  <c r="AS85" i="50" s="1"/>
  <c r="AR86" i="50"/>
  <c r="AQ86" i="50"/>
  <c r="AQ85" i="50" s="1"/>
  <c r="AP86" i="50"/>
  <c r="AO86" i="50"/>
  <c r="AO85" i="50" s="1"/>
  <c r="AN86" i="50"/>
  <c r="AM86" i="50"/>
  <c r="AM85" i="50" s="1"/>
  <c r="AL86" i="50"/>
  <c r="AK86" i="50"/>
  <c r="AK85" i="50" s="1"/>
  <c r="AJ86" i="50"/>
  <c r="AI86" i="50"/>
  <c r="AI85" i="50" s="1"/>
  <c r="AH86" i="50"/>
  <c r="AG86" i="50"/>
  <c r="AG85" i="50" s="1"/>
  <c r="AF86" i="50"/>
  <c r="AE86" i="50"/>
  <c r="AE85" i="50" s="1"/>
  <c r="AD86" i="50"/>
  <c r="AC86" i="50"/>
  <c r="AC85" i="50" s="1"/>
  <c r="AB86" i="50"/>
  <c r="AA86" i="50"/>
  <c r="AA85" i="50" s="1"/>
  <c r="Z86" i="50"/>
  <c r="Y86" i="50"/>
  <c r="Y85" i="50" s="1"/>
  <c r="X86" i="50"/>
  <c r="W86" i="50"/>
  <c r="W85" i="50" s="1"/>
  <c r="V86" i="50"/>
  <c r="U86" i="50"/>
  <c r="U85" i="50" s="1"/>
  <c r="T86" i="50"/>
  <c r="S86" i="50"/>
  <c r="S85" i="50" s="1"/>
  <c r="R86" i="50"/>
  <c r="Q86" i="50"/>
  <c r="Q85" i="50" s="1"/>
  <c r="P86" i="50"/>
  <c r="O86" i="50"/>
  <c r="O85" i="50" s="1"/>
  <c r="N86" i="50"/>
  <c r="M86" i="50"/>
  <c r="M85" i="50" s="1"/>
  <c r="L86" i="50"/>
  <c r="K86" i="50"/>
  <c r="K85" i="50" s="1"/>
  <c r="J86" i="50"/>
  <c r="I86" i="50"/>
  <c r="I85" i="50" s="1"/>
  <c r="H86" i="50"/>
  <c r="Z85" i="50"/>
  <c r="AT81" i="50"/>
  <c r="AS81" i="50"/>
  <c r="AR81" i="50"/>
  <c r="AQ81" i="50"/>
  <c r="AP81" i="50"/>
  <c r="AO81" i="50"/>
  <c r="AN81" i="50"/>
  <c r="AM81" i="50"/>
  <c r="AL81" i="50"/>
  <c r="AK81" i="50"/>
  <c r="AJ81" i="50"/>
  <c r="AI81" i="50"/>
  <c r="AH81" i="50"/>
  <c r="AG81" i="50"/>
  <c r="AF81" i="50"/>
  <c r="AE81" i="50"/>
  <c r="AD81" i="50"/>
  <c r="AC81" i="50"/>
  <c r="AB81" i="50"/>
  <c r="AA81" i="50"/>
  <c r="Z81" i="50"/>
  <c r="Y81" i="50"/>
  <c r="X81" i="50"/>
  <c r="W81" i="50"/>
  <c r="V81" i="50"/>
  <c r="U81" i="50"/>
  <c r="T81" i="50"/>
  <c r="S81" i="50"/>
  <c r="R81" i="50"/>
  <c r="Q81" i="50"/>
  <c r="P81" i="50"/>
  <c r="O81" i="50"/>
  <c r="N81" i="50"/>
  <c r="M81" i="50"/>
  <c r="L81" i="50"/>
  <c r="K81" i="50"/>
  <c r="J81" i="50"/>
  <c r="I81" i="50"/>
  <c r="H81" i="50"/>
  <c r="AT75" i="50"/>
  <c r="AS75" i="50"/>
  <c r="AR75" i="50"/>
  <c r="AQ75" i="50"/>
  <c r="AP75" i="50"/>
  <c r="AO75" i="50"/>
  <c r="AN75" i="50"/>
  <c r="AM75" i="50"/>
  <c r="AL75" i="50"/>
  <c r="AK75" i="50"/>
  <c r="AJ75" i="50"/>
  <c r="AI75" i="50"/>
  <c r="AH75" i="50"/>
  <c r="AG75" i="50"/>
  <c r="AF75" i="50"/>
  <c r="AE75" i="50"/>
  <c r="AD75" i="50"/>
  <c r="AC75" i="50"/>
  <c r="AB75" i="50"/>
  <c r="AA75" i="50"/>
  <c r="Z75" i="50"/>
  <c r="Y75" i="50"/>
  <c r="X75" i="50"/>
  <c r="W75" i="50"/>
  <c r="V75" i="50"/>
  <c r="U75" i="50"/>
  <c r="T75" i="50"/>
  <c r="S75" i="50"/>
  <c r="R75" i="50"/>
  <c r="Q75" i="50"/>
  <c r="P75" i="50"/>
  <c r="O75" i="50"/>
  <c r="N75" i="50"/>
  <c r="M75" i="50"/>
  <c r="L75" i="50"/>
  <c r="K75" i="50"/>
  <c r="J75" i="50"/>
  <c r="I75" i="50"/>
  <c r="H75" i="50"/>
  <c r="AT72" i="50"/>
  <c r="AT80" i="50" s="1"/>
  <c r="AS72" i="50"/>
  <c r="AR72" i="50"/>
  <c r="AR80" i="50" s="1"/>
  <c r="AQ72" i="50"/>
  <c r="AQ80" i="50" s="1"/>
  <c r="AP72" i="50"/>
  <c r="AP80" i="50" s="1"/>
  <c r="AO72" i="50"/>
  <c r="AO80" i="50" s="1"/>
  <c r="AN72" i="50"/>
  <c r="AN80" i="50" s="1"/>
  <c r="AM72" i="50"/>
  <c r="AM80" i="50" s="1"/>
  <c r="AL72" i="50"/>
  <c r="AL80" i="50" s="1"/>
  <c r="AK72" i="50"/>
  <c r="AK80" i="50" s="1"/>
  <c r="AJ72" i="50"/>
  <c r="AJ80" i="50" s="1"/>
  <c r="AI72" i="50"/>
  <c r="AI80" i="50" s="1"/>
  <c r="AH72" i="50"/>
  <c r="AH80" i="50" s="1"/>
  <c r="AG72" i="50"/>
  <c r="AF72" i="50"/>
  <c r="AF80" i="50" s="1"/>
  <c r="AE72" i="50"/>
  <c r="AE80" i="50" s="1"/>
  <c r="AD72" i="50"/>
  <c r="AD80" i="50" s="1"/>
  <c r="AC72" i="50"/>
  <c r="AC80" i="50" s="1"/>
  <c r="AB72" i="50"/>
  <c r="AB80" i="50" s="1"/>
  <c r="AA72" i="50"/>
  <c r="AA80" i="50" s="1"/>
  <c r="Z72" i="50"/>
  <c r="Z80" i="50" s="1"/>
  <c r="Y72" i="50"/>
  <c r="Y80" i="50" s="1"/>
  <c r="X72" i="50"/>
  <c r="X80" i="50" s="1"/>
  <c r="W72" i="50"/>
  <c r="W80" i="50" s="1"/>
  <c r="V72" i="50"/>
  <c r="V80" i="50" s="1"/>
  <c r="U72" i="50"/>
  <c r="U80" i="50" s="1"/>
  <c r="T72" i="50"/>
  <c r="T80" i="50" s="1"/>
  <c r="S72" i="50"/>
  <c r="S80" i="50" s="1"/>
  <c r="R72" i="50"/>
  <c r="R80" i="50" s="1"/>
  <c r="Q72" i="50"/>
  <c r="Q80" i="50" s="1"/>
  <c r="P72" i="50"/>
  <c r="P80" i="50" s="1"/>
  <c r="O72" i="50"/>
  <c r="O80" i="50" s="1"/>
  <c r="N72" i="50"/>
  <c r="N80" i="50" s="1"/>
  <c r="M72" i="50"/>
  <c r="M80" i="50" s="1"/>
  <c r="L72" i="50"/>
  <c r="L80" i="50" s="1"/>
  <c r="K72" i="50"/>
  <c r="K80" i="50" s="1"/>
  <c r="J72" i="50"/>
  <c r="J80" i="50" s="1"/>
  <c r="I72" i="50"/>
  <c r="I80" i="50" s="1"/>
  <c r="H72" i="50"/>
  <c r="H80" i="50" s="1"/>
  <c r="AT69" i="50"/>
  <c r="AS69" i="50"/>
  <c r="AR69" i="50"/>
  <c r="AQ69" i="50"/>
  <c r="AP69" i="50"/>
  <c r="AO69" i="50"/>
  <c r="AN69" i="50"/>
  <c r="AM69" i="50"/>
  <c r="AL69" i="50"/>
  <c r="AK69" i="50"/>
  <c r="AJ69" i="50"/>
  <c r="AI69" i="50"/>
  <c r="AH69" i="50"/>
  <c r="AG69" i="50"/>
  <c r="AF69" i="50"/>
  <c r="AD69" i="50"/>
  <c r="AC69" i="50"/>
  <c r="AB69" i="50"/>
  <c r="AA69" i="50"/>
  <c r="Z69" i="50"/>
  <c r="Y69" i="50"/>
  <c r="X69" i="50"/>
  <c r="W69" i="50"/>
  <c r="V69" i="50"/>
  <c r="U69" i="50"/>
  <c r="T69" i="50"/>
  <c r="S69" i="50"/>
  <c r="R69" i="50"/>
  <c r="Q69" i="50"/>
  <c r="P69" i="50"/>
  <c r="O69" i="50"/>
  <c r="N69" i="50"/>
  <c r="M69" i="50"/>
  <c r="L69" i="50"/>
  <c r="K69" i="50"/>
  <c r="J69" i="50"/>
  <c r="I69" i="50"/>
  <c r="H69" i="50"/>
  <c r="AT63" i="50"/>
  <c r="AS63" i="50"/>
  <c r="AR63" i="50"/>
  <c r="AQ63" i="50"/>
  <c r="AP63" i="50"/>
  <c r="AO63" i="50"/>
  <c r="AN63" i="50"/>
  <c r="AM63" i="50"/>
  <c r="AL63" i="50"/>
  <c r="AK63" i="50"/>
  <c r="AJ63" i="50"/>
  <c r="AI63" i="50"/>
  <c r="AH63" i="50"/>
  <c r="AG63" i="50"/>
  <c r="AF63" i="50"/>
  <c r="AE63" i="50"/>
  <c r="AD63" i="50"/>
  <c r="AC63" i="50"/>
  <c r="AB63" i="50"/>
  <c r="AA63" i="50"/>
  <c r="Z63" i="50"/>
  <c r="Y63" i="50"/>
  <c r="X63" i="50"/>
  <c r="W63" i="50"/>
  <c r="V63" i="50"/>
  <c r="U63" i="50"/>
  <c r="T63" i="50"/>
  <c r="S63" i="50"/>
  <c r="R63" i="50"/>
  <c r="Q63" i="50"/>
  <c r="P63" i="50"/>
  <c r="O63" i="50"/>
  <c r="N63" i="50"/>
  <c r="M63" i="50"/>
  <c r="L63" i="50"/>
  <c r="K63" i="50"/>
  <c r="J63" i="50"/>
  <c r="I63" i="50"/>
  <c r="H63" i="50"/>
  <c r="AE62" i="50"/>
  <c r="AE69" i="50" s="1"/>
  <c r="AH61" i="50"/>
  <c r="AG61" i="50"/>
  <c r="AF61" i="50"/>
  <c r="AE61" i="50"/>
  <c r="AD61" i="50"/>
  <c r="AC61" i="50"/>
  <c r="AB61" i="50"/>
  <c r="AA61" i="50"/>
  <c r="Z61" i="50"/>
  <c r="Y61" i="50"/>
  <c r="X61" i="50"/>
  <c r="V61" i="50"/>
  <c r="V60" i="50" s="1"/>
  <c r="V68" i="50" s="1"/>
  <c r="U61" i="50"/>
  <c r="U60" i="50" s="1"/>
  <c r="T61" i="50"/>
  <c r="S61" i="50"/>
  <c r="S60" i="50" s="1"/>
  <c r="R61" i="50"/>
  <c r="R60" i="50" s="1"/>
  <c r="R68" i="50" s="1"/>
  <c r="Q61" i="50"/>
  <c r="Q60" i="50" s="1"/>
  <c r="O61" i="50"/>
  <c r="O60" i="50" s="1"/>
  <c r="M61" i="50"/>
  <c r="M60" i="50" s="1"/>
  <c r="L61" i="50"/>
  <c r="L60" i="50" s="1"/>
  <c r="AT60" i="50"/>
  <c r="AT68" i="50" s="1"/>
  <c r="AS60" i="50"/>
  <c r="AS68" i="50" s="1"/>
  <c r="AR60" i="50"/>
  <c r="AQ60" i="50"/>
  <c r="AQ83" i="50" s="1"/>
  <c r="AQ90" i="50" s="1"/>
  <c r="AP60" i="50"/>
  <c r="AP68" i="50" s="1"/>
  <c r="AO60" i="50"/>
  <c r="AO68" i="50" s="1"/>
  <c r="AN60" i="50"/>
  <c r="AM60" i="50"/>
  <c r="AM83" i="50" s="1"/>
  <c r="AM90" i="50" s="1"/>
  <c r="AL60" i="50"/>
  <c r="AL68" i="50" s="1"/>
  <c r="AK60" i="50"/>
  <c r="AK68" i="50" s="1"/>
  <c r="AJ60" i="50"/>
  <c r="AI60" i="50"/>
  <c r="AI83" i="50" s="1"/>
  <c r="AI90" i="50" s="1"/>
  <c r="AH60" i="50"/>
  <c r="AH68" i="50" s="1"/>
  <c r="AG60" i="50"/>
  <c r="AG68" i="50" s="1"/>
  <c r="AF60" i="50"/>
  <c r="AE60" i="50"/>
  <c r="AE83" i="50" s="1"/>
  <c r="AD60" i="50"/>
  <c r="AD68" i="50" s="1"/>
  <c r="AC60" i="50"/>
  <c r="AC68" i="50" s="1"/>
  <c r="AB60" i="50"/>
  <c r="AA60" i="50"/>
  <c r="AA83" i="50" s="1"/>
  <c r="AA90" i="50" s="1"/>
  <c r="Z60" i="50"/>
  <c r="Z68" i="50" s="1"/>
  <c r="Y60" i="50"/>
  <c r="Y68" i="50" s="1"/>
  <c r="X60" i="50"/>
  <c r="W60" i="50"/>
  <c r="W83" i="50" s="1"/>
  <c r="W90" i="50" s="1"/>
  <c r="T60" i="50"/>
  <c r="P60" i="50"/>
  <c r="N60" i="50"/>
  <c r="N68" i="50" s="1"/>
  <c r="K60" i="50"/>
  <c r="K83" i="50" s="1"/>
  <c r="K90" i="50" s="1"/>
  <c r="J60" i="50"/>
  <c r="J68" i="50" s="1"/>
  <c r="I60" i="50"/>
  <c r="I68" i="50" s="1"/>
  <c r="H60" i="50"/>
  <c r="AU41" i="50"/>
  <c r="AU40" i="50"/>
  <c r="AU39" i="50"/>
  <c r="AU37" i="50"/>
  <c r="AU36" i="50"/>
  <c r="AU35" i="50"/>
  <c r="AU44" i="50"/>
  <c r="AU34" i="50" l="1"/>
  <c r="AU49" i="50" s="1"/>
  <c r="AV32" i="24"/>
  <c r="AU53" i="50"/>
  <c r="AM68" i="50"/>
  <c r="T83" i="50"/>
  <c r="T90" i="50" s="1"/>
  <c r="W68" i="50"/>
  <c r="AE91" i="50"/>
  <c r="AU51" i="50"/>
  <c r="O83" i="50"/>
  <c r="O90" i="50" s="1"/>
  <c r="O68" i="50"/>
  <c r="AU52" i="50"/>
  <c r="AA68" i="50"/>
  <c r="AQ68" i="50"/>
  <c r="AG83" i="50"/>
  <c r="AG90" i="50" s="1"/>
  <c r="AS83" i="50"/>
  <c r="P83" i="50"/>
  <c r="P90" i="50" s="1"/>
  <c r="K68" i="50"/>
  <c r="AE68" i="50"/>
  <c r="O89" i="50"/>
  <c r="AB85" i="50"/>
  <c r="AF85" i="50"/>
  <c r="AF89" i="50" s="1"/>
  <c r="AJ85" i="50"/>
  <c r="AN85" i="50"/>
  <c r="AR85" i="50"/>
  <c r="AU43" i="50"/>
  <c r="H83" i="50"/>
  <c r="H90" i="50" s="1"/>
  <c r="L83" i="50"/>
  <c r="L90" i="50" s="1"/>
  <c r="X83" i="50"/>
  <c r="X90" i="50" s="1"/>
  <c r="AB83" i="50"/>
  <c r="AB90" i="50" s="1"/>
  <c r="AF83" i="50"/>
  <c r="AF90" i="50" s="1"/>
  <c r="AJ83" i="50"/>
  <c r="AJ90" i="50" s="1"/>
  <c r="AN83" i="50"/>
  <c r="AN90" i="50" s="1"/>
  <c r="AR83" i="50"/>
  <c r="AR90" i="50" s="1"/>
  <c r="AI68" i="50"/>
  <c r="AU45" i="50"/>
  <c r="AU38" i="50"/>
  <c r="Q83" i="50"/>
  <c r="Q90" i="50" s="1"/>
  <c r="Q68" i="50"/>
  <c r="U68" i="50"/>
  <c r="U83" i="50"/>
  <c r="AS90" i="50"/>
  <c r="AS89" i="50"/>
  <c r="K89" i="50"/>
  <c r="W89" i="50"/>
  <c r="AA89" i="50"/>
  <c r="AE89" i="50"/>
  <c r="AI89" i="50"/>
  <c r="AM89" i="50"/>
  <c r="AQ89" i="50"/>
  <c r="H89" i="50"/>
  <c r="P89" i="50"/>
  <c r="T89" i="50"/>
  <c r="X89" i="50"/>
  <c r="AB89" i="50"/>
  <c r="AJ89" i="50"/>
  <c r="M68" i="50"/>
  <c r="M83" i="50"/>
  <c r="M90" i="50" s="1"/>
  <c r="S68" i="50"/>
  <c r="S83" i="50"/>
  <c r="S90" i="50" s="1"/>
  <c r="I83" i="50"/>
  <c r="I90" i="50" s="1"/>
  <c r="AC83" i="50"/>
  <c r="AO83" i="50"/>
  <c r="H68" i="50"/>
  <c r="L68" i="50"/>
  <c r="P68" i="50"/>
  <c r="T68" i="50"/>
  <c r="X68" i="50"/>
  <c r="AB68" i="50"/>
  <c r="AF68" i="50"/>
  <c r="AJ68" i="50"/>
  <c r="AN68" i="50"/>
  <c r="AR68" i="50"/>
  <c r="J83" i="50"/>
  <c r="J90" i="50" s="1"/>
  <c r="N83" i="50"/>
  <c r="N90" i="50" s="1"/>
  <c r="R83" i="50"/>
  <c r="R90" i="50" s="1"/>
  <c r="V83" i="50"/>
  <c r="V90" i="50" s="1"/>
  <c r="Z83" i="50"/>
  <c r="Z90" i="50" s="1"/>
  <c r="AD83" i="50"/>
  <c r="AD90" i="50" s="1"/>
  <c r="AH83" i="50"/>
  <c r="AH90" i="50" s="1"/>
  <c r="AL83" i="50"/>
  <c r="AL90" i="50" s="1"/>
  <c r="AP83" i="50"/>
  <c r="AP90" i="50" s="1"/>
  <c r="AT83" i="50"/>
  <c r="AT90" i="50" s="1"/>
  <c r="AE90" i="50"/>
  <c r="AU47" i="50"/>
  <c r="Y83" i="50"/>
  <c r="AK83" i="50"/>
  <c r="AG80" i="50"/>
  <c r="AS80" i="50"/>
  <c r="AU22" i="49"/>
  <c r="AT22" i="49"/>
  <c r="AS22" i="49"/>
  <c r="AR22" i="49"/>
  <c r="AQ22" i="49"/>
  <c r="AP22" i="49"/>
  <c r="AU8" i="49"/>
  <c r="AT8" i="49"/>
  <c r="AS8" i="49"/>
  <c r="AR8" i="49"/>
  <c r="AQ8" i="49"/>
  <c r="AP8" i="49"/>
  <c r="AP6" i="49" l="1"/>
  <c r="AT6" i="49"/>
  <c r="AU48" i="50"/>
  <c r="AU42" i="50"/>
  <c r="AR89" i="50"/>
  <c r="AU6" i="49"/>
  <c r="AG89" i="50"/>
  <c r="AN89" i="50"/>
  <c r="AQ6" i="49"/>
  <c r="N89" i="50"/>
  <c r="Q89" i="50"/>
  <c r="L89" i="50"/>
  <c r="AP89" i="50"/>
  <c r="AL89" i="50"/>
  <c r="AR6" i="49"/>
  <c r="AS6" i="49"/>
  <c r="AK90" i="50"/>
  <c r="AK89" i="50"/>
  <c r="AO90" i="50"/>
  <c r="AO89" i="50"/>
  <c r="S89" i="50"/>
  <c r="AD89" i="50"/>
  <c r="AH89" i="50"/>
  <c r="Y90" i="50"/>
  <c r="Y89" i="50"/>
  <c r="AC90" i="50"/>
  <c r="AC89" i="50"/>
  <c r="V89" i="50"/>
  <c r="M89" i="50"/>
  <c r="Z89" i="50"/>
  <c r="U90" i="50"/>
  <c r="U89" i="50"/>
  <c r="AT89" i="50"/>
  <c r="J89" i="50"/>
  <c r="I89" i="50"/>
  <c r="R89" i="50"/>
  <c r="AU16" i="47"/>
  <c r="AU19" i="47"/>
  <c r="AT24" i="47"/>
  <c r="AS24" i="47"/>
  <c r="AR24" i="47"/>
  <c r="AQ24" i="47"/>
  <c r="AP24" i="47"/>
  <c r="AO24" i="47"/>
  <c r="AN24" i="47"/>
  <c r="AM24" i="47"/>
  <c r="AL24" i="47"/>
  <c r="AK24" i="47"/>
  <c r="AJ24" i="47"/>
  <c r="AI24" i="47"/>
  <c r="AH24" i="47"/>
  <c r="AG24" i="47"/>
  <c r="AF24" i="47"/>
  <c r="AE24" i="47"/>
  <c r="AD24" i="47"/>
  <c r="AC24" i="47"/>
  <c r="AB24" i="47"/>
  <c r="AA24" i="47"/>
  <c r="Z24" i="47"/>
  <c r="Y24" i="47"/>
  <c r="X24" i="47"/>
  <c r="W24" i="47"/>
  <c r="V24" i="47"/>
  <c r="U24" i="47"/>
  <c r="T24" i="47"/>
  <c r="S24" i="47"/>
  <c r="R24" i="47"/>
  <c r="Q24" i="47"/>
  <c r="P24" i="47"/>
  <c r="O24" i="47"/>
  <c r="N24" i="47"/>
  <c r="M24" i="47"/>
  <c r="L24" i="47"/>
  <c r="K24" i="47"/>
  <c r="J24" i="47"/>
  <c r="I24" i="47"/>
  <c r="H24" i="47"/>
  <c r="G24" i="47"/>
  <c r="F24" i="47"/>
  <c r="E24" i="47"/>
  <c r="D24" i="47"/>
  <c r="C24" i="47"/>
  <c r="AT21" i="47"/>
  <c r="AS21" i="47"/>
  <c r="AS26" i="47" s="1"/>
  <c r="AR21" i="47"/>
  <c r="AR26" i="47" s="1"/>
  <c r="AQ21" i="47"/>
  <c r="AQ26" i="47" s="1"/>
  <c r="AP21" i="47"/>
  <c r="AO21" i="47"/>
  <c r="AO26" i="47" s="1"/>
  <c r="AN21" i="47"/>
  <c r="AN26" i="47" s="1"/>
  <c r="AM21" i="47"/>
  <c r="AM26" i="47" s="1"/>
  <c r="AL21" i="47"/>
  <c r="AL26" i="47" s="1"/>
  <c r="AK21" i="47"/>
  <c r="AK26" i="47" s="1"/>
  <c r="AJ21" i="47"/>
  <c r="AJ26" i="47" s="1"/>
  <c r="AI21" i="47"/>
  <c r="AI26" i="47" s="1"/>
  <c r="AH21" i="47"/>
  <c r="AH26" i="47" s="1"/>
  <c r="AG21" i="47"/>
  <c r="AG26" i="47" s="1"/>
  <c r="AF21" i="47"/>
  <c r="AF26" i="47" s="1"/>
  <c r="AE21" i="47"/>
  <c r="AE26" i="47" s="1"/>
  <c r="AD21" i="47"/>
  <c r="AD26" i="47" s="1"/>
  <c r="AC21" i="47"/>
  <c r="AC26" i="47" s="1"/>
  <c r="AB21" i="47"/>
  <c r="AB26" i="47" s="1"/>
  <c r="AA21" i="47"/>
  <c r="AA26" i="47" s="1"/>
  <c r="Z21" i="47"/>
  <c r="Z26" i="47" s="1"/>
  <c r="Y21" i="47"/>
  <c r="Y26" i="47" s="1"/>
  <c r="X21" i="47"/>
  <c r="X26" i="47" s="1"/>
  <c r="W21" i="47"/>
  <c r="W26" i="47" s="1"/>
  <c r="V21" i="47"/>
  <c r="V26" i="47" s="1"/>
  <c r="U21" i="47"/>
  <c r="U26" i="47" s="1"/>
  <c r="T21" i="47"/>
  <c r="T26" i="47" s="1"/>
  <c r="S21" i="47"/>
  <c r="S26" i="47" s="1"/>
  <c r="R21" i="47"/>
  <c r="R26" i="47" s="1"/>
  <c r="Q21" i="47"/>
  <c r="Q26" i="47" s="1"/>
  <c r="P21" i="47"/>
  <c r="P26" i="47" s="1"/>
  <c r="O21" i="47"/>
  <c r="O26" i="47" s="1"/>
  <c r="N21" i="47"/>
  <c r="N26" i="47" s="1"/>
  <c r="M21" i="47"/>
  <c r="M26" i="47" s="1"/>
  <c r="L21" i="47"/>
  <c r="L26" i="47" s="1"/>
  <c r="K21" i="47"/>
  <c r="K26" i="47" s="1"/>
  <c r="J21" i="47"/>
  <c r="J26" i="47" s="1"/>
  <c r="I21" i="47"/>
  <c r="I26" i="47" s="1"/>
  <c r="H21" i="47"/>
  <c r="H26" i="47" s="1"/>
  <c r="G21" i="47"/>
  <c r="G26" i="47" s="1"/>
  <c r="F21" i="47"/>
  <c r="F26" i="47" s="1"/>
  <c r="E21" i="47"/>
  <c r="E26" i="47" s="1"/>
  <c r="D21" i="47"/>
  <c r="D26" i="47" s="1"/>
  <c r="C21" i="47"/>
  <c r="C26" i="47" s="1"/>
  <c r="AP26" i="47" l="1"/>
  <c r="AT26" i="47"/>
  <c r="AU26" i="47"/>
  <c r="AU82" i="46"/>
  <c r="AT82" i="46"/>
  <c r="AS82" i="46"/>
  <c r="AR82" i="46"/>
  <c r="AQ82" i="46"/>
  <c r="AP82" i="46"/>
  <c r="AU81" i="46"/>
  <c r="AT81" i="46"/>
  <c r="AS81" i="46"/>
  <c r="AR81" i="46"/>
  <c r="AQ81" i="46"/>
  <c r="AP81" i="46"/>
  <c r="AU80" i="46"/>
  <c r="AT80" i="46"/>
  <c r="AS80" i="46"/>
  <c r="AR80" i="46"/>
  <c r="AQ80" i="46"/>
  <c r="AP80" i="46"/>
  <c r="AU79" i="46"/>
  <c r="AT79" i="46"/>
  <c r="AS79" i="46"/>
  <c r="AR79" i="46"/>
  <c r="AQ79" i="46"/>
  <c r="AP79" i="46"/>
  <c r="AU77" i="46"/>
  <c r="AT77" i="46"/>
  <c r="AS77" i="46"/>
  <c r="AR77" i="46"/>
  <c r="AQ77" i="46"/>
  <c r="AP77" i="46"/>
  <c r="AU76" i="46"/>
  <c r="AT76" i="46"/>
  <c r="AS76" i="46"/>
  <c r="AR76" i="46"/>
  <c r="AQ76" i="46"/>
  <c r="AP76" i="46"/>
  <c r="AU75" i="46"/>
  <c r="AT75" i="46"/>
  <c r="AS75" i="46"/>
  <c r="AR75" i="46"/>
  <c r="AQ75" i="46"/>
  <c r="AP75" i="46"/>
  <c r="AU74" i="46"/>
  <c r="AT74" i="46"/>
  <c r="AS74" i="46"/>
  <c r="AR74" i="46"/>
  <c r="AQ74" i="46"/>
  <c r="AP74" i="46"/>
  <c r="AU72" i="46"/>
  <c r="AT72" i="46"/>
  <c r="AS72" i="46"/>
  <c r="AR72" i="46"/>
  <c r="AQ72" i="46"/>
  <c r="AP72" i="46"/>
  <c r="AU71" i="46"/>
  <c r="AU17" i="24" s="1"/>
  <c r="AT71" i="46"/>
  <c r="AT17" i="24" s="1"/>
  <c r="AS71" i="46"/>
  <c r="AS17" i="24" s="1"/>
  <c r="AR71" i="46"/>
  <c r="AR17" i="24" s="1"/>
  <c r="AQ71" i="46"/>
  <c r="AQ17" i="24" s="1"/>
  <c r="AP71" i="46"/>
  <c r="AP17" i="24" s="1"/>
  <c r="AU70" i="46"/>
  <c r="AT70" i="46"/>
  <c r="AS70" i="46"/>
  <c r="AR70" i="46"/>
  <c r="AR16" i="24" s="1"/>
  <c r="AQ70" i="46"/>
  <c r="AP70" i="46"/>
  <c r="AU69" i="46"/>
  <c r="AT69" i="46"/>
  <c r="AS69" i="46"/>
  <c r="AR69" i="46"/>
  <c r="AQ69" i="46"/>
  <c r="AP69" i="46"/>
  <c r="AU68" i="46"/>
  <c r="AT68" i="46"/>
  <c r="AS68" i="46"/>
  <c r="AR68" i="46"/>
  <c r="AQ68" i="46"/>
  <c r="AP68" i="46"/>
  <c r="AU65" i="46"/>
  <c r="AT65" i="46"/>
  <c r="AS65" i="46"/>
  <c r="AR65" i="46"/>
  <c r="AQ65" i="46"/>
  <c r="AP65" i="46"/>
  <c r="AU64" i="46"/>
  <c r="AT64" i="46"/>
  <c r="AS64" i="46"/>
  <c r="AR64" i="46"/>
  <c r="AQ64" i="46"/>
  <c r="AP64" i="46"/>
  <c r="AU63" i="46"/>
  <c r="AT63" i="46"/>
  <c r="AS63" i="46"/>
  <c r="AR63" i="46"/>
  <c r="AQ63" i="46"/>
  <c r="AP63" i="46"/>
  <c r="AU30" i="46"/>
  <c r="AT30" i="46"/>
  <c r="AS30" i="46"/>
  <c r="AR30" i="46"/>
  <c r="AQ30" i="46"/>
  <c r="AU14" i="46"/>
  <c r="AT14" i="46"/>
  <c r="AS14" i="46"/>
  <c r="AR14" i="46"/>
  <c r="AQ14" i="46"/>
  <c r="AP14" i="46"/>
  <c r="AG45" i="44"/>
  <c r="AU41" i="44"/>
  <c r="AT41" i="44"/>
  <c r="AS41" i="44"/>
  <c r="AR41" i="44"/>
  <c r="AQ41" i="44"/>
  <c r="AP41" i="44"/>
  <c r="AO41" i="44"/>
  <c r="AO45" i="44" s="1"/>
  <c r="AO47" i="44" s="1"/>
  <c r="AN41" i="44"/>
  <c r="AN45" i="44" s="1"/>
  <c r="AM41" i="44"/>
  <c r="AM45" i="44" s="1"/>
  <c r="AL41" i="44"/>
  <c r="AL45" i="44" s="1"/>
  <c r="AK41" i="44"/>
  <c r="AK45" i="44" s="1"/>
  <c r="AJ41" i="44"/>
  <c r="AJ45" i="44" s="1"/>
  <c r="AI41" i="44"/>
  <c r="AI45" i="44" s="1"/>
  <c r="AH41" i="44"/>
  <c r="AH45" i="44" s="1"/>
  <c r="AG41" i="44"/>
  <c r="AF41" i="44"/>
  <c r="AF45" i="44" s="1"/>
  <c r="AE41" i="44"/>
  <c r="AE45" i="44" s="1"/>
  <c r="AD41" i="44"/>
  <c r="AD45" i="44" s="1"/>
  <c r="AC41" i="44"/>
  <c r="AC45" i="44" s="1"/>
  <c r="AB41" i="44"/>
  <c r="AB45" i="44" s="1"/>
  <c r="AA41" i="44"/>
  <c r="AA45" i="44" s="1"/>
  <c r="Z41" i="44"/>
  <c r="Z45" i="44" s="1"/>
  <c r="Y41" i="44"/>
  <c r="Y45" i="44" s="1"/>
  <c r="Y47" i="44" s="1"/>
  <c r="X41" i="44"/>
  <c r="X45" i="44" s="1"/>
  <c r="W41" i="44"/>
  <c r="W45" i="44" s="1"/>
  <c r="V41" i="44"/>
  <c r="V45" i="44" s="1"/>
  <c r="U41" i="44"/>
  <c r="U45" i="44" s="1"/>
  <c r="T41" i="44"/>
  <c r="T45" i="44" s="1"/>
  <c r="S41" i="44"/>
  <c r="S45" i="44" s="1"/>
  <c r="R41" i="44"/>
  <c r="R45" i="44" s="1"/>
  <c r="Q41" i="44"/>
  <c r="Q45" i="44" s="1"/>
  <c r="P41" i="44"/>
  <c r="P45" i="44" s="1"/>
  <c r="O41" i="44"/>
  <c r="O45" i="44" s="1"/>
  <c r="N41" i="44"/>
  <c r="N45" i="44" s="1"/>
  <c r="M41" i="44"/>
  <c r="M45" i="44" s="1"/>
  <c r="L41" i="44"/>
  <c r="L45" i="44" s="1"/>
  <c r="K41" i="44"/>
  <c r="K45" i="44" s="1"/>
  <c r="J41" i="44"/>
  <c r="J45" i="44" s="1"/>
  <c r="I41" i="44"/>
  <c r="I45" i="44" s="1"/>
  <c r="I47" i="44" s="1"/>
  <c r="H41" i="44"/>
  <c r="H45" i="44" s="1"/>
  <c r="G41" i="44"/>
  <c r="G45" i="44" s="1"/>
  <c r="F41" i="44"/>
  <c r="F45" i="44" s="1"/>
  <c r="C41" i="44"/>
  <c r="C45" i="44" s="1"/>
  <c r="E38" i="44"/>
  <c r="E41" i="44" s="1"/>
  <c r="E45" i="44" s="1"/>
  <c r="D38" i="44"/>
  <c r="D41" i="44" s="1"/>
  <c r="D45" i="44" s="1"/>
  <c r="D47" i="44" s="1"/>
  <c r="C38" i="44"/>
  <c r="AU35" i="44"/>
  <c r="AT35" i="44"/>
  <c r="AS35" i="44"/>
  <c r="AR35" i="44"/>
  <c r="AQ35" i="44"/>
  <c r="AP35" i="44"/>
  <c r="AO35" i="44"/>
  <c r="AN35" i="44"/>
  <c r="AM35" i="44"/>
  <c r="AL35" i="44"/>
  <c r="AK35" i="44"/>
  <c r="AJ35" i="44"/>
  <c r="AI35" i="44"/>
  <c r="AH35" i="44"/>
  <c r="AG35" i="44"/>
  <c r="AF35" i="44"/>
  <c r="AE35" i="44"/>
  <c r="AD35" i="44"/>
  <c r="AC35" i="44"/>
  <c r="AB35" i="44"/>
  <c r="AA35" i="44"/>
  <c r="Z35" i="44"/>
  <c r="Y35" i="44"/>
  <c r="X35" i="44"/>
  <c r="W35" i="44"/>
  <c r="V35" i="44"/>
  <c r="U35" i="44"/>
  <c r="T35" i="44"/>
  <c r="S35" i="44"/>
  <c r="R35" i="44"/>
  <c r="Q35" i="44"/>
  <c r="P35" i="44"/>
  <c r="O35" i="44"/>
  <c r="N35" i="44"/>
  <c r="M35" i="44"/>
  <c r="L35" i="44"/>
  <c r="K35" i="44"/>
  <c r="J35" i="44"/>
  <c r="I35" i="44"/>
  <c r="H35" i="44"/>
  <c r="G35" i="44"/>
  <c r="F35" i="44"/>
  <c r="E35" i="44"/>
  <c r="D35" i="44"/>
  <c r="C35" i="44"/>
  <c r="C47" i="44" s="1"/>
  <c r="AU20" i="44"/>
  <c r="AU13" i="24" s="1"/>
  <c r="AT20" i="44"/>
  <c r="AT13" i="24" s="1"/>
  <c r="AS20" i="44"/>
  <c r="AS13" i="24" s="1"/>
  <c r="AR20" i="44"/>
  <c r="AR13" i="24" s="1"/>
  <c r="AQ20" i="44"/>
  <c r="AQ13" i="24" s="1"/>
  <c r="AP20" i="44"/>
  <c r="AP13" i="24" s="1"/>
  <c r="AO20" i="44"/>
  <c r="AO13" i="24" s="1"/>
  <c r="AN20" i="44"/>
  <c r="AN13" i="24" s="1"/>
  <c r="AM20" i="44"/>
  <c r="AM13" i="24" s="1"/>
  <c r="AL20" i="44"/>
  <c r="AL13" i="24" s="1"/>
  <c r="AK20" i="44"/>
  <c r="AK13" i="24" s="1"/>
  <c r="AJ20" i="44"/>
  <c r="AJ13" i="24" s="1"/>
  <c r="AI20" i="44"/>
  <c r="AI13" i="24" s="1"/>
  <c r="AH20" i="44"/>
  <c r="AH13" i="24" s="1"/>
  <c r="AG20" i="44"/>
  <c r="AG13" i="24" s="1"/>
  <c r="AF20" i="44"/>
  <c r="AF13" i="24" s="1"/>
  <c r="AE20" i="44"/>
  <c r="AE13" i="24" s="1"/>
  <c r="AD20" i="44"/>
  <c r="AD13" i="24" s="1"/>
  <c r="AC20" i="44"/>
  <c r="AC13" i="24" s="1"/>
  <c r="AB20" i="44"/>
  <c r="AB13" i="24" s="1"/>
  <c r="AA20" i="44"/>
  <c r="AA13" i="24" s="1"/>
  <c r="Z20" i="44"/>
  <c r="Z13" i="24" s="1"/>
  <c r="Y20" i="44"/>
  <c r="Y13" i="24" s="1"/>
  <c r="X20" i="44"/>
  <c r="X13" i="24" s="1"/>
  <c r="W20" i="44"/>
  <c r="W13" i="24" s="1"/>
  <c r="V20" i="44"/>
  <c r="V13" i="24" s="1"/>
  <c r="U20" i="44"/>
  <c r="U13" i="24" s="1"/>
  <c r="T20" i="44"/>
  <c r="T13" i="24" s="1"/>
  <c r="S20" i="44"/>
  <c r="S13" i="24" s="1"/>
  <c r="R20" i="44"/>
  <c r="R13" i="24" s="1"/>
  <c r="Q20" i="44"/>
  <c r="Q13" i="24" s="1"/>
  <c r="P20" i="44"/>
  <c r="P13" i="24" s="1"/>
  <c r="O20" i="44"/>
  <c r="O13" i="24" s="1"/>
  <c r="N20" i="44"/>
  <c r="N13" i="24" s="1"/>
  <c r="M20" i="44"/>
  <c r="M13" i="24" s="1"/>
  <c r="L20" i="44"/>
  <c r="L13" i="24" s="1"/>
  <c r="K20" i="44"/>
  <c r="K13" i="24" s="1"/>
  <c r="J20" i="44"/>
  <c r="J13" i="24" s="1"/>
  <c r="I20" i="44"/>
  <c r="I13" i="24" s="1"/>
  <c r="H20" i="44"/>
  <c r="H13" i="24" s="1"/>
  <c r="G20" i="44"/>
  <c r="G13" i="24" s="1"/>
  <c r="F20" i="44"/>
  <c r="F13" i="24" s="1"/>
  <c r="E20" i="44"/>
  <c r="E13" i="24" s="1"/>
  <c r="D20" i="44"/>
  <c r="D13" i="24" s="1"/>
  <c r="C20" i="44"/>
  <c r="C13" i="24" s="1"/>
  <c r="AU58" i="41"/>
  <c r="AS16" i="24" l="1"/>
  <c r="AU73" i="46"/>
  <c r="AQ78" i="46"/>
  <c r="AP67" i="46"/>
  <c r="AP16" i="24"/>
  <c r="AT16" i="24"/>
  <c r="AR73" i="46"/>
  <c r="AR78" i="46"/>
  <c r="AT73" i="46"/>
  <c r="AQ16" i="24"/>
  <c r="AU16" i="24"/>
  <c r="AU78" i="46"/>
  <c r="AS78" i="46"/>
  <c r="AQ45" i="44"/>
  <c r="AQ19" i="24"/>
  <c r="AU45" i="44"/>
  <c r="AU47" i="44" s="1"/>
  <c r="AU19" i="24"/>
  <c r="AU38" i="24" s="1"/>
  <c r="AU39" i="24" s="1"/>
  <c r="AR45" i="44"/>
  <c r="AR47" i="44" s="1"/>
  <c r="AR19" i="24"/>
  <c r="AS45" i="44"/>
  <c r="AS47" i="44" s="1"/>
  <c r="AS19" i="24"/>
  <c r="AP45" i="44"/>
  <c r="AP47" i="44" s="1"/>
  <c r="AP19" i="24"/>
  <c r="AT45" i="44"/>
  <c r="AT47" i="44" s="1"/>
  <c r="AT19" i="24"/>
  <c r="H47" i="44"/>
  <c r="L47" i="44"/>
  <c r="P47" i="44"/>
  <c r="T47" i="44"/>
  <c r="X47" i="44"/>
  <c r="AB47" i="44"/>
  <c r="AF47" i="44"/>
  <c r="AJ47" i="44"/>
  <c r="AN47" i="44"/>
  <c r="M47" i="44"/>
  <c r="U47" i="44"/>
  <c r="AC47" i="44"/>
  <c r="AK47" i="44"/>
  <c r="Q47" i="44"/>
  <c r="AG47" i="44"/>
  <c r="AP12" i="46"/>
  <c r="AT12" i="46"/>
  <c r="AR67" i="46"/>
  <c r="AT67" i="46"/>
  <c r="E47" i="44"/>
  <c r="AQ12" i="46"/>
  <c r="AQ36" i="46"/>
  <c r="AR12" i="46"/>
  <c r="AR36" i="46"/>
  <c r="AR62" i="46"/>
  <c r="AS73" i="46"/>
  <c r="AS62" i="46"/>
  <c r="AP62" i="46"/>
  <c r="AT62" i="46"/>
  <c r="AP73" i="46"/>
  <c r="AP36" i="46"/>
  <c r="AT36" i="46"/>
  <c r="AQ67" i="46"/>
  <c r="AP78" i="46"/>
  <c r="AT78" i="46"/>
  <c r="AU36" i="46"/>
  <c r="AQ73" i="46"/>
  <c r="AU67" i="46"/>
  <c r="AU66" i="46" s="1"/>
  <c r="AU15" i="24" s="1"/>
  <c r="AU12" i="46"/>
  <c r="AS12" i="46"/>
  <c r="AS36" i="46"/>
  <c r="AQ62" i="46"/>
  <c r="AQ60" i="46" s="1"/>
  <c r="AQ5" i="46" s="1"/>
  <c r="AQ7" i="46" s="1"/>
  <c r="AU62" i="46"/>
  <c r="AU60" i="46" s="1"/>
  <c r="AU5" i="46" s="1"/>
  <c r="AU7" i="46" s="1"/>
  <c r="AS67" i="46"/>
  <c r="F47" i="44"/>
  <c r="J47" i="44"/>
  <c r="N47" i="44"/>
  <c r="R47" i="44"/>
  <c r="V47" i="44"/>
  <c r="Z47" i="44"/>
  <c r="AD47" i="44"/>
  <c r="AH47" i="44"/>
  <c r="AL47" i="44"/>
  <c r="G47" i="44"/>
  <c r="K47" i="44"/>
  <c r="O47" i="44"/>
  <c r="S47" i="44"/>
  <c r="W47" i="44"/>
  <c r="AA47" i="44"/>
  <c r="AE47" i="44"/>
  <c r="AI47" i="44"/>
  <c r="AM47" i="44"/>
  <c r="AQ47" i="44"/>
  <c r="AU57" i="41"/>
  <c r="AR66" i="46" l="1"/>
  <c r="AR15" i="24" s="1"/>
  <c r="AS60" i="46"/>
  <c r="AS5" i="46" s="1"/>
  <c r="AS7" i="46" s="1"/>
  <c r="AP66" i="46"/>
  <c r="AP15" i="24" s="1"/>
  <c r="AR60" i="46"/>
  <c r="AR5" i="46" s="1"/>
  <c r="AR7" i="46" s="1"/>
  <c r="AT66" i="46"/>
  <c r="AT15" i="24" s="1"/>
  <c r="AQ66" i="46"/>
  <c r="AQ15" i="24" s="1"/>
  <c r="AS66" i="46"/>
  <c r="AS15" i="24" s="1"/>
  <c r="AP60" i="46"/>
  <c r="AP5" i="46" s="1"/>
  <c r="AP7" i="46" s="1"/>
  <c r="AT60" i="46"/>
  <c r="AT5" i="46" s="1"/>
  <c r="AT7" i="46" s="1"/>
  <c r="V56" i="41"/>
  <c r="AU18" i="41"/>
  <c r="AU17" i="41" s="1"/>
  <c r="AP14" i="41"/>
  <c r="AO14" i="41"/>
  <c r="AN14" i="41"/>
  <c r="AM14" i="41"/>
  <c r="AL14" i="41"/>
  <c r="AK14" i="41"/>
  <c r="AJ14" i="41"/>
  <c r="AI14" i="41"/>
  <c r="AH14" i="41"/>
  <c r="AG14" i="41"/>
  <c r="AF14" i="41"/>
  <c r="AE14" i="41"/>
  <c r="AD14" i="41"/>
  <c r="AC14" i="41"/>
  <c r="AB14" i="41"/>
  <c r="AA14" i="41"/>
  <c r="Z14" i="41"/>
  <c r="Y14" i="41"/>
  <c r="X14" i="41"/>
  <c r="W14" i="41"/>
  <c r="V14" i="41"/>
  <c r="U14" i="41"/>
  <c r="T14" i="41"/>
  <c r="S14" i="41"/>
  <c r="R14" i="41"/>
  <c r="Q14" i="41"/>
  <c r="P14" i="41"/>
  <c r="O14" i="41"/>
  <c r="N14" i="41"/>
  <c r="M14" i="41"/>
  <c r="L14" i="41"/>
  <c r="K14" i="41"/>
  <c r="J14" i="41"/>
  <c r="I14" i="41"/>
  <c r="H14" i="41"/>
  <c r="G14" i="41"/>
  <c r="F14" i="41"/>
  <c r="E14" i="41"/>
  <c r="D14" i="41"/>
  <c r="C14" i="41"/>
  <c r="AT14" i="41"/>
  <c r="AS14" i="41"/>
  <c r="AR14" i="41"/>
  <c r="AQ14" i="41"/>
  <c r="AU14" i="41"/>
  <c r="AU56" i="41"/>
  <c r="AU53" i="41" l="1"/>
  <c r="AU52" i="41"/>
  <c r="AU51" i="41" s="1"/>
  <c r="AU21" i="24" s="1"/>
  <c r="S5" i="43" l="1"/>
  <c r="T5" i="43"/>
  <c r="U5" i="43"/>
  <c r="V5" i="43"/>
  <c r="W5" i="43"/>
  <c r="X5" i="43"/>
  <c r="Y5" i="43"/>
  <c r="Z5" i="43"/>
  <c r="AA5" i="43"/>
  <c r="AB5" i="43"/>
  <c r="AC5" i="43"/>
  <c r="AD5" i="43"/>
  <c r="AE5" i="43"/>
  <c r="AF5" i="43"/>
  <c r="AG5" i="43"/>
  <c r="AH5" i="43"/>
  <c r="AI5" i="43"/>
  <c r="AJ5" i="43"/>
  <c r="AK5" i="43"/>
  <c r="AL5" i="43"/>
  <c r="AM5" i="43"/>
  <c r="AN5" i="43"/>
  <c r="AO5" i="43"/>
  <c r="AU26" i="30" l="1"/>
  <c r="AU18" i="28"/>
  <c r="AU26" i="28"/>
  <c r="AU12" i="25"/>
  <c r="AU9" i="25"/>
  <c r="AU18" i="25" l="1"/>
  <c r="AU24" i="25" s="1"/>
  <c r="AU28" i="28"/>
  <c r="AU6" i="24" l="1"/>
  <c r="AU26" i="25"/>
  <c r="AU27" i="25" s="1"/>
  <c r="AU10" i="24" s="1"/>
  <c r="AU40" i="24" s="1"/>
  <c r="AU28" i="30"/>
  <c r="AV33" i="24" l="1"/>
  <c r="AW33" i="24"/>
  <c r="AU32" i="24"/>
  <c r="AU33" i="24"/>
  <c r="AU9" i="24"/>
  <c r="AU18" i="29"/>
  <c r="AU22" i="29" s="1"/>
  <c r="AO16" i="26"/>
  <c r="AN16" i="26"/>
  <c r="AO15" i="26"/>
  <c r="AL15" i="26"/>
  <c r="AO10" i="26"/>
  <c r="AN10" i="26"/>
  <c r="AM10" i="26"/>
  <c r="AL10" i="26"/>
  <c r="AK10" i="26"/>
  <c r="AJ10" i="26"/>
  <c r="AI10" i="26"/>
  <c r="AI14" i="26" s="1"/>
  <c r="AI17" i="26" s="1"/>
  <c r="AH10" i="26"/>
  <c r="AG10" i="26"/>
  <c r="AF10" i="26"/>
  <c r="AE10" i="26"/>
  <c r="AD10" i="26"/>
  <c r="AC10" i="26"/>
  <c r="AB10" i="26"/>
  <c r="AA10" i="26"/>
  <c r="AA14" i="26" s="1"/>
  <c r="AA17" i="26" s="1"/>
  <c r="Z10" i="26"/>
  <c r="Y10" i="26"/>
  <c r="X10" i="26"/>
  <c r="W10" i="26"/>
  <c r="V10" i="26"/>
  <c r="U10" i="26"/>
  <c r="T10" i="26"/>
  <c r="S10" i="26"/>
  <c r="S14" i="26" s="1"/>
  <c r="S17" i="26" s="1"/>
  <c r="R10" i="26"/>
  <c r="Q10" i="26"/>
  <c r="P10" i="26"/>
  <c r="O10" i="26"/>
  <c r="N10" i="26"/>
  <c r="M10" i="26"/>
  <c r="L10" i="26"/>
  <c r="K10" i="26"/>
  <c r="J10" i="26"/>
  <c r="I10" i="26"/>
  <c r="H10" i="26"/>
  <c r="G10" i="26"/>
  <c r="F10" i="26"/>
  <c r="E10" i="26"/>
  <c r="D10" i="26"/>
  <c r="C10" i="26"/>
  <c r="AO8" i="26"/>
  <c r="AL8" i="26"/>
  <c r="AL5" i="26" s="1"/>
  <c r="AL14" i="26" s="1"/>
  <c r="AL17" i="26" s="1"/>
  <c r="T8" i="26"/>
  <c r="T5" i="26"/>
  <c r="T14" i="26" s="1"/>
  <c r="T17" i="26" s="1"/>
  <c r="AO7" i="26"/>
  <c r="AN7" i="26"/>
  <c r="AL7" i="26"/>
  <c r="AO6" i="26"/>
  <c r="AO5" i="26" s="1"/>
  <c r="AN6" i="26"/>
  <c r="AN5" i="26" s="1"/>
  <c r="AL6" i="26"/>
  <c r="AP5" i="26"/>
  <c r="AP14" i="26" s="1"/>
  <c r="AP17" i="26" s="1"/>
  <c r="AM5" i="26"/>
  <c r="AK5" i="26"/>
  <c r="AK14" i="26"/>
  <c r="AK17" i="26" s="1"/>
  <c r="AJ5" i="26"/>
  <c r="AI5" i="26"/>
  <c r="AH5" i="26"/>
  <c r="AH14" i="26" s="1"/>
  <c r="AH17" i="26" s="1"/>
  <c r="AG5" i="26"/>
  <c r="AG14" i="26" s="1"/>
  <c r="AG17" i="26" s="1"/>
  <c r="AF5" i="26"/>
  <c r="AF14" i="26" s="1"/>
  <c r="AF17" i="26" s="1"/>
  <c r="AE5" i="26"/>
  <c r="AD5" i="26"/>
  <c r="AD14" i="26" s="1"/>
  <c r="AD17" i="26" s="1"/>
  <c r="AC5" i="26"/>
  <c r="AC14" i="26"/>
  <c r="AC17" i="26" s="1"/>
  <c r="AB5" i="26"/>
  <c r="AA5" i="26"/>
  <c r="Z5" i="26"/>
  <c r="Z14" i="26" s="1"/>
  <c r="Z17" i="26" s="1"/>
  <c r="Y5" i="26"/>
  <c r="Y14" i="26" s="1"/>
  <c r="Y17" i="26" s="1"/>
  <c r="X5" i="26"/>
  <c r="X14" i="26" s="1"/>
  <c r="X17" i="26" s="1"/>
  <c r="W5" i="26"/>
  <c r="V5" i="26"/>
  <c r="V14" i="26" s="1"/>
  <c r="V17" i="26" s="1"/>
  <c r="U5" i="26"/>
  <c r="U14" i="26"/>
  <c r="U17" i="26" s="1"/>
  <c r="S5" i="26"/>
  <c r="R5" i="26"/>
  <c r="R14" i="26" s="1"/>
  <c r="R17" i="26" s="1"/>
  <c r="Q5" i="26"/>
  <c r="Q14" i="26" s="1"/>
  <c r="Q17" i="26" s="1"/>
  <c r="P5" i="26"/>
  <c r="P14" i="26" s="1"/>
  <c r="P17" i="26" s="1"/>
  <c r="O5" i="26"/>
  <c r="N5" i="26"/>
  <c r="N14" i="26" s="1"/>
  <c r="N17" i="26" s="1"/>
  <c r="M5" i="26"/>
  <c r="L5" i="26"/>
  <c r="L14" i="26" s="1"/>
  <c r="L17" i="26" s="1"/>
  <c r="K5" i="26"/>
  <c r="K14" i="26" s="1"/>
  <c r="K17" i="26" s="1"/>
  <c r="J5" i="26"/>
  <c r="J14" i="26" s="1"/>
  <c r="J17" i="26" s="1"/>
  <c r="I5" i="26"/>
  <c r="I14" i="26" s="1"/>
  <c r="I17" i="26" s="1"/>
  <c r="H5" i="26"/>
  <c r="H14" i="26" s="1"/>
  <c r="H17" i="26" s="1"/>
  <c r="G5" i="26"/>
  <c r="F5" i="26"/>
  <c r="F14" i="26"/>
  <c r="F17" i="26" s="1"/>
  <c r="E5" i="26"/>
  <c r="D5" i="26"/>
  <c r="D14" i="26" s="1"/>
  <c r="D17" i="26" s="1"/>
  <c r="C5" i="26"/>
  <c r="AO16" i="42"/>
  <c r="AN16" i="42"/>
  <c r="AO15" i="42"/>
  <c r="AL15" i="42"/>
  <c r="AO13" i="42"/>
  <c r="AO10" i="42"/>
  <c r="AN10" i="42"/>
  <c r="AM10" i="42"/>
  <c r="AL10" i="42"/>
  <c r="AK10" i="42"/>
  <c r="AJ10" i="42"/>
  <c r="AI10" i="42"/>
  <c r="AH10" i="42"/>
  <c r="AG10" i="42"/>
  <c r="AF10" i="42"/>
  <c r="AE10" i="42"/>
  <c r="AD10" i="42"/>
  <c r="AC10" i="42"/>
  <c r="AB10" i="42"/>
  <c r="AA10" i="42"/>
  <c r="Z10" i="42"/>
  <c r="Y10" i="42"/>
  <c r="X10" i="42"/>
  <c r="W10" i="42"/>
  <c r="V10" i="42"/>
  <c r="U10" i="42"/>
  <c r="T10" i="42"/>
  <c r="S10" i="42"/>
  <c r="R10" i="42"/>
  <c r="Q10" i="42"/>
  <c r="P10" i="42"/>
  <c r="O10" i="42"/>
  <c r="N10" i="42"/>
  <c r="M10" i="42"/>
  <c r="L10" i="42"/>
  <c r="K10" i="42"/>
  <c r="J10" i="42"/>
  <c r="I10" i="42"/>
  <c r="H10" i="42"/>
  <c r="G10" i="42"/>
  <c r="F10" i="42"/>
  <c r="E10" i="42"/>
  <c r="D10" i="42"/>
  <c r="C10" i="42"/>
  <c r="AO8" i="42"/>
  <c r="AL8" i="42"/>
  <c r="T8" i="42"/>
  <c r="T5" i="42"/>
  <c r="T14" i="42" s="1"/>
  <c r="T17" i="42" s="1"/>
  <c r="AO7" i="42"/>
  <c r="AO5" i="42" s="1"/>
  <c r="AO14" i="42" s="1"/>
  <c r="AO17" i="42" s="1"/>
  <c r="AN7" i="42"/>
  <c r="AL7" i="42"/>
  <c r="AO6" i="42"/>
  <c r="AN6" i="42"/>
  <c r="AN5" i="42" s="1"/>
  <c r="AN14" i="42" s="1"/>
  <c r="AN17" i="42" s="1"/>
  <c r="AL6" i="42"/>
  <c r="AP5" i="42"/>
  <c r="AP14" i="42" s="1"/>
  <c r="AM5" i="42"/>
  <c r="AM14" i="42" s="1"/>
  <c r="AM17" i="42" s="1"/>
  <c r="AK5" i="42"/>
  <c r="AJ5" i="42"/>
  <c r="AJ14" i="42" s="1"/>
  <c r="AJ17" i="42" s="1"/>
  <c r="AI5" i="42"/>
  <c r="AI14" i="42" s="1"/>
  <c r="AI17" i="42" s="1"/>
  <c r="AH5" i="42"/>
  <c r="AH14" i="42" s="1"/>
  <c r="AH17" i="42" s="1"/>
  <c r="AG5" i="42"/>
  <c r="AG14" i="42" s="1"/>
  <c r="AG17" i="42" s="1"/>
  <c r="AF5" i="42"/>
  <c r="AF14" i="42" s="1"/>
  <c r="AF17" i="42" s="1"/>
  <c r="AE5" i="42"/>
  <c r="AE14" i="42" s="1"/>
  <c r="AE17" i="42" s="1"/>
  <c r="AD5" i="42"/>
  <c r="AD14" i="42" s="1"/>
  <c r="AD17" i="42" s="1"/>
  <c r="AC5" i="42"/>
  <c r="AB5" i="42"/>
  <c r="AB14" i="42" s="1"/>
  <c r="AB17" i="42" s="1"/>
  <c r="AA5" i="42"/>
  <c r="AA14" i="42" s="1"/>
  <c r="AA17" i="42" s="1"/>
  <c r="Z5" i="42"/>
  <c r="Z14" i="42" s="1"/>
  <c r="Z17" i="42" s="1"/>
  <c r="Y5" i="42"/>
  <c r="Y14" i="42" s="1"/>
  <c r="Y17" i="42" s="1"/>
  <c r="X5" i="42"/>
  <c r="X14" i="42" s="1"/>
  <c r="X17" i="42" s="1"/>
  <c r="W5" i="42"/>
  <c r="W14" i="42" s="1"/>
  <c r="W17" i="42" s="1"/>
  <c r="V5" i="42"/>
  <c r="V14" i="42" s="1"/>
  <c r="V17" i="42" s="1"/>
  <c r="U5" i="42"/>
  <c r="S5" i="42"/>
  <c r="S14" i="42" s="1"/>
  <c r="S17" i="42" s="1"/>
  <c r="R5" i="42"/>
  <c r="R14" i="42" s="1"/>
  <c r="R17" i="42" s="1"/>
  <c r="Q5" i="42"/>
  <c r="P5" i="42"/>
  <c r="P14" i="42" s="1"/>
  <c r="P17" i="42" s="1"/>
  <c r="O5" i="42"/>
  <c r="O14" i="42" s="1"/>
  <c r="O17" i="42" s="1"/>
  <c r="N5" i="42"/>
  <c r="N14" i="42" s="1"/>
  <c r="N17" i="42" s="1"/>
  <c r="M5" i="42"/>
  <c r="L5" i="42"/>
  <c r="L14" i="42" s="1"/>
  <c r="L17" i="42" s="1"/>
  <c r="K5" i="42"/>
  <c r="K14" i="42" s="1"/>
  <c r="K17" i="42" s="1"/>
  <c r="J5" i="42"/>
  <c r="J14" i="42" s="1"/>
  <c r="J17" i="42" s="1"/>
  <c r="I5" i="42"/>
  <c r="H5" i="42"/>
  <c r="H14" i="42" s="1"/>
  <c r="H17" i="42" s="1"/>
  <c r="G5" i="42"/>
  <c r="G14" i="42" s="1"/>
  <c r="G17" i="42" s="1"/>
  <c r="F5" i="42"/>
  <c r="F14" i="42" s="1"/>
  <c r="F17" i="42" s="1"/>
  <c r="E5" i="42"/>
  <c r="D5" i="42"/>
  <c r="D14" i="42" s="1"/>
  <c r="D17" i="42" s="1"/>
  <c r="C5" i="42"/>
  <c r="C14" i="42" s="1"/>
  <c r="C17" i="42" s="1"/>
  <c r="AT8" i="24"/>
  <c r="AT47" i="24"/>
  <c r="AT46" i="24"/>
  <c r="AT41" i="24"/>
  <c r="AT57" i="41"/>
  <c r="AT56" i="41" s="1"/>
  <c r="AT18" i="41"/>
  <c r="AT31" i="35"/>
  <c r="AT26" i="35"/>
  <c r="AT24" i="35" s="1"/>
  <c r="AT23" i="35" s="1"/>
  <c r="AT37" i="35"/>
  <c r="AT41" i="35" s="1"/>
  <c r="AT11" i="35" s="1"/>
  <c r="AT29" i="35"/>
  <c r="AT28" i="35" s="1"/>
  <c r="AT15" i="35"/>
  <c r="AT19" i="35" s="1"/>
  <c r="AT9" i="35" s="1"/>
  <c r="AT7" i="35"/>
  <c r="AT86" i="32"/>
  <c r="AT77" i="32"/>
  <c r="AT85" i="32" s="1"/>
  <c r="AT91" i="32" s="1"/>
  <c r="AT26" i="32" s="1"/>
  <c r="AT68" i="32"/>
  <c r="AT62" i="32"/>
  <c r="AT61" i="32"/>
  <c r="AT53" i="32"/>
  <c r="AT45" i="32"/>
  <c r="AT38" i="32"/>
  <c r="AT30" i="32"/>
  <c r="AT37" i="32" s="1"/>
  <c r="AT41" i="32" s="1"/>
  <c r="AT24" i="32" s="1"/>
  <c r="AT7" i="32"/>
  <c r="AT8" i="32"/>
  <c r="AT9" i="32"/>
  <c r="AT11" i="32"/>
  <c r="AT12" i="32"/>
  <c r="AT10" i="32" s="1"/>
  <c r="AT16" i="32"/>
  <c r="AT17" i="32"/>
  <c r="AT18" i="32"/>
  <c r="AT19" i="32"/>
  <c r="AT21" i="32"/>
  <c r="AT22" i="32"/>
  <c r="AT20" i="32"/>
  <c r="AT38" i="24"/>
  <c r="AT39" i="24" s="1"/>
  <c r="AT28" i="30"/>
  <c r="AT26" i="30"/>
  <c r="AT18" i="29"/>
  <c r="AT22" i="29" s="1"/>
  <c r="AT26" i="28"/>
  <c r="AT7" i="24"/>
  <c r="AT12" i="25"/>
  <c r="AT9" i="25"/>
  <c r="AS31" i="35"/>
  <c r="AS26" i="35"/>
  <c r="AS25" i="35"/>
  <c r="AS57" i="41"/>
  <c r="AS56" i="41" s="1"/>
  <c r="AS18" i="41"/>
  <c r="AS52" i="41" s="1"/>
  <c r="AS51" i="41" s="1"/>
  <c r="AS21" i="24" s="1"/>
  <c r="AS41" i="35"/>
  <c r="AS11" i="35" s="1"/>
  <c r="AS37" i="35"/>
  <c r="AS29" i="35"/>
  <c r="AS15" i="35"/>
  <c r="AS19" i="35" s="1"/>
  <c r="AS9" i="35" s="1"/>
  <c r="AS7" i="35"/>
  <c r="AS86" i="32"/>
  <c r="AS77" i="32"/>
  <c r="AS68" i="32"/>
  <c r="AS62" i="32"/>
  <c r="AS53" i="32"/>
  <c r="AS45" i="32"/>
  <c r="AS38" i="32"/>
  <c r="AS30" i="32"/>
  <c r="AS37" i="32" s="1"/>
  <c r="AS16" i="32"/>
  <c r="AS17" i="32"/>
  <c r="AS18" i="32"/>
  <c r="AS19" i="32"/>
  <c r="AS21" i="32"/>
  <c r="AS22" i="32"/>
  <c r="AS7" i="32"/>
  <c r="AS8" i="32"/>
  <c r="AS9" i="32"/>
  <c r="AS11" i="32"/>
  <c r="AS12" i="32"/>
  <c r="AS47" i="24"/>
  <c r="AS46" i="24"/>
  <c r="AR47" i="24"/>
  <c r="AR46" i="24"/>
  <c r="AS8" i="24"/>
  <c r="AR8" i="24"/>
  <c r="AR41" i="24"/>
  <c r="AS28" i="30"/>
  <c r="AS26" i="30"/>
  <c r="AS18" i="29"/>
  <c r="AS22" i="29" s="1"/>
  <c r="AS26" i="28"/>
  <c r="AS28" i="28" s="1"/>
  <c r="AS7" i="24"/>
  <c r="AS12" i="25"/>
  <c r="AS9" i="25"/>
  <c r="AR57" i="41"/>
  <c r="AR56" i="41" s="1"/>
  <c r="AR18" i="41"/>
  <c r="AR52" i="41" s="1"/>
  <c r="AR51" i="41" s="1"/>
  <c r="AR21" i="24" s="1"/>
  <c r="AR31" i="35"/>
  <c r="AR26" i="35"/>
  <c r="AR37" i="35"/>
  <c r="AR41" i="35" s="1"/>
  <c r="AR11" i="35" s="1"/>
  <c r="AR29" i="35"/>
  <c r="AR24" i="35"/>
  <c r="AR23" i="35" s="1"/>
  <c r="AR15" i="35"/>
  <c r="AR19" i="35" s="1"/>
  <c r="AR9" i="35" s="1"/>
  <c r="AR7" i="35"/>
  <c r="AR38" i="32"/>
  <c r="AR22" i="32"/>
  <c r="AR21" i="32"/>
  <c r="AR19" i="32"/>
  <c r="AR18" i="32"/>
  <c r="AR17" i="32"/>
  <c r="AR16" i="32"/>
  <c r="AR12" i="32"/>
  <c r="AR11" i="32"/>
  <c r="AR9" i="32"/>
  <c r="AR8" i="32"/>
  <c r="AR7" i="32"/>
  <c r="AR86" i="32"/>
  <c r="AR77" i="32"/>
  <c r="AR85" i="32" s="1"/>
  <c r="AR68" i="32"/>
  <c r="AR62" i="32"/>
  <c r="AR53" i="32"/>
  <c r="AR45" i="32"/>
  <c r="AR30" i="32"/>
  <c r="AR6" i="32" s="1"/>
  <c r="AR38" i="24"/>
  <c r="AR39" i="24" s="1"/>
  <c r="AQ47" i="24"/>
  <c r="AQ46" i="24"/>
  <c r="AQ8" i="24"/>
  <c r="AQ41" i="24"/>
  <c r="AP12" i="25"/>
  <c r="AO11" i="25"/>
  <c r="AO10" i="25"/>
  <c r="AN11" i="25"/>
  <c r="AN10" i="25"/>
  <c r="AM11" i="25"/>
  <c r="AM10" i="25"/>
  <c r="AL11" i="25"/>
  <c r="AL10" i="25"/>
  <c r="AK11" i="25"/>
  <c r="AK10" i="25"/>
  <c r="AK12" i="25" s="1"/>
  <c r="AK18" i="25" s="1"/>
  <c r="AJ11" i="25"/>
  <c r="AJ10" i="25"/>
  <c r="AI11" i="25"/>
  <c r="AI10" i="25"/>
  <c r="AH11" i="25"/>
  <c r="AH10" i="25"/>
  <c r="AG11" i="25"/>
  <c r="AG10" i="25"/>
  <c r="AF11" i="25"/>
  <c r="AF10" i="25"/>
  <c r="AE11" i="25"/>
  <c r="AE10" i="25"/>
  <c r="AD11" i="25"/>
  <c r="AD10" i="25"/>
  <c r="AC11" i="25"/>
  <c r="AC10" i="25"/>
  <c r="AB11" i="25"/>
  <c r="AB10" i="25"/>
  <c r="AA11" i="25"/>
  <c r="AA10" i="25"/>
  <c r="AA12" i="25" s="1"/>
  <c r="Z11" i="25"/>
  <c r="Z10" i="25"/>
  <c r="Y11" i="25"/>
  <c r="Y10" i="25"/>
  <c r="X11" i="25"/>
  <c r="X10" i="25"/>
  <c r="W11" i="25"/>
  <c r="W10" i="25"/>
  <c r="W12" i="25" s="1"/>
  <c r="W18" i="25" s="1"/>
  <c r="AR7" i="24"/>
  <c r="AQ7" i="24"/>
  <c r="AR12" i="25"/>
  <c r="AR9" i="25"/>
  <c r="AR28" i="30"/>
  <c r="AR26" i="30"/>
  <c r="AR26" i="28"/>
  <c r="AR28" i="28" s="1"/>
  <c r="AR18" i="29"/>
  <c r="AR22" i="29" s="1"/>
  <c r="AP46" i="24"/>
  <c r="AP47" i="24"/>
  <c r="AQ57" i="41"/>
  <c r="AQ56" i="41" s="1"/>
  <c r="AQ18" i="41"/>
  <c r="AQ52" i="41" s="1"/>
  <c r="AQ51" i="41" s="1"/>
  <c r="AQ21" i="24" s="1"/>
  <c r="AQ31" i="35"/>
  <c r="AQ26" i="35"/>
  <c r="AQ24" i="35" s="1"/>
  <c r="AQ23" i="35" s="1"/>
  <c r="AQ37" i="35"/>
  <c r="AQ41" i="35" s="1"/>
  <c r="AQ11" i="35" s="1"/>
  <c r="AQ29" i="35"/>
  <c r="AQ28" i="35" s="1"/>
  <c r="AQ15" i="35"/>
  <c r="AQ19" i="35" s="1"/>
  <c r="AQ9" i="35" s="1"/>
  <c r="AQ7" i="35"/>
  <c r="AQ62" i="32"/>
  <c r="AQ38" i="32"/>
  <c r="AQ30" i="32"/>
  <c r="AQ37" i="32" s="1"/>
  <c r="AQ41" i="32" s="1"/>
  <c r="AQ21" i="32"/>
  <c r="AQ15" i="32"/>
  <c r="AQ10" i="32"/>
  <c r="AQ86" i="32"/>
  <c r="AQ77" i="32"/>
  <c r="AQ85" i="32" s="1"/>
  <c r="AQ68" i="32"/>
  <c r="AQ53" i="32"/>
  <c r="AQ45" i="32"/>
  <c r="AQ5" i="32"/>
  <c r="AQ13" i="32"/>
  <c r="AP8" i="24"/>
  <c r="AP7" i="24"/>
  <c r="AP41" i="24"/>
  <c r="Y15" i="29"/>
  <c r="W20" i="29"/>
  <c r="X20" i="29"/>
  <c r="Y20" i="29"/>
  <c r="Z20" i="29"/>
  <c r="X15" i="29"/>
  <c r="Z15" i="29"/>
  <c r="W15" i="29"/>
  <c r="AD20" i="29"/>
  <c r="AC20" i="29"/>
  <c r="AB20" i="29"/>
  <c r="AA20" i="29"/>
  <c r="AD15" i="29"/>
  <c r="AC15" i="29"/>
  <c r="AB15" i="29"/>
  <c r="AA15" i="29"/>
  <c r="AH20" i="29"/>
  <c r="AG20" i="29"/>
  <c r="AF20" i="29"/>
  <c r="AE20" i="29"/>
  <c r="AH15" i="29"/>
  <c r="AG15" i="29"/>
  <c r="AF15" i="29"/>
  <c r="AE15" i="29"/>
  <c r="AL20" i="29"/>
  <c r="AL15" i="29"/>
  <c r="AK20" i="29"/>
  <c r="AK15" i="29"/>
  <c r="AJ20" i="29"/>
  <c r="AJ15" i="29"/>
  <c r="AI20" i="29"/>
  <c r="AI17" i="29"/>
  <c r="AI15" i="29"/>
  <c r="AO20" i="29"/>
  <c r="AO17" i="29"/>
  <c r="AO15" i="29"/>
  <c r="AN20" i="29"/>
  <c r="AN17" i="29"/>
  <c r="AN15" i="29"/>
  <c r="AM20" i="29"/>
  <c r="AM17" i="29"/>
  <c r="AM15" i="29"/>
  <c r="AQ28" i="30"/>
  <c r="AQ26" i="30"/>
  <c r="AQ18" i="29"/>
  <c r="AQ22" i="29" s="1"/>
  <c r="AQ26" i="28"/>
  <c r="AQ28" i="28" s="1"/>
  <c r="AQ12" i="25"/>
  <c r="AQ9" i="25"/>
  <c r="AO47" i="24"/>
  <c r="AN47" i="24"/>
  <c r="AM47" i="24"/>
  <c r="AL47" i="24"/>
  <c r="AK47" i="24"/>
  <c r="AJ47" i="24"/>
  <c r="AI47" i="24"/>
  <c r="AH47" i="24"/>
  <c r="AO7" i="24"/>
  <c r="AO8" i="24"/>
  <c r="AO46" i="24"/>
  <c r="AO16" i="24"/>
  <c r="AP31" i="35"/>
  <c r="AP29" i="35" s="1"/>
  <c r="AP26" i="35"/>
  <c r="AP18" i="41"/>
  <c r="AP52" i="41" s="1"/>
  <c r="AP51" i="41" s="1"/>
  <c r="AP21" i="24" s="1"/>
  <c r="AO57" i="41"/>
  <c r="AO56" i="41" s="1"/>
  <c r="AO18" i="41"/>
  <c r="AO28" i="41" s="1"/>
  <c r="AO37" i="35"/>
  <c r="AO29" i="35"/>
  <c r="AO28" i="35" s="1"/>
  <c r="AO24" i="35"/>
  <c r="AO23" i="35"/>
  <c r="AO15" i="35"/>
  <c r="AO19" i="35" s="1"/>
  <c r="AO9" i="35" s="1"/>
  <c r="AO7" i="35"/>
  <c r="AP21" i="32"/>
  <c r="AO86" i="32"/>
  <c r="AO77" i="32"/>
  <c r="AO85" i="32" s="1"/>
  <c r="AO68" i="32"/>
  <c r="AO62" i="32"/>
  <c r="AO61" i="32" s="1"/>
  <c r="AO53" i="32"/>
  <c r="AO45" i="32"/>
  <c r="AO38" i="32"/>
  <c r="AO30" i="32"/>
  <c r="AO37" i="32" s="1"/>
  <c r="AO41" i="32" s="1"/>
  <c r="AO22" i="32"/>
  <c r="AO21" i="32"/>
  <c r="AO15" i="32"/>
  <c r="AO10" i="32"/>
  <c r="AO5" i="32"/>
  <c r="AP38" i="24"/>
  <c r="AP39" i="24" s="1"/>
  <c r="AO38" i="24"/>
  <c r="AO39" i="24" s="1"/>
  <c r="AS41" i="24"/>
  <c r="AO41" i="24"/>
  <c r="AP28" i="30"/>
  <c r="AP26" i="30"/>
  <c r="AP18" i="29"/>
  <c r="AP22" i="29" s="1"/>
  <c r="AP26" i="28"/>
  <c r="AP9" i="25"/>
  <c r="AO28" i="30"/>
  <c r="AO33" i="30" s="1"/>
  <c r="AO26" i="30"/>
  <c r="AO26" i="28"/>
  <c r="AO9" i="25"/>
  <c r="AN46" i="24"/>
  <c r="AN57" i="41"/>
  <c r="AN56" i="41" s="1"/>
  <c r="AN18" i="41"/>
  <c r="AN28" i="41" s="1"/>
  <c r="AN52" i="41" s="1"/>
  <c r="AN51" i="41" s="1"/>
  <c r="AN21" i="24" s="1"/>
  <c r="AN37" i="35"/>
  <c r="AN41" i="35" s="1"/>
  <c r="AN11" i="35" s="1"/>
  <c r="AN29" i="35"/>
  <c r="AN24" i="35"/>
  <c r="AN23" i="35" s="1"/>
  <c r="AN15" i="35"/>
  <c r="AN19" i="35" s="1"/>
  <c r="AN9" i="35"/>
  <c r="AN7" i="35"/>
  <c r="AP62" i="32"/>
  <c r="AP5" i="32"/>
  <c r="AN86" i="32"/>
  <c r="AN91" i="32" s="1"/>
  <c r="AN26" i="32" s="1"/>
  <c r="AN77" i="32"/>
  <c r="AN85" i="32" s="1"/>
  <c r="AN68" i="32"/>
  <c r="AN62" i="32"/>
  <c r="AN61" i="32" s="1"/>
  <c r="AN54" i="32"/>
  <c r="AN53" i="32" s="1"/>
  <c r="AN46" i="32"/>
  <c r="AN45" i="32"/>
  <c r="AN38" i="32"/>
  <c r="AN30" i="32"/>
  <c r="AN37" i="32" s="1"/>
  <c r="AN22" i="32"/>
  <c r="AN21" i="32"/>
  <c r="AN19" i="32"/>
  <c r="AN18" i="32"/>
  <c r="AN17" i="32"/>
  <c r="AN16" i="32"/>
  <c r="AN12" i="32"/>
  <c r="AN11" i="32"/>
  <c r="AN9" i="32"/>
  <c r="AN8" i="32"/>
  <c r="AN7" i="32"/>
  <c r="AN38" i="24"/>
  <c r="AN39" i="24" s="1"/>
  <c r="C16" i="36"/>
  <c r="D16" i="36"/>
  <c r="E16" i="36"/>
  <c r="F16" i="36"/>
  <c r="G16" i="36"/>
  <c r="H16" i="36"/>
  <c r="I16" i="36"/>
  <c r="J16" i="36"/>
  <c r="K16" i="36"/>
  <c r="L16" i="36"/>
  <c r="M16" i="36"/>
  <c r="N16" i="36"/>
  <c r="O16" i="36"/>
  <c r="P16" i="36"/>
  <c r="Q16" i="36"/>
  <c r="R16" i="36"/>
  <c r="S16" i="36"/>
  <c r="T16" i="36"/>
  <c r="U16" i="36"/>
  <c r="V16" i="36"/>
  <c r="W16" i="36"/>
  <c r="X16" i="36"/>
  <c r="Y16" i="36"/>
  <c r="Z16" i="36"/>
  <c r="AA16" i="36"/>
  <c r="AB16" i="36"/>
  <c r="AC16" i="36"/>
  <c r="AA59" i="41"/>
  <c r="D54" i="41"/>
  <c r="D51" i="41" s="1"/>
  <c r="R54" i="41"/>
  <c r="R51" i="41" s="1"/>
  <c r="C18" i="41"/>
  <c r="C17" i="41" s="1"/>
  <c r="D18" i="41"/>
  <c r="D17" i="41" s="1"/>
  <c r="E18" i="41"/>
  <c r="E17" i="41" s="1"/>
  <c r="F18" i="41"/>
  <c r="F17" i="41" s="1"/>
  <c r="G18" i="41"/>
  <c r="G17" i="41" s="1"/>
  <c r="H18" i="41"/>
  <c r="I18" i="41"/>
  <c r="J18" i="41"/>
  <c r="J17" i="41" s="1"/>
  <c r="K18" i="41"/>
  <c r="L18" i="41"/>
  <c r="L17" i="41" s="1"/>
  <c r="M18" i="41"/>
  <c r="M17" i="41" s="1"/>
  <c r="N18" i="41"/>
  <c r="N17" i="41" s="1"/>
  <c r="O18" i="41"/>
  <c r="P18" i="41"/>
  <c r="P17" i="41" s="1"/>
  <c r="Q18" i="41"/>
  <c r="Q17" i="41" s="1"/>
  <c r="R18" i="41"/>
  <c r="R17" i="41" s="1"/>
  <c r="S18" i="41"/>
  <c r="T18" i="41"/>
  <c r="T17" i="41" s="1"/>
  <c r="U18" i="41"/>
  <c r="U17" i="41" s="1"/>
  <c r="V18" i="41"/>
  <c r="V28" i="41" s="1"/>
  <c r="V52" i="41" s="1"/>
  <c r="W18" i="41"/>
  <c r="W28" i="41" s="1"/>
  <c r="X18" i="41"/>
  <c r="X28" i="41" s="1"/>
  <c r="X52" i="41" s="1"/>
  <c r="Y18" i="41"/>
  <c r="Z18" i="41"/>
  <c r="Z28" i="41" s="1"/>
  <c r="Z51" i="41" s="1"/>
  <c r="Z21" i="24" s="1"/>
  <c r="AA18" i="41"/>
  <c r="AA28" i="41" s="1"/>
  <c r="AB18" i="41"/>
  <c r="AB28" i="41" s="1"/>
  <c r="AB52" i="41" s="1"/>
  <c r="AB51" i="41" s="1"/>
  <c r="AB21" i="24" s="1"/>
  <c r="AC18" i="41"/>
  <c r="AC28" i="41" s="1"/>
  <c r="AD18" i="41"/>
  <c r="AD28" i="41" s="1"/>
  <c r="AD52" i="41" s="1"/>
  <c r="AD51" i="41" s="1"/>
  <c r="AD21" i="24" s="1"/>
  <c r="AE18" i="41"/>
  <c r="AE28" i="41" s="1"/>
  <c r="AE52" i="41" s="1"/>
  <c r="AE51" i="41" s="1"/>
  <c r="AE21" i="24" s="1"/>
  <c r="AF18" i="41"/>
  <c r="AF28" i="41" s="1"/>
  <c r="AG18" i="41"/>
  <c r="AG28" i="41" s="1"/>
  <c r="AH18" i="41"/>
  <c r="AH28" i="41" s="1"/>
  <c r="AI18" i="41"/>
  <c r="AI28" i="41" s="1"/>
  <c r="AI52" i="41" s="1"/>
  <c r="AI51" i="41" s="1"/>
  <c r="AI21" i="24" s="1"/>
  <c r="AJ18" i="41"/>
  <c r="AJ28" i="41" s="1"/>
  <c r="AK18" i="41"/>
  <c r="AL18" i="41"/>
  <c r="AL28" i="41" s="1"/>
  <c r="AL52" i="41" s="1"/>
  <c r="AL51" i="41" s="1"/>
  <c r="AL21" i="24" s="1"/>
  <c r="AM18" i="41"/>
  <c r="AM28" i="41" s="1"/>
  <c r="AM52" i="41" s="1"/>
  <c r="AM51" i="41" s="1"/>
  <c r="AM21" i="24" s="1"/>
  <c r="H17" i="41"/>
  <c r="I17" i="41"/>
  <c r="AC57" i="41"/>
  <c r="AC56" i="41" s="1"/>
  <c r="Z54" i="41"/>
  <c r="E59" i="41"/>
  <c r="E56" i="41" s="1"/>
  <c r="Y59" i="41"/>
  <c r="AE57" i="41"/>
  <c r="AE56" i="41" s="1"/>
  <c r="AG57" i="41"/>
  <c r="AG56" i="41" s="1"/>
  <c r="AH57" i="41"/>
  <c r="AH56" i="41" s="1"/>
  <c r="AI57" i="41"/>
  <c r="AI56" i="41" s="1"/>
  <c r="AK57" i="41"/>
  <c r="AK56" i="41" s="1"/>
  <c r="AL57" i="41"/>
  <c r="AL56" i="41" s="1"/>
  <c r="AM57" i="41"/>
  <c r="AM56" i="41" s="1"/>
  <c r="AP57" i="41"/>
  <c r="AP56" i="41" s="1"/>
  <c r="J59" i="41"/>
  <c r="J56" i="41" s="1"/>
  <c r="Z59" i="41"/>
  <c r="J54" i="41"/>
  <c r="J51" i="41" s="1"/>
  <c r="U54" i="41"/>
  <c r="U51" i="41" s="1"/>
  <c r="AF57" i="41"/>
  <c r="AF56" i="41" s="1"/>
  <c r="AJ57" i="41"/>
  <c r="AJ56" i="41" s="1"/>
  <c r="C59" i="41"/>
  <c r="C56" i="41" s="1"/>
  <c r="Q59" i="41"/>
  <c r="Q56" i="41" s="1"/>
  <c r="U59" i="41"/>
  <c r="U56" i="41" s="1"/>
  <c r="C7" i="35"/>
  <c r="D7" i="35"/>
  <c r="F7" i="35"/>
  <c r="G7" i="35"/>
  <c r="H7" i="35"/>
  <c r="I7" i="35"/>
  <c r="J7" i="35"/>
  <c r="K7" i="35"/>
  <c r="L7" i="35"/>
  <c r="M7" i="35"/>
  <c r="N7" i="35"/>
  <c r="O7" i="35"/>
  <c r="P7" i="35"/>
  <c r="Q7" i="35"/>
  <c r="R7" i="35"/>
  <c r="S7" i="35"/>
  <c r="T7" i="35"/>
  <c r="U7" i="35"/>
  <c r="V7" i="35"/>
  <c r="W7" i="35"/>
  <c r="X7" i="35"/>
  <c r="Y7" i="35"/>
  <c r="Z7" i="35"/>
  <c r="AA7" i="35"/>
  <c r="AB7" i="35"/>
  <c r="AC7" i="35"/>
  <c r="AD7" i="35"/>
  <c r="AE7" i="35"/>
  <c r="AF7" i="35"/>
  <c r="AG7" i="35"/>
  <c r="AH7" i="35"/>
  <c r="AI7" i="35"/>
  <c r="AJ7" i="35"/>
  <c r="AK7" i="35"/>
  <c r="AL7" i="35"/>
  <c r="AM7" i="35"/>
  <c r="AP7" i="35"/>
  <c r="F15" i="35"/>
  <c r="G15" i="35"/>
  <c r="H15" i="35"/>
  <c r="I15" i="35"/>
  <c r="J15" i="35"/>
  <c r="J19" i="35" s="1"/>
  <c r="K15" i="35"/>
  <c r="L15" i="35"/>
  <c r="M15" i="35"/>
  <c r="N15" i="35"/>
  <c r="O15" i="35"/>
  <c r="P15" i="35"/>
  <c r="Q15" i="35"/>
  <c r="R15" i="35"/>
  <c r="R19" i="35" s="1"/>
  <c r="S15" i="35"/>
  <c r="S19" i="35"/>
  <c r="S9" i="35" s="1"/>
  <c r="T15" i="35"/>
  <c r="U15" i="35"/>
  <c r="V15" i="35"/>
  <c r="V19" i="35" s="1"/>
  <c r="V9" i="35" s="1"/>
  <c r="W15" i="35"/>
  <c r="X15" i="35"/>
  <c r="Y15" i="35"/>
  <c r="Z15" i="35"/>
  <c r="AA15" i="35"/>
  <c r="AB15" i="35"/>
  <c r="AC15" i="35"/>
  <c r="AD15" i="35"/>
  <c r="AD19" i="35"/>
  <c r="AD9" i="35"/>
  <c r="AE15" i="35"/>
  <c r="AF15" i="35"/>
  <c r="AG15" i="35"/>
  <c r="AH15" i="35"/>
  <c r="AH19" i="35" s="1"/>
  <c r="AH9" i="35" s="1"/>
  <c r="AI15" i="35"/>
  <c r="AJ15" i="35"/>
  <c r="AK15" i="35"/>
  <c r="AL15" i="35"/>
  <c r="AL19" i="35" s="1"/>
  <c r="AL9" i="35" s="1"/>
  <c r="AM15" i="35"/>
  <c r="AP15" i="35"/>
  <c r="AP19" i="35" s="1"/>
  <c r="AP9" i="35" s="1"/>
  <c r="C17" i="35"/>
  <c r="C15" i="35"/>
  <c r="C19" i="35" s="1"/>
  <c r="C9" i="35" s="1"/>
  <c r="D17" i="35"/>
  <c r="D15" i="35"/>
  <c r="D19" i="35" s="1"/>
  <c r="D9" i="35" s="1"/>
  <c r="E17" i="35"/>
  <c r="E15" i="35" s="1"/>
  <c r="E6" i="35" s="1"/>
  <c r="E8" i="35" s="1"/>
  <c r="E18" i="35"/>
  <c r="E7" i="35"/>
  <c r="F19" i="35"/>
  <c r="F9" i="35" s="1"/>
  <c r="J9" i="35"/>
  <c r="N19" i="35"/>
  <c r="N9" i="35" s="1"/>
  <c r="R9" i="35"/>
  <c r="Z19" i="35"/>
  <c r="Z9" i="35" s="1"/>
  <c r="C24" i="35"/>
  <c r="C23" i="35" s="1"/>
  <c r="D24" i="35"/>
  <c r="D23" i="35" s="1"/>
  <c r="E24" i="35"/>
  <c r="E23" i="35" s="1"/>
  <c r="F24" i="35"/>
  <c r="F23" i="35"/>
  <c r="F33" i="35" s="1"/>
  <c r="F10" i="35" s="1"/>
  <c r="G24" i="35"/>
  <c r="G23" i="35" s="1"/>
  <c r="H24" i="35"/>
  <c r="H23" i="35"/>
  <c r="I24" i="35"/>
  <c r="I23" i="35" s="1"/>
  <c r="J24" i="35"/>
  <c r="J23" i="35" s="1"/>
  <c r="K24" i="35"/>
  <c r="L24" i="35"/>
  <c r="L23" i="35" s="1"/>
  <c r="M24" i="35"/>
  <c r="M23" i="35"/>
  <c r="N24" i="35"/>
  <c r="N23" i="35" s="1"/>
  <c r="O24" i="35"/>
  <c r="O23" i="35" s="1"/>
  <c r="O33" i="35" s="1"/>
  <c r="O10" i="35" s="1"/>
  <c r="P24" i="35"/>
  <c r="P23" i="35" s="1"/>
  <c r="Q24" i="35"/>
  <c r="Q23" i="35" s="1"/>
  <c r="R24" i="35"/>
  <c r="R23" i="35" s="1"/>
  <c r="S24" i="35"/>
  <c r="T24" i="35"/>
  <c r="T23" i="35" s="1"/>
  <c r="T33" i="35" s="1"/>
  <c r="T10" i="35" s="1"/>
  <c r="U24" i="35"/>
  <c r="U23" i="35" s="1"/>
  <c r="V24" i="35"/>
  <c r="V23" i="35" s="1"/>
  <c r="W24" i="35"/>
  <c r="X24" i="35"/>
  <c r="X23" i="35"/>
  <c r="Y24" i="35"/>
  <c r="Y23" i="35" s="1"/>
  <c r="Z24" i="35"/>
  <c r="Z23" i="35" s="1"/>
  <c r="AA24" i="35"/>
  <c r="AB24" i="35"/>
  <c r="AB23" i="35" s="1"/>
  <c r="AC24" i="35"/>
  <c r="AC23" i="35" s="1"/>
  <c r="AD24" i="35"/>
  <c r="AD23" i="35"/>
  <c r="AE24" i="35"/>
  <c r="AE23" i="35" s="1"/>
  <c r="AF24" i="35"/>
  <c r="AF23" i="35" s="1"/>
  <c r="AH24" i="35"/>
  <c r="AI24" i="35"/>
  <c r="AJ24" i="35"/>
  <c r="AJ23" i="35" s="1"/>
  <c r="AK24" i="35"/>
  <c r="AK23" i="35"/>
  <c r="AK33" i="35" s="1"/>
  <c r="AK10" i="35" s="1"/>
  <c r="AL24" i="35"/>
  <c r="AL23" i="35" s="1"/>
  <c r="AM24" i="35"/>
  <c r="AP24" i="35"/>
  <c r="AG26" i="35"/>
  <c r="AG24" i="35" s="1"/>
  <c r="C29" i="35"/>
  <c r="C28" i="35" s="1"/>
  <c r="C33" i="35" s="1"/>
  <c r="C10" i="35" s="1"/>
  <c r="D29" i="35"/>
  <c r="E29" i="35"/>
  <c r="E28" i="35" s="1"/>
  <c r="F29" i="35"/>
  <c r="F28" i="35"/>
  <c r="G29" i="35"/>
  <c r="G28" i="35" s="1"/>
  <c r="H29" i="35"/>
  <c r="I29" i="35"/>
  <c r="I28" i="35" s="1"/>
  <c r="J29" i="35"/>
  <c r="J28" i="35" s="1"/>
  <c r="J33" i="35" s="1"/>
  <c r="J10" i="35" s="1"/>
  <c r="K29" i="35"/>
  <c r="K28" i="35" s="1"/>
  <c r="L29" i="35"/>
  <c r="L28" i="35" s="1"/>
  <c r="M29" i="35"/>
  <c r="M28" i="35" s="1"/>
  <c r="N29" i="35"/>
  <c r="N28" i="35"/>
  <c r="O29" i="35"/>
  <c r="O28" i="35" s="1"/>
  <c r="P29" i="35"/>
  <c r="P28" i="35" s="1"/>
  <c r="Q29" i="35"/>
  <c r="R29" i="35"/>
  <c r="R28" i="35" s="1"/>
  <c r="S29" i="35"/>
  <c r="S28" i="35" s="1"/>
  <c r="T29" i="35"/>
  <c r="T28" i="35" s="1"/>
  <c r="U29" i="35"/>
  <c r="U28" i="35" s="1"/>
  <c r="V29" i="35"/>
  <c r="V28" i="35" s="1"/>
  <c r="W29" i="35"/>
  <c r="W28" i="35" s="1"/>
  <c r="X29" i="35"/>
  <c r="X6" i="35" s="1"/>
  <c r="X8" i="35" s="1"/>
  <c r="Y29" i="35"/>
  <c r="Y28" i="35" s="1"/>
  <c r="Z29" i="35"/>
  <c r="Z28" i="35"/>
  <c r="AA29" i="35"/>
  <c r="AA28" i="35" s="1"/>
  <c r="AB29" i="35"/>
  <c r="AC29" i="35"/>
  <c r="AC28" i="35" s="1"/>
  <c r="AD29" i="35"/>
  <c r="AD28" i="35" s="1"/>
  <c r="AE29" i="35"/>
  <c r="AF29" i="35"/>
  <c r="AF28" i="35" s="1"/>
  <c r="AG29" i="35"/>
  <c r="AG28" i="35"/>
  <c r="AH29" i="35"/>
  <c r="AH28" i="35" s="1"/>
  <c r="AI29" i="35"/>
  <c r="AI28" i="35" s="1"/>
  <c r="AI33" i="35" s="1"/>
  <c r="AI10" i="35" s="1"/>
  <c r="AJ29" i="35"/>
  <c r="AJ28" i="35" s="1"/>
  <c r="AK29" i="35"/>
  <c r="AK28" i="35" s="1"/>
  <c r="AL29" i="35"/>
  <c r="AL28" i="35"/>
  <c r="AL33" i="35" s="1"/>
  <c r="AL10" i="35" s="1"/>
  <c r="AM29" i="35"/>
  <c r="AM28" i="35" s="1"/>
  <c r="AP28" i="35"/>
  <c r="F37" i="35"/>
  <c r="F41" i="35" s="1"/>
  <c r="F11" i="35" s="1"/>
  <c r="G37" i="35"/>
  <c r="G41" i="35" s="1"/>
  <c r="G11" i="35" s="1"/>
  <c r="H37" i="35"/>
  <c r="H41" i="35" s="1"/>
  <c r="H11" i="35" s="1"/>
  <c r="I37" i="35"/>
  <c r="I41" i="35"/>
  <c r="I11" i="35"/>
  <c r="J37" i="35"/>
  <c r="J41" i="35" s="1"/>
  <c r="K37" i="35"/>
  <c r="K41" i="35"/>
  <c r="K11" i="35" s="1"/>
  <c r="L37" i="35"/>
  <c r="L41" i="35" s="1"/>
  <c r="L11" i="35" s="1"/>
  <c r="M37" i="35"/>
  <c r="M41" i="35" s="1"/>
  <c r="M11" i="35" s="1"/>
  <c r="N37" i="35"/>
  <c r="N41" i="35" s="1"/>
  <c r="N11" i="35" s="1"/>
  <c r="O37" i="35"/>
  <c r="O41" i="35" s="1"/>
  <c r="O11" i="35" s="1"/>
  <c r="P37" i="35"/>
  <c r="P41" i="35"/>
  <c r="P11" i="35"/>
  <c r="Q37" i="35"/>
  <c r="Q41" i="35" s="1"/>
  <c r="Q11" i="35" s="1"/>
  <c r="R37" i="35"/>
  <c r="R41" i="35" s="1"/>
  <c r="R11" i="35" s="1"/>
  <c r="S37" i="35"/>
  <c r="S41" i="35" s="1"/>
  <c r="S11" i="35" s="1"/>
  <c r="T37" i="35"/>
  <c r="T41" i="35" s="1"/>
  <c r="T11" i="35" s="1"/>
  <c r="U37" i="35"/>
  <c r="U41" i="35" s="1"/>
  <c r="U11" i="35" s="1"/>
  <c r="V37" i="35"/>
  <c r="V41" i="35" s="1"/>
  <c r="V11" i="35" s="1"/>
  <c r="W37" i="35"/>
  <c r="X37" i="35"/>
  <c r="X41" i="35" s="1"/>
  <c r="X11" i="35" s="1"/>
  <c r="Y37" i="35"/>
  <c r="Y41" i="35" s="1"/>
  <c r="Y11" i="35" s="1"/>
  <c r="Z37" i="35"/>
  <c r="Z41" i="35" s="1"/>
  <c r="Z11" i="35" s="1"/>
  <c r="AA37" i="35"/>
  <c r="AA41" i="35" s="1"/>
  <c r="AA11" i="35" s="1"/>
  <c r="AB37" i="35"/>
  <c r="AC37" i="35"/>
  <c r="AC41" i="35"/>
  <c r="AC11" i="35" s="1"/>
  <c r="AD37" i="35"/>
  <c r="AD41" i="35" s="1"/>
  <c r="AD11" i="35" s="1"/>
  <c r="AE37" i="35"/>
  <c r="AE41" i="35" s="1"/>
  <c r="AE11" i="35" s="1"/>
  <c r="AF37" i="35"/>
  <c r="AF41" i="35" s="1"/>
  <c r="AF11" i="35"/>
  <c r="AG37" i="35"/>
  <c r="AG41" i="35" s="1"/>
  <c r="AG11" i="35" s="1"/>
  <c r="AH37" i="35"/>
  <c r="AH41" i="35" s="1"/>
  <c r="AH11" i="35" s="1"/>
  <c r="AI37" i="35"/>
  <c r="AI41" i="35" s="1"/>
  <c r="AI11" i="35" s="1"/>
  <c r="AJ37" i="35"/>
  <c r="AJ41" i="35"/>
  <c r="AJ11" i="35" s="1"/>
  <c r="AK37" i="35"/>
  <c r="AK41" i="35" s="1"/>
  <c r="AK11" i="35"/>
  <c r="AL37" i="35"/>
  <c r="AL41" i="35" s="1"/>
  <c r="AL11" i="35" s="1"/>
  <c r="AM37" i="35"/>
  <c r="AM41" i="35" s="1"/>
  <c r="AM11" i="35" s="1"/>
  <c r="AP37" i="35"/>
  <c r="AP41" i="35"/>
  <c r="AP11" i="35" s="1"/>
  <c r="C39" i="35"/>
  <c r="C37" i="35"/>
  <c r="C41" i="35" s="1"/>
  <c r="C11" i="35" s="1"/>
  <c r="D39" i="35"/>
  <c r="D37" i="35"/>
  <c r="D41" i="35" s="1"/>
  <c r="D11" i="35" s="1"/>
  <c r="E39" i="35"/>
  <c r="E37" i="35"/>
  <c r="J11" i="35"/>
  <c r="W41" i="35"/>
  <c r="W11" i="35" s="1"/>
  <c r="C7" i="32"/>
  <c r="D7" i="32"/>
  <c r="E7" i="32"/>
  <c r="F7" i="32"/>
  <c r="G7" i="32"/>
  <c r="H7" i="32"/>
  <c r="I7" i="32"/>
  <c r="J7" i="32"/>
  <c r="K7" i="32"/>
  <c r="L7" i="32"/>
  <c r="M7" i="32"/>
  <c r="N7" i="32"/>
  <c r="O7" i="32"/>
  <c r="P7" i="32"/>
  <c r="Q7" i="32"/>
  <c r="R7" i="32"/>
  <c r="S7" i="32"/>
  <c r="T7" i="32"/>
  <c r="U7" i="32"/>
  <c r="V7" i="32"/>
  <c r="W7" i="32"/>
  <c r="X7" i="32"/>
  <c r="Y7" i="32"/>
  <c r="Z7" i="32"/>
  <c r="AA7" i="32"/>
  <c r="AB7" i="32"/>
  <c r="AC7" i="32"/>
  <c r="AD7" i="32"/>
  <c r="AE7" i="32"/>
  <c r="AF7" i="32"/>
  <c r="AG7" i="32"/>
  <c r="AH7" i="32"/>
  <c r="AI7" i="32"/>
  <c r="AJ7" i="32"/>
  <c r="AK7" i="32"/>
  <c r="AL7" i="32"/>
  <c r="AM7" i="32"/>
  <c r="G8" i="32"/>
  <c r="H8" i="32"/>
  <c r="I8" i="32"/>
  <c r="J8" i="32"/>
  <c r="K8" i="32"/>
  <c r="L8" i="32"/>
  <c r="M8" i="32"/>
  <c r="N8" i="32"/>
  <c r="O8" i="32"/>
  <c r="P8" i="32"/>
  <c r="Q8" i="32"/>
  <c r="R8" i="32"/>
  <c r="S8" i="32"/>
  <c r="T8" i="32"/>
  <c r="U8" i="32"/>
  <c r="V8" i="32"/>
  <c r="W8" i="32"/>
  <c r="X8" i="32"/>
  <c r="Y8" i="32"/>
  <c r="Z8" i="32"/>
  <c r="AA8" i="32"/>
  <c r="AB8" i="32"/>
  <c r="AC8" i="32"/>
  <c r="AD8" i="32"/>
  <c r="AE8" i="32"/>
  <c r="AF8" i="32"/>
  <c r="AG8" i="32"/>
  <c r="AH8" i="32"/>
  <c r="AI8" i="32"/>
  <c r="AJ8" i="32"/>
  <c r="AK8" i="32"/>
  <c r="AL8" i="32"/>
  <c r="AM8" i="32"/>
  <c r="C9" i="32"/>
  <c r="E9" i="32"/>
  <c r="F9" i="32"/>
  <c r="G9" i="32"/>
  <c r="H9" i="32"/>
  <c r="I9" i="32"/>
  <c r="J9" i="32"/>
  <c r="K9" i="32"/>
  <c r="L9" i="32"/>
  <c r="M9" i="32"/>
  <c r="N9" i="32"/>
  <c r="O9" i="32"/>
  <c r="P9" i="32"/>
  <c r="Q9" i="32"/>
  <c r="R9" i="32"/>
  <c r="S9" i="32"/>
  <c r="T9" i="32"/>
  <c r="U9" i="32"/>
  <c r="V9" i="32"/>
  <c r="W9" i="32"/>
  <c r="X9" i="32"/>
  <c r="Y9" i="32"/>
  <c r="Z9" i="32"/>
  <c r="AA9" i="32"/>
  <c r="AB9" i="32"/>
  <c r="AC9" i="32"/>
  <c r="AD9" i="32"/>
  <c r="AE9" i="32"/>
  <c r="AF9" i="32"/>
  <c r="AG9" i="32"/>
  <c r="AH9" i="32"/>
  <c r="AI9" i="32"/>
  <c r="AJ9" i="32"/>
  <c r="AK9" i="32"/>
  <c r="AL9" i="32"/>
  <c r="AM9" i="32"/>
  <c r="AP10" i="32"/>
  <c r="AP13" i="32" s="1"/>
  <c r="C11" i="32"/>
  <c r="C10" i="32" s="1"/>
  <c r="D11" i="32"/>
  <c r="E11" i="32"/>
  <c r="F11" i="32"/>
  <c r="G11" i="32"/>
  <c r="H11" i="32"/>
  <c r="I11" i="32"/>
  <c r="J11" i="32"/>
  <c r="K11" i="32"/>
  <c r="L11" i="32"/>
  <c r="M11" i="32"/>
  <c r="M10" i="32" s="1"/>
  <c r="N11" i="32"/>
  <c r="O11" i="32"/>
  <c r="P11" i="32"/>
  <c r="Q11" i="32"/>
  <c r="R11" i="32"/>
  <c r="S11" i="32"/>
  <c r="S10" i="32" s="1"/>
  <c r="T11" i="32"/>
  <c r="U11" i="32"/>
  <c r="V11" i="32"/>
  <c r="W11" i="32"/>
  <c r="X11" i="32"/>
  <c r="Y11" i="32"/>
  <c r="Z11" i="32"/>
  <c r="AA11" i="32"/>
  <c r="AB11" i="32"/>
  <c r="AC11" i="32"/>
  <c r="AD11" i="32"/>
  <c r="AE11" i="32"/>
  <c r="AF11" i="32"/>
  <c r="AG11" i="32"/>
  <c r="AH11" i="32"/>
  <c r="AI11" i="32"/>
  <c r="AJ11" i="32"/>
  <c r="AK11" i="32"/>
  <c r="AL11" i="32"/>
  <c r="AM11" i="32"/>
  <c r="C12" i="32"/>
  <c r="F12" i="32"/>
  <c r="G12" i="32"/>
  <c r="H12" i="32"/>
  <c r="I12" i="32"/>
  <c r="J12" i="32"/>
  <c r="J10" i="32" s="1"/>
  <c r="K12" i="32"/>
  <c r="K10" i="32" s="1"/>
  <c r="L12" i="32"/>
  <c r="M12" i="32"/>
  <c r="N12" i="32"/>
  <c r="N10" i="32"/>
  <c r="O12" i="32"/>
  <c r="P12" i="32"/>
  <c r="Q12" i="32"/>
  <c r="R12" i="32"/>
  <c r="S12" i="32"/>
  <c r="T12" i="32"/>
  <c r="U12" i="32"/>
  <c r="U10" i="32" s="1"/>
  <c r="V12" i="32"/>
  <c r="W12" i="32"/>
  <c r="X12" i="32"/>
  <c r="Y12" i="32"/>
  <c r="Y10" i="32" s="1"/>
  <c r="Z12" i="32"/>
  <c r="AA12" i="32"/>
  <c r="AB12" i="32"/>
  <c r="AC12" i="32"/>
  <c r="AD12" i="32"/>
  <c r="AE12" i="32"/>
  <c r="AF12" i="32"/>
  <c r="AG12" i="32"/>
  <c r="AG10" i="32"/>
  <c r="AH12" i="32"/>
  <c r="AI12" i="32"/>
  <c r="AJ12" i="32"/>
  <c r="AK12" i="32"/>
  <c r="AK10" i="32" s="1"/>
  <c r="AL12" i="32"/>
  <c r="AM12" i="32"/>
  <c r="AP15" i="32"/>
  <c r="C16" i="32"/>
  <c r="C15" i="32" s="1"/>
  <c r="D16" i="32"/>
  <c r="E16" i="32"/>
  <c r="F16" i="32"/>
  <c r="G16" i="32"/>
  <c r="G15" i="32" s="1"/>
  <c r="H16" i="32"/>
  <c r="I16" i="32"/>
  <c r="J16" i="32"/>
  <c r="K16" i="32"/>
  <c r="K15" i="32" s="1"/>
  <c r="K14" i="32" s="1"/>
  <c r="L16" i="32"/>
  <c r="M16" i="32"/>
  <c r="N16" i="32"/>
  <c r="O16" i="32"/>
  <c r="O15" i="32" s="1"/>
  <c r="O14" i="32" s="1"/>
  <c r="P16" i="32"/>
  <c r="Q16" i="32"/>
  <c r="R16" i="32"/>
  <c r="S16" i="32"/>
  <c r="T16" i="32"/>
  <c r="U16" i="32"/>
  <c r="U15" i="32"/>
  <c r="V16" i="32"/>
  <c r="W16" i="32"/>
  <c r="X16" i="32"/>
  <c r="Y16" i="32"/>
  <c r="Z16" i="32"/>
  <c r="AA16" i="32"/>
  <c r="AB16" i="32"/>
  <c r="AC16" i="32"/>
  <c r="AD16" i="32"/>
  <c r="AE16" i="32"/>
  <c r="AF16" i="32"/>
  <c r="AG16" i="32"/>
  <c r="AH16" i="32"/>
  <c r="AI16" i="32"/>
  <c r="AJ16" i="32"/>
  <c r="AK16" i="32"/>
  <c r="AL16" i="32"/>
  <c r="AM16" i="32"/>
  <c r="C17" i="32"/>
  <c r="D17" i="32"/>
  <c r="D15" i="32" s="1"/>
  <c r="E17" i="32"/>
  <c r="F17" i="32"/>
  <c r="G17" i="32"/>
  <c r="H17" i="32"/>
  <c r="I17" i="32"/>
  <c r="J17" i="32"/>
  <c r="K17" i="32"/>
  <c r="L17" i="32"/>
  <c r="M17" i="32"/>
  <c r="N17" i="32"/>
  <c r="O17" i="32"/>
  <c r="P17" i="32"/>
  <c r="Q17" i="32"/>
  <c r="R17" i="32"/>
  <c r="S17" i="32"/>
  <c r="T17" i="32"/>
  <c r="U17" i="32"/>
  <c r="V17" i="32"/>
  <c r="W17" i="32"/>
  <c r="X17" i="32"/>
  <c r="Y17" i="32"/>
  <c r="Z17" i="32"/>
  <c r="AA17" i="32"/>
  <c r="AB17" i="32"/>
  <c r="AB16" i="24" s="1"/>
  <c r="AD17" i="32"/>
  <c r="AE17" i="32"/>
  <c r="AF17" i="32"/>
  <c r="AG17" i="32"/>
  <c r="AG16" i="24" s="1"/>
  <c r="AH17" i="32"/>
  <c r="AI17" i="32"/>
  <c r="AJ17" i="32"/>
  <c r="AK17" i="32"/>
  <c r="AK16" i="24" s="1"/>
  <c r="AL17" i="32"/>
  <c r="AM17" i="32"/>
  <c r="AM16" i="24" s="1"/>
  <c r="C18" i="32"/>
  <c r="D18" i="32"/>
  <c r="E18" i="32"/>
  <c r="F18" i="32"/>
  <c r="G18" i="32"/>
  <c r="H18" i="32"/>
  <c r="I18" i="32"/>
  <c r="J18" i="32"/>
  <c r="K18" i="32"/>
  <c r="L18" i="32"/>
  <c r="M18" i="32"/>
  <c r="N18" i="32"/>
  <c r="O18" i="32"/>
  <c r="P18" i="32"/>
  <c r="Q18" i="32"/>
  <c r="R18" i="32"/>
  <c r="S18" i="32"/>
  <c r="T18" i="32"/>
  <c r="U18" i="32"/>
  <c r="V18" i="32"/>
  <c r="W18" i="32"/>
  <c r="X18" i="32"/>
  <c r="Y18" i="32"/>
  <c r="Z18" i="32"/>
  <c r="Z15" i="32"/>
  <c r="AA18" i="32"/>
  <c r="AB18" i="32"/>
  <c r="AC18" i="32"/>
  <c r="AD18" i="32"/>
  <c r="AE18" i="32"/>
  <c r="AF18" i="32"/>
  <c r="AG18" i="32"/>
  <c r="AH18" i="32"/>
  <c r="AI18" i="32"/>
  <c r="AJ18" i="32"/>
  <c r="AK18" i="32"/>
  <c r="AL18" i="32"/>
  <c r="AM18" i="32"/>
  <c r="C19" i="32"/>
  <c r="D19" i="32"/>
  <c r="E19" i="32"/>
  <c r="F19" i="32"/>
  <c r="G19" i="32"/>
  <c r="H19" i="32"/>
  <c r="I19" i="32"/>
  <c r="I15" i="32" s="1"/>
  <c r="J19" i="32"/>
  <c r="K19" i="32"/>
  <c r="L19" i="32"/>
  <c r="M19" i="32"/>
  <c r="M15" i="32" s="1"/>
  <c r="M14" i="32" s="1"/>
  <c r="N19" i="32"/>
  <c r="O19" i="32"/>
  <c r="P19" i="32"/>
  <c r="Q19" i="32"/>
  <c r="Q15" i="32" s="1"/>
  <c r="R19" i="32"/>
  <c r="S19" i="32"/>
  <c r="T19" i="32"/>
  <c r="U19" i="32"/>
  <c r="V19" i="32"/>
  <c r="W19" i="32"/>
  <c r="X19" i="32"/>
  <c r="Y19" i="32"/>
  <c r="Z19" i="32"/>
  <c r="AA19" i="32"/>
  <c r="AB19" i="32"/>
  <c r="AC19" i="32"/>
  <c r="AD19" i="32"/>
  <c r="AE19" i="32"/>
  <c r="AF19" i="32"/>
  <c r="AG19" i="32"/>
  <c r="AH19" i="32"/>
  <c r="AI19" i="32"/>
  <c r="AJ19" i="32"/>
  <c r="AK19" i="32"/>
  <c r="AL19" i="32"/>
  <c r="AM19" i="32"/>
  <c r="C21" i="32"/>
  <c r="D21" i="32"/>
  <c r="E21" i="32"/>
  <c r="F21" i="32"/>
  <c r="G21" i="32"/>
  <c r="H21" i="32"/>
  <c r="H20" i="32" s="1"/>
  <c r="I21" i="32"/>
  <c r="J21" i="32"/>
  <c r="K21" i="32"/>
  <c r="K20" i="32" s="1"/>
  <c r="L21" i="32"/>
  <c r="M21" i="32"/>
  <c r="N21" i="32"/>
  <c r="O21" i="32"/>
  <c r="O20" i="32" s="1"/>
  <c r="P21" i="32"/>
  <c r="Q21" i="32"/>
  <c r="R21" i="32"/>
  <c r="S21" i="32"/>
  <c r="T21" i="32"/>
  <c r="U21" i="32"/>
  <c r="V21" i="32"/>
  <c r="W21" i="32"/>
  <c r="X21" i="32"/>
  <c r="Y21" i="32"/>
  <c r="Y20" i="32" s="1"/>
  <c r="Z21" i="32"/>
  <c r="AA21" i="32"/>
  <c r="AB21" i="32"/>
  <c r="AC21" i="32"/>
  <c r="AD21" i="32"/>
  <c r="AE21" i="32"/>
  <c r="AE20" i="32" s="1"/>
  <c r="AF21" i="32"/>
  <c r="AG21" i="32"/>
  <c r="AG20" i="32" s="1"/>
  <c r="AH21" i="32"/>
  <c r="AH20" i="32" s="1"/>
  <c r="AI21" i="32"/>
  <c r="AJ21" i="32"/>
  <c r="AK21" i="32"/>
  <c r="AL21" i="32"/>
  <c r="AM21" i="32"/>
  <c r="C22" i="32"/>
  <c r="D22" i="32"/>
  <c r="E22" i="32"/>
  <c r="F22" i="32"/>
  <c r="G22" i="32"/>
  <c r="H22" i="32"/>
  <c r="I22" i="32"/>
  <c r="J22" i="32"/>
  <c r="J20" i="32" s="1"/>
  <c r="K22" i="32"/>
  <c r="L22" i="32"/>
  <c r="L20" i="32" s="1"/>
  <c r="M22" i="32"/>
  <c r="M20" i="32" s="1"/>
  <c r="N22" i="32"/>
  <c r="N20" i="32" s="1"/>
  <c r="O22" i="32"/>
  <c r="P22" i="32"/>
  <c r="Q22" i="32"/>
  <c r="R22" i="32"/>
  <c r="S22" i="32"/>
  <c r="T22" i="32"/>
  <c r="U22" i="32"/>
  <c r="V22" i="32"/>
  <c r="V20" i="32" s="1"/>
  <c r="W22" i="32"/>
  <c r="W20" i="32" s="1"/>
  <c r="X22" i="32"/>
  <c r="Y22" i="32"/>
  <c r="Z22" i="32"/>
  <c r="Z20" i="32" s="1"/>
  <c r="AA22" i="32"/>
  <c r="AB22" i="32"/>
  <c r="AC22" i="32"/>
  <c r="AD22" i="32"/>
  <c r="AD20" i="32" s="1"/>
  <c r="AE22" i="32"/>
  <c r="AF22" i="32"/>
  <c r="AF20" i="32" s="1"/>
  <c r="AG22" i="32"/>
  <c r="AH22" i="32"/>
  <c r="AI22" i="32"/>
  <c r="AJ22" i="32"/>
  <c r="AK22" i="32"/>
  <c r="AK20" i="32" s="1"/>
  <c r="AL22" i="32"/>
  <c r="AM22" i="32"/>
  <c r="AP22" i="32"/>
  <c r="AP20" i="32" s="1"/>
  <c r="AP14" i="32" s="1"/>
  <c r="AP23" i="32" s="1"/>
  <c r="F30" i="32"/>
  <c r="G30" i="32"/>
  <c r="G37" i="32"/>
  <c r="H30" i="32"/>
  <c r="I30" i="32"/>
  <c r="I37" i="32"/>
  <c r="I41" i="32" s="1"/>
  <c r="I24" i="32" s="1"/>
  <c r="J30" i="32"/>
  <c r="J37" i="32" s="1"/>
  <c r="J41" i="32" s="1"/>
  <c r="J24" i="32" s="1"/>
  <c r="K30" i="32"/>
  <c r="K37" i="32" s="1"/>
  <c r="L30" i="32"/>
  <c r="L37" i="32"/>
  <c r="M30" i="32"/>
  <c r="M37" i="32" s="1"/>
  <c r="N30" i="32"/>
  <c r="O30" i="32"/>
  <c r="O37" i="32" s="1"/>
  <c r="P30" i="32"/>
  <c r="P37" i="32" s="1"/>
  <c r="Q30" i="32"/>
  <c r="Q37" i="32" s="1"/>
  <c r="R30" i="32"/>
  <c r="S30" i="32"/>
  <c r="S37" i="32" s="1"/>
  <c r="T30" i="32"/>
  <c r="T37" i="32" s="1"/>
  <c r="U30" i="32"/>
  <c r="U37" i="32" s="1"/>
  <c r="V30" i="32"/>
  <c r="W30" i="32"/>
  <c r="X30" i="32"/>
  <c r="X37" i="32" s="1"/>
  <c r="Y30" i="32"/>
  <c r="Y37" i="32"/>
  <c r="Z30" i="32"/>
  <c r="AA30" i="32"/>
  <c r="AA37" i="32" s="1"/>
  <c r="AB30" i="32"/>
  <c r="AB37" i="32"/>
  <c r="AC30" i="32"/>
  <c r="AD30" i="32"/>
  <c r="AE30" i="32"/>
  <c r="AE37" i="32"/>
  <c r="AF30" i="32"/>
  <c r="AF37" i="32"/>
  <c r="AG30" i="32"/>
  <c r="AG37" i="32" s="1"/>
  <c r="AG41" i="32" s="1"/>
  <c r="AG24" i="32" s="1"/>
  <c r="AH30" i="32"/>
  <c r="AI30" i="32"/>
  <c r="AI37" i="32" s="1"/>
  <c r="AJ30" i="32"/>
  <c r="AJ37" i="32" s="1"/>
  <c r="AK30" i="32"/>
  <c r="AK37" i="32" s="1"/>
  <c r="AK41" i="32" s="1"/>
  <c r="AK24" i="32" s="1"/>
  <c r="AL30" i="32"/>
  <c r="AM30" i="32"/>
  <c r="AP30" i="32"/>
  <c r="AP37" i="32" s="1"/>
  <c r="C32" i="32"/>
  <c r="C30" i="32" s="1"/>
  <c r="D32" i="32"/>
  <c r="D30" i="32" s="1"/>
  <c r="E32" i="32"/>
  <c r="E30" i="32" s="1"/>
  <c r="D36" i="32"/>
  <c r="D12" i="32" s="1"/>
  <c r="E36" i="32"/>
  <c r="E12" i="32"/>
  <c r="H37" i="32"/>
  <c r="C38" i="32"/>
  <c r="D38" i="32"/>
  <c r="E38" i="32"/>
  <c r="F38" i="32"/>
  <c r="G38" i="32"/>
  <c r="G41" i="32" s="1"/>
  <c r="G24" i="32" s="1"/>
  <c r="H38" i="32"/>
  <c r="H41" i="32" s="1"/>
  <c r="H24" i="32" s="1"/>
  <c r="I38" i="32"/>
  <c r="J38" i="32"/>
  <c r="K38" i="32"/>
  <c r="K41" i="32" s="1"/>
  <c r="K24" i="32" s="1"/>
  <c r="L38" i="32"/>
  <c r="L41" i="32" s="1"/>
  <c r="L24" i="32" s="1"/>
  <c r="M38" i="32"/>
  <c r="N38" i="32"/>
  <c r="O38" i="32"/>
  <c r="P38" i="32"/>
  <c r="Q38" i="32"/>
  <c r="R38" i="32"/>
  <c r="S38" i="32"/>
  <c r="T38" i="32"/>
  <c r="U38" i="32"/>
  <c r="V38" i="32"/>
  <c r="W38" i="32"/>
  <c r="X38" i="32"/>
  <c r="Y38" i="32"/>
  <c r="Z38" i="32"/>
  <c r="AA38" i="32"/>
  <c r="AA41" i="32" s="1"/>
  <c r="AA24" i="32" s="1"/>
  <c r="AB38" i="32"/>
  <c r="AC38" i="32"/>
  <c r="AD38" i="32"/>
  <c r="AE38" i="32"/>
  <c r="AF38" i="32"/>
  <c r="AG38" i="32"/>
  <c r="AH38" i="32"/>
  <c r="AI38" i="32"/>
  <c r="AJ38" i="32"/>
  <c r="AK38" i="32"/>
  <c r="AL38" i="32"/>
  <c r="AM38" i="32"/>
  <c r="AP38" i="32"/>
  <c r="AP45" i="32"/>
  <c r="S46" i="32"/>
  <c r="S45" i="32" s="1"/>
  <c r="T46" i="32"/>
  <c r="T45" i="32"/>
  <c r="T60" i="32" s="1"/>
  <c r="U46" i="32"/>
  <c r="U45" i="32" s="1"/>
  <c r="V46" i="32"/>
  <c r="V45" i="32"/>
  <c r="W46" i="32"/>
  <c r="W45" i="32" s="1"/>
  <c r="X46" i="32"/>
  <c r="X45" i="32" s="1"/>
  <c r="Y46" i="32"/>
  <c r="Z46" i="32"/>
  <c r="Z45" i="32" s="1"/>
  <c r="AA46" i="32"/>
  <c r="AA45" i="32"/>
  <c r="AB46" i="32"/>
  <c r="AC46" i="32"/>
  <c r="AC45" i="32" s="1"/>
  <c r="AC60" i="32" s="1"/>
  <c r="AD46" i="32"/>
  <c r="AE46" i="32"/>
  <c r="AE45" i="32" s="1"/>
  <c r="AF46" i="32"/>
  <c r="AF45" i="32" s="1"/>
  <c r="AG46" i="32"/>
  <c r="AG45" i="32"/>
  <c r="AG60" i="32" s="1"/>
  <c r="AG73" i="32" s="1"/>
  <c r="AG25" i="32" s="1"/>
  <c r="AH46" i="32"/>
  <c r="AI46" i="32"/>
  <c r="AI45" i="32"/>
  <c r="AI60" i="32" s="1"/>
  <c r="AJ46" i="32"/>
  <c r="AK46" i="32"/>
  <c r="AK45" i="32"/>
  <c r="AL46" i="32"/>
  <c r="AL45" i="32" s="1"/>
  <c r="AM46" i="32"/>
  <c r="AM45" i="32" s="1"/>
  <c r="AM60" i="32" s="1"/>
  <c r="C48" i="32"/>
  <c r="C46" i="32"/>
  <c r="C45" i="32" s="1"/>
  <c r="D48" i="32"/>
  <c r="D46" i="32"/>
  <c r="D45" i="32" s="1"/>
  <c r="D60" i="32" s="1"/>
  <c r="E48" i="32"/>
  <c r="E46" i="32" s="1"/>
  <c r="E45" i="32" s="1"/>
  <c r="F48" i="32"/>
  <c r="F46" i="32"/>
  <c r="F45" i="32"/>
  <c r="G48" i="32"/>
  <c r="G46" i="32"/>
  <c r="H48" i="32"/>
  <c r="H46" i="32"/>
  <c r="I48" i="32"/>
  <c r="I46" i="32"/>
  <c r="I45" i="32"/>
  <c r="J48" i="32"/>
  <c r="J46" i="32" s="1"/>
  <c r="J45" i="32" s="1"/>
  <c r="J60" i="32" s="1"/>
  <c r="J73" i="32" s="1"/>
  <c r="J25" i="32" s="1"/>
  <c r="K48" i="32"/>
  <c r="K46" i="32" s="1"/>
  <c r="L48" i="32"/>
  <c r="L46" i="32" s="1"/>
  <c r="L45" i="32" s="1"/>
  <c r="M48" i="32"/>
  <c r="M46" i="32"/>
  <c r="M6" i="32" s="1"/>
  <c r="M5" i="32" s="1"/>
  <c r="M13" i="32" s="1"/>
  <c r="M23" i="32" s="1"/>
  <c r="N48" i="32"/>
  <c r="N46" i="32" s="1"/>
  <c r="N45" i="32" s="1"/>
  <c r="O48" i="32"/>
  <c r="O46" i="32"/>
  <c r="O45" i="32" s="1"/>
  <c r="P48" i="32"/>
  <c r="P46" i="32" s="1"/>
  <c r="P45" i="32" s="1"/>
  <c r="P60" i="32" s="1"/>
  <c r="P73" i="32" s="1"/>
  <c r="P25" i="32" s="1"/>
  <c r="Q48" i="32"/>
  <c r="Q46" i="32" s="1"/>
  <c r="Q45" i="32" s="1"/>
  <c r="R48" i="32"/>
  <c r="R46" i="32"/>
  <c r="R45" i="32" s="1"/>
  <c r="R60" i="32" s="1"/>
  <c r="D51" i="32"/>
  <c r="D9" i="32"/>
  <c r="AP53" i="32"/>
  <c r="R54" i="32"/>
  <c r="R53" i="32" s="1"/>
  <c r="S54" i="32"/>
  <c r="S53" i="32" s="1"/>
  <c r="T54" i="32"/>
  <c r="T53" i="32"/>
  <c r="U54" i="32"/>
  <c r="U53" i="32" s="1"/>
  <c r="V54" i="32"/>
  <c r="V53" i="32"/>
  <c r="W54" i="32"/>
  <c r="X54" i="32"/>
  <c r="X53" i="32"/>
  <c r="Y54" i="32"/>
  <c r="Y53" i="32" s="1"/>
  <c r="Z54" i="32"/>
  <c r="AA54" i="32"/>
  <c r="AA53" i="32"/>
  <c r="AB54" i="32"/>
  <c r="AB53" i="32" s="1"/>
  <c r="AC54" i="32"/>
  <c r="AC53" i="32"/>
  <c r="AD54" i="32"/>
  <c r="AE54" i="32"/>
  <c r="AE53" i="32" s="1"/>
  <c r="AF54" i="32"/>
  <c r="AG54" i="32"/>
  <c r="AG53" i="32" s="1"/>
  <c r="AH54" i="32"/>
  <c r="AH53" i="32" s="1"/>
  <c r="AI54" i="32"/>
  <c r="AI53" i="32"/>
  <c r="AJ54" i="32"/>
  <c r="AJ53" i="32" s="1"/>
  <c r="AK54" i="32"/>
  <c r="AK53" i="32"/>
  <c r="AL54" i="32"/>
  <c r="AL53" i="32" s="1"/>
  <c r="AM54" i="32"/>
  <c r="AM53" i="32"/>
  <c r="C56" i="32"/>
  <c r="C54" i="32" s="1"/>
  <c r="C53" i="32" s="1"/>
  <c r="D56" i="32"/>
  <c r="D54" i="32" s="1"/>
  <c r="D53" i="32" s="1"/>
  <c r="E56" i="32"/>
  <c r="E54" i="32" s="1"/>
  <c r="E53" i="32" s="1"/>
  <c r="E60" i="32" s="1"/>
  <c r="E73" i="32" s="1"/>
  <c r="E25" i="32" s="1"/>
  <c r="F56" i="32"/>
  <c r="F54" i="32" s="1"/>
  <c r="F53" i="32" s="1"/>
  <c r="G56" i="32"/>
  <c r="G54" i="32" s="1"/>
  <c r="G53" i="32" s="1"/>
  <c r="H56" i="32"/>
  <c r="H54" i="32" s="1"/>
  <c r="H53" i="32" s="1"/>
  <c r="I56" i="32"/>
  <c r="I54" i="32"/>
  <c r="J56" i="32"/>
  <c r="J54" i="32" s="1"/>
  <c r="J53" i="32" s="1"/>
  <c r="K56" i="32"/>
  <c r="K54" i="32"/>
  <c r="K53" i="32"/>
  <c r="L56" i="32"/>
  <c r="L54" i="32" s="1"/>
  <c r="L53" i="32" s="1"/>
  <c r="L60" i="32" s="1"/>
  <c r="M56" i="32"/>
  <c r="M54" i="32" s="1"/>
  <c r="M53" i="32" s="1"/>
  <c r="N56" i="32"/>
  <c r="N54" i="32" s="1"/>
  <c r="N53" i="32" s="1"/>
  <c r="O56" i="32"/>
  <c r="O54" i="32"/>
  <c r="O53" i="32" s="1"/>
  <c r="P56" i="32"/>
  <c r="P54" i="32" s="1"/>
  <c r="P53" i="32" s="1"/>
  <c r="Q56" i="32"/>
  <c r="Q54" i="32" s="1"/>
  <c r="Q53" i="32" s="1"/>
  <c r="C62" i="32"/>
  <c r="C61" i="32" s="1"/>
  <c r="C73" i="32" s="1"/>
  <c r="C25" i="32" s="1"/>
  <c r="D62" i="32"/>
  <c r="E62" i="32"/>
  <c r="F62" i="32"/>
  <c r="G62" i="32"/>
  <c r="G61" i="32" s="1"/>
  <c r="H62" i="32"/>
  <c r="I62" i="32"/>
  <c r="J62" i="32"/>
  <c r="K62" i="32"/>
  <c r="K61" i="32" s="1"/>
  <c r="L62" i="32"/>
  <c r="M62" i="32"/>
  <c r="N62" i="32"/>
  <c r="O62" i="32"/>
  <c r="O61" i="32" s="1"/>
  <c r="P62" i="32"/>
  <c r="Q62" i="32"/>
  <c r="R62" i="32"/>
  <c r="S62" i="32"/>
  <c r="S61" i="32" s="1"/>
  <c r="T62" i="32"/>
  <c r="U62" i="32"/>
  <c r="V62" i="32"/>
  <c r="W62" i="32"/>
  <c r="W61" i="32" s="1"/>
  <c r="X62" i="32"/>
  <c r="Y62" i="32"/>
  <c r="Z62" i="32"/>
  <c r="AA62" i="32"/>
  <c r="AA61" i="32" s="1"/>
  <c r="AB62" i="32"/>
  <c r="AC62" i="32"/>
  <c r="AD62" i="32"/>
  <c r="AE62" i="32"/>
  <c r="AF62" i="32"/>
  <c r="AG62" i="32"/>
  <c r="AH62" i="32"/>
  <c r="AI62" i="32"/>
  <c r="AI61" i="32" s="1"/>
  <c r="AJ62" i="32"/>
  <c r="AK62" i="32"/>
  <c r="AL62" i="32"/>
  <c r="AM62" i="32"/>
  <c r="AM61" i="32" s="1"/>
  <c r="C68" i="32"/>
  <c r="D68" i="32"/>
  <c r="E68" i="32"/>
  <c r="E61" i="32"/>
  <c r="F68" i="32"/>
  <c r="F61" i="32" s="1"/>
  <c r="G68" i="32"/>
  <c r="H68" i="32"/>
  <c r="H61" i="32"/>
  <c r="I68" i="32"/>
  <c r="I61" i="32" s="1"/>
  <c r="J68" i="32"/>
  <c r="K68" i="32"/>
  <c r="L68" i="32"/>
  <c r="M68" i="32"/>
  <c r="N68" i="32"/>
  <c r="O68" i="32"/>
  <c r="P68" i="32"/>
  <c r="P61" i="32" s="1"/>
  <c r="Q68" i="32"/>
  <c r="R68" i="32"/>
  <c r="S68" i="32"/>
  <c r="T68" i="32"/>
  <c r="U68" i="32"/>
  <c r="V68" i="32"/>
  <c r="V61" i="32"/>
  <c r="W68" i="32"/>
  <c r="X68" i="32"/>
  <c r="Y68" i="32"/>
  <c r="Y61" i="32" s="1"/>
  <c r="Z68" i="32"/>
  <c r="Z61" i="32"/>
  <c r="AA68" i="32"/>
  <c r="AB68" i="32"/>
  <c r="AD68" i="32"/>
  <c r="AE68" i="32"/>
  <c r="AF68" i="32"/>
  <c r="AF61" i="32"/>
  <c r="AG68" i="32"/>
  <c r="AG61" i="32" s="1"/>
  <c r="AH68" i="32"/>
  <c r="AH61" i="32" s="1"/>
  <c r="AI68" i="32"/>
  <c r="AJ68" i="32"/>
  <c r="AK68" i="32"/>
  <c r="AL68" i="32"/>
  <c r="AL61" i="32" s="1"/>
  <c r="AM68" i="32"/>
  <c r="AP68" i="32"/>
  <c r="AP61" i="32"/>
  <c r="AC70" i="32"/>
  <c r="N77" i="32"/>
  <c r="W77" i="32"/>
  <c r="W85" i="32" s="1"/>
  <c r="AI77" i="32"/>
  <c r="AI85" i="32" s="1"/>
  <c r="AJ77" i="32"/>
  <c r="AJ85" i="32" s="1"/>
  <c r="AJ91" i="32" s="1"/>
  <c r="AJ26" i="32" s="1"/>
  <c r="AK77" i="32"/>
  <c r="AK85" i="32" s="1"/>
  <c r="AL77" i="32"/>
  <c r="AL85" i="32"/>
  <c r="AM77" i="32"/>
  <c r="AM85" i="32" s="1"/>
  <c r="AM91" i="32" s="1"/>
  <c r="AM26" i="32" s="1"/>
  <c r="AP77" i="32"/>
  <c r="AP85" i="32" s="1"/>
  <c r="L78" i="32"/>
  <c r="M78" i="32"/>
  <c r="M77" i="32"/>
  <c r="M85" i="32" s="1"/>
  <c r="M91" i="32" s="1"/>
  <c r="M26" i="32" s="1"/>
  <c r="O78" i="32"/>
  <c r="O77" i="32" s="1"/>
  <c r="O85" i="32" s="1"/>
  <c r="Q78" i="32"/>
  <c r="R78" i="32"/>
  <c r="R77" i="32"/>
  <c r="R85" i="32" s="1"/>
  <c r="R91" i="32" s="1"/>
  <c r="R26" i="32" s="1"/>
  <c r="S78" i="32"/>
  <c r="S77" i="32"/>
  <c r="S85" i="32" s="1"/>
  <c r="T78" i="32"/>
  <c r="U78" i="32"/>
  <c r="V78" i="32"/>
  <c r="V77" i="32"/>
  <c r="X78" i="32"/>
  <c r="X77" i="32" s="1"/>
  <c r="X85" i="32" s="1"/>
  <c r="Y78" i="32"/>
  <c r="Y77" i="32"/>
  <c r="Y85" i="32" s="1"/>
  <c r="Z78" i="32"/>
  <c r="Z77" i="32" s="1"/>
  <c r="Z85" i="32" s="1"/>
  <c r="Z91" i="32" s="1"/>
  <c r="Z26" i="32" s="1"/>
  <c r="AA78" i="32"/>
  <c r="AA77" i="32" s="1"/>
  <c r="AA85" i="32" s="1"/>
  <c r="AB78" i="32"/>
  <c r="AB77" i="32"/>
  <c r="AB85" i="32"/>
  <c r="AC78" i="32"/>
  <c r="AC77" i="32" s="1"/>
  <c r="AD78" i="32"/>
  <c r="AD77" i="32"/>
  <c r="AD85" i="32" s="1"/>
  <c r="AE78" i="32"/>
  <c r="AE77" i="32" s="1"/>
  <c r="AF78" i="32"/>
  <c r="AF77" i="32" s="1"/>
  <c r="AF85" i="32" s="1"/>
  <c r="AF91" i="32" s="1"/>
  <c r="AG78" i="32"/>
  <c r="AG77" i="32" s="1"/>
  <c r="AG85" i="32" s="1"/>
  <c r="AG91" i="32" s="1"/>
  <c r="AG26" i="32" s="1"/>
  <c r="AH78" i="32"/>
  <c r="AH77" i="32"/>
  <c r="AH85" i="32" s="1"/>
  <c r="AH91" i="32" s="1"/>
  <c r="AH26" i="32" s="1"/>
  <c r="C79" i="32"/>
  <c r="C77" i="32" s="1"/>
  <c r="C6" i="32" s="1"/>
  <c r="D79" i="32"/>
  <c r="D77" i="32"/>
  <c r="E79" i="32"/>
  <c r="E77" i="32" s="1"/>
  <c r="E85" i="32" s="1"/>
  <c r="E91" i="32" s="1"/>
  <c r="E26" i="32" s="1"/>
  <c r="F79" i="32"/>
  <c r="F77" i="32" s="1"/>
  <c r="F85" i="32" s="1"/>
  <c r="F91" i="32" s="1"/>
  <c r="F26" i="32" s="1"/>
  <c r="G79" i="32"/>
  <c r="G77" i="32"/>
  <c r="G85" i="32" s="1"/>
  <c r="H79" i="32"/>
  <c r="H77" i="32"/>
  <c r="H85" i="32" s="1"/>
  <c r="H91" i="32" s="1"/>
  <c r="H26" i="32" s="1"/>
  <c r="I79" i="32"/>
  <c r="I77" i="32" s="1"/>
  <c r="I85" i="32" s="1"/>
  <c r="J79" i="32"/>
  <c r="J77" i="32" s="1"/>
  <c r="K79" i="32"/>
  <c r="K77" i="32"/>
  <c r="K85" i="32" s="1"/>
  <c r="K91" i="32" s="1"/>
  <c r="K26" i="32" s="1"/>
  <c r="L79" i="32"/>
  <c r="L77" i="32" s="1"/>
  <c r="L85" i="32" s="1"/>
  <c r="P79" i="32"/>
  <c r="P77" i="32" s="1"/>
  <c r="Q79" i="32"/>
  <c r="T79" i="32"/>
  <c r="T77" i="32" s="1"/>
  <c r="U79" i="32"/>
  <c r="U77" i="32" s="1"/>
  <c r="C81" i="32"/>
  <c r="C8" i="32"/>
  <c r="D81" i="32"/>
  <c r="D8" i="32" s="1"/>
  <c r="E81" i="32"/>
  <c r="E8" i="32"/>
  <c r="F81" i="32"/>
  <c r="N85" i="32"/>
  <c r="N91" i="32" s="1"/>
  <c r="N26" i="32" s="1"/>
  <c r="C86" i="32"/>
  <c r="D86" i="32"/>
  <c r="E86" i="32"/>
  <c r="F86" i="32"/>
  <c r="G86" i="32"/>
  <c r="H86" i="32"/>
  <c r="I86" i="32"/>
  <c r="J86" i="32"/>
  <c r="K86" i="32"/>
  <c r="L86" i="32"/>
  <c r="M86" i="32"/>
  <c r="N86" i="32"/>
  <c r="O86" i="32"/>
  <c r="P86" i="32"/>
  <c r="Q86" i="32"/>
  <c r="R86" i="32"/>
  <c r="S86" i="32"/>
  <c r="T86" i="32"/>
  <c r="U86" i="32"/>
  <c r="V86" i="32"/>
  <c r="W86" i="32"/>
  <c r="X86" i="32"/>
  <c r="Y86" i="32"/>
  <c r="Z86" i="32"/>
  <c r="AA86" i="32"/>
  <c r="AB86" i="32"/>
  <c r="AC86" i="32"/>
  <c r="AD86" i="32"/>
  <c r="AE86" i="32"/>
  <c r="AF86" i="32"/>
  <c r="AG86" i="32"/>
  <c r="AH86" i="32"/>
  <c r="AI86" i="32"/>
  <c r="AJ86" i="32"/>
  <c r="AK86" i="32"/>
  <c r="AL86" i="32"/>
  <c r="AM86" i="32"/>
  <c r="AP86" i="32"/>
  <c r="AC38" i="24"/>
  <c r="AC39" i="24" s="1"/>
  <c r="AM38" i="24"/>
  <c r="AM39" i="24" s="1"/>
  <c r="AA8" i="30"/>
  <c r="AB8" i="30"/>
  <c r="AC8" i="30"/>
  <c r="AE8" i="30"/>
  <c r="C13" i="30"/>
  <c r="D13" i="30"/>
  <c r="E13" i="30"/>
  <c r="F13" i="30"/>
  <c r="G13" i="30"/>
  <c r="H13" i="30"/>
  <c r="I13" i="30"/>
  <c r="K13" i="30"/>
  <c r="L13" i="30"/>
  <c r="M13" i="30"/>
  <c r="N13" i="30"/>
  <c r="O13" i="30"/>
  <c r="P13" i="30"/>
  <c r="Q13" i="30"/>
  <c r="R13" i="30"/>
  <c r="S13" i="30"/>
  <c r="T13" i="30"/>
  <c r="U13" i="30"/>
  <c r="V13" i="30"/>
  <c r="W13" i="30"/>
  <c r="X13" i="30"/>
  <c r="Y13" i="30"/>
  <c r="Z13" i="30"/>
  <c r="AA13" i="30"/>
  <c r="AB13" i="30"/>
  <c r="AC13" i="30"/>
  <c r="J15" i="30"/>
  <c r="J13" i="30" s="1"/>
  <c r="AB6" i="30"/>
  <c r="AB5" i="30" s="1"/>
  <c r="AC6" i="30"/>
  <c r="AC5" i="30" s="1"/>
  <c r="X21" i="30"/>
  <c r="X26" i="30" s="1"/>
  <c r="AA22" i="30"/>
  <c r="AA26" i="30" s="1"/>
  <c r="AB22" i="30"/>
  <c r="AB26" i="30" s="1"/>
  <c r="AC22" i="30"/>
  <c r="AC26" i="30" s="1"/>
  <c r="AE22" i="30"/>
  <c r="AE26" i="30" s="1"/>
  <c r="O23" i="30"/>
  <c r="O26" i="30" s="1"/>
  <c r="C26" i="30"/>
  <c r="D26" i="30"/>
  <c r="E26" i="30"/>
  <c r="F26" i="30"/>
  <c r="G26" i="30"/>
  <c r="H26" i="30"/>
  <c r="I26" i="30"/>
  <c r="J26" i="30"/>
  <c r="K26" i="30"/>
  <c r="L26" i="30"/>
  <c r="M26" i="30"/>
  <c r="N26" i="30"/>
  <c r="P26" i="30"/>
  <c r="Q26" i="30"/>
  <c r="R26" i="30"/>
  <c r="S26" i="30"/>
  <c r="T26" i="30"/>
  <c r="U26" i="30"/>
  <c r="V26" i="30"/>
  <c r="W26" i="30"/>
  <c r="Y26" i="30"/>
  <c r="Z26" i="30"/>
  <c r="AD26" i="30"/>
  <c r="AF26" i="30"/>
  <c r="AG26" i="30"/>
  <c r="AH26" i="30"/>
  <c r="AI26" i="30"/>
  <c r="AJ26" i="30"/>
  <c r="AK26" i="30"/>
  <c r="AL26" i="30"/>
  <c r="AM26" i="30"/>
  <c r="AN26" i="30"/>
  <c r="C28" i="30"/>
  <c r="D28" i="30"/>
  <c r="E28" i="30"/>
  <c r="F28" i="30"/>
  <c r="G28" i="30"/>
  <c r="H28" i="30"/>
  <c r="I28" i="30"/>
  <c r="J28" i="30"/>
  <c r="K28" i="30"/>
  <c r="L28" i="30"/>
  <c r="M28" i="30"/>
  <c r="N28" i="30"/>
  <c r="O28" i="30"/>
  <c r="P28" i="30"/>
  <c r="Q28" i="30"/>
  <c r="R28" i="30"/>
  <c r="S28" i="30"/>
  <c r="T28" i="30"/>
  <c r="U28" i="30"/>
  <c r="V28" i="30"/>
  <c r="W28" i="30"/>
  <c r="X28" i="30"/>
  <c r="Y28" i="30"/>
  <c r="Z28" i="30"/>
  <c r="AD28" i="30"/>
  <c r="AF28" i="30"/>
  <c r="AG28" i="30"/>
  <c r="AH28" i="30"/>
  <c r="AH33" i="30" s="1"/>
  <c r="AI28" i="30"/>
  <c r="AI33" i="30" s="1"/>
  <c r="AJ28" i="30"/>
  <c r="AK28" i="30"/>
  <c r="AL28" i="30"/>
  <c r="AM28" i="30"/>
  <c r="AM33" i="30" s="1"/>
  <c r="AN28" i="30"/>
  <c r="AN33" i="30" s="1"/>
  <c r="AA29" i="30"/>
  <c r="AB29" i="30"/>
  <c r="AC29" i="30"/>
  <c r="AE29" i="30"/>
  <c r="AA30" i="30"/>
  <c r="AB30" i="30"/>
  <c r="AC30" i="30"/>
  <c r="AE30" i="30"/>
  <c r="C31" i="30"/>
  <c r="D31" i="30"/>
  <c r="E31" i="30"/>
  <c r="F31" i="30"/>
  <c r="G31" i="30"/>
  <c r="H31" i="30"/>
  <c r="I31" i="30"/>
  <c r="J31" i="30"/>
  <c r="J33" i="30" s="1"/>
  <c r="K31" i="30"/>
  <c r="L31" i="30"/>
  <c r="M31" i="30"/>
  <c r="N31" i="30"/>
  <c r="N33" i="30" s="1"/>
  <c r="O31" i="30"/>
  <c r="P31" i="30"/>
  <c r="Q31" i="30"/>
  <c r="R31" i="30"/>
  <c r="S31" i="30"/>
  <c r="T31" i="30"/>
  <c r="U31" i="30"/>
  <c r="V31" i="30"/>
  <c r="V33" i="30" s="1"/>
  <c r="W31" i="30"/>
  <c r="X31" i="30"/>
  <c r="Y31" i="30"/>
  <c r="Z31" i="30"/>
  <c r="AA31" i="30"/>
  <c r="AB31" i="30"/>
  <c r="AC31" i="30"/>
  <c r="AD31" i="30"/>
  <c r="AD33" i="30" s="1"/>
  <c r="AE31" i="30"/>
  <c r="AF31" i="30"/>
  <c r="AG31" i="30"/>
  <c r="AG33" i="30"/>
  <c r="AJ31" i="30"/>
  <c r="AK31" i="30"/>
  <c r="AL31" i="30"/>
  <c r="M33" i="30"/>
  <c r="AB6" i="29"/>
  <c r="AC6" i="29"/>
  <c r="L7" i="29"/>
  <c r="L18" i="29" s="1"/>
  <c r="P7" i="29"/>
  <c r="P18" i="29" s="1"/>
  <c r="Q7" i="29"/>
  <c r="R7" i="29"/>
  <c r="S7" i="29"/>
  <c r="T7" i="29"/>
  <c r="U7" i="29"/>
  <c r="V7" i="29"/>
  <c r="W7" i="29"/>
  <c r="X7" i="29"/>
  <c r="Y7" i="29"/>
  <c r="Z7" i="29"/>
  <c r="AA7" i="29"/>
  <c r="AB7" i="29"/>
  <c r="AC7" i="29"/>
  <c r="AD7" i="29"/>
  <c r="AF7" i="29"/>
  <c r="AG7" i="29"/>
  <c r="K8" i="29"/>
  <c r="K18" i="29" s="1"/>
  <c r="N8" i="29"/>
  <c r="N18" i="29" s="1"/>
  <c r="O8" i="29"/>
  <c r="O18" i="29" s="1"/>
  <c r="Q8" i="29"/>
  <c r="Q18" i="29" s="1"/>
  <c r="R8" i="29"/>
  <c r="S8" i="29"/>
  <c r="T8" i="29"/>
  <c r="U8" i="29"/>
  <c r="V8" i="29"/>
  <c r="W8" i="29"/>
  <c r="X8" i="29"/>
  <c r="Y8" i="29"/>
  <c r="Z8" i="29"/>
  <c r="AA8" i="29"/>
  <c r="AB8" i="29"/>
  <c r="AB18" i="29" s="1"/>
  <c r="AB22" i="29" s="1"/>
  <c r="AC8" i="29"/>
  <c r="AD8" i="29"/>
  <c r="AD18" i="29" s="1"/>
  <c r="AD22" i="29" s="1"/>
  <c r="AE8" i="29"/>
  <c r="AE18" i="29" s="1"/>
  <c r="AE22" i="29" s="1"/>
  <c r="AF8" i="29"/>
  <c r="AF18" i="29" s="1"/>
  <c r="AF22" i="29" s="1"/>
  <c r="AG8" i="29"/>
  <c r="AH8" i="29"/>
  <c r="AH18" i="29" s="1"/>
  <c r="AH22" i="29" s="1"/>
  <c r="AI8" i="29"/>
  <c r="AI18" i="29" s="1"/>
  <c r="AI22" i="29" s="1"/>
  <c r="AJ8" i="29"/>
  <c r="AJ18" i="29" s="1"/>
  <c r="AJ22" i="29" s="1"/>
  <c r="AK8" i="29"/>
  <c r="AK18" i="29" s="1"/>
  <c r="AK22" i="29" s="1"/>
  <c r="AL8" i="29"/>
  <c r="AL18" i="29" s="1"/>
  <c r="AL22" i="29" s="1"/>
  <c r="AM8" i="29"/>
  <c r="AM18" i="29" s="1"/>
  <c r="AM22" i="29" s="1"/>
  <c r="AA9" i="29"/>
  <c r="W13" i="29"/>
  <c r="X13" i="29"/>
  <c r="Y13" i="29"/>
  <c r="Z13" i="29"/>
  <c r="E17" i="29"/>
  <c r="E18" i="29"/>
  <c r="W17" i="29"/>
  <c r="X17" i="29"/>
  <c r="Y17" i="29"/>
  <c r="Z17" i="29"/>
  <c r="AA17" i="29"/>
  <c r="C18" i="29"/>
  <c r="D18" i="29"/>
  <c r="F18" i="29"/>
  <c r="G18" i="29"/>
  <c r="H18" i="29"/>
  <c r="I18" i="29"/>
  <c r="I22" i="29"/>
  <c r="J18" i="29"/>
  <c r="M18" i="29"/>
  <c r="C20" i="29"/>
  <c r="C22" i="29"/>
  <c r="D20" i="29"/>
  <c r="E20" i="29"/>
  <c r="E22" i="29" s="1"/>
  <c r="F20" i="29"/>
  <c r="G20" i="29"/>
  <c r="G22" i="29" s="1"/>
  <c r="H20" i="29"/>
  <c r="I20" i="29"/>
  <c r="J20" i="29"/>
  <c r="K20" i="29"/>
  <c r="L20" i="29"/>
  <c r="M20" i="29"/>
  <c r="N20" i="29"/>
  <c r="O20" i="29"/>
  <c r="P20" i="29"/>
  <c r="Q20" i="29"/>
  <c r="R20" i="29"/>
  <c r="S20" i="29"/>
  <c r="T20" i="29"/>
  <c r="U20" i="29"/>
  <c r="V20" i="29"/>
  <c r="W6" i="28"/>
  <c r="X6" i="28"/>
  <c r="P12" i="28"/>
  <c r="Y12" i="28"/>
  <c r="K13" i="28"/>
  <c r="Y13" i="28"/>
  <c r="C17" i="28"/>
  <c r="D17" i="28"/>
  <c r="E17" i="28"/>
  <c r="G17" i="28"/>
  <c r="H17" i="28"/>
  <c r="I17" i="28"/>
  <c r="J17" i="28"/>
  <c r="K17" i="28"/>
  <c r="L17" i="28"/>
  <c r="M17" i="28"/>
  <c r="O17" i="28"/>
  <c r="P17" i="28"/>
  <c r="R17" i="28"/>
  <c r="S17" i="28"/>
  <c r="T17" i="28"/>
  <c r="U17" i="28"/>
  <c r="V17" i="28"/>
  <c r="W17" i="28"/>
  <c r="X17" i="28"/>
  <c r="G21" i="28"/>
  <c r="G26" i="28" s="1"/>
  <c r="H21" i="28"/>
  <c r="I21" i="28"/>
  <c r="J21" i="28"/>
  <c r="K21" i="28"/>
  <c r="K26" i="28" s="1"/>
  <c r="L21" i="28"/>
  <c r="M21" i="28"/>
  <c r="N21" i="28"/>
  <c r="W21" i="28"/>
  <c r="W26" i="28" s="1"/>
  <c r="X21" i="28"/>
  <c r="Y21" i="28"/>
  <c r="Z21" i="28"/>
  <c r="AA21" i="28"/>
  <c r="AB21" i="28"/>
  <c r="AC21" i="28"/>
  <c r="AD21" i="28"/>
  <c r="N26" i="28"/>
  <c r="C26" i="28"/>
  <c r="D26" i="28"/>
  <c r="E26" i="28"/>
  <c r="F26" i="28"/>
  <c r="H26" i="28"/>
  <c r="O26" i="28"/>
  <c r="P26" i="28"/>
  <c r="Q26" i="28"/>
  <c r="R26" i="28"/>
  <c r="S26" i="28"/>
  <c r="T26" i="28"/>
  <c r="U26" i="28"/>
  <c r="V26" i="28"/>
  <c r="AD26" i="28"/>
  <c r="AD28" i="28" s="1"/>
  <c r="AE26" i="28"/>
  <c r="AF26" i="28"/>
  <c r="AG26" i="28"/>
  <c r="AH26" i="28"/>
  <c r="AH28" i="28" s="1"/>
  <c r="AI26" i="28"/>
  <c r="AJ26" i="28"/>
  <c r="AK26" i="28"/>
  <c r="AL26" i="28"/>
  <c r="AM26" i="28"/>
  <c r="AN26" i="28"/>
  <c r="C8" i="25"/>
  <c r="C9" i="25" s="1"/>
  <c r="D9" i="25"/>
  <c r="E9" i="25"/>
  <c r="F9" i="25"/>
  <c r="G9" i="25"/>
  <c r="H9" i="25"/>
  <c r="I9" i="25"/>
  <c r="J9" i="25"/>
  <c r="K9" i="25"/>
  <c r="L9" i="25"/>
  <c r="M9" i="25"/>
  <c r="N9" i="25"/>
  <c r="O9" i="25"/>
  <c r="P9" i="25"/>
  <c r="Q9" i="25"/>
  <c r="R9" i="25"/>
  <c r="S9" i="25"/>
  <c r="T9" i="25"/>
  <c r="U9" i="25"/>
  <c r="V9" i="25"/>
  <c r="W9" i="25"/>
  <c r="X9" i="25"/>
  <c r="Y9" i="25"/>
  <c r="Z9" i="25"/>
  <c r="AA9" i="25"/>
  <c r="AB9" i="25"/>
  <c r="AC9" i="25"/>
  <c r="AD9" i="25"/>
  <c r="AE9" i="25"/>
  <c r="AE18" i="25" s="1"/>
  <c r="AF9" i="25"/>
  <c r="AG9" i="25"/>
  <c r="AH9" i="25"/>
  <c r="AI9" i="25"/>
  <c r="AJ9" i="25"/>
  <c r="AK9" i="25"/>
  <c r="AL9" i="25"/>
  <c r="AM9" i="25"/>
  <c r="AN9" i="25"/>
  <c r="E10" i="25"/>
  <c r="K10" i="25"/>
  <c r="L10" i="25"/>
  <c r="M10" i="25"/>
  <c r="N10" i="25"/>
  <c r="O10" i="25"/>
  <c r="P10" i="25"/>
  <c r="Q10" i="25"/>
  <c r="R10" i="25"/>
  <c r="S10" i="25"/>
  <c r="T10" i="25"/>
  <c r="T12" i="25" s="1"/>
  <c r="U10" i="25"/>
  <c r="V10" i="25"/>
  <c r="AE12" i="25"/>
  <c r="AF12" i="25"/>
  <c r="C11" i="25"/>
  <c r="C12" i="25" s="1"/>
  <c r="D11" i="25"/>
  <c r="D12" i="25" s="1"/>
  <c r="D18" i="25" s="1"/>
  <c r="E11" i="25"/>
  <c r="E12" i="25" s="1"/>
  <c r="F11" i="25"/>
  <c r="F12" i="25" s="1"/>
  <c r="G11" i="25"/>
  <c r="G12" i="25" s="1"/>
  <c r="H11" i="25"/>
  <c r="H12" i="25" s="1"/>
  <c r="I11" i="25"/>
  <c r="I12" i="25" s="1"/>
  <c r="I18" i="25" s="1"/>
  <c r="J11" i="25"/>
  <c r="J12" i="25" s="1"/>
  <c r="J18" i="25" s="1"/>
  <c r="K11" i="25"/>
  <c r="L11" i="25"/>
  <c r="M11" i="25"/>
  <c r="N11" i="25"/>
  <c r="N12" i="25" s="1"/>
  <c r="O11" i="25"/>
  <c r="P11" i="25"/>
  <c r="Q11" i="25"/>
  <c r="Q12" i="25"/>
  <c r="Q18" i="25" s="1"/>
  <c r="R11" i="25"/>
  <c r="S11" i="25"/>
  <c r="T11" i="25"/>
  <c r="U11" i="25"/>
  <c r="U12" i="25" s="1"/>
  <c r="V11" i="25"/>
  <c r="Y12" i="25"/>
  <c r="Y18" i="25" s="1"/>
  <c r="Y6" i="24" s="1"/>
  <c r="Z12" i="25"/>
  <c r="AI12" i="25"/>
  <c r="AJ12" i="25"/>
  <c r="AM12" i="25"/>
  <c r="AN12" i="25"/>
  <c r="T13" i="25"/>
  <c r="AA13" i="25"/>
  <c r="AB13" i="25"/>
  <c r="AC13" i="25"/>
  <c r="AE13" i="25"/>
  <c r="AF13" i="25"/>
  <c r="AA15" i="25"/>
  <c r="AB15" i="25"/>
  <c r="AC15" i="25"/>
  <c r="AE15" i="25"/>
  <c r="AI15" i="25"/>
  <c r="U16" i="25"/>
  <c r="V16" i="25"/>
  <c r="AA16" i="25"/>
  <c r="AB16" i="25"/>
  <c r="AC16" i="25"/>
  <c r="AE16" i="25"/>
  <c r="AI16" i="25"/>
  <c r="C7" i="24"/>
  <c r="D7" i="24"/>
  <c r="E7" i="24"/>
  <c r="F7" i="24"/>
  <c r="G7" i="24"/>
  <c r="H7" i="24"/>
  <c r="I7" i="24"/>
  <c r="J7" i="24"/>
  <c r="K7" i="24"/>
  <c r="L7" i="24"/>
  <c r="M7" i="24"/>
  <c r="N7" i="24"/>
  <c r="O7" i="24"/>
  <c r="P7" i="24"/>
  <c r="Q7" i="24"/>
  <c r="S7" i="24"/>
  <c r="T7" i="24"/>
  <c r="U7" i="24"/>
  <c r="V7" i="24"/>
  <c r="W7" i="24"/>
  <c r="X7" i="24"/>
  <c r="Y7" i="24"/>
  <c r="Z7" i="24"/>
  <c r="AA7" i="24"/>
  <c r="AB7" i="24"/>
  <c r="AC7" i="24"/>
  <c r="AD7" i="24"/>
  <c r="AE7" i="24"/>
  <c r="AG7" i="24"/>
  <c r="AI7" i="24"/>
  <c r="AJ7" i="24"/>
  <c r="AN7" i="24"/>
  <c r="AB21" i="25"/>
  <c r="AB8" i="24" s="1"/>
  <c r="AD21" i="25"/>
  <c r="AD8" i="24" s="1"/>
  <c r="J23" i="25"/>
  <c r="U25" i="25"/>
  <c r="AA25" i="25"/>
  <c r="AB25" i="25"/>
  <c r="AC25" i="25"/>
  <c r="AD25" i="25"/>
  <c r="AL7" i="24"/>
  <c r="AM7" i="24"/>
  <c r="C8" i="24"/>
  <c r="D8" i="24"/>
  <c r="E8" i="24"/>
  <c r="F8" i="24"/>
  <c r="G8" i="24"/>
  <c r="H8" i="24"/>
  <c r="I8" i="24"/>
  <c r="J8" i="24"/>
  <c r="K8" i="24"/>
  <c r="L8" i="24"/>
  <c r="M8" i="24"/>
  <c r="N8" i="24"/>
  <c r="O8" i="24"/>
  <c r="P8" i="24"/>
  <c r="Q8" i="24"/>
  <c r="R8" i="24"/>
  <c r="S8" i="24"/>
  <c r="T8" i="24"/>
  <c r="U8" i="24"/>
  <c r="V8" i="24"/>
  <c r="W8" i="24"/>
  <c r="X8" i="24"/>
  <c r="Y8" i="24"/>
  <c r="Z8" i="24"/>
  <c r="AA8" i="24"/>
  <c r="AC8" i="24"/>
  <c r="AE8" i="24"/>
  <c r="AF8" i="24"/>
  <c r="AG8" i="24"/>
  <c r="AH8" i="24"/>
  <c r="AI8" i="24"/>
  <c r="AJ8" i="24"/>
  <c r="AK8" i="24"/>
  <c r="AL8" i="24"/>
  <c r="AM8" i="24"/>
  <c r="AN8" i="24"/>
  <c r="Y16" i="24"/>
  <c r="Z16" i="24"/>
  <c r="AA16" i="24"/>
  <c r="AD16" i="24"/>
  <c r="AE16" i="24"/>
  <c r="AF16" i="24"/>
  <c r="AH16" i="24"/>
  <c r="AI16" i="24"/>
  <c r="AJ16" i="24"/>
  <c r="AL16" i="24"/>
  <c r="Z38" i="24"/>
  <c r="Z39" i="24" s="1"/>
  <c r="AG38" i="24"/>
  <c r="AG39" i="24" s="1"/>
  <c r="AK38" i="24"/>
  <c r="AK39" i="24" s="1"/>
  <c r="AL38" i="24"/>
  <c r="AL39" i="24" s="1"/>
  <c r="C39" i="24"/>
  <c r="D39" i="24"/>
  <c r="E39" i="24"/>
  <c r="F39" i="24"/>
  <c r="G39" i="24"/>
  <c r="H39" i="24"/>
  <c r="I39" i="24"/>
  <c r="J39" i="24"/>
  <c r="K39" i="24"/>
  <c r="L39" i="24"/>
  <c r="M39" i="24"/>
  <c r="N39" i="24"/>
  <c r="O39" i="24"/>
  <c r="P39" i="24"/>
  <c r="Q39" i="24"/>
  <c r="R39" i="24"/>
  <c r="S39" i="24"/>
  <c r="T39" i="24"/>
  <c r="U39" i="24"/>
  <c r="V39" i="24"/>
  <c r="W39" i="24"/>
  <c r="X39" i="24"/>
  <c r="C41" i="24"/>
  <c r="D41" i="24"/>
  <c r="E41" i="24"/>
  <c r="F41" i="24"/>
  <c r="G41" i="24"/>
  <c r="H41" i="24"/>
  <c r="I41" i="24"/>
  <c r="J41" i="24"/>
  <c r="K41" i="24"/>
  <c r="L41" i="24"/>
  <c r="M41" i="24"/>
  <c r="N41" i="24"/>
  <c r="O41" i="24"/>
  <c r="P41" i="24"/>
  <c r="Q41" i="24"/>
  <c r="R41" i="24"/>
  <c r="S41" i="24"/>
  <c r="T41" i="24"/>
  <c r="U41" i="24"/>
  <c r="V41" i="24"/>
  <c r="W41" i="24"/>
  <c r="X41" i="24"/>
  <c r="Y41" i="24"/>
  <c r="Z41" i="24"/>
  <c r="AA41" i="24"/>
  <c r="AB41" i="24"/>
  <c r="AC41" i="24"/>
  <c r="AD41" i="24"/>
  <c r="AE41" i="24"/>
  <c r="AF41" i="24"/>
  <c r="AG41" i="24"/>
  <c r="AH41" i="24"/>
  <c r="AI41" i="24"/>
  <c r="AJ41" i="24"/>
  <c r="AK41" i="24"/>
  <c r="AL41" i="24"/>
  <c r="AM41" i="24"/>
  <c r="AN41" i="24"/>
  <c r="C46" i="24"/>
  <c r="D46" i="24"/>
  <c r="E46" i="24"/>
  <c r="F46" i="24"/>
  <c r="G46" i="24"/>
  <c r="H46" i="24"/>
  <c r="I46" i="24"/>
  <c r="J46" i="24"/>
  <c r="K46" i="24"/>
  <c r="L46" i="24"/>
  <c r="M46" i="24"/>
  <c r="N46" i="24"/>
  <c r="O46" i="24"/>
  <c r="P46" i="24"/>
  <c r="Q46" i="24"/>
  <c r="R46" i="24"/>
  <c r="S46" i="24"/>
  <c r="T46" i="24"/>
  <c r="U46" i="24"/>
  <c r="V46" i="24"/>
  <c r="W46" i="24"/>
  <c r="X46" i="24"/>
  <c r="Y46" i="24"/>
  <c r="Z46" i="24"/>
  <c r="AA46" i="24"/>
  <c r="AB46" i="24"/>
  <c r="AC46" i="24"/>
  <c r="AD46" i="24"/>
  <c r="AE46" i="24"/>
  <c r="AF46" i="24"/>
  <c r="AG46" i="24"/>
  <c r="AH46" i="24"/>
  <c r="AI46" i="24"/>
  <c r="AJ46" i="24"/>
  <c r="AK46" i="24"/>
  <c r="AL46" i="24"/>
  <c r="AM46" i="24"/>
  <c r="C47" i="24"/>
  <c r="D47" i="24"/>
  <c r="E47" i="24"/>
  <c r="F47" i="24"/>
  <c r="G47" i="24"/>
  <c r="H47" i="24"/>
  <c r="I47" i="24"/>
  <c r="J47" i="24"/>
  <c r="K47" i="24"/>
  <c r="L47" i="24"/>
  <c r="M47" i="24"/>
  <c r="N47" i="24"/>
  <c r="O47" i="24"/>
  <c r="P47" i="24"/>
  <c r="Q47" i="24"/>
  <c r="R47" i="24"/>
  <c r="S47" i="24"/>
  <c r="T47" i="24"/>
  <c r="U47" i="24"/>
  <c r="V47" i="24"/>
  <c r="W47" i="24"/>
  <c r="X47" i="24"/>
  <c r="Y47" i="24"/>
  <c r="Z47" i="24"/>
  <c r="AA47" i="24"/>
  <c r="AB47" i="24"/>
  <c r="AC47" i="24"/>
  <c r="AD47" i="24"/>
  <c r="AE47" i="24"/>
  <c r="AF47" i="24"/>
  <c r="AG47" i="24"/>
  <c r="AO28" i="28"/>
  <c r="AG18" i="29"/>
  <c r="AG22" i="29" s="1"/>
  <c r="C37" i="32"/>
  <c r="C5" i="32"/>
  <c r="C13" i="32" s="1"/>
  <c r="AL37" i="32"/>
  <c r="AL41" i="32" s="1"/>
  <c r="AL24" i="32" s="1"/>
  <c r="AH37" i="32"/>
  <c r="AH41" i="32"/>
  <c r="AH24" i="32" s="1"/>
  <c r="AD37" i="32"/>
  <c r="AD41" i="32" s="1"/>
  <c r="AD24" i="32" s="1"/>
  <c r="Z37" i="32"/>
  <c r="Z41" i="32" s="1"/>
  <c r="Z24" i="32" s="1"/>
  <c r="V37" i="32"/>
  <c r="V41" i="32" s="1"/>
  <c r="V24" i="32" s="1"/>
  <c r="R37" i="32"/>
  <c r="R41" i="32"/>
  <c r="R24" i="32" s="1"/>
  <c r="N6" i="32"/>
  <c r="N5" i="32" s="1"/>
  <c r="N37" i="32"/>
  <c r="N41" i="32" s="1"/>
  <c r="N24" i="32" s="1"/>
  <c r="AJ10" i="32"/>
  <c r="AF10" i="32"/>
  <c r="AB10" i="32"/>
  <c r="X10" i="32"/>
  <c r="T10" i="32"/>
  <c r="P10" i="32"/>
  <c r="L10" i="32"/>
  <c r="H10" i="32"/>
  <c r="AA6" i="32"/>
  <c r="G91" i="32"/>
  <c r="G26" i="32" s="1"/>
  <c r="AE6" i="32"/>
  <c r="AE85" i="32"/>
  <c r="AE91" i="32"/>
  <c r="AE26" i="32" s="1"/>
  <c r="AK60" i="32"/>
  <c r="U60" i="32"/>
  <c r="AK6" i="32"/>
  <c r="C60" i="32"/>
  <c r="E6" i="32"/>
  <c r="E5" i="32" s="1"/>
  <c r="E37" i="32"/>
  <c r="E41" i="32" s="1"/>
  <c r="E24" i="32" s="1"/>
  <c r="AA15" i="32"/>
  <c r="W15" i="32"/>
  <c r="W14" i="32" s="1"/>
  <c r="S15" i="32"/>
  <c r="AE61" i="32"/>
  <c r="AI73" i="32"/>
  <c r="AI25" i="32" s="1"/>
  <c r="AA60" i="32"/>
  <c r="O6" i="32"/>
  <c r="O5" i="32" s="1"/>
  <c r="AI23" i="35"/>
  <c r="AA23" i="35"/>
  <c r="AA33" i="35" s="1"/>
  <c r="AA10" i="35" s="1"/>
  <c r="S23" i="35"/>
  <c r="S33" i="35"/>
  <c r="S10" i="35" s="1"/>
  <c r="K23" i="35"/>
  <c r="K33" i="35" s="1"/>
  <c r="K10" i="35" s="1"/>
  <c r="W56" i="41"/>
  <c r="W59" i="41"/>
  <c r="G54" i="41"/>
  <c r="G51" i="41" s="1"/>
  <c r="G59" i="41"/>
  <c r="G56" i="41" s="1"/>
  <c r="X59" i="41"/>
  <c r="X56" i="41"/>
  <c r="X54" i="41"/>
  <c r="H59" i="41"/>
  <c r="H56" i="41" s="1"/>
  <c r="H54" i="41"/>
  <c r="H51" i="41" s="1"/>
  <c r="AD6" i="35"/>
  <c r="AD8" i="35" s="1"/>
  <c r="Z6" i="35"/>
  <c r="Z8" i="35" s="1"/>
  <c r="V6" i="35"/>
  <c r="V8" i="35" s="1"/>
  <c r="R6" i="35"/>
  <c r="R8" i="35" s="1"/>
  <c r="N6" i="35"/>
  <c r="N8" i="35" s="1"/>
  <c r="J6" i="35"/>
  <c r="J8" i="35" s="1"/>
  <c r="AD57" i="41"/>
  <c r="AD56" i="41" s="1"/>
  <c r="Z56" i="41"/>
  <c r="V57" i="41"/>
  <c r="AM23" i="35"/>
  <c r="AM33" i="35"/>
  <c r="AM10" i="35" s="1"/>
  <c r="AK6" i="35"/>
  <c r="AK8" i="35" s="1"/>
  <c r="AC6" i="35"/>
  <c r="AC8" i="35" s="1"/>
  <c r="Y6" i="35"/>
  <c r="Y8" i="35" s="1"/>
  <c r="U6" i="35"/>
  <c r="U8" i="35" s="1"/>
  <c r="M6" i="35"/>
  <c r="M8" i="35" s="1"/>
  <c r="AJ6" i="35"/>
  <c r="AJ8" i="35" s="1"/>
  <c r="AJ19" i="35"/>
  <c r="AJ9" i="35"/>
  <c r="AF6" i="35"/>
  <c r="AF8" i="35" s="1"/>
  <c r="AF19" i="35"/>
  <c r="AF9" i="35"/>
  <c r="AB19" i="35"/>
  <c r="AB9" i="35" s="1"/>
  <c r="X19" i="35"/>
  <c r="X9" i="35"/>
  <c r="T19" i="35"/>
  <c r="T9" i="35"/>
  <c r="P6" i="35"/>
  <c r="P8" i="35" s="1"/>
  <c r="P19" i="35"/>
  <c r="P9" i="35"/>
  <c r="L19" i="35"/>
  <c r="L9" i="35"/>
  <c r="H19" i="35"/>
  <c r="H9" i="35" s="1"/>
  <c r="C6" i="35"/>
  <c r="C8" i="35"/>
  <c r="AK19" i="35"/>
  <c r="AK9" i="35" s="1"/>
  <c r="AG19" i="35"/>
  <c r="AG9" i="35"/>
  <c r="AC19" i="35"/>
  <c r="AC9" i="35" s="1"/>
  <c r="Y19" i="35"/>
  <c r="Y9" i="35"/>
  <c r="U19" i="35"/>
  <c r="U9" i="35" s="1"/>
  <c r="Q19" i="35"/>
  <c r="Q9" i="35"/>
  <c r="M19" i="35"/>
  <c r="M9" i="35" s="1"/>
  <c r="I19" i="35"/>
  <c r="I9" i="35"/>
  <c r="E19" i="35"/>
  <c r="E9" i="35" s="1"/>
  <c r="C54" i="41"/>
  <c r="C51" i="41" s="1"/>
  <c r="S54" i="41"/>
  <c r="S51" i="41" s="1"/>
  <c r="AB57" i="41"/>
  <c r="AB56" i="41" s="1"/>
  <c r="L59" i="41"/>
  <c r="L56" i="41" s="1"/>
  <c r="O54" i="41"/>
  <c r="O51" i="41" s="1"/>
  <c r="P59" i="41"/>
  <c r="P56" i="41" s="1"/>
  <c r="AA57" i="41"/>
  <c r="K54" i="41"/>
  <c r="K51" i="41" s="1"/>
  <c r="T59" i="41"/>
  <c r="T56" i="41" s="1"/>
  <c r="D59" i="41"/>
  <c r="D56" i="41" s="1"/>
  <c r="AN10" i="32"/>
  <c r="Z57" i="41"/>
  <c r="AP60" i="32"/>
  <c r="AP73" i="32" s="1"/>
  <c r="AH38" i="24"/>
  <c r="AH39" i="24" s="1"/>
  <c r="AA38" i="24"/>
  <c r="AA39" i="24" s="1"/>
  <c r="AF38" i="24"/>
  <c r="AF39" i="24" s="1"/>
  <c r="AC12" i="25"/>
  <c r="AC28" i="30"/>
  <c r="AC33" i="30" s="1"/>
  <c r="Q28" i="28"/>
  <c r="AF26" i="32"/>
  <c r="AH45" i="32"/>
  <c r="AH60" i="32"/>
  <c r="AH6" i="32"/>
  <c r="Y45" i="32"/>
  <c r="Y60" i="32" s="1"/>
  <c r="Y73" i="32" s="1"/>
  <c r="Y25" i="32" s="1"/>
  <c r="Y6" i="32"/>
  <c r="AJ38" i="24"/>
  <c r="AJ39" i="24" s="1"/>
  <c r="AB38" i="24"/>
  <c r="AB39" i="24" s="1"/>
  <c r="F8" i="32"/>
  <c r="F20" i="32"/>
  <c r="AJ61" i="32"/>
  <c r="N60" i="32"/>
  <c r="P20" i="32"/>
  <c r="AH15" i="32"/>
  <c r="AH14" i="32"/>
  <c r="AD15" i="32"/>
  <c r="AD14" i="32" s="1"/>
  <c r="AL15" i="32"/>
  <c r="AM19" i="35"/>
  <c r="AM9" i="35" s="1"/>
  <c r="AI19" i="35"/>
  <c r="AI9" i="35" s="1"/>
  <c r="AI6" i="35"/>
  <c r="AI8" i="35" s="1"/>
  <c r="AE19" i="35"/>
  <c r="AE9" i="35" s="1"/>
  <c r="AA19" i="35"/>
  <c r="AA9" i="35" s="1"/>
  <c r="AA6" i="35"/>
  <c r="AA8" i="35" s="1"/>
  <c r="W19" i="35"/>
  <c r="W9" i="35" s="1"/>
  <c r="O19" i="35"/>
  <c r="O9" i="35" s="1"/>
  <c r="O6" i="35"/>
  <c r="O8" i="35" s="1"/>
  <c r="K19" i="35"/>
  <c r="K9" i="35" s="1"/>
  <c r="K6" i="35"/>
  <c r="K8" i="35" s="1"/>
  <c r="G19" i="35"/>
  <c r="G9" i="35" s="1"/>
  <c r="F60" i="32"/>
  <c r="F73" i="32" s="1"/>
  <c r="F25" i="32" s="1"/>
  <c r="AL20" i="32"/>
  <c r="S6" i="32"/>
  <c r="S5" i="32" s="1"/>
  <c r="S13" i="32" s="1"/>
  <c r="AD61" i="32"/>
  <c r="V59" i="41"/>
  <c r="R15" i="32"/>
  <c r="D10" i="32"/>
  <c r="U33" i="35"/>
  <c r="U10" i="35"/>
  <c r="N33" i="35"/>
  <c r="N10" i="35" s="1"/>
  <c r="E33" i="35"/>
  <c r="E10" i="35" s="1"/>
  <c r="J15" i="32"/>
  <c r="J14" i="32" s="1"/>
  <c r="F15" i="32"/>
  <c r="F14" i="32" s="1"/>
  <c r="R33" i="35"/>
  <c r="R10" i="35" s="1"/>
  <c r="O17" i="41"/>
  <c r="V15" i="32"/>
  <c r="V14" i="32"/>
  <c r="V33" i="35"/>
  <c r="V10" i="35" s="1"/>
  <c r="Y56" i="41"/>
  <c r="S17" i="41"/>
  <c r="AI17" i="41"/>
  <c r="O59" i="41"/>
  <c r="O56" i="41" s="1"/>
  <c r="R59" i="41"/>
  <c r="R56" i="41" s="1"/>
  <c r="M59" i="41"/>
  <c r="M56" i="41" s="1"/>
  <c r="M54" i="41"/>
  <c r="M51" i="41" s="1"/>
  <c r="AH5" i="32"/>
  <c r="AH73" i="32"/>
  <c r="AH25" i="32" s="1"/>
  <c r="Y5" i="32"/>
  <c r="Y13" i="32" s="1"/>
  <c r="AH7" i="24"/>
  <c r="AK7" i="24"/>
  <c r="AG12" i="25"/>
  <c r="AG18" i="25" s="1"/>
  <c r="P12" i="25"/>
  <c r="N61" i="32"/>
  <c r="J61" i="32"/>
  <c r="W53" i="32"/>
  <c r="Q60" i="32"/>
  <c r="Z14" i="32"/>
  <c r="L15" i="32"/>
  <c r="L14" i="32" s="1"/>
  <c r="E54" i="41"/>
  <c r="E51" i="41" s="1"/>
  <c r="AI6" i="32"/>
  <c r="AI5" i="32" s="1"/>
  <c r="Q10" i="32"/>
  <c r="G10" i="32"/>
  <c r="Y33" i="35"/>
  <c r="Y10" i="35"/>
  <c r="T54" i="41"/>
  <c r="T51" i="41" s="1"/>
  <c r="N54" i="41"/>
  <c r="N51" i="41" s="1"/>
  <c r="N59" i="41"/>
  <c r="N56" i="41" s="1"/>
  <c r="I54" i="41"/>
  <c r="I51" i="41" s="1"/>
  <c r="AJ15" i="32"/>
  <c r="V10" i="32"/>
  <c r="V13" i="32" s="1"/>
  <c r="V23" i="32" s="1"/>
  <c r="S6" i="35"/>
  <c r="S8" i="35" s="1"/>
  <c r="M33" i="35"/>
  <c r="M10" i="35"/>
  <c r="AM10" i="32"/>
  <c r="L54" i="41"/>
  <c r="L51" i="41" s="1"/>
  <c r="AG52" i="41"/>
  <c r="AG51" i="41" s="1"/>
  <c r="AG21" i="24" s="1"/>
  <c r="P54" i="41"/>
  <c r="P51" i="41" s="1"/>
  <c r="AN16" i="24"/>
  <c r="AA5" i="32"/>
  <c r="AB28" i="35"/>
  <c r="AB33" i="35"/>
  <c r="AB10" i="35" s="1"/>
  <c r="D28" i="35"/>
  <c r="D33" i="35" s="1"/>
  <c r="D10" i="35" s="1"/>
  <c r="AP23" i="35"/>
  <c r="AP33" i="35"/>
  <c r="AP10" i="35" s="1"/>
  <c r="I59" i="41"/>
  <c r="I56" i="41" s="1"/>
  <c r="AF7" i="24"/>
  <c r="U6" i="32"/>
  <c r="U5" i="32" s="1"/>
  <c r="U13" i="32" s="1"/>
  <c r="U85" i="32"/>
  <c r="U91" i="32" s="1"/>
  <c r="U26" i="32" s="1"/>
  <c r="K45" i="32"/>
  <c r="K60" i="32"/>
  <c r="AE5" i="32"/>
  <c r="E41" i="35"/>
  <c r="E11" i="35" s="1"/>
  <c r="H28" i="35"/>
  <c r="H6" i="35"/>
  <c r="H8" i="35" s="1"/>
  <c r="R7" i="24"/>
  <c r="AO41" i="35"/>
  <c r="AO11" i="35" s="1"/>
  <c r="AO6" i="35"/>
  <c r="AO8" i="35" s="1"/>
  <c r="AC85" i="32"/>
  <c r="AC91" i="32" s="1"/>
  <c r="AC26" i="32" s="1"/>
  <c r="F37" i="32"/>
  <c r="F41" i="32" s="1"/>
  <c r="F24" i="32" s="1"/>
  <c r="V85" i="32"/>
  <c r="V91" i="32"/>
  <c r="V26" i="32" s="1"/>
  <c r="V6" i="32"/>
  <c r="V5" i="32" s="1"/>
  <c r="AB45" i="32"/>
  <c r="AB60" i="32" s="1"/>
  <c r="AB6" i="32"/>
  <c r="AK5" i="32"/>
  <c r="P85" i="32"/>
  <c r="P91" i="32" s="1"/>
  <c r="P26" i="32" s="1"/>
  <c r="I53" i="32"/>
  <c r="I60" i="32" s="1"/>
  <c r="I73" i="32" s="1"/>
  <c r="I25" i="32" s="1"/>
  <c r="I6" i="32"/>
  <c r="I5" i="32" s="1"/>
  <c r="AD53" i="32"/>
  <c r="Z53" i="32"/>
  <c r="Z60" i="32" s="1"/>
  <c r="Z73" i="32" s="1"/>
  <c r="Z25" i="32" s="1"/>
  <c r="G45" i="32"/>
  <c r="G6" i="32"/>
  <c r="G5" i="32" s="1"/>
  <c r="L26" i="28"/>
  <c r="AL28" i="28"/>
  <c r="AK91" i="32"/>
  <c r="AK26" i="32" s="1"/>
  <c r="AB91" i="32"/>
  <c r="AB26" i="32" s="1"/>
  <c r="X61" i="32"/>
  <c r="X60" i="32"/>
  <c r="X73" i="32" s="1"/>
  <c r="X25" i="32" s="1"/>
  <c r="AJ41" i="32"/>
  <c r="AJ24" i="32" s="1"/>
  <c r="X26" i="28"/>
  <c r="X91" i="32"/>
  <c r="X26" i="32" s="1"/>
  <c r="Y41" i="32"/>
  <c r="Y24" i="32" s="1"/>
  <c r="AF15" i="32"/>
  <c r="P33" i="35"/>
  <c r="P10" i="35" s="1"/>
  <c r="E15" i="32"/>
  <c r="Z10" i="32"/>
  <c r="F10" i="32"/>
  <c r="T20" i="32"/>
  <c r="N15" i="32"/>
  <c r="N14" i="32" s="1"/>
  <c r="AF33" i="35"/>
  <c r="AF10" i="35" s="1"/>
  <c r="AC33" i="35"/>
  <c r="AC10" i="35" s="1"/>
  <c r="K59" i="41"/>
  <c r="K56" i="41" s="1"/>
  <c r="Z33" i="35"/>
  <c r="Z10" i="35" s="1"/>
  <c r="H33" i="35"/>
  <c r="H10" i="35" s="1"/>
  <c r="S59" i="41"/>
  <c r="S56" i="41" s="1"/>
  <c r="F59" i="41"/>
  <c r="F56" i="41" s="1"/>
  <c r="F54" i="41"/>
  <c r="F51" i="41" s="1"/>
  <c r="AB5" i="32"/>
  <c r="AB13" i="32" s="1"/>
  <c r="AO17" i="41"/>
  <c r="AQ33" i="35"/>
  <c r="AQ10" i="35"/>
  <c r="AQ6" i="35"/>
  <c r="AQ8" i="35" s="1"/>
  <c r="AN28" i="35"/>
  <c r="AN33" i="35" s="1"/>
  <c r="AN10" i="35" s="1"/>
  <c r="AM6" i="35"/>
  <c r="AM8" i="35"/>
  <c r="AQ91" i="32"/>
  <c r="AQ60" i="32"/>
  <c r="AN6" i="32"/>
  <c r="AP91" i="32"/>
  <c r="AO13" i="32"/>
  <c r="AE38" i="24"/>
  <c r="AE39" i="24" s="1"/>
  <c r="J85" i="32"/>
  <c r="J91" i="32" s="1"/>
  <c r="J26" i="32" s="1"/>
  <c r="J6" i="32"/>
  <c r="J5" i="32" s="1"/>
  <c r="J13" i="32" s="1"/>
  <c r="J23" i="32" s="1"/>
  <c r="AL6" i="35"/>
  <c r="AL8" i="35"/>
  <c r="AC18" i="29"/>
  <c r="AC22" i="29" s="1"/>
  <c r="AB61" i="32"/>
  <c r="AB73" i="32" s="1"/>
  <c r="AB25" i="32" s="1"/>
  <c r="Q61" i="32"/>
  <c r="Q73" i="32" s="1"/>
  <c r="Q25" i="32" s="1"/>
  <c r="M61" i="32"/>
  <c r="L6" i="32"/>
  <c r="L5" i="32"/>
  <c r="L13" i="32"/>
  <c r="L23" i="32" s="1"/>
  <c r="I26" i="28"/>
  <c r="S28" i="28"/>
  <c r="AB28" i="30"/>
  <c r="AB33" i="30" s="1"/>
  <c r="Q41" i="32"/>
  <c r="Q24" i="32" s="1"/>
  <c r="M41" i="32"/>
  <c r="M24" i="32" s="1"/>
  <c r="AC20" i="32"/>
  <c r="I20" i="32"/>
  <c r="I14" i="32"/>
  <c r="V54" i="41"/>
  <c r="AN20" i="32"/>
  <c r="AM17" i="41"/>
  <c r="K17" i="41"/>
  <c r="Q54" i="41"/>
  <c r="Q51" i="41" s="1"/>
  <c r="AN5" i="32"/>
  <c r="AN13" i="32" s="1"/>
  <c r="AF18" i="25"/>
  <c r="AF24" i="25" s="1"/>
  <c r="AR6" i="35"/>
  <c r="AR8" i="35" s="1"/>
  <c r="AR28" i="35"/>
  <c r="AR33" i="35" s="1"/>
  <c r="AR10" i="35" s="1"/>
  <c r="AR91" i="32"/>
  <c r="AR26" i="32" s="1"/>
  <c r="AR61" i="32"/>
  <c r="AR60" i="32"/>
  <c r="AR5" i="32"/>
  <c r="AR10" i="32"/>
  <c r="AR13" i="32" s="1"/>
  <c r="AR37" i="32"/>
  <c r="AR41" i="32" s="1"/>
  <c r="AR24" i="32" s="1"/>
  <c r="AR15" i="32"/>
  <c r="AS28" i="35"/>
  <c r="AS20" i="32"/>
  <c r="AS61" i="32"/>
  <c r="AS73" i="32" s="1"/>
  <c r="AS25" i="32" s="1"/>
  <c r="AS60" i="32"/>
  <c r="AS15" i="32"/>
  <c r="AS10" i="32"/>
  <c r="AS14" i="32"/>
  <c r="AP17" i="41" l="1"/>
  <c r="AS17" i="41"/>
  <c r="AO14" i="26"/>
  <c r="AO17" i="26" s="1"/>
  <c r="Y32" i="24"/>
  <c r="AT28" i="28"/>
  <c r="AT18" i="25"/>
  <c r="AT6" i="24" s="1"/>
  <c r="AT32" i="24" s="1"/>
  <c r="AP18" i="25"/>
  <c r="AP24" i="25" s="1"/>
  <c r="AP26" i="25" s="1"/>
  <c r="AP27" i="25" s="1"/>
  <c r="AP10" i="24" s="1"/>
  <c r="AP40" i="24" s="1"/>
  <c r="I14" i="42"/>
  <c r="I17" i="42" s="1"/>
  <c r="Q14" i="42"/>
  <c r="Q17" i="42" s="1"/>
  <c r="U28" i="28"/>
  <c r="P28" i="28"/>
  <c r="AP28" i="28"/>
  <c r="AK28" i="28"/>
  <c r="AG28" i="28"/>
  <c r="C28" i="28"/>
  <c r="D33" i="30"/>
  <c r="AE28" i="30"/>
  <c r="AE33" i="30" s="1"/>
  <c r="X33" i="30"/>
  <c r="T33" i="30"/>
  <c r="L33" i="30"/>
  <c r="H33" i="30"/>
  <c r="AJ33" i="30"/>
  <c r="S33" i="30"/>
  <c r="K33" i="30"/>
  <c r="AL33" i="30"/>
  <c r="Y33" i="30"/>
  <c r="I33" i="30"/>
  <c r="E33" i="30"/>
  <c r="O33" i="30"/>
  <c r="G33" i="30"/>
  <c r="C33" i="30"/>
  <c r="R33" i="30"/>
  <c r="G18" i="25"/>
  <c r="G6" i="24" s="1"/>
  <c r="AO12" i="25"/>
  <c r="AO18" i="25" s="1"/>
  <c r="AO6" i="24" s="1"/>
  <c r="AO32" i="24" s="1"/>
  <c r="AC18" i="25"/>
  <c r="AC24" i="25" s="1"/>
  <c r="J6" i="24"/>
  <c r="J32" i="24" s="1"/>
  <c r="AM28" i="28"/>
  <c r="D28" i="28"/>
  <c r="W28" i="28"/>
  <c r="V28" i="28"/>
  <c r="Z26" i="28"/>
  <c r="Z28" i="28" s="1"/>
  <c r="F28" i="28"/>
  <c r="AS18" i="25"/>
  <c r="AS24" i="25" s="1"/>
  <c r="AS26" i="25" s="1"/>
  <c r="AS27" i="25" s="1"/>
  <c r="AS10" i="24" s="1"/>
  <c r="AS40" i="24" s="1"/>
  <c r="Q22" i="29"/>
  <c r="AO18" i="29"/>
  <c r="AO22" i="29" s="1"/>
  <c r="W18" i="29"/>
  <c r="W22" i="29" s="1"/>
  <c r="AN18" i="29"/>
  <c r="AN22" i="29" s="1"/>
  <c r="T85" i="32"/>
  <c r="T91" i="32" s="1"/>
  <c r="T26" i="32" s="1"/>
  <c r="T6" i="32"/>
  <c r="T5" i="32" s="1"/>
  <c r="T13" i="32" s="1"/>
  <c r="AR23" i="32"/>
  <c r="AM73" i="32"/>
  <c r="AM25" i="32" s="1"/>
  <c r="AD45" i="32"/>
  <c r="AD6" i="32"/>
  <c r="AD10" i="32"/>
  <c r="D85" i="32"/>
  <c r="D91" i="32" s="1"/>
  <c r="D26" i="32" s="1"/>
  <c r="G6" i="35"/>
  <c r="G8" i="35" s="1"/>
  <c r="AA14" i="32"/>
  <c r="R6" i="32"/>
  <c r="R5" i="32" s="1"/>
  <c r="X15" i="32"/>
  <c r="AK15" i="32"/>
  <c r="AK14" i="32" s="1"/>
  <c r="AG23" i="35"/>
  <c r="AG33" i="35" s="1"/>
  <c r="AG10" i="35" s="1"/>
  <c r="AG6" i="35"/>
  <c r="AG8" i="35" s="1"/>
  <c r="K73" i="32"/>
  <c r="K25" i="32" s="1"/>
  <c r="AC17" i="32"/>
  <c r="AC68" i="32"/>
  <c r="AC61" i="32" s="1"/>
  <c r="AC73" i="32" s="1"/>
  <c r="AC25" i="32" s="1"/>
  <c r="H45" i="32"/>
  <c r="H60" i="32" s="1"/>
  <c r="H73" i="32" s="1"/>
  <c r="H25" i="32" s="1"/>
  <c r="H6" i="32"/>
  <c r="H5" i="32" s="1"/>
  <c r="H13" i="32" s="1"/>
  <c r="H23" i="32" s="1"/>
  <c r="AJ45" i="32"/>
  <c r="AJ60" i="32" s="1"/>
  <c r="AJ73" i="32" s="1"/>
  <c r="AJ25" i="32" s="1"/>
  <c r="AJ6" i="32"/>
  <c r="Q28" i="35"/>
  <c r="Q33" i="35" s="1"/>
  <c r="Q10" i="35" s="1"/>
  <c r="Q6" i="35"/>
  <c r="Q8" i="35" s="1"/>
  <c r="C85" i="32"/>
  <c r="C91" i="32" s="1"/>
  <c r="C26" i="32" s="1"/>
  <c r="AD60" i="32"/>
  <c r="AD73" i="32" s="1"/>
  <c r="AD25" i="32" s="1"/>
  <c r="N13" i="32"/>
  <c r="AA18" i="29"/>
  <c r="AA22" i="29" s="1"/>
  <c r="S18" i="29"/>
  <c r="S22" i="29" s="1"/>
  <c r="AG6" i="32"/>
  <c r="U20" i="32"/>
  <c r="AI15" i="32"/>
  <c r="AI14" i="32" s="1"/>
  <c r="P15" i="32"/>
  <c r="P14" i="32" s="1"/>
  <c r="Y28" i="41"/>
  <c r="Y17" i="41"/>
  <c r="AR73" i="32"/>
  <c r="AR25" i="32" s="1"/>
  <c r="J24" i="25"/>
  <c r="F6" i="35"/>
  <c r="F8" i="35" s="1"/>
  <c r="AM15" i="32"/>
  <c r="AP6" i="35"/>
  <c r="AP8" i="35" s="1"/>
  <c r="R10" i="32"/>
  <c r="R13" i="32" s="1"/>
  <c r="Y15" i="32"/>
  <c r="Y14" i="32" s="1"/>
  <c r="Y23" i="32" s="1"/>
  <c r="AB15" i="32"/>
  <c r="AB14" i="32" s="1"/>
  <c r="AB23" i="32" s="1"/>
  <c r="Z6" i="32"/>
  <c r="AL6" i="32"/>
  <c r="AK13" i="32"/>
  <c r="M45" i="32"/>
  <c r="M60" i="32" s="1"/>
  <c r="M73" i="32" s="1"/>
  <c r="M25" i="32" s="1"/>
  <c r="X28" i="35"/>
  <c r="X33" i="35" s="1"/>
  <c r="X10" i="35" s="1"/>
  <c r="AI38" i="24"/>
  <c r="AI39" i="24" s="1"/>
  <c r="AC17" i="41"/>
  <c r="P18" i="25"/>
  <c r="P24" i="25" s="1"/>
  <c r="P26" i="25" s="1"/>
  <c r="P27" i="25" s="1"/>
  <c r="P10" i="24" s="1"/>
  <c r="P40" i="24" s="1"/>
  <c r="Y26" i="28"/>
  <c r="N28" i="28"/>
  <c r="J26" i="28"/>
  <c r="Z18" i="29"/>
  <c r="Z22" i="29" s="1"/>
  <c r="AA28" i="30"/>
  <c r="AA33" i="30" s="1"/>
  <c r="W33" i="30"/>
  <c r="AF53" i="32"/>
  <c r="AF6" i="32"/>
  <c r="AM37" i="32"/>
  <c r="AM41" i="32" s="1"/>
  <c r="AM24" i="32" s="1"/>
  <c r="AM6" i="32"/>
  <c r="AC37" i="32"/>
  <c r="AC41" i="32" s="1"/>
  <c r="AC24" i="32" s="1"/>
  <c r="AC6" i="32"/>
  <c r="W37" i="32"/>
  <c r="W41" i="32" s="1"/>
  <c r="W24" i="32" s="1"/>
  <c r="W6" i="32"/>
  <c r="W5" i="32" s="1"/>
  <c r="S41" i="32"/>
  <c r="S24" i="32" s="1"/>
  <c r="O41" i="32"/>
  <c r="O24" i="32" s="1"/>
  <c r="AB20" i="32"/>
  <c r="X20" i="32"/>
  <c r="Q14" i="32"/>
  <c r="AB41" i="35"/>
  <c r="AB11" i="35" s="1"/>
  <c r="AB6" i="35"/>
  <c r="AB8" i="35" s="1"/>
  <c r="U73" i="32"/>
  <c r="U25" i="32" s="1"/>
  <c r="K22" i="29"/>
  <c r="AD38" i="24"/>
  <c r="AD39" i="24" s="1"/>
  <c r="W60" i="32"/>
  <c r="W73" i="32" s="1"/>
  <c r="W25" i="32" s="1"/>
  <c r="AH10" i="32"/>
  <c r="AH13" i="32"/>
  <c r="AH23" i="32" s="1"/>
  <c r="R14" i="32"/>
  <c r="F22" i="29"/>
  <c r="F6" i="32"/>
  <c r="F5" i="32" s="1"/>
  <c r="F13" i="32" s="1"/>
  <c r="F23" i="32" s="1"/>
  <c r="X41" i="32"/>
  <c r="X24" i="32" s="1"/>
  <c r="AE15" i="32"/>
  <c r="AE14" i="32" s="1"/>
  <c r="T15" i="32"/>
  <c r="T14" i="32" s="1"/>
  <c r="H15" i="32"/>
  <c r="H14" i="32" s="1"/>
  <c r="AG15" i="32"/>
  <c r="AG14" i="32" s="1"/>
  <c r="U14" i="32"/>
  <c r="U23" i="32" s="1"/>
  <c r="AE28" i="35"/>
  <c r="AE33" i="35" s="1"/>
  <c r="AE10" i="35" s="1"/>
  <c r="AE6" i="35"/>
  <c r="AE8" i="35" s="1"/>
  <c r="AH23" i="35"/>
  <c r="AH33" i="35" s="1"/>
  <c r="AH10" i="35" s="1"/>
  <c r="AH6" i="35"/>
  <c r="AH8" i="35" s="1"/>
  <c r="W23" i="35"/>
  <c r="W33" i="35" s="1"/>
  <c r="W10" i="35" s="1"/>
  <c r="W6" i="35"/>
  <c r="W8" i="35" s="1"/>
  <c r="AK28" i="41"/>
  <c r="AK52" i="41" s="1"/>
  <c r="AK51" i="41" s="1"/>
  <c r="AK21" i="24" s="1"/>
  <c r="AK17" i="41"/>
  <c r="AC6" i="24"/>
  <c r="AC32" i="24" s="1"/>
  <c r="N23" i="32"/>
  <c r="AF14" i="32"/>
  <c r="G13" i="32"/>
  <c r="I13" i="32"/>
  <c r="I23" i="32" s="1"/>
  <c r="P6" i="32"/>
  <c r="P5" i="32" s="1"/>
  <c r="P13" i="32" s="1"/>
  <c r="P23" i="32" s="1"/>
  <c r="K6" i="32"/>
  <c r="K5" i="32" s="1"/>
  <c r="K13" i="32" s="1"/>
  <c r="K23" i="32" s="1"/>
  <c r="D6" i="35"/>
  <c r="D8" i="35" s="1"/>
  <c r="AL14" i="32"/>
  <c r="Y38" i="24"/>
  <c r="Y39" i="24" s="1"/>
  <c r="AG17" i="41"/>
  <c r="L6" i="35"/>
  <c r="L8" i="35" s="1"/>
  <c r="T6" i="35"/>
  <c r="T8" i="35" s="1"/>
  <c r="I6" i="35"/>
  <c r="I8" i="35" s="1"/>
  <c r="AA73" i="32"/>
  <c r="AA25" i="32" s="1"/>
  <c r="X6" i="32"/>
  <c r="X5" i="32" s="1"/>
  <c r="X13" i="32" s="1"/>
  <c r="O12" i="25"/>
  <c r="O18" i="25" s="1"/>
  <c r="O24" i="25" s="1"/>
  <c r="J22" i="29"/>
  <c r="Z33" i="30"/>
  <c r="T61" i="32"/>
  <c r="T73" i="32" s="1"/>
  <c r="T25" i="32" s="1"/>
  <c r="L61" i="32"/>
  <c r="L73" i="32" s="1"/>
  <c r="L25" i="32" s="1"/>
  <c r="D37" i="32"/>
  <c r="D41" i="32" s="1"/>
  <c r="D24" i="32" s="1"/>
  <c r="D6" i="32"/>
  <c r="D5" i="32" s="1"/>
  <c r="D13" i="32" s="1"/>
  <c r="AE41" i="32"/>
  <c r="AE24" i="32" s="1"/>
  <c r="AB41" i="32"/>
  <c r="AB24" i="32" s="1"/>
  <c r="AI10" i="32"/>
  <c r="AI13" i="32" s="1"/>
  <c r="AI23" i="32" s="1"/>
  <c r="AA10" i="32"/>
  <c r="AA13" i="32" s="1"/>
  <c r="AA23" i="32" s="1"/>
  <c r="W10" i="32"/>
  <c r="O10" i="32"/>
  <c r="O13" i="32" s="1"/>
  <c r="O23" i="32" s="1"/>
  <c r="V12" i="25"/>
  <c r="K12" i="25"/>
  <c r="F18" i="25"/>
  <c r="AB26" i="28"/>
  <c r="AB28" i="28" s="1"/>
  <c r="T28" i="28"/>
  <c r="M22" i="29"/>
  <c r="V18" i="29"/>
  <c r="V22" i="29" s="1"/>
  <c r="R18" i="29"/>
  <c r="R22" i="29" s="1"/>
  <c r="U33" i="30"/>
  <c r="AA91" i="32"/>
  <c r="AA26" i="32" s="1"/>
  <c r="AL91" i="32"/>
  <c r="AL26" i="32" s="1"/>
  <c r="AI91" i="32"/>
  <c r="AI26" i="32" s="1"/>
  <c r="V60" i="32"/>
  <c r="V73" i="32" s="1"/>
  <c r="V25" i="32" s="1"/>
  <c r="G60" i="32"/>
  <c r="G73" i="32" s="1"/>
  <c r="G25" i="32" s="1"/>
  <c r="N73" i="32"/>
  <c r="N25" i="32" s="1"/>
  <c r="S14" i="32"/>
  <c r="S23" i="32" s="1"/>
  <c r="C41" i="32"/>
  <c r="C24" i="32" s="1"/>
  <c r="AJ28" i="28"/>
  <c r="Y28" i="28"/>
  <c r="P22" i="29"/>
  <c r="L22" i="29"/>
  <c r="D22" i="29"/>
  <c r="U18" i="29"/>
  <c r="U22" i="29" s="1"/>
  <c r="N22" i="29"/>
  <c r="AK33" i="30"/>
  <c r="Q33" i="30"/>
  <c r="F33" i="30"/>
  <c r="AF33" i="30"/>
  <c r="P33" i="30"/>
  <c r="S91" i="32"/>
  <c r="S26" i="32" s="1"/>
  <c r="AE60" i="32"/>
  <c r="AE73" i="32" s="1"/>
  <c r="AE25" i="32" s="1"/>
  <c r="AF41" i="32"/>
  <c r="AF24" i="32" s="1"/>
  <c r="Q20" i="32"/>
  <c r="R20" i="32"/>
  <c r="E10" i="32"/>
  <c r="E13" i="32" s="1"/>
  <c r="AS85" i="32"/>
  <c r="AS91" i="32" s="1"/>
  <c r="AS26" i="32" s="1"/>
  <c r="AS6" i="32"/>
  <c r="AD91" i="32"/>
  <c r="AD26" i="32" s="1"/>
  <c r="Y91" i="32"/>
  <c r="Y26" i="32" s="1"/>
  <c r="Q77" i="32"/>
  <c r="W91" i="32"/>
  <c r="W26" i="32" s="1"/>
  <c r="AK61" i="32"/>
  <c r="AK73" i="32" s="1"/>
  <c r="AK25" i="32" s="1"/>
  <c r="R61" i="32"/>
  <c r="R73" i="32" s="1"/>
  <c r="R25" i="32" s="1"/>
  <c r="S60" i="32"/>
  <c r="S73" i="32" s="1"/>
  <c r="S25" i="32" s="1"/>
  <c r="AI20" i="32"/>
  <c r="AA20" i="32"/>
  <c r="D20" i="32"/>
  <c r="D14" i="32" s="1"/>
  <c r="S20" i="32"/>
  <c r="I10" i="32"/>
  <c r="AC10" i="32"/>
  <c r="AD33" i="35"/>
  <c r="AD10" i="35" s="1"/>
  <c r="L33" i="35"/>
  <c r="L10" i="35" s="1"/>
  <c r="AN15" i="32"/>
  <c r="AN14" i="32" s="1"/>
  <c r="AN23" i="32" s="1"/>
  <c r="AS38" i="24"/>
  <c r="AS39" i="24" s="1"/>
  <c r="L91" i="32"/>
  <c r="L26" i="32" s="1"/>
  <c r="I91" i="32"/>
  <c r="I26" i="32" s="1"/>
  <c r="O91" i="32"/>
  <c r="O26" i="32" s="1"/>
  <c r="U61" i="32"/>
  <c r="T41" i="32"/>
  <c r="T24" i="32" s="1"/>
  <c r="P41" i="32"/>
  <c r="P24" i="32" s="1"/>
  <c r="G20" i="32"/>
  <c r="G14" i="32" s="1"/>
  <c r="C20" i="32"/>
  <c r="C14" i="32" s="1"/>
  <c r="C23" i="32" s="1"/>
  <c r="AJ20" i="32"/>
  <c r="AJ14" i="32" s="1"/>
  <c r="E20" i="32"/>
  <c r="E14" i="32" s="1"/>
  <c r="AL10" i="32"/>
  <c r="AE10" i="32"/>
  <c r="AE13" i="32" s="1"/>
  <c r="AE23" i="32" s="1"/>
  <c r="AQ18" i="25"/>
  <c r="AQ24" i="25" s="1"/>
  <c r="E14" i="42"/>
  <c r="E17" i="42" s="1"/>
  <c r="C14" i="26"/>
  <c r="C17" i="26" s="1"/>
  <c r="O14" i="26"/>
  <c r="O17" i="26" s="1"/>
  <c r="AJ33" i="35"/>
  <c r="AJ10" i="35" s="1"/>
  <c r="AN41" i="32"/>
  <c r="AN24" i="32" s="1"/>
  <c r="AN6" i="35"/>
  <c r="AN8" i="35" s="1"/>
  <c r="AO20" i="32"/>
  <c r="AO60" i="32"/>
  <c r="AO73" i="32" s="1"/>
  <c r="AO91" i="32"/>
  <c r="AQ20" i="32"/>
  <c r="AQ14" i="32" s="1"/>
  <c r="AQ23" i="32" s="1"/>
  <c r="AQ61" i="32"/>
  <c r="AQ73" i="32" s="1"/>
  <c r="AR20" i="32"/>
  <c r="AR14" i="32" s="1"/>
  <c r="AS41" i="32"/>
  <c r="AS24" i="32" s="1"/>
  <c r="AT15" i="32"/>
  <c r="AT14" i="32" s="1"/>
  <c r="M14" i="42"/>
  <c r="M17" i="42" s="1"/>
  <c r="U14" i="42"/>
  <c r="U17" i="42" s="1"/>
  <c r="AC14" i="42"/>
  <c r="AC17" i="42" s="1"/>
  <c r="AK14" i="42"/>
  <c r="AK17" i="42" s="1"/>
  <c r="AP17" i="42"/>
  <c r="G14" i="26"/>
  <c r="G17" i="26" s="1"/>
  <c r="AM14" i="26"/>
  <c r="AM17" i="26" s="1"/>
  <c r="E14" i="26"/>
  <c r="E17" i="26" s="1"/>
  <c r="M14" i="26"/>
  <c r="M17" i="26" s="1"/>
  <c r="G33" i="35"/>
  <c r="G10" i="35" s="1"/>
  <c r="AS24" i="35"/>
  <c r="AT60" i="32"/>
  <c r="AT73" i="32" s="1"/>
  <c r="AT25" i="32" s="1"/>
  <c r="AL5" i="42"/>
  <c r="AL14" i="42" s="1"/>
  <c r="AL17" i="42" s="1"/>
  <c r="W14" i="26"/>
  <c r="W17" i="26" s="1"/>
  <c r="AB14" i="26"/>
  <c r="AB17" i="26" s="1"/>
  <c r="AE14" i="26"/>
  <c r="AE17" i="26" s="1"/>
  <c r="AJ14" i="26"/>
  <c r="AJ17" i="26" s="1"/>
  <c r="AN14" i="26"/>
  <c r="AN17" i="26" s="1"/>
  <c r="AD5" i="32"/>
  <c r="AD13" i="32" s="1"/>
  <c r="AD23" i="32" s="1"/>
  <c r="Y24" i="25"/>
  <c r="AN18" i="25"/>
  <c r="AJ18" i="25"/>
  <c r="E18" i="25"/>
  <c r="AC26" i="28"/>
  <c r="AC28" i="28" s="1"/>
  <c r="M26" i="28"/>
  <c r="M28" i="28" s="1"/>
  <c r="X28" i="28"/>
  <c r="R28" i="28"/>
  <c r="L28" i="28"/>
  <c r="H28" i="28"/>
  <c r="H22" i="29"/>
  <c r="X18" i="29"/>
  <c r="X22" i="29" s="1"/>
  <c r="T18" i="29"/>
  <c r="T22" i="29" s="1"/>
  <c r="O60" i="32"/>
  <c r="O73" i="32" s="1"/>
  <c r="O25" i="32" s="1"/>
  <c r="K28" i="28"/>
  <c r="G28" i="28"/>
  <c r="AA18" i="25"/>
  <c r="AA24" i="25" s="1"/>
  <c r="M12" i="25"/>
  <c r="H18" i="25"/>
  <c r="H6" i="24" s="1"/>
  <c r="S12" i="25"/>
  <c r="S18" i="25" s="1"/>
  <c r="S6" i="24" s="1"/>
  <c r="L12" i="25"/>
  <c r="L18" i="25" s="1"/>
  <c r="AM18" i="25"/>
  <c r="AM24" i="25" s="1"/>
  <c r="AI18" i="25"/>
  <c r="AI28" i="28"/>
  <c r="AE28" i="28"/>
  <c r="AA26" i="28"/>
  <c r="AA28" i="28" s="1"/>
  <c r="O28" i="28"/>
  <c r="J28" i="28"/>
  <c r="E28" i="28"/>
  <c r="O22" i="29"/>
  <c r="R12" i="25"/>
  <c r="R18" i="25" s="1"/>
  <c r="Z18" i="25"/>
  <c r="AN28" i="28"/>
  <c r="AF28" i="28"/>
  <c r="I28" i="28"/>
  <c r="Y18" i="29"/>
  <c r="Y22" i="29" s="1"/>
  <c r="AL60" i="32"/>
  <c r="AL73" i="32" s="1"/>
  <c r="AL25" i="32" s="1"/>
  <c r="AI41" i="32"/>
  <c r="AI24" i="32" s="1"/>
  <c r="U41" i="32"/>
  <c r="U24" i="32" s="1"/>
  <c r="I33" i="35"/>
  <c r="I10" i="35" s="1"/>
  <c r="AN60" i="32"/>
  <c r="AN73" i="32" s="1"/>
  <c r="AN25" i="32" s="1"/>
  <c r="AF60" i="32"/>
  <c r="AF73" i="32" s="1"/>
  <c r="AF25" i="32" s="1"/>
  <c r="AP41" i="32"/>
  <c r="AO14" i="32"/>
  <c r="AO23" i="32" s="1"/>
  <c r="D61" i="32"/>
  <c r="D73" i="32" s="1"/>
  <c r="D25" i="32" s="1"/>
  <c r="AM20" i="32"/>
  <c r="AM14" i="32" s="1"/>
  <c r="AT33" i="35"/>
  <c r="AT10" i="35" s="1"/>
  <c r="AO33" i="35"/>
  <c r="AO10" i="35" s="1"/>
  <c r="AQ38" i="24"/>
  <c r="AQ39" i="24" s="1"/>
  <c r="AS6" i="35"/>
  <c r="AS8" i="35" s="1"/>
  <c r="AS23" i="35"/>
  <c r="AS33" i="35" s="1"/>
  <c r="AS10" i="35" s="1"/>
  <c r="X12" i="25"/>
  <c r="X18" i="25" s="1"/>
  <c r="X6" i="24" s="1"/>
  <c r="AB12" i="25"/>
  <c r="AB18" i="25" s="1"/>
  <c r="AB6" i="24" s="1"/>
  <c r="AB32" i="24" s="1"/>
  <c r="AD12" i="25"/>
  <c r="AH12" i="25"/>
  <c r="AH18" i="25" s="1"/>
  <c r="AH6" i="24" s="1"/>
  <c r="AH32" i="24" s="1"/>
  <c r="AL12" i="25"/>
  <c r="AL18" i="25" s="1"/>
  <c r="AL6" i="24" s="1"/>
  <c r="AL32" i="24" s="1"/>
  <c r="AT6" i="35"/>
  <c r="AT8" i="35" s="1"/>
  <c r="AT6" i="32"/>
  <c r="O6" i="24"/>
  <c r="O32" i="24" s="1"/>
  <c r="AK6" i="24"/>
  <c r="AK24" i="25"/>
  <c r="W6" i="24"/>
  <c r="W24" i="25"/>
  <c r="W26" i="25" s="1"/>
  <c r="W27" i="25" s="1"/>
  <c r="W10" i="24" s="1"/>
  <c r="W40" i="24" s="1"/>
  <c r="M18" i="25"/>
  <c r="AB24" i="25"/>
  <c r="AE24" i="25"/>
  <c r="AE9" i="24" s="1"/>
  <c r="AE6" i="24"/>
  <c r="AE32" i="24" s="1"/>
  <c r="P9" i="24"/>
  <c r="G24" i="25"/>
  <c r="S24" i="25"/>
  <c r="T18" i="25"/>
  <c r="X24" i="25"/>
  <c r="U18" i="25"/>
  <c r="AF26" i="25"/>
  <c r="AF27" i="25" s="1"/>
  <c r="AF10" i="24" s="1"/>
  <c r="AF40" i="24" s="1"/>
  <c r="AF9" i="24"/>
  <c r="P6" i="24"/>
  <c r="P32" i="24" s="1"/>
  <c r="AG24" i="25"/>
  <c r="AG6" i="24"/>
  <c r="AG32" i="24" s="1"/>
  <c r="AC26" i="25"/>
  <c r="AC27" i="25" s="1"/>
  <c r="AC10" i="24" s="1"/>
  <c r="AC40" i="24" s="1"/>
  <c r="AC9" i="24"/>
  <c r="AJ24" i="25"/>
  <c r="AJ6" i="24"/>
  <c r="AJ32" i="24" s="1"/>
  <c r="Q6" i="24"/>
  <c r="Q32" i="24" s="1"/>
  <c r="Q24" i="25"/>
  <c r="I6" i="24"/>
  <c r="I24" i="25"/>
  <c r="G32" i="24"/>
  <c r="G33" i="24"/>
  <c r="K18" i="25"/>
  <c r="AF6" i="24"/>
  <c r="AF32" i="24" s="1"/>
  <c r="L24" i="25"/>
  <c r="L6" i="24"/>
  <c r="L32" i="24" s="1"/>
  <c r="F6" i="24"/>
  <c r="F32" i="24" s="1"/>
  <c r="F24" i="25"/>
  <c r="D24" i="25"/>
  <c r="D9" i="24" s="1"/>
  <c r="D6" i="24"/>
  <c r="D32" i="24" s="1"/>
  <c r="AD18" i="25"/>
  <c r="Z24" i="25"/>
  <c r="Z9" i="24" s="1"/>
  <c r="Z6" i="24"/>
  <c r="Z32" i="24" s="1"/>
  <c r="V18" i="25"/>
  <c r="N18" i="25"/>
  <c r="C18" i="25"/>
  <c r="AR18" i="25"/>
  <c r="AR6" i="24" s="1"/>
  <c r="AR32" i="24" s="1"/>
  <c r="D26" i="25"/>
  <c r="D27" i="25" s="1"/>
  <c r="D10" i="24" s="1"/>
  <c r="D40" i="24" s="1"/>
  <c r="W57" i="41"/>
  <c r="X51" i="41"/>
  <c r="AN17" i="41"/>
  <c r="X17" i="41"/>
  <c r="AB17" i="41"/>
  <c r="AJ17" i="41"/>
  <c r="AF17" i="41"/>
  <c r="AA56" i="41"/>
  <c r="V51" i="41"/>
  <c r="Z52" i="41"/>
  <c r="AD17" i="41"/>
  <c r="Z17" i="41"/>
  <c r="V17" i="41"/>
  <c r="AQ17" i="41"/>
  <c r="AR17" i="41"/>
  <c r="Y57" i="41"/>
  <c r="AH17" i="41"/>
  <c r="AL17" i="41"/>
  <c r="AE17" i="41"/>
  <c r="W17" i="41"/>
  <c r="X57" i="41"/>
  <c r="AA17" i="41"/>
  <c r="AT17" i="41"/>
  <c r="AH52" i="41"/>
  <c r="AH51" i="41" s="1"/>
  <c r="AH21" i="24" s="1"/>
  <c r="W54" i="41"/>
  <c r="AO52" i="41"/>
  <c r="AO51" i="41" s="1"/>
  <c r="AO21" i="24" s="1"/>
  <c r="AA54" i="41"/>
  <c r="AJ52" i="41"/>
  <c r="AJ51" i="41" s="1"/>
  <c r="AJ21" i="24" s="1"/>
  <c r="AF52" i="41"/>
  <c r="AF51" i="41" s="1"/>
  <c r="AF21" i="24" s="1"/>
  <c r="AC52" i="41"/>
  <c r="AC51" i="41" s="1"/>
  <c r="AC21" i="24" s="1"/>
  <c r="AT52" i="41"/>
  <c r="AT51" i="41" s="1"/>
  <c r="AT21" i="24" s="1"/>
  <c r="Y54" i="41"/>
  <c r="AP9" i="24"/>
  <c r="AK32" i="24"/>
  <c r="P33" i="24"/>
  <c r="AS6" i="24"/>
  <c r="AS32" i="24" s="1"/>
  <c r="I32" i="24"/>
  <c r="AO24" i="25" l="1"/>
  <c r="AT24" i="25"/>
  <c r="AQ6" i="24"/>
  <c r="AT33" i="24" s="1"/>
  <c r="AM6" i="24"/>
  <c r="AM33" i="24" s="1"/>
  <c r="AP6" i="24"/>
  <c r="AP32" i="24" s="1"/>
  <c r="AS9" i="24"/>
  <c r="AR24" i="25"/>
  <c r="AR26" i="25" s="1"/>
  <c r="AR27" i="25" s="1"/>
  <c r="AR10" i="24" s="1"/>
  <c r="AR40" i="24" s="1"/>
  <c r="J33" i="24"/>
  <c r="H33" i="24"/>
  <c r="H32" i="24"/>
  <c r="X32" i="24"/>
  <c r="Z33" i="24"/>
  <c r="E23" i="32"/>
  <c r="J9" i="24"/>
  <c r="J26" i="25"/>
  <c r="J27" i="25" s="1"/>
  <c r="J10" i="24" s="1"/>
  <c r="J40" i="24" s="1"/>
  <c r="X14" i="32"/>
  <c r="AF5" i="32"/>
  <c r="AF13" i="32" s="1"/>
  <c r="AF23" i="32" s="1"/>
  <c r="AG5" i="32"/>
  <c r="AG13" i="32" s="1"/>
  <c r="AG23" i="32" s="1"/>
  <c r="AC16" i="24"/>
  <c r="AC15" i="32"/>
  <c r="AC14" i="32" s="1"/>
  <c r="D23" i="32"/>
  <c r="G23" i="32"/>
  <c r="AE33" i="24"/>
  <c r="AL24" i="25"/>
  <c r="I33" i="24"/>
  <c r="H24" i="25"/>
  <c r="H26" i="25" s="1"/>
  <c r="H27" i="25" s="1"/>
  <c r="H10" i="24" s="1"/>
  <c r="H40" i="24" s="1"/>
  <c r="AS5" i="32"/>
  <c r="AS13" i="32" s="1"/>
  <c r="AS23" i="32" s="1"/>
  <c r="X23" i="32"/>
  <c r="W13" i="32"/>
  <c r="W23" i="32" s="1"/>
  <c r="AM5" i="32"/>
  <c r="AM13" i="32" s="1"/>
  <c r="AM23" i="32" s="1"/>
  <c r="AL5" i="32"/>
  <c r="AL13" i="32" s="1"/>
  <c r="AL23" i="32" s="1"/>
  <c r="R23" i="32"/>
  <c r="AJ5" i="32"/>
  <c r="AJ13" i="32" s="1"/>
  <c r="AJ23" i="32" s="1"/>
  <c r="AC5" i="32"/>
  <c r="AC13" i="32" s="1"/>
  <c r="AK23" i="32"/>
  <c r="Q85" i="32"/>
  <c r="Q91" i="32" s="1"/>
  <c r="Q26" i="32" s="1"/>
  <c r="Q6" i="32"/>
  <c r="Q5" i="32" s="1"/>
  <c r="Q13" i="32" s="1"/>
  <c r="Q23" i="32" s="1"/>
  <c r="Z5" i="32"/>
  <c r="Z13" i="32" s="1"/>
  <c r="Z23" i="32" s="1"/>
  <c r="T23" i="32"/>
  <c r="S32" i="24"/>
  <c r="S33" i="24"/>
  <c r="Y33" i="24"/>
  <c r="AA6" i="24"/>
  <c r="AB33" i="24" s="1"/>
  <c r="AH24" i="25"/>
  <c r="AI24" i="25"/>
  <c r="AI6" i="24"/>
  <c r="Y9" i="24"/>
  <c r="Y26" i="25"/>
  <c r="Y27" i="25" s="1"/>
  <c r="Y10" i="24" s="1"/>
  <c r="Y40" i="24" s="1"/>
  <c r="AO9" i="24"/>
  <c r="AO26" i="25"/>
  <c r="AO27" i="25" s="1"/>
  <c r="AO10" i="24" s="1"/>
  <c r="AO40" i="24" s="1"/>
  <c r="AL33" i="24"/>
  <c r="E6" i="24"/>
  <c r="E32" i="24" s="1"/>
  <c r="E24" i="25"/>
  <c r="AT5" i="32"/>
  <c r="AT13" i="32" s="1"/>
  <c r="AT23" i="32" s="1"/>
  <c r="AN24" i="25"/>
  <c r="AN6" i="24"/>
  <c r="AH33" i="24"/>
  <c r="H9" i="24"/>
  <c r="O33" i="24"/>
  <c r="R6" i="24"/>
  <c r="R24" i="25"/>
  <c r="AD24" i="25"/>
  <c r="AD6" i="24"/>
  <c r="AG26" i="25"/>
  <c r="AG27" i="25" s="1"/>
  <c r="AG10" i="24" s="1"/>
  <c r="AG40" i="24" s="1"/>
  <c r="AG9" i="24"/>
  <c r="U6" i="24"/>
  <c r="U32" i="24" s="1"/>
  <c r="U24" i="25"/>
  <c r="G9" i="24"/>
  <c r="G26" i="25"/>
  <c r="G27" i="25" s="1"/>
  <c r="G10" i="24" s="1"/>
  <c r="G40" i="24" s="1"/>
  <c r="W32" i="24"/>
  <c r="X33" i="24"/>
  <c r="W33" i="24"/>
  <c r="O26" i="25"/>
  <c r="O27" i="25" s="1"/>
  <c r="O10" i="24" s="1"/>
  <c r="O40" i="24" s="1"/>
  <c r="O9" i="24"/>
  <c r="N6" i="24"/>
  <c r="N32" i="24" s="1"/>
  <c r="N24" i="25"/>
  <c r="F9" i="24"/>
  <c r="F26" i="25"/>
  <c r="F27" i="25" s="1"/>
  <c r="F10" i="24" s="1"/>
  <c r="F40" i="24" s="1"/>
  <c r="Q26" i="25"/>
  <c r="Q27" i="25" s="1"/>
  <c r="Q10" i="24" s="1"/>
  <c r="Q40" i="24" s="1"/>
  <c r="Q9" i="24"/>
  <c r="S26" i="25"/>
  <c r="S27" i="25" s="1"/>
  <c r="S10" i="24" s="1"/>
  <c r="S40" i="24" s="1"/>
  <c r="S9" i="24"/>
  <c r="Q33" i="24"/>
  <c r="Z26" i="25"/>
  <c r="Z27" i="25" s="1"/>
  <c r="Z10" i="24" s="1"/>
  <c r="Z40" i="24" s="1"/>
  <c r="V24" i="25"/>
  <c r="V6" i="24"/>
  <c r="V32" i="24" s="1"/>
  <c r="AF33" i="24"/>
  <c r="I26" i="25"/>
  <c r="I27" i="25" s="1"/>
  <c r="I10" i="24" s="1"/>
  <c r="I40" i="24" s="1"/>
  <c r="I9" i="24"/>
  <c r="T6" i="24"/>
  <c r="T24" i="25"/>
  <c r="AB9" i="24"/>
  <c r="AB26" i="25"/>
  <c r="AB27" i="25" s="1"/>
  <c r="AB10" i="24" s="1"/>
  <c r="AB40" i="24" s="1"/>
  <c r="AK26" i="25"/>
  <c r="AK27" i="25" s="1"/>
  <c r="AK10" i="24" s="1"/>
  <c r="AK40" i="24" s="1"/>
  <c r="AK9" i="24"/>
  <c r="AL26" i="25"/>
  <c r="AL27" i="25" s="1"/>
  <c r="AL10" i="24" s="1"/>
  <c r="AL40" i="24" s="1"/>
  <c r="AL9" i="24"/>
  <c r="AG33" i="24"/>
  <c r="W9" i="24"/>
  <c r="AE26" i="25"/>
  <c r="AE27" i="25" s="1"/>
  <c r="AE10" i="24" s="1"/>
  <c r="AE40" i="24" s="1"/>
  <c r="C24" i="25"/>
  <c r="C6" i="24"/>
  <c r="L26" i="25"/>
  <c r="L27" i="25" s="1"/>
  <c r="L10" i="24" s="1"/>
  <c r="L40" i="24" s="1"/>
  <c r="L9" i="24"/>
  <c r="K24" i="25"/>
  <c r="K6" i="24"/>
  <c r="AM26" i="25"/>
  <c r="AM27" i="25" s="1"/>
  <c r="AM10" i="24" s="1"/>
  <c r="AM40" i="24" s="1"/>
  <c r="AM9" i="24"/>
  <c r="AJ26" i="25"/>
  <c r="AJ27" i="25" s="1"/>
  <c r="AJ10" i="24" s="1"/>
  <c r="AJ40" i="24" s="1"/>
  <c r="AJ9" i="24"/>
  <c r="X9" i="24"/>
  <c r="X26" i="25"/>
  <c r="X27" i="25" s="1"/>
  <c r="X10" i="24" s="1"/>
  <c r="X40" i="24" s="1"/>
  <c r="M24" i="25"/>
  <c r="M6" i="24"/>
  <c r="M32" i="24" s="1"/>
  <c r="AA26" i="25"/>
  <c r="AA27" i="25" s="1"/>
  <c r="AA10" i="24" s="1"/>
  <c r="AA40" i="24" s="1"/>
  <c r="AA9" i="24"/>
  <c r="AA52" i="41"/>
  <c r="AA51" i="41"/>
  <c r="AA21" i="24" s="1"/>
  <c r="W52" i="41"/>
  <c r="W51" i="41"/>
  <c r="Y52" i="41"/>
  <c r="Y51" i="41"/>
  <c r="Y21" i="24" s="1"/>
  <c r="AT9" i="24"/>
  <c r="AT26" i="25"/>
  <c r="AT27" i="25" s="1"/>
  <c r="AT10" i="24" s="1"/>
  <c r="AT40" i="24" s="1"/>
  <c r="AQ33" i="24"/>
  <c r="AQ26" i="25"/>
  <c r="AQ27" i="25" s="1"/>
  <c r="AQ10" i="24" s="1"/>
  <c r="AQ40" i="24" s="1"/>
  <c r="AQ9" i="24"/>
  <c r="AM32" i="24" l="1"/>
  <c r="AQ32" i="24"/>
  <c r="AP33" i="24"/>
  <c r="AS33" i="24"/>
  <c r="AR33" i="24"/>
  <c r="AR9" i="24"/>
  <c r="AC23" i="32"/>
  <c r="AI32" i="24"/>
  <c r="AJ33" i="24"/>
  <c r="AK33" i="24"/>
  <c r="AI33" i="24"/>
  <c r="AN32" i="24"/>
  <c r="AO33" i="24"/>
  <c r="E26" i="25"/>
  <c r="E27" i="25" s="1"/>
  <c r="E10" i="24" s="1"/>
  <c r="E40" i="24" s="1"/>
  <c r="E9" i="24"/>
  <c r="AI9" i="24"/>
  <c r="AI26" i="25"/>
  <c r="AI27" i="25" s="1"/>
  <c r="AI10" i="24" s="1"/>
  <c r="AI40" i="24" s="1"/>
  <c r="AN33" i="24"/>
  <c r="AN26" i="25"/>
  <c r="AN27" i="25" s="1"/>
  <c r="AN10" i="24" s="1"/>
  <c r="AN40" i="24" s="1"/>
  <c r="AN9" i="24"/>
  <c r="AH9" i="24"/>
  <c r="AH26" i="25"/>
  <c r="AH27" i="25" s="1"/>
  <c r="AH10" i="24" s="1"/>
  <c r="AH40" i="24" s="1"/>
  <c r="AA32" i="24"/>
  <c r="AC33" i="24"/>
  <c r="AA33" i="24"/>
  <c r="N9" i="24"/>
  <c r="N26" i="25"/>
  <c r="N27" i="25" s="1"/>
  <c r="N10" i="24" s="1"/>
  <c r="N40" i="24" s="1"/>
  <c r="R33" i="24"/>
  <c r="R32" i="24"/>
  <c r="K33" i="24"/>
  <c r="M33" i="24"/>
  <c r="L33" i="24"/>
  <c r="K32" i="24"/>
  <c r="N33" i="24"/>
  <c r="C33" i="24"/>
  <c r="E33" i="24"/>
  <c r="D33" i="24"/>
  <c r="F33" i="24"/>
  <c r="C32" i="24"/>
  <c r="T9" i="24"/>
  <c r="T26" i="25"/>
  <c r="T27" i="25" s="1"/>
  <c r="T10" i="24" s="1"/>
  <c r="T40" i="24" s="1"/>
  <c r="U9" i="24"/>
  <c r="U26" i="25"/>
  <c r="U27" i="25" s="1"/>
  <c r="U10" i="24" s="1"/>
  <c r="U40" i="24" s="1"/>
  <c r="AD32" i="24"/>
  <c r="AD33" i="24"/>
  <c r="K9" i="24"/>
  <c r="K26" i="25"/>
  <c r="K27" i="25" s="1"/>
  <c r="K10" i="24" s="1"/>
  <c r="K40" i="24" s="1"/>
  <c r="T32" i="24"/>
  <c r="U33" i="24"/>
  <c r="T33" i="24"/>
  <c r="V33" i="24"/>
  <c r="AD9" i="24"/>
  <c r="AD26" i="25"/>
  <c r="AD27" i="25" s="1"/>
  <c r="AD10" i="24" s="1"/>
  <c r="AD40" i="24" s="1"/>
  <c r="M9" i="24"/>
  <c r="M26" i="25"/>
  <c r="M27" i="25" s="1"/>
  <c r="M10" i="24" s="1"/>
  <c r="M40" i="24" s="1"/>
  <c r="C26" i="25"/>
  <c r="C27" i="25" s="1"/>
  <c r="C10" i="24" s="1"/>
  <c r="C40" i="24" s="1"/>
  <c r="C9" i="24"/>
  <c r="V26" i="25"/>
  <c r="V27" i="25" s="1"/>
  <c r="V10" i="24" s="1"/>
  <c r="V40" i="24" s="1"/>
  <c r="V9" i="24"/>
  <c r="R26" i="25"/>
  <c r="R27" i="25" s="1"/>
  <c r="R10" i="24" s="1"/>
  <c r="R40" i="24" s="1"/>
  <c r="R9" i="24"/>
</calcChain>
</file>

<file path=xl/comments1.xml><?xml version="1.0" encoding="utf-8"?>
<comments xmlns="http://schemas.openxmlformats.org/spreadsheetml/2006/main">
  <authors>
    <author>Autor</author>
  </authors>
  <commentList>
    <comment ref="G11" authorId="0" shapeId="0">
      <text>
        <r>
          <rPr>
            <sz val="8"/>
            <color indexed="81"/>
            <rFont val="Tahoma"/>
            <family val="2"/>
            <charset val="238"/>
          </rPr>
          <t>Do końca 2007 roku Bank kalkulował bazę kapitałową oraz wymogi kapitałowe zgodnie z postanowieniami Basel I.
Począwszy od roku 2008 kalkulacja współczynnika odbywała się w oparciu o postanowienia Basel II.
By the end of 2007, the Bank had calculated capital base and capital requirements in accordance  with the provisions of Basel I.
Starting from2008, the rate calculation was based on the provisions of Basel II.</t>
        </r>
      </text>
    </comment>
    <comment ref="V11" authorId="0" shapeId="0">
      <text>
        <r>
          <rPr>
            <sz val="8"/>
            <color indexed="81"/>
            <rFont val="Tahoma"/>
            <family val="2"/>
            <charset val="238"/>
          </rPr>
          <t>Począwszy od grudnia 2011 Bank kalkuluje bazę kapitałową oraz wymóg kapitałowy z tytułu ryzyka kredytowego z wykorzystaniem metody zaawansowanej AIRB (wcześniej SA). 
W okresie przejściowym (do połowy roku 2013) w przypadku gdy wymóg kapitałowy z tytułu ryzyka kredytowego wg metody AIRB był niższy niż wg metody SA do obliczenia przyjmowało się metodę SA, przy czym bazę kapitałową (fundusze własne) przyjmowało się wg metody AIRB.
As of December 2011 the Bank calculates the capital base and capital requirement for credit risk using an advanced method AIRB (formerly SA).
During the transitional period (until mid-2013) for the capital requirement for credit risk computed with AIRB being lower than the capital requirement for credit risk computed using SA, the Bank should use in calculation SA method, while the capital base (own funds) should be met by AIRB.</t>
        </r>
      </text>
    </comment>
    <comment ref="AE11" authorId="0" shapeId="0">
      <text>
        <r>
          <rPr>
            <sz val="8"/>
            <color indexed="81"/>
            <rFont val="Tahoma"/>
            <family val="2"/>
            <charset val="238"/>
          </rPr>
          <t>Począwszy od roku 2014 kalkulacja łącznego współczynnika kapitałowego (dawniej  współczynnik wypłacalności) odbywa się w oparciu o postanowienia Basel III, z uwzględnieniem tzw. opcji narodowych według stanu dotychczasowego (np. wagi ryzyka dla kredytów hipotecznych).
Starting from 2014, the total capital ratio (solvency ratio previously) calculation is based on the provisions of Basel III, taking account of the so-called national options to-date (e.g. risk weights for mortgage loans).</t>
        </r>
      </text>
    </comment>
  </commentList>
</comments>
</file>

<file path=xl/sharedStrings.xml><?xml version="1.0" encoding="utf-8"?>
<sst xmlns="http://schemas.openxmlformats.org/spreadsheetml/2006/main" count="5129" uniqueCount="827">
  <si>
    <t xml:space="preserve"> - Koszty odsetek</t>
  </si>
  <si>
    <t>Wynik z tytułu odsetek</t>
  </si>
  <si>
    <t xml:space="preserve"> - Przychody z tytułu prowizji</t>
  </si>
  <si>
    <t xml:space="preserve"> - Koszty prowizji</t>
  </si>
  <si>
    <t>Wynik z tytułu prowizji</t>
  </si>
  <si>
    <t>Wynik na działalności podstawowej</t>
  </si>
  <si>
    <t xml:space="preserve">Zysk (strata) brutto </t>
  </si>
  <si>
    <t xml:space="preserve"> - Podatek dochodowy </t>
  </si>
  <si>
    <t>Zysk (strata) netto</t>
  </si>
  <si>
    <t xml:space="preserve">   - przypadający akcjonariuszom niekontrolującym</t>
  </si>
  <si>
    <t>SKONSOLIDOWANY RACHUNEK ZYSKÓW I STRAT
Grupy Kapitałowej ING Banku Śląskiego S.A.</t>
  </si>
  <si>
    <t>(w mln zł)</t>
  </si>
  <si>
    <t>A K T Y W A</t>
  </si>
  <si>
    <t xml:space="preserve">   - Kasa, środki w Banku Centralnym </t>
  </si>
  <si>
    <t xml:space="preserve">   - Kredyty i inne należności udzielone innym bankom</t>
  </si>
  <si>
    <t xml:space="preserve">   - Pochodne instrumenty zabezpieczające</t>
  </si>
  <si>
    <t xml:space="preserve">   - Kredyty i inne należności udzielone klientom</t>
  </si>
  <si>
    <t xml:space="preserve">   - Inne aktywa </t>
  </si>
  <si>
    <t>A k t y w a   r a z e m</t>
  </si>
  <si>
    <t>Z O B O W I Ą Z A N I A   I   K A P I T A Ł Y</t>
  </si>
  <si>
    <t>ZOBOWIĄZANIA</t>
  </si>
  <si>
    <t xml:space="preserve">   - Zobowiązania wobec innych banków</t>
  </si>
  <si>
    <t xml:space="preserve">   - Zobowiązania finansowe wyceniane do wartości godziwej przez rachunek zysków i strat</t>
  </si>
  <si>
    <t xml:space="preserve">   - Zobowiązania wobec klientów</t>
  </si>
  <si>
    <t xml:space="preserve">   - Rezerwy </t>
  </si>
  <si>
    <t xml:space="preserve">   - Inne zobowiązania </t>
  </si>
  <si>
    <t xml:space="preserve">Z o b o w i ą z a n i a  o g ó ł e m </t>
  </si>
  <si>
    <t xml:space="preserve">KAPITAŁY </t>
  </si>
  <si>
    <t xml:space="preserve">   - Kapitał zapasowy - nadwyżka ze sprzedaży akcji powyżej ich wartości nominalnej</t>
  </si>
  <si>
    <t xml:space="preserve">   - Zyski zatrzymane</t>
  </si>
  <si>
    <t>Kapitał własny przypadający akcjonariuszom ING Banku Śląskiego S.A.</t>
  </si>
  <si>
    <t xml:space="preserve">   - Udziały niekontrolujące</t>
  </si>
  <si>
    <t>K a p i t a ł y  w ł a s n e  o g ó ł e m</t>
  </si>
  <si>
    <t>Z o b o w i ą z a n i a  i  k a p i t a ł  w ł a s n y   r a z e m</t>
  </si>
  <si>
    <t>SKONSOLIDOWANE SPRAWOZDANIE Z SYTUACJI FINANSOWEJ
Grupy Kapitałowej ING Banku Śląskiego S.A.</t>
  </si>
  <si>
    <t>SKONSOLIDOWANY RACHUNEK ZYSKÓW I STRAT
Segment klientów detalicznych</t>
  </si>
  <si>
    <t>Przychody ogółem*</t>
  </si>
  <si>
    <t>Koszty ogółem</t>
  </si>
  <si>
    <t>*/ włączając udział w zyskach netto jednostek stowarzyszonych wykazywanych metodą praw własności</t>
  </si>
  <si>
    <t>SKONSOLIDOWANY RACHUNEK ZYSKÓW I STRAT
Segment bankowości korporacyjnej</t>
  </si>
  <si>
    <t>Razem przychody z tytułu odsetek</t>
  </si>
  <si>
    <t xml:space="preserve"> - wynik odsetkowy na instrumentach pochodnych</t>
  </si>
  <si>
    <t xml:space="preserve"> - inne</t>
  </si>
  <si>
    <t>Koszty odsetek</t>
  </si>
  <si>
    <t xml:space="preserve"> - odsetki od zobowiązań wobec innych banków</t>
  </si>
  <si>
    <t xml:space="preserve"> - odsetki od zobowiązań wobec klientów</t>
  </si>
  <si>
    <t>Razem koszty odsetek</t>
  </si>
  <si>
    <t xml:space="preserve">Wynik z tytułu prowizji </t>
  </si>
  <si>
    <t xml:space="preserve">Przychody z tytułu prowizji </t>
  </si>
  <si>
    <t>Razem przychody z tytułu prowizji</t>
  </si>
  <si>
    <t xml:space="preserve"> - marża transakcyjna na transakcjach wymiany walut</t>
  </si>
  <si>
    <t xml:space="preserve"> - pozostałe prowizje</t>
  </si>
  <si>
    <t xml:space="preserve">Koszty prowizji </t>
  </si>
  <si>
    <t>Wynik na instrumentach finansowych wycenianych przez rachunek zysków i strat oraz wynik z pozycji wymiany</t>
  </si>
  <si>
    <t>Wynik - pozostałe</t>
  </si>
  <si>
    <t xml:space="preserve">     - Wynik na instrumentach dłużnych</t>
  </si>
  <si>
    <t>Wynik z tytułu aktywów i zobowiązań finansowych wycenianych wg wartości godziwej przy początkowym ujęciu, w tym:</t>
  </si>
  <si>
    <t>Wynik na instrumentach kapitałowych dostępnych do sprzedaży</t>
  </si>
  <si>
    <t>Wynik na instrumentach dłużnych dostępnych do sprzedaży</t>
  </si>
  <si>
    <t>Przychody z tytułu dywidend</t>
  </si>
  <si>
    <t>Wynik na inwestycjach</t>
  </si>
  <si>
    <t>Rachunkowość zabezpieczeń wartości godziwej papierów wartościowych</t>
  </si>
  <si>
    <t>Rachunkowość zabezpieczeń przepływów pieniężnych</t>
  </si>
  <si>
    <t>Razem</t>
  </si>
  <si>
    <t xml:space="preserve">     - wycena transakcji zabezpieczanej </t>
  </si>
  <si>
    <t xml:space="preserve">     - wycena transakcji zabezpieczającej</t>
  </si>
  <si>
    <t xml:space="preserve">     - nieefektywność wynikająca z zabezpieczeń przepływów pieniężnych</t>
  </si>
  <si>
    <t>Wynik na rachunkowości zabezpieczeń</t>
  </si>
  <si>
    <t>Aktywa finansowe</t>
  </si>
  <si>
    <t>Aktywa finansowe przeznaczone do obrotu, w tym:</t>
  </si>
  <si>
    <t xml:space="preserve">     - instrumenty dłużne</t>
  </si>
  <si>
    <t xml:space="preserve">     - instrumenty kapitałowe</t>
  </si>
  <si>
    <t xml:space="preserve">     - transakcje z przyrzeczeniem odkupu (buy-sell-back)</t>
  </si>
  <si>
    <t>Aktywa finansowe dostępne do sprzedaży, w tym:</t>
  </si>
  <si>
    <t>Aktywa finansowe utrzymywane do terminu wymagalności, w tym:</t>
  </si>
  <si>
    <t>Kredyty i inne należności udzielone klientom</t>
  </si>
  <si>
    <t>Należności leasingowe</t>
  </si>
  <si>
    <t>Należności faktoringowe</t>
  </si>
  <si>
    <t>Pozostałe należności</t>
  </si>
  <si>
    <t>Razem (brutto)</t>
  </si>
  <si>
    <t>Odpis aktualizujący z tytułu utraty wartości, w tym:</t>
  </si>
  <si>
    <t xml:space="preserve">     - dotyczący kredytów i pożyczek</t>
  </si>
  <si>
    <t xml:space="preserve">     - dotyczący należności leasingowych</t>
  </si>
  <si>
    <t xml:space="preserve">     - dotyczący należności faktoringowych</t>
  </si>
  <si>
    <t>Kredyty i inne należności udzielone innym niż banki podmiotom sektora finansowego</t>
  </si>
  <si>
    <t>Kredyty i pożyczki, w tym:</t>
  </si>
  <si>
    <t xml:space="preserve">     - w rachunku bieżącym</t>
  </si>
  <si>
    <t xml:space="preserve">     - terminowe</t>
  </si>
  <si>
    <t>Razem (netto)</t>
  </si>
  <si>
    <t>Kredyty i inne należności udzielone podmiotom sektora niefinansowego</t>
  </si>
  <si>
    <t xml:space="preserve">     - dotyczący pozostałych należności</t>
  </si>
  <si>
    <t>Kredyty i inne należności udzielone podmiotom sektora instytucji rządowych i samorządowych</t>
  </si>
  <si>
    <t>Kredyty i inne należności udzielone klientom (netto), w tym:</t>
  </si>
  <si>
    <t xml:space="preserve">   - udzielone innym niż banki podmiotom sektora finansowego</t>
  </si>
  <si>
    <t xml:space="preserve">   - udzielone podmiotom sektora niefinansowego</t>
  </si>
  <si>
    <t xml:space="preserve">   - udzielone podmiotom sektora instytucji rządowych i samorządowych</t>
  </si>
  <si>
    <t>Działalność korporacyjna</t>
  </si>
  <si>
    <t>Zaangażowanie</t>
  </si>
  <si>
    <t xml:space="preserve">   - portfel bez przesłanki utraty wartości</t>
  </si>
  <si>
    <t xml:space="preserve">   - portfel z przesłanką utraty wartości</t>
  </si>
  <si>
    <t>Odpis aktualizujący z tytułu utraty wartości i rezerwy</t>
  </si>
  <si>
    <t xml:space="preserve">   - odpis dotyczący portfela bez przesłanki utraty wartości</t>
  </si>
  <si>
    <t xml:space="preserve">   - odpis dotyczący portfela z przesłanką utraty wartości</t>
  </si>
  <si>
    <t xml:space="preserve">   - rezerwy na zobowiązania pozabilansowe</t>
  </si>
  <si>
    <t>Działalność detaliczna</t>
  </si>
  <si>
    <t xml:space="preserve">   - dotyczący portfela bez przesłanki utraty wartości</t>
  </si>
  <si>
    <t xml:space="preserve">   - dotyczący portfela z przesłanką utraty wartości</t>
  </si>
  <si>
    <t>Zaangażowanie ogółem</t>
  </si>
  <si>
    <t>Odpis aktualizujący z tytułu utraty wartości i rezerwy ogółem, w tym:</t>
  </si>
  <si>
    <t xml:space="preserve">     - odpis aktualizujący z tytułu utraty wartości</t>
  </si>
  <si>
    <t xml:space="preserve">     - rezerwy na zobowiązania pozabilansowe</t>
  </si>
  <si>
    <t>Współczynnik pokrycia portfela ogółem</t>
  </si>
  <si>
    <t>Depozyty</t>
  </si>
  <si>
    <t>Pozostałe zobowiązania</t>
  </si>
  <si>
    <t>Zobowiązania wobec innych niż banki podmiotów sektora finansowego</t>
  </si>
  <si>
    <t>Depozyty, w tym:</t>
  </si>
  <si>
    <t xml:space="preserve">     - rachunki bieżące</t>
  </si>
  <si>
    <t xml:space="preserve">     - rachunki terminowe</t>
  </si>
  <si>
    <t xml:space="preserve">Razem </t>
  </si>
  <si>
    <t>Zobowiązania wobec podmiotów sektora niefinansowego</t>
  </si>
  <si>
    <t>Zobowiązania wobec podmiotów sektora instytucji rządowych i samorządowych</t>
  </si>
  <si>
    <t>Zobowiązania wobec klientów</t>
  </si>
  <si>
    <t>Razem zobowiązania wobec klientów, w tym:</t>
  </si>
  <si>
    <t xml:space="preserve">     - wobec innych niż banki podmiotów sektora finansowego</t>
  </si>
  <si>
    <t xml:space="preserve">     - wobec podmiotów sektora niefinansowego</t>
  </si>
  <si>
    <t xml:space="preserve">     - wobec podmiotów sektora instytucji rządowych i samorządowych</t>
  </si>
  <si>
    <t>Pozostałe informacje</t>
  </si>
  <si>
    <t>Zatrudnienie</t>
  </si>
  <si>
    <t xml:space="preserve"> - Zatrudnienie w Grupie Kapitałowej ING Banku Śląskiego S.A.</t>
  </si>
  <si>
    <t xml:space="preserve"> - Zatrudnienie w ING Banku Śląskim S.A.</t>
  </si>
  <si>
    <t>Liczba placówek Banku</t>
  </si>
  <si>
    <t>Karty płatnicze, z czego:</t>
  </si>
  <si>
    <t>Karty bankowe (w tys.)</t>
  </si>
  <si>
    <t>Koszty ryzyka</t>
  </si>
  <si>
    <t>Zysk brutto</t>
  </si>
  <si>
    <t>Suma bilansowa</t>
  </si>
  <si>
    <t>Zysk netto/Kapitały (ROE) w %</t>
  </si>
  <si>
    <t>Koszty/Dochody w %</t>
  </si>
  <si>
    <t>Zysk na 1 akcję w zł</t>
  </si>
  <si>
    <t>Liczba placówek</t>
  </si>
  <si>
    <t>Liczba pracowników</t>
  </si>
  <si>
    <t>Kluczowe informacje finansowe i biznesowe</t>
  </si>
  <si>
    <t>Podstawowe wskaźniki:</t>
  </si>
  <si>
    <t xml:space="preserve">Informacje dla inwestorów i akcjonariuszy: </t>
  </si>
  <si>
    <t>Kapitalizacja giełdowa</t>
  </si>
  <si>
    <t>Wynik finansowy:</t>
  </si>
  <si>
    <t>Wartość księgowa</t>
  </si>
  <si>
    <t>Kurs akcji w zł</t>
  </si>
  <si>
    <t>Pozostałe dane ilościowe:</t>
  </si>
  <si>
    <t>Liczba klientów detalicznych w tys</t>
  </si>
  <si>
    <t>Wartość księgowa na jedną akcję w zł</t>
  </si>
  <si>
    <t>1Q</t>
  </si>
  <si>
    <t>2Q</t>
  </si>
  <si>
    <t>3Q</t>
  </si>
  <si>
    <t>4Q</t>
  </si>
  <si>
    <t>CONSOLIDATED INCOME STATEMENT
of the ING Bank Śląski Group S.A.</t>
  </si>
  <si>
    <t>(PLN million)</t>
  </si>
  <si>
    <t xml:space="preserve"> - Interest income</t>
  </si>
  <si>
    <t xml:space="preserve"> - Interest expenses</t>
  </si>
  <si>
    <t>Net interest income</t>
  </si>
  <si>
    <t xml:space="preserve"> - Commission income</t>
  </si>
  <si>
    <t xml:space="preserve"> - Commission expenses</t>
  </si>
  <si>
    <t>Net commission income</t>
  </si>
  <si>
    <t>Result on basic activities</t>
  </si>
  <si>
    <t xml:space="preserve"> - General and administrative expenses</t>
  </si>
  <si>
    <t xml:space="preserve"> - Impairment losses and provisions for off-balance sheet liabilities</t>
  </si>
  <si>
    <t xml:space="preserve"> - Share in net profit (loss) of associated entities recognised under the equity method</t>
  </si>
  <si>
    <t>Profit (loss) before tax</t>
  </si>
  <si>
    <t xml:space="preserve"> - Income tax</t>
  </si>
  <si>
    <t>Net profit (loss) from continuing operations</t>
  </si>
  <si>
    <t xml:space="preserve"> - attributable to non-controlling interests</t>
  </si>
  <si>
    <t>CONSOLIDATED INCOME STATEMENT
Retail customers segment</t>
  </si>
  <si>
    <t>Revenue total*</t>
  </si>
  <si>
    <t>Share in net profit (loss) of associated entities recognised under the equity method</t>
  </si>
  <si>
    <t>Expenses total</t>
  </si>
  <si>
    <t>Risk cost</t>
  </si>
  <si>
    <t>*/ including the share in net profit of affiliated units shown using the method of ownership rights</t>
  </si>
  <si>
    <t>CONSOLIDATED STATEMENT OF FINANCIAL POSITION
of the ING Bank Śląski Group S.A.</t>
  </si>
  <si>
    <t xml:space="preserve"> - Cash in hand and balances with the Central Bank</t>
  </si>
  <si>
    <t xml:space="preserve"> - Loans and receivables to other banks</t>
  </si>
  <si>
    <t xml:space="preserve"> - Investments</t>
  </si>
  <si>
    <t xml:space="preserve"> - Derivative hedge instruments</t>
  </si>
  <si>
    <t xml:space="preserve"> - Loans and receivables to customers</t>
  </si>
  <si>
    <t xml:space="preserve"> - Investments in controlled entities recognised under the equity method</t>
  </si>
  <si>
    <t xml:space="preserve"> - Investment real estates</t>
  </si>
  <si>
    <t xml:space="preserve"> - Property, plant and equipment</t>
  </si>
  <si>
    <t xml:space="preserve"> - Intangible assets</t>
  </si>
  <si>
    <t xml:space="preserve"> - Property, plant and equipment held for sale</t>
  </si>
  <si>
    <t xml:space="preserve"> - Current income tax assets</t>
  </si>
  <si>
    <t xml:space="preserve"> - Deferred tax assets</t>
  </si>
  <si>
    <t xml:space="preserve"> - Other assets</t>
  </si>
  <si>
    <t>T o t a l   a s s e t s</t>
  </si>
  <si>
    <t>A S S E T S</t>
  </si>
  <si>
    <t>E Q U I T Y   A N D   L I A B I L I T I E S</t>
  </si>
  <si>
    <t>LIABILITIES</t>
  </si>
  <si>
    <t xml:space="preserve"> - Liabilities due to other banks</t>
  </si>
  <si>
    <t xml:space="preserve"> - Financial liabilities measured at fair value through profit and loss</t>
  </si>
  <si>
    <t xml:space="preserve"> - Liabilities due to customers</t>
  </si>
  <si>
    <t xml:space="preserve"> - Provisions</t>
  </si>
  <si>
    <t xml:space="preserve"> - Current income tax liabilities</t>
  </si>
  <si>
    <t xml:space="preserve"> - Deferred tax provision</t>
  </si>
  <si>
    <t xml:space="preserve"> - Other liabilities</t>
  </si>
  <si>
    <t>T o t a l   l i a b i l i t i e s</t>
  </si>
  <si>
    <t>EQUITY</t>
  </si>
  <si>
    <t xml:space="preserve"> - Share capital</t>
  </si>
  <si>
    <t xml:space="preserve"> - Supplementary capital - issuance of shares over nominal value</t>
  </si>
  <si>
    <t xml:space="preserve"> - Retained earnings</t>
  </si>
  <si>
    <t>Equity attributable to shareholders of ING Bank Śląski S.A.</t>
  </si>
  <si>
    <t xml:space="preserve"> - Non-controlling interests</t>
  </si>
  <si>
    <t>T o t a l   e q u i t y</t>
  </si>
  <si>
    <t>T o t a l   e q u i t y   a n d   l i a b i l i t i e s</t>
  </si>
  <si>
    <t xml:space="preserve"> - other</t>
  </si>
  <si>
    <t>Total interest income</t>
  </si>
  <si>
    <t>Interest expenses</t>
  </si>
  <si>
    <t>Total interest expenses</t>
  </si>
  <si>
    <t xml:space="preserve"> - commission related to brokerage activity</t>
  </si>
  <si>
    <t xml:space="preserve"> - commission related to keeping accounts</t>
  </si>
  <si>
    <t xml:space="preserve"> - commission related to payment and credit cards</t>
  </si>
  <si>
    <t xml:space="preserve"> - commission related to loans</t>
  </si>
  <si>
    <t xml:space="preserve"> - commission related to distribution of participation units</t>
  </si>
  <si>
    <t xml:space="preserve"> - fiduciary and custodian fees</t>
  </si>
  <si>
    <t xml:space="preserve"> - commission related to factoring agreements</t>
  </si>
  <si>
    <t xml:space="preserve"> - foreign commercial business</t>
  </si>
  <si>
    <t xml:space="preserve"> - commission related to subscription of structured products</t>
  </si>
  <si>
    <t xml:space="preserve"> - the transaction margin on currency exchange transactions</t>
  </si>
  <si>
    <t xml:space="preserve"> - Net income on debt instruments</t>
  </si>
  <si>
    <t>Net income on financial assets and liabilities measured at fair value upon initial recognition, of which:</t>
  </si>
  <si>
    <t>Net income on equity instruments available-for-sale</t>
  </si>
  <si>
    <t>Net income on debt instruments available-for-sale</t>
  </si>
  <si>
    <t>Dividend income</t>
  </si>
  <si>
    <t>Net income on investments</t>
  </si>
  <si>
    <t>Fair value hedge accounting for securities</t>
  </si>
  <si>
    <t xml:space="preserve"> - valuation of the hedged transaction</t>
  </si>
  <si>
    <t xml:space="preserve"> - valuation of the hedging transaction</t>
  </si>
  <si>
    <t>Cash flow hedge accounting</t>
  </si>
  <si>
    <t xml:space="preserve"> - ineffectiveness that arises from cash flow hedges</t>
  </si>
  <si>
    <t>Net income on hedge accounting</t>
  </si>
  <si>
    <t>Net income - other</t>
  </si>
  <si>
    <t>Financial assets</t>
  </si>
  <si>
    <t>Financial assets held for trading, of which:</t>
  </si>
  <si>
    <t xml:space="preserve"> - debt instruments</t>
  </si>
  <si>
    <t xml:space="preserve"> - equity instruments</t>
  </si>
  <si>
    <t xml:space="preserve"> - buy-sell-back transactions</t>
  </si>
  <si>
    <t>Available-for-sale financial assets, of which:</t>
  </si>
  <si>
    <t>Held-to-maturity financial assets, of which:</t>
  </si>
  <si>
    <t>Loans and receivables to customers</t>
  </si>
  <si>
    <t>Leasing receivables</t>
  </si>
  <si>
    <t>Factoring receivables</t>
  </si>
  <si>
    <t>Other receivables</t>
  </si>
  <si>
    <t>Total loans and receivables to customers (gross)</t>
  </si>
  <si>
    <t>Impairment losses, of which:</t>
  </si>
  <si>
    <t xml:space="preserve"> - concerning loans and advances</t>
  </si>
  <si>
    <t xml:space="preserve"> - concerning other receivables</t>
  </si>
  <si>
    <t>Total loans and receivables to customers (net), of which:</t>
  </si>
  <si>
    <t>Loans and other receivables to entities from the financial sector other than banks</t>
  </si>
  <si>
    <t>Loans and advances, of which:</t>
  </si>
  <si>
    <t xml:space="preserve"> - in the current account</t>
  </si>
  <si>
    <t xml:space="preserve"> - term ones</t>
  </si>
  <si>
    <t>Total (gross)</t>
  </si>
  <si>
    <t>Total (net)</t>
  </si>
  <si>
    <t>Loans and other receivables to entities from the non-financial sector</t>
  </si>
  <si>
    <t>Loans and other receivables to entities from the government and self-government institutions’ sector</t>
  </si>
  <si>
    <t>Corporate activity</t>
  </si>
  <si>
    <t>Exposure</t>
  </si>
  <si>
    <t xml:space="preserve"> - impaired</t>
  </si>
  <si>
    <t>Impairment losses and provisions</t>
  </si>
  <si>
    <t xml:space="preserve"> - related to unimpaired portfolio</t>
  </si>
  <si>
    <t xml:space="preserve"> - related to impaired portfolio</t>
  </si>
  <si>
    <t xml:space="preserve"> - provisions for off-balance sheet liabilities</t>
  </si>
  <si>
    <t/>
  </si>
  <si>
    <t>Impaired portfolio coverage ratio (%)</t>
  </si>
  <si>
    <t>Retail activity</t>
  </si>
  <si>
    <t>Total exposure</t>
  </si>
  <si>
    <t>Impairment losses and total provisions, of which:</t>
  </si>
  <si>
    <t xml:space="preserve"> - impairment losses</t>
  </si>
  <si>
    <t>Total portfolio coverage ratio</t>
  </si>
  <si>
    <t>Liabilities due to customers</t>
  </si>
  <si>
    <t>Deposits</t>
  </si>
  <si>
    <t>Other liabilities</t>
  </si>
  <si>
    <t>Total liabilities due to customers, of which:</t>
  </si>
  <si>
    <t>Liabilities due to entities from the financial sector other than banks</t>
  </si>
  <si>
    <t xml:space="preserve"> - current accounts</t>
  </si>
  <si>
    <t>Total</t>
  </si>
  <si>
    <t>Liabilities due to entities from the non-financial sector</t>
  </si>
  <si>
    <t>Liabilities due to entities from the government and self-government institutions’ sector</t>
  </si>
  <si>
    <t>Other information</t>
  </si>
  <si>
    <t>Headcount</t>
  </si>
  <si>
    <t xml:space="preserve"> - The headcount in the Capital Group</t>
  </si>
  <si>
    <t xml:space="preserve">     - Individuals</t>
  </si>
  <si>
    <t xml:space="preserve">     - FTEs</t>
  </si>
  <si>
    <t xml:space="preserve"> - The headcount in the ING Bank Śląski S.A.</t>
  </si>
  <si>
    <t>Number of outlets</t>
  </si>
  <si>
    <t>Banking cards (in thousands)</t>
  </si>
  <si>
    <t>Payment cards, of which:</t>
  </si>
  <si>
    <t xml:space="preserve"> - Debit cards</t>
  </si>
  <si>
    <t xml:space="preserve"> - Credit cards</t>
  </si>
  <si>
    <t xml:space="preserve"> - Other cards</t>
  </si>
  <si>
    <t>Key financial and business information</t>
  </si>
  <si>
    <t>Risk costs</t>
  </si>
  <si>
    <t>Gross profit</t>
  </si>
  <si>
    <t>Number of retail clients in thousands</t>
  </si>
  <si>
    <t>Number of employees</t>
  </si>
  <si>
    <t>Earnings per 1 share in PLN</t>
  </si>
  <si>
    <t>Net profit/ Balance sheet total (ROA) as %</t>
  </si>
  <si>
    <t>Net profit/ Equity (ROE) as %</t>
  </si>
  <si>
    <t>Cost /Income ratio (C/I) as %</t>
  </si>
  <si>
    <t>Balance sheet total</t>
  </si>
  <si>
    <t>BS:</t>
  </si>
  <si>
    <t>P&amp;L:</t>
  </si>
  <si>
    <t xml:space="preserve">     Loans</t>
  </si>
  <si>
    <t xml:space="preserve">     Leasing receivables</t>
  </si>
  <si>
    <t xml:space="preserve">     Factoring receivables</t>
  </si>
  <si>
    <t>Basic ratios:</t>
  </si>
  <si>
    <t>Other quantitative data:</t>
  </si>
  <si>
    <t>Net book value</t>
  </si>
  <si>
    <t>Information for investors and shareholders:</t>
  </si>
  <si>
    <t>Share price in PLN</t>
  </si>
  <si>
    <t>Net book value per share in PLN</t>
  </si>
  <si>
    <t>Market capitalisation</t>
  </si>
  <si>
    <t>Net income on financial instruments measured at fair value through profit or loss and FX result</t>
  </si>
  <si>
    <t>Result before risk costs</t>
  </si>
  <si>
    <t>Profit before tax</t>
  </si>
  <si>
    <t>Share of the impaired portfolio (%)</t>
  </si>
  <si>
    <t xml:space="preserve">   Personnel expenses</t>
  </si>
  <si>
    <t xml:space="preserve">   Depreciation</t>
  </si>
  <si>
    <t xml:space="preserve">   Other</t>
  </si>
  <si>
    <t xml:space="preserve"> - liabilities due to entities from the financial sector other than banks</t>
  </si>
  <si>
    <t xml:space="preserve"> - liabilities due to entities from the non-financial sector</t>
  </si>
  <si>
    <t xml:space="preserve"> - liabilities due to entities from the government and self-government
institutions’ sector</t>
  </si>
  <si>
    <t xml:space="preserve"> - loans and other receivables to entities from the financial sector
other than banks</t>
  </si>
  <si>
    <t xml:space="preserve"> - loans and other receivables to entities from the non-financial sector</t>
  </si>
  <si>
    <t xml:space="preserve"> - loans and other receivables to entities from the government
and self-government institutions’ sector</t>
  </si>
  <si>
    <t xml:space="preserve">   Kredyty </t>
  </si>
  <si>
    <t xml:space="preserve">   Należności leasingowe</t>
  </si>
  <si>
    <t xml:space="preserve">   Należności faktoringowe</t>
  </si>
  <si>
    <t>Zysk netto/suma bilansowa (ROA) w %</t>
  </si>
  <si>
    <t>Koszty/Dochody w % - narastająco</t>
  </si>
  <si>
    <t>-</t>
  </si>
  <si>
    <t xml:space="preserve"> - Wynik na inwestycjach</t>
  </si>
  <si>
    <t xml:space="preserve"> - Wynik na rachunkowości zabezpieczeń</t>
  </si>
  <si>
    <t xml:space="preserve"> - Wynik na pozostałej działalności podstawowej</t>
  </si>
  <si>
    <t xml:space="preserve"> - Koszty działania banku </t>
  </si>
  <si>
    <t xml:space="preserve">   - przypadający akcjonariuszom ING Banku Śląskiego S.A.</t>
  </si>
  <si>
    <t>udział w zyskach (stratach) netto jednostek stowarzyszonych wykazywanych metodą praw własności</t>
  </si>
  <si>
    <t>Wynik segmentu</t>
  </si>
  <si>
    <t>koszty ryzyka</t>
  </si>
  <si>
    <t>Wynik segmentu z uwzględnieniem kosztów ryzyka (wynik finansowy brutto)</t>
  </si>
  <si>
    <t xml:space="preserve">     - Wynik na wycenie lokat desygnowanych do wyceny według wartości godziwej</t>
  </si>
  <si>
    <t>Pozostałe</t>
  </si>
  <si>
    <t>Other</t>
  </si>
  <si>
    <t xml:space="preserve">   - Zobowiązania wobec Banku Centralnego</t>
  </si>
  <si>
    <t>Udział portfela zagrożonego utratą wartości bankowości korporacyjnej</t>
  </si>
  <si>
    <t>Współczynnik pokrycia portfela zagrożonego utratą wartości</t>
  </si>
  <si>
    <t>Udział portfela zagrożonego utratą wartości bankowości detalicznej</t>
  </si>
  <si>
    <t>Udział portfela zagrożonego utratą wartości</t>
  </si>
  <si>
    <t xml:space="preserve">     - lokaty</t>
  </si>
  <si>
    <t xml:space="preserve"> - term deposits</t>
  </si>
  <si>
    <t xml:space="preserve">     - w osobach</t>
  </si>
  <si>
    <t xml:space="preserve">     - w etatach</t>
  </si>
  <si>
    <t xml:space="preserve">     - karty debetowe</t>
  </si>
  <si>
    <t xml:space="preserve">     - karty kredytowe</t>
  </si>
  <si>
    <t xml:space="preserve">     - karty pozostałe</t>
  </si>
  <si>
    <t>FUNDUSZE WŁASNE</t>
  </si>
  <si>
    <t>A. Kapitały własne ze sprawozdania z sytuacji finansowej, w tym:</t>
  </si>
  <si>
    <t>B. Pozostałe składniki (pomniejszenia i zwiększenia) funduszy własnych, w tym:</t>
  </si>
  <si>
    <t xml:space="preserve">     B.I. Pozostałe składniki funduszy podstawowych:</t>
  </si>
  <si>
    <t xml:space="preserve">            - wartości niematerialne</t>
  </si>
  <si>
    <t xml:space="preserve">     B.II. Pozostałe składniki funduszy uzupełniających:</t>
  </si>
  <si>
    <t>WYMOGI KAPITAŁOWE</t>
  </si>
  <si>
    <t xml:space="preserve">   - Wymóg kapitałowy z tytułu ryzyka rozliczenia - dostawy</t>
  </si>
  <si>
    <t xml:space="preserve">   - Wymóg kapitałowy z tytułu ryzyka operacyjnego</t>
  </si>
  <si>
    <t xml:space="preserve">   - Wymóg kapitałowy z tytułu ryzyka ogólnego stóp procentowych</t>
  </si>
  <si>
    <t xml:space="preserve">   - Wymóg kapitałowy z tytułu przekroczenia limitu koncentracji zaangażowań </t>
  </si>
  <si>
    <t>Całkowity wymóg kapitałowy obliczony z zastosowaniem metody zaawansowanej (AIRB) do kalkulacji wymogu na ryzyko kredytowe</t>
  </si>
  <si>
    <t>Całkowity wymóg kapitałowy obliczony z zastosowaniem metody standardowej (SA) do kalkulacji wymogu na ryzyko kredytowe</t>
  </si>
  <si>
    <t>Dane bilansowe:</t>
  </si>
  <si>
    <t xml:space="preserve"> - Liabilities due to the Central Bank</t>
  </si>
  <si>
    <t xml:space="preserve"> - Net income on the measurement of the deposits designated to be measured at their fair value</t>
  </si>
  <si>
    <t>A. Own equity in the statement of financial position, of which:</t>
  </si>
  <si>
    <t>B. Other elements of own funds (decreases and increases), of which:</t>
  </si>
  <si>
    <t xml:space="preserve">     B.I. Other elements of tier 1 capital:</t>
  </si>
  <si>
    <t xml:space="preserve">     B.II. Other elements of tier 2 capital:</t>
  </si>
  <si>
    <t>CAPITAL REQUIREMENTS</t>
  </si>
  <si>
    <t xml:space="preserve">   - Capital requirement for the risk of settlement - delivery</t>
  </si>
  <si>
    <t xml:space="preserve">   - Capital requirement for operational risk</t>
  </si>
  <si>
    <t xml:space="preserve">   - Capital requirement for general interest rate risk</t>
  </si>
  <si>
    <t xml:space="preserve">   - Capital requirement due to exposure concentration limit overrun</t>
  </si>
  <si>
    <t xml:space="preserve"> - deposits</t>
  </si>
  <si>
    <t>Total capital requirement computed with Advanced Internal Rating-Based method (AIRB) for calculation of the credit risk requirement</t>
  </si>
  <si>
    <t>Total capital requirement computed with Standard Approach (SA) for calculation of the credit risk requirement</t>
  </si>
  <si>
    <t>TIER 1  ratio (SA)</t>
  </si>
  <si>
    <t>Cost /Income ratio (C/I) as % - cumulatively</t>
  </si>
  <si>
    <t>CONSOLIDATED INCOME STATEMENT
Corporate customers segment</t>
  </si>
  <si>
    <t>Net fees &amp; commission income</t>
  </si>
  <si>
    <t>Fees and commission income</t>
  </si>
  <si>
    <t>Total fees and comission income</t>
  </si>
  <si>
    <t>1Q - N/A</t>
  </si>
  <si>
    <t xml:space="preserve">1Q </t>
  </si>
  <si>
    <t>2007 - N/A</t>
  </si>
  <si>
    <t xml:space="preserve">Uwagi: </t>
  </si>
  <si>
    <t xml:space="preserve">Notes: </t>
  </si>
  <si>
    <t>OWN FUNDS</t>
  </si>
  <si>
    <t xml:space="preserve">     B.III. Kapitał krótkoterminowy</t>
  </si>
  <si>
    <t xml:space="preserve"> - odsetki od zobowiązań z tytułu emisji papierów wartościowych</t>
  </si>
  <si>
    <t>Impairment losses</t>
  </si>
  <si>
    <t>Odpisy z tytułu trwałej utraty wartości</t>
  </si>
  <si>
    <t xml:space="preserve">   - Zobowiązania z tytułu emisji papierów wartościowych</t>
  </si>
  <si>
    <t xml:space="preserve"> - Liabilities under issue of debt securities</t>
  </si>
  <si>
    <t xml:space="preserve">            - intangible assets</t>
  </si>
  <si>
    <t xml:space="preserve">     B.III. Tier 3 (short-term) capital</t>
  </si>
  <si>
    <t xml:space="preserve"> - odsetki od zobowiązań finansowych przeznaczonych do obrotu</t>
  </si>
  <si>
    <t xml:space="preserve"> - prowadzenie rachunków klientów</t>
  </si>
  <si>
    <t xml:space="preserve"> - karty płatnicze i kredytowe</t>
  </si>
  <si>
    <t xml:space="preserve"> - udzielanie kredytów</t>
  </si>
  <si>
    <t xml:space="preserve"> - dystrybucja jednostek uczestnictwa</t>
  </si>
  <si>
    <t xml:space="preserve"> - działalność maklerska</t>
  </si>
  <si>
    <t xml:space="preserve"> - działalność powiernicza</t>
  </si>
  <si>
    <t xml:space="preserve"> - usługi faktoringowe i leasingowe</t>
  </si>
  <si>
    <t xml:space="preserve"> - subskrypcja depozytów strukturyzowanych</t>
  </si>
  <si>
    <t xml:space="preserve"> - odsetki od aktywów finansowych dostepnych do sprzedaży</t>
  </si>
  <si>
    <t xml:space="preserve"> - odsetki od aktywów finansowych przeznaczonych do obrotu</t>
  </si>
  <si>
    <t xml:space="preserve"> - odsetki od aktywów finansowych utrzymywanych do terminu wymagalności</t>
  </si>
  <si>
    <t xml:space="preserve"> - odsetki od aktywów finansowych desygnowanych do wyceny do wartości godziwej przy początkowym ujęciu</t>
  </si>
  <si>
    <t xml:space="preserve">     - transakcje z przyrzeczeniem odkupu</t>
  </si>
  <si>
    <t>Współczynnik TIER 1</t>
  </si>
  <si>
    <t>Współczynnik TIER 1 - metoda standardowa (SA)</t>
  </si>
  <si>
    <t xml:space="preserve"> - oferowanie produktów ubezpieczeniowych</t>
  </si>
  <si>
    <t xml:space="preserve"> - commission related to insurance product offering</t>
  </si>
  <si>
    <t xml:space="preserve"> - repo transactions</t>
  </si>
  <si>
    <t>TIER 1 ratio</t>
  </si>
  <si>
    <t>Comparable data pro-forma</t>
  </si>
  <si>
    <t>Dane porównywalne pro-forma</t>
  </si>
  <si>
    <t xml:space="preserve">   - Uzupełnienie do ogólnego poziomu wymogów kapitałowych</t>
  </si>
  <si>
    <t>Podmioty gospodarcze, w tym:</t>
  </si>
  <si>
    <t xml:space="preserve"> - Depozyty, w tym:</t>
  </si>
  <si>
    <t xml:space="preserve"> - Pozostałe zobowiązania</t>
  </si>
  <si>
    <t>Gospodarstwa domowe, w tym:</t>
  </si>
  <si>
    <t>Euroobligacje</t>
  </si>
  <si>
    <t xml:space="preserve"> - Kredyty i pożyczki, w tym:</t>
  </si>
  <si>
    <t xml:space="preserve"> - Należności leasingowe</t>
  </si>
  <si>
    <t xml:space="preserve"> - Należności faktoringowe</t>
  </si>
  <si>
    <t xml:space="preserve"> - Pozostałe należności</t>
  </si>
  <si>
    <t xml:space="preserve"> - Podmioty gospodarcze, w tym:</t>
  </si>
  <si>
    <t xml:space="preserve"> - Gospodarstwa domowe, w tym:</t>
  </si>
  <si>
    <t>Portfel kredytowy, w tym:</t>
  </si>
  <si>
    <t xml:space="preserve"> - Kredyty i pożyczki</t>
  </si>
  <si>
    <t>Inne należności, w tym:</t>
  </si>
  <si>
    <t xml:space="preserve"> - Euroobligacje</t>
  </si>
  <si>
    <t xml:space="preserve"> - dotyczący portfela kredytowego, w tym:</t>
  </si>
  <si>
    <t xml:space="preserve">          - dotyczący kredytów i pożyczek</t>
  </si>
  <si>
    <t xml:space="preserve">          - dotyczący należności leasingowych</t>
  </si>
  <si>
    <t xml:space="preserve">          - dotyczący należności faktoringowych</t>
  </si>
  <si>
    <t>Portfolio of loans and receivables, of which:</t>
  </si>
  <si>
    <t xml:space="preserve"> - Loans and advances</t>
  </si>
  <si>
    <t xml:space="preserve"> - Leasing  receivables</t>
  </si>
  <si>
    <t xml:space="preserve"> - Factoring  receivables</t>
  </si>
  <si>
    <t>Other receivables, of which:</t>
  </si>
  <si>
    <t xml:space="preserve"> - T-eurobonds  </t>
  </si>
  <si>
    <t xml:space="preserve"> - Other</t>
  </si>
  <si>
    <t xml:space="preserve"> - concerning portfolio of loans and receivables, of which:</t>
  </si>
  <si>
    <t xml:space="preserve">          - concerning loans and advances</t>
  </si>
  <si>
    <t xml:space="preserve">          - concerning leasing receivables</t>
  </si>
  <si>
    <t xml:space="preserve">          - concerning factoring receivables</t>
  </si>
  <si>
    <t>Business entities, of which:</t>
  </si>
  <si>
    <t xml:space="preserve">     - in the current account</t>
  </si>
  <si>
    <t xml:space="preserve">     - term ones</t>
  </si>
  <si>
    <t>Households, of which:</t>
  </si>
  <si>
    <t xml:space="preserve"> - Business entities, of which:</t>
  </si>
  <si>
    <t xml:space="preserve"> - Households, of which:</t>
  </si>
  <si>
    <t xml:space="preserve"> - Loans and advances, of which:</t>
  </si>
  <si>
    <t xml:space="preserve"> - Other receivables</t>
  </si>
  <si>
    <t xml:space="preserve">     - concerning loans and advances</t>
  </si>
  <si>
    <t xml:space="preserve">     - concerning leasing receivables</t>
  </si>
  <si>
    <t xml:space="preserve">     - concerning factoring receivables</t>
  </si>
  <si>
    <t xml:space="preserve">     - concerning other receivables</t>
  </si>
  <si>
    <t>Leasing  receivables</t>
  </si>
  <si>
    <t>Factoring  receivables</t>
  </si>
  <si>
    <t>T-eurobonds</t>
  </si>
  <si>
    <t xml:space="preserve"> - Deposits, of which:</t>
  </si>
  <si>
    <t xml:space="preserve">     - current accounts</t>
  </si>
  <si>
    <t xml:space="preserve">   - Supplement to the overall level of capital requirements</t>
  </si>
  <si>
    <t>Łączny współczynnik kapitałowy</t>
  </si>
  <si>
    <t>Łączny współczynnik kapitałowy - metoda standardowa (SA)</t>
  </si>
  <si>
    <t>Fundusze własne przyjęte do kalkulacji łącznego współczynnika kapitałowego według metody zaawansowanej (AIRB)</t>
  </si>
  <si>
    <t xml:space="preserve">   - Fundusze własne podstawowe - Tier 1</t>
  </si>
  <si>
    <t xml:space="preserve">   - Fundusze własne uzupełniające - Tier 2</t>
  </si>
  <si>
    <t xml:space="preserve">   - Kapitał krótkoterminowy - Tier 3</t>
  </si>
  <si>
    <t>Fundusze własne przyjęte do kalkulacji łącznego współczynnika kapitałowego według metody standardowej (SA)</t>
  </si>
  <si>
    <t>Total capital ratio</t>
  </si>
  <si>
    <t>Total capital ratio (SA)</t>
  </si>
  <si>
    <t xml:space="preserve">            - zaangażowania kapitałowe banku w instytucje finansowe</t>
  </si>
  <si>
    <t xml:space="preserve">            - capital commitments in financial institutions</t>
  </si>
  <si>
    <t xml:space="preserve">            - amount of expected losses - only in AIRB method</t>
  </si>
  <si>
    <t>Own funds taken into account in total capital ratio calculation according to advanced method (AIRB)
(A.I. + A.II. + B.I. + B.II.), of which:</t>
  </si>
  <si>
    <t>Own funds taken into account in total capital ratio calculation according to standard method (SA)
(A.I. + A.II. + B.I. + B.II.), of which:</t>
  </si>
  <si>
    <t xml:space="preserve">   - Tier 3 (short-term) capital</t>
  </si>
  <si>
    <t xml:space="preserve">   - Tier 2 capital</t>
  </si>
  <si>
    <t xml:space="preserve">   - Tier 1 capital</t>
  </si>
  <si>
    <t>Total capital ratio (consolidated) as %</t>
  </si>
  <si>
    <t>Łączny współczynnik kapitałowy skonsolidowany w %</t>
  </si>
  <si>
    <t>Total capital ratio (standalone) as %</t>
  </si>
  <si>
    <t>Łączny współczynnik kapitałowy jednostkowy w %</t>
  </si>
  <si>
    <t xml:space="preserve">   - Inwestycje w jednostki stowarzyszone wyceniane metodą praw własności</t>
  </si>
  <si>
    <t xml:space="preserve">   - Aktywa trwałe przeznaczone do sprzedaży </t>
  </si>
  <si>
    <t xml:space="preserve">            - niedobór/nadwyżka korekt z tytułu ryzyka kredytowego wobec oczekiwanych strat według metody AIRB</t>
  </si>
  <si>
    <t xml:space="preserve">     - rachunki terminowe i oszczędnościowe</t>
  </si>
  <si>
    <t xml:space="preserve">     - term deposit and saving accounts</t>
  </si>
  <si>
    <t xml:space="preserve"> - Wynik na instrumentach finansowych wycenianych przez rachunek zysków i strat oraz wynik z pozycji wymiany</t>
  </si>
  <si>
    <t xml:space="preserve"> - Udział w zyskach netto jednostek stowarzyszonych wycenianych metodą praw własności</t>
  </si>
  <si>
    <t>Fees and commission expenses</t>
  </si>
  <si>
    <t xml:space="preserve">     - dotyczący euroobligacji</t>
  </si>
  <si>
    <t xml:space="preserve">          - dotyczący euroobligacji</t>
  </si>
  <si>
    <t xml:space="preserve">          - dotyczący pozostałych należności</t>
  </si>
  <si>
    <t xml:space="preserve"> - dotyczący pozostałych należności, w tym:</t>
  </si>
  <si>
    <t xml:space="preserve">          - concerning T-eurobonds  </t>
  </si>
  <si>
    <t xml:space="preserve">          - concerning other receivables</t>
  </si>
  <si>
    <t xml:space="preserve">     - concerning T-eurobonds  </t>
  </si>
  <si>
    <t xml:space="preserve"> - zagraniczne operacje handlowe</t>
  </si>
  <si>
    <t>Dłużne papiery wartościowe (noty)</t>
  </si>
  <si>
    <t xml:space="preserve">     - dotyczący dłużnych papierów wartościowych</t>
  </si>
  <si>
    <t xml:space="preserve"> - Dłużne papiery wartościowe (korporacyjne i komunalne)</t>
  </si>
  <si>
    <t xml:space="preserve">          - dotyczący dłużnych papierów wartościowych (korporacyjnych i komunalnych)</t>
  </si>
  <si>
    <t xml:space="preserve"> - Dłużne papiery wartościowe (obligacje korporacyjne i noty)</t>
  </si>
  <si>
    <t>Dłużne papiery wartościowe (obligacje komunalne)</t>
  </si>
  <si>
    <t xml:space="preserve">     - dotyczący dłużnych papierów wartościowych (obligacji komunalnych)</t>
  </si>
  <si>
    <t xml:space="preserve"> - Debt securities (corporate and municipal)</t>
  </si>
  <si>
    <t xml:space="preserve">          - concerning debt securities (corporate and municipal)</t>
  </si>
  <si>
    <t>Debt securities (notes)</t>
  </si>
  <si>
    <t xml:space="preserve"> - concerning debt securities</t>
  </si>
  <si>
    <t xml:space="preserve"> - Debt securities (corporate bonds and notes)</t>
  </si>
  <si>
    <t xml:space="preserve">     - concerning debt securities</t>
  </si>
  <si>
    <t>Debt securities (municipal bonds)</t>
  </si>
  <si>
    <t xml:space="preserve">     - concerning debt securities (municipal bonds)</t>
  </si>
  <si>
    <t>Łączny współczynnik kapitałowy - skonsolidowany</t>
  </si>
  <si>
    <t>Total capital ratio - consolidated</t>
  </si>
  <si>
    <t>- odsetki od zobowiązań podporządkowanych</t>
  </si>
  <si>
    <t>podatek od niektórych instytucji finansowych</t>
  </si>
  <si>
    <t xml:space="preserve">   - Zobowiązania podporządkowane</t>
  </si>
  <si>
    <t xml:space="preserve"> - Tax on certain financial institutions</t>
  </si>
  <si>
    <t>Tax on certain financial institutions</t>
  </si>
  <si>
    <t xml:space="preserve"> - Subordinated liabilities</t>
  </si>
  <si>
    <t xml:space="preserve">            - zobowiązania podporządkowane</t>
  </si>
  <si>
    <t xml:space="preserve">            - subordinated liabilities</t>
  </si>
  <si>
    <r>
      <t>Dane porównywalne pro-forma</t>
    </r>
    <r>
      <rPr>
        <b/>
        <sz val="10"/>
        <color indexed="12"/>
        <rFont val="Arial"/>
        <family val="2"/>
        <charset val="238"/>
      </rPr>
      <t/>
    </r>
  </si>
  <si>
    <r>
      <t>Comparable data pro-forma</t>
    </r>
    <r>
      <rPr>
        <b/>
        <sz val="10"/>
        <color indexed="12"/>
        <rFont val="Arial"/>
        <family val="2"/>
        <charset val="238"/>
      </rPr>
      <t/>
    </r>
  </si>
  <si>
    <r>
      <t>Comparable data pro-forma</t>
    </r>
    <r>
      <rPr>
        <b/>
        <sz val="12"/>
        <color indexed="12"/>
        <rFont val="Arial"/>
        <family val="2"/>
        <charset val="238"/>
      </rPr>
      <t/>
    </r>
  </si>
  <si>
    <t>Koszty</t>
  </si>
  <si>
    <t>Costs</t>
  </si>
  <si>
    <t xml:space="preserve">           -    korekta wartości z tytułu wymogów w zakresie ostrożnej wyceny</t>
  </si>
  <si>
    <r>
      <rPr>
        <b/>
        <sz val="12"/>
        <color indexed="10"/>
        <rFont val="ING Me"/>
        <charset val="238"/>
      </rPr>
      <t>Comparable data pro-forma</t>
    </r>
    <r>
      <rPr>
        <b/>
        <sz val="10"/>
        <color indexed="10"/>
        <rFont val="ING Me"/>
        <charset val="238"/>
      </rPr>
      <t xml:space="preserve">
</t>
    </r>
    <r>
      <rPr>
        <b/>
        <sz val="10"/>
        <color indexed="12"/>
        <rFont val="ING Me"/>
        <charset val="238"/>
      </rPr>
      <t>NOTE! - change in the layout</t>
    </r>
    <r>
      <rPr>
        <b/>
        <sz val="12"/>
        <color indexed="12"/>
        <rFont val="ING Me"/>
        <charset val="238"/>
      </rPr>
      <t xml:space="preserve">
</t>
    </r>
    <r>
      <rPr>
        <i/>
        <u/>
        <sz val="8"/>
        <color indexed="12"/>
        <rFont val="ING Me"/>
        <charset val="238"/>
      </rPr>
      <t>Row 25 added</t>
    </r>
  </si>
  <si>
    <t xml:space="preserve"> - Przychody z tytułu odsetek w tym</t>
  </si>
  <si>
    <t xml:space="preserve">    pozostałe przychody odsetkowe</t>
  </si>
  <si>
    <t xml:space="preserve"> - Odpisy z tytułu strat oczekiwanych</t>
  </si>
  <si>
    <t>Przychody odsetkowe od aktywów wycenianych w zamortyzowanym koszcie w tym:</t>
  </si>
  <si>
    <t xml:space="preserve"> - odsetki od kredytów i innych należności udzielonych innym bankom wycenianych zamortyzowanym kosztem</t>
  </si>
  <si>
    <t xml:space="preserve"> - odsetki od papierów wartościowych wycenianych zamortyzowanym kosztem</t>
  </si>
  <si>
    <t xml:space="preserve"> - odsetki od kredytów i innych należności udzielonych klientom wycenianych do wartości godziwej przez rachunek zysków i strat</t>
  </si>
  <si>
    <t xml:space="preserve"> - odsetki od papierów wartościowych wycenianych przez inne całkowite dochody</t>
  </si>
  <si>
    <t>Wynik na sprzedaży papierów wartościowych wycenianych wg zamortyzowanego kosztu</t>
  </si>
  <si>
    <t>Wynik na sprzedaży papierów wartościowych wycenianych w wartości godziwej przez inne całkowite dochody</t>
  </si>
  <si>
    <t>Pozostałe przychody odsetkowe tym</t>
  </si>
  <si>
    <t>Operating costs</t>
  </si>
  <si>
    <t>Koszty działania</t>
  </si>
  <si>
    <t>Koszty działania, w tym:</t>
  </si>
  <si>
    <t>Operating costs, of which:</t>
  </si>
  <si>
    <t xml:space="preserve">     - Personnel costs</t>
  </si>
  <si>
    <t xml:space="preserve">     - General and administrative costs</t>
  </si>
  <si>
    <t xml:space="preserve">     - Amortisation and depreciation</t>
  </si>
  <si>
    <t xml:space="preserve">     - Marketing and promotion costs</t>
  </si>
  <si>
    <t xml:space="preserve">     - Bank Guarantee Fund and Mortgage Support Fund costs</t>
  </si>
  <si>
    <t xml:space="preserve">     A.I. Kapitały własne ujęte w funduszach własnych</t>
  </si>
  <si>
    <t xml:space="preserve">     A.II. Kapitały własne nie ujęte w wyliczeniu funduszy własnych</t>
  </si>
  <si>
    <t xml:space="preserve">     A.I. Own equity included in own funds</t>
  </si>
  <si>
    <t xml:space="preserve">     A.II. Own equity excluded from own funds calculation</t>
  </si>
  <si>
    <t xml:space="preserve">           -    korekta w okresie przejściowym z tytułu dostosowania do wymogów MSSF 9</t>
  </si>
  <si>
    <t xml:space="preserve">            - adjustment in the transitional period due to adaptation to IFRS 9 requirements</t>
  </si>
  <si>
    <t xml:space="preserve">            - value adjustments due to the requirements for prudent valuation</t>
  </si>
  <si>
    <t>Total capital ratio (AIRB) - phase-in for IFRS 9</t>
  </si>
  <si>
    <t>Total capital ratio (AIRB) - fully loaded for IFRS 9</t>
  </si>
  <si>
    <t>Łączny współczynnik kapitałowy - metoda zaawansowana (AIRB) - bez okresu przejściowego dla MSSF 9</t>
  </si>
  <si>
    <t>TIER 1  ratio (AIRB) - phase-in for IFRS 9</t>
  </si>
  <si>
    <t>TIER 1  ratio (AIRB) - fully loaded for IFRS 9</t>
  </si>
  <si>
    <t>Współczynnik TIER 1 - metoda zaawansowana (AIRB) - bez okresu przejściowego dla MSSF 9</t>
  </si>
  <si>
    <t>Łączny współczynnik kapitałowy - metoda zaawansowana (AIRB) - z okresem przejściowym dla MSSF 9</t>
  </si>
  <si>
    <t>Współczynnik TIER 1 - metoda zaawansowana (AIRB) - z okresem przejściowym dla MSSF 9</t>
  </si>
  <si>
    <t xml:space="preserve">   - Aktywa przeznaczone do obrotu</t>
  </si>
  <si>
    <t xml:space="preserve">   - Inwestycyjne papiery wartościowe</t>
  </si>
  <si>
    <t xml:space="preserve">   - Nieruchomości inwestycyjne</t>
  </si>
  <si>
    <t xml:space="preserve">   - Rzeczowe aktywa trwałe</t>
  </si>
  <si>
    <t xml:space="preserve">   - Wartości niematerialne</t>
  </si>
  <si>
    <t xml:space="preserve">   - Aktywa z tytułu odroczonego podatku dochodowego</t>
  </si>
  <si>
    <t xml:space="preserve">   - Aktywa z tytułu bieżącego podatku dochodowego</t>
  </si>
  <si>
    <t xml:space="preserve">   - Rezerwa z tytułu odroczonego podatku dochodowego</t>
  </si>
  <si>
    <t xml:space="preserve">   - Zobowiązanie z tytułu bieżącego podatku dochodowego</t>
  </si>
  <si>
    <t xml:space="preserve">   - Kapitał akcyjny</t>
  </si>
  <si>
    <t xml:space="preserve"> - Accumulated other comprehensive income</t>
  </si>
  <si>
    <t xml:space="preserve">   - Skumulowane inne całkowite dochody</t>
  </si>
  <si>
    <t>Loans and other receivables to customers</t>
  </si>
  <si>
    <t>Measured at amortised cost</t>
  </si>
  <si>
    <t>Wyceniane wg zamortyzowanego kosztu</t>
  </si>
  <si>
    <t>Measured at fair value through profit or loss</t>
  </si>
  <si>
    <t>Wyceniane do wartości godziwej przez rachunek zysków i strat</t>
  </si>
  <si>
    <t>Loans and other receivables measured at amortised cost</t>
  </si>
  <si>
    <t>Kredyty i inne należności wyceniane wg zamortyzowanego kosztu</t>
  </si>
  <si>
    <t>Households</t>
  </si>
  <si>
    <t>Gospodarstwa domowe</t>
  </si>
  <si>
    <t>Business entities</t>
  </si>
  <si>
    <t>Podmioty gospodarcze</t>
  </si>
  <si>
    <t>The government and self-government institutions’ sector</t>
  </si>
  <si>
    <t>Sektor instytucji rządowych i samorządowych</t>
  </si>
  <si>
    <t>Total, including:</t>
  </si>
  <si>
    <t>Razem, w tym:</t>
  </si>
  <si>
    <t>Corporate banking segment</t>
  </si>
  <si>
    <t>Bankowość korporacyjna</t>
  </si>
  <si>
    <t>loans in the current account</t>
  </si>
  <si>
    <t>kredyty w rachunku bieżącym</t>
  </si>
  <si>
    <t>term loans and advances</t>
  </si>
  <si>
    <t>kredyty i pożyczki terminowe</t>
  </si>
  <si>
    <t>leasing receivables</t>
  </si>
  <si>
    <t>należności leasingowe</t>
  </si>
  <si>
    <t>factoring receivables</t>
  </si>
  <si>
    <t>należności faktoringowe</t>
  </si>
  <si>
    <t>corporate and municipal securities</t>
  </si>
  <si>
    <t>papiery wartościowe komercyjne i komunalne</t>
  </si>
  <si>
    <t>Retail banking segment</t>
  </si>
  <si>
    <t>Bankowość detaliczna</t>
  </si>
  <si>
    <t>mortgages</t>
  </si>
  <si>
    <t>kredyty i pożyczki hipoteczne</t>
  </si>
  <si>
    <t>other loans and advances</t>
  </si>
  <si>
    <t>pozostałe kredyty i pożyczki</t>
  </si>
  <si>
    <t>euroobligacje (obligacje Skarbu Państwa)</t>
  </si>
  <si>
    <t>complex call deposits</t>
  </si>
  <si>
    <t>złożone depozyty zabezpieczające typu call</t>
  </si>
  <si>
    <t>receivables under repo transactions</t>
  </si>
  <si>
    <t>należności z tytułu transakcji z przyrzeczeniem odkupu</t>
  </si>
  <si>
    <t>pozostałe należności</t>
  </si>
  <si>
    <t xml:space="preserve">     - wycena instrumentów pochodnych</t>
  </si>
  <si>
    <t xml:space="preserve"> - valuation of derivatives</t>
  </si>
  <si>
    <t xml:space="preserve"> - Financial assets held for trading</t>
  </si>
  <si>
    <t xml:space="preserve"> - financial assets designated as at fair value upon initial recognition, of which:</t>
  </si>
  <si>
    <t xml:space="preserve">     - aktywa finansowe desygnowane do wyceny do wartości godziwej przy początkowym ujęciu, w tym:</t>
  </si>
  <si>
    <t>Total financial assets held for trading</t>
  </si>
  <si>
    <t>Razem aktywa finansowe przeznaczone do obrotu</t>
  </si>
  <si>
    <t>Measured at fair value through other comprehensive income, including:</t>
  </si>
  <si>
    <t>Wyceniane do wartości godziwiej przez inne całkowite dochody, w tym:</t>
  </si>
  <si>
    <t>Measured at amortised cost, including:</t>
  </si>
  <si>
    <t>Wyceniane wg zamortyzowanego kosztu, w tym:</t>
  </si>
  <si>
    <t>Total investment securities</t>
  </si>
  <si>
    <t>Razem inwestycyjne papiery wartościowe</t>
  </si>
  <si>
    <t>Liabilities to customers, including:</t>
  </si>
  <si>
    <t>Zobowiązania wobec klientów, w tym:</t>
  </si>
  <si>
    <t>Deposits, including:</t>
  </si>
  <si>
    <t>Total (gross), including:</t>
  </si>
  <si>
    <t>Razem (brutto), w tym:</t>
  </si>
  <si>
    <t>current deposits</t>
  </si>
  <si>
    <t>depozyty bieżące</t>
  </si>
  <si>
    <t>savings deposits</t>
  </si>
  <si>
    <t>depozyty oszczędnościowe</t>
  </si>
  <si>
    <t>term deposits</t>
  </si>
  <si>
    <t>depozyty terminowe</t>
  </si>
  <si>
    <t>Other liabilities, including:</t>
  </si>
  <si>
    <t>Pozostałe zobowiązania, w tym:</t>
  </si>
  <si>
    <t>liabilities for cash security</t>
  </si>
  <si>
    <t>zobowiązania z tytułu zabezpieczeń pieniężnych</t>
  </si>
  <si>
    <t>Recived call deposits</t>
  </si>
  <si>
    <t>przyjęte depozyty zabezpieczające typu call</t>
  </si>
  <si>
    <t>repo liabilities</t>
  </si>
  <si>
    <t>zobowiązania z tytułu transakcji z przyrzeczeniem odkupu</t>
  </si>
  <si>
    <t>other liabilities</t>
  </si>
  <si>
    <t>pozostałe zobowiązania</t>
  </si>
  <si>
    <t>Quality of loan portfolio under IFRS 9</t>
  </si>
  <si>
    <t>Jakość portfela kredytowego wg MSSF 9</t>
  </si>
  <si>
    <t>Gross amount</t>
  </si>
  <si>
    <t>Wartość brutto</t>
  </si>
  <si>
    <t xml:space="preserve">   - aktywa w etapie 1</t>
  </si>
  <si>
    <t xml:space="preserve">   - aktywa w etapie 2</t>
  </si>
  <si>
    <t xml:space="preserve">   - aktywa w etapie 3</t>
  </si>
  <si>
    <t>Impairment for expected losses</t>
  </si>
  <si>
    <t>Odpis z tytułu strat oczekiwanych</t>
  </si>
  <si>
    <t xml:space="preserve">   - na aktywa w etapie 1</t>
  </si>
  <si>
    <t xml:space="preserve">   - na aktywa w etapie 2</t>
  </si>
  <si>
    <t xml:space="preserve">   - na aktywa w etapie 3</t>
  </si>
  <si>
    <t>Net amount</t>
  </si>
  <si>
    <t>Wartość netto</t>
  </si>
  <si>
    <t>Ogółem</t>
  </si>
  <si>
    <t>Udział aktywów w etapie 1</t>
  </si>
  <si>
    <t>Udział aktywów w etapie 2</t>
  </si>
  <si>
    <t>Udział aktywów w etapie 3</t>
  </si>
  <si>
    <t>Pokrycie odpisem aktywów w etapie 1</t>
  </si>
  <si>
    <t>Pokrycie odpisem aktywów w etapie 2</t>
  </si>
  <si>
    <t>Pokrycie odpisem aktywów w etapie 3</t>
  </si>
  <si>
    <t>Quality of portfolio of loans and advances under IAS 39</t>
  </si>
  <si>
    <t>Jakość portfela kredytów i pożyczek wg MSR 39</t>
  </si>
  <si>
    <t xml:space="preserve"> - unimpaired (IBNR – incurred but not reported)</t>
  </si>
  <si>
    <t xml:space="preserve">    przychody odsetkowe od aktywów wycenianych wg zamortyzowanego kosztu</t>
  </si>
  <si>
    <t xml:space="preserve"> - Odpisy na utratę wartości aktywów finansowych i rezerwy na zobowiązania pozabilansowe</t>
  </si>
  <si>
    <t xml:space="preserve"> - Net profit (loss) attributable to shareholders of ING Bank Śląski S.A.</t>
  </si>
  <si>
    <t xml:space="preserve"> - Net income on financial instruments measured at fair value through profit or loss and FX result</t>
  </si>
  <si>
    <t xml:space="preserve">   koszty osobowe</t>
  </si>
  <si>
    <t xml:space="preserve">   amortyzacja</t>
  </si>
  <si>
    <t xml:space="preserve">   pozostałe</t>
  </si>
  <si>
    <t xml:space="preserve">    Interest income on assets measured at amortised cost</t>
  </si>
  <si>
    <t xml:space="preserve">    Other interest income</t>
  </si>
  <si>
    <t xml:space="preserve"> - Net income on investments</t>
  </si>
  <si>
    <t xml:space="preserve"> - Net income on hedge accounting</t>
  </si>
  <si>
    <t xml:space="preserve"> - Net income on other basic activities</t>
  </si>
  <si>
    <t xml:space="preserve"> - Impairment for expected losses</t>
  </si>
  <si>
    <t xml:space="preserve">   Net interest income</t>
  </si>
  <si>
    <t xml:space="preserve">   Net commission income</t>
  </si>
  <si>
    <t xml:space="preserve">   Other income/expenses</t>
  </si>
  <si>
    <t xml:space="preserve">   Share in net profit (loss) of associated entities recognised under the equity method</t>
  </si>
  <si>
    <t xml:space="preserve">   wynik z tytułu odsetek</t>
  </si>
  <si>
    <t xml:space="preserve">   wynik z tytułu prowizji</t>
  </si>
  <si>
    <t xml:space="preserve">   pozostałe przychody/koszty</t>
  </si>
  <si>
    <t xml:space="preserve">   udział w zyskach (stratach) netto jednostek stowarzyszonych wykazywanych metodą praw własności</t>
  </si>
  <si>
    <t xml:space="preserve"> -</t>
  </si>
  <si>
    <t xml:space="preserve"> - Interest on loans and receivables to other banks measured at amortised cost</t>
  </si>
  <si>
    <t xml:space="preserve"> - Interest on loans and receivables to customers measured at amortised cost</t>
  </si>
  <si>
    <t xml:space="preserve"> - Interest on securities measured at amortised cost</t>
  </si>
  <si>
    <t>Interest income on assets measured at amortised cost, including:</t>
  </si>
  <si>
    <t>Other interest income, including:</t>
  </si>
  <si>
    <t xml:space="preserve"> - Interest on loans and receivables to other banks measured at fair value through profit or lost</t>
  </si>
  <si>
    <t xml:space="preserve"> - Interest on securities measured through other comprehensive income</t>
  </si>
  <si>
    <t xml:space="preserve"> - Interest on available-for-sale debt securities</t>
  </si>
  <si>
    <t xml:space="preserve"> - Interest on debt securities held for trading</t>
  </si>
  <si>
    <t xml:space="preserve"> - Interest on held-to-maturity debt securities</t>
  </si>
  <si>
    <t xml:space="preserve"> - Interest on debt securities designated as fair value at initial recognition</t>
  </si>
  <si>
    <t xml:space="preserve"> - Net interest result on derivatives</t>
  </si>
  <si>
    <t xml:space="preserve"> - Interest on deposits from banks</t>
  </si>
  <si>
    <t xml:space="preserve"> - Interest on deposits from customers</t>
  </si>
  <si>
    <t xml:space="preserve"> - Interest on issue of debt securities</t>
  </si>
  <si>
    <t xml:space="preserve"> - Interest on financial liabilities held for trading</t>
  </si>
  <si>
    <t xml:space="preserve"> - Interest on subordinated liabilities</t>
  </si>
  <si>
    <t>Net income on the sale of securities measured at amortised cost</t>
  </si>
  <si>
    <t>Net income on the sale of securities measured at fair value through other comprehensive income</t>
  </si>
  <si>
    <t xml:space="preserve">     - koszty osobowe</t>
  </si>
  <si>
    <t xml:space="preserve">     - koszty działania i ogólnego zarządu</t>
  </si>
  <si>
    <t xml:space="preserve">     - amortyzacja</t>
  </si>
  <si>
    <t xml:space="preserve">     - koszty merketingu i promocji</t>
  </si>
  <si>
    <t xml:space="preserve">     - koszty Bankowego Funduszu Gwarancyjnego i Funduszu Wsparcia Kredytobiorców</t>
  </si>
  <si>
    <t>Eurobonds (T-bonds)</t>
  </si>
  <si>
    <t>other receivables</t>
  </si>
  <si>
    <t>[MSR 39 / IAS 39]</t>
  </si>
  <si>
    <t>[MSSF 9 / IFRS 9]</t>
  </si>
  <si>
    <t>Kredyty i inne należności brutto wyceniane wg zamortyzowanego kosztu, w tym:</t>
  </si>
  <si>
    <t>Gross loans and other receivables measured at amortised cost, including:</t>
  </si>
  <si>
    <t>Portfolio of gross loans, including:</t>
  </si>
  <si>
    <t>Portfel kredytowy brutto, w tym:</t>
  </si>
  <si>
    <t>Inne należności brutto, w tym:</t>
  </si>
  <si>
    <t>Net loans and other receivables measured at amortised cost, including:</t>
  </si>
  <si>
    <t>Kredyty i inne należności netto wyceniane wg zamortyzowanego kosztu, w tym:</t>
  </si>
  <si>
    <t>Portfolio of net loans, including:</t>
  </si>
  <si>
    <t>Portfel kredytowy netto, w tym:</t>
  </si>
  <si>
    <t>Inne należności netto, w tym:</t>
  </si>
  <si>
    <t>Odpis na kredyty i inne należności wyceniane wg zamortyzowanego kosztu, w tym:</t>
  </si>
  <si>
    <t>Odpis na portfel kredytowy, w tym:</t>
  </si>
  <si>
    <t>Odpis na inne należności, w tym:</t>
  </si>
  <si>
    <t>Impairment on other receivables, including:</t>
  </si>
  <si>
    <t>Impairment on loans and other receivables measured at amortised cost, including:</t>
  </si>
  <si>
    <t>Other gross receivables, including:</t>
  </si>
  <si>
    <t>Impairment on portfolio of loans, including:</t>
  </si>
  <si>
    <t>Other net receivables, including:</t>
  </si>
  <si>
    <t xml:space="preserve">   - assets in Stage 1</t>
  </si>
  <si>
    <t xml:space="preserve">   - assets in Stage 2</t>
  </si>
  <si>
    <t xml:space="preserve">   - assets in Stage 3</t>
  </si>
  <si>
    <t xml:space="preserve">   - on assets in Stage 1</t>
  </si>
  <si>
    <t xml:space="preserve">   - on assets in Stage 2</t>
  </si>
  <si>
    <t xml:space="preserve">   - on assets in Stage 3</t>
  </si>
  <si>
    <t>Share of assets in Stage 1</t>
  </si>
  <si>
    <t>Share of assets in Stage 2</t>
  </si>
  <si>
    <t>Share of assets in Stage 3</t>
  </si>
  <si>
    <t>Coverage of assets in Stage 1</t>
  </si>
  <si>
    <t>Coverage of assets in Stage 2</t>
  </si>
  <si>
    <t>Coverage of assets in Stage 3</t>
  </si>
  <si>
    <r>
      <t xml:space="preserve">Przychody </t>
    </r>
    <r>
      <rPr>
        <vertAlign val="superscript"/>
        <sz val="8"/>
        <rFont val="ING Me"/>
        <charset val="238"/>
      </rPr>
      <t>1</t>
    </r>
  </si>
  <si>
    <r>
      <t xml:space="preserve">Zysk netto </t>
    </r>
    <r>
      <rPr>
        <vertAlign val="superscript"/>
        <sz val="8"/>
        <rFont val="ING Me"/>
        <charset val="238"/>
      </rPr>
      <t>2</t>
    </r>
  </si>
  <si>
    <r>
      <t>Kredyty i inne należności udzielone klientom netto</t>
    </r>
    <r>
      <rPr>
        <vertAlign val="superscript"/>
        <sz val="8"/>
        <rFont val="ING Me"/>
        <charset val="238"/>
      </rPr>
      <t xml:space="preserve"> 3</t>
    </r>
    <r>
      <rPr>
        <sz val="8"/>
        <rFont val="ING Me"/>
        <charset val="238"/>
      </rPr>
      <t>,</t>
    </r>
    <r>
      <rPr>
        <vertAlign val="superscript"/>
        <sz val="8"/>
        <rFont val="ING Me"/>
        <charset val="238"/>
      </rPr>
      <t xml:space="preserve"> </t>
    </r>
    <r>
      <rPr>
        <sz val="8"/>
        <rFont val="ING Me"/>
        <charset val="238"/>
      </rPr>
      <t>w tym:</t>
    </r>
  </si>
  <si>
    <r>
      <t xml:space="preserve">Kapitały własne </t>
    </r>
    <r>
      <rPr>
        <vertAlign val="superscript"/>
        <sz val="8"/>
        <rFont val="ING Me"/>
        <charset val="238"/>
      </rPr>
      <t>4</t>
    </r>
  </si>
  <si>
    <r>
      <t xml:space="preserve">Marża odsetkowa netto w % </t>
    </r>
    <r>
      <rPr>
        <vertAlign val="superscript"/>
        <sz val="8"/>
        <rFont val="ING Me"/>
        <charset val="238"/>
      </rPr>
      <t>5</t>
    </r>
  </si>
  <si>
    <r>
      <t xml:space="preserve">Liczba akcji </t>
    </r>
    <r>
      <rPr>
        <vertAlign val="superscript"/>
        <sz val="8"/>
        <rFont val="ING Me"/>
        <charset val="238"/>
      </rPr>
      <t>6</t>
    </r>
  </si>
  <si>
    <r>
      <t>1</t>
    </r>
    <r>
      <rPr>
        <i/>
        <sz val="8"/>
        <color indexed="8"/>
        <rFont val="ING Me"/>
        <charset val="238"/>
      </rPr>
      <t xml:space="preserve"> Including net profit of affiliated entities recognised on an equity basis.</t>
    </r>
  </si>
  <si>
    <r>
      <t>1</t>
    </r>
    <r>
      <rPr>
        <i/>
        <sz val="8"/>
        <color indexed="8"/>
        <rFont val="ING Me"/>
        <charset val="238"/>
      </rPr>
      <t xml:space="preserve"> Łącznie z zyskiem netto jednostek stowarzyszonych wykazywanych metodą praw własności. </t>
    </r>
  </si>
  <si>
    <r>
      <rPr>
        <i/>
        <vertAlign val="superscript"/>
        <sz val="8"/>
        <rFont val="ING Me"/>
        <charset val="238"/>
      </rPr>
      <t>2</t>
    </r>
    <r>
      <rPr>
        <i/>
        <sz val="8"/>
        <rFont val="ING Me"/>
        <charset val="238"/>
      </rPr>
      <t xml:space="preserve"> Attributable to the shareholders of the parent entity.</t>
    </r>
  </si>
  <si>
    <r>
      <rPr>
        <i/>
        <vertAlign val="superscript"/>
        <sz val="8"/>
        <color indexed="8"/>
        <rFont val="ING Me"/>
        <charset val="238"/>
      </rPr>
      <t xml:space="preserve">2 </t>
    </r>
    <r>
      <rPr>
        <i/>
        <sz val="8"/>
        <color indexed="8"/>
        <rFont val="ING Me"/>
        <charset val="238"/>
      </rPr>
      <t>Przypadający na akcjonariuszy jednostki dominującej.</t>
    </r>
  </si>
  <si>
    <r>
      <t>3</t>
    </r>
    <r>
      <rPr>
        <i/>
        <sz val="8"/>
        <color indexed="8"/>
        <rFont val="ING Me"/>
        <charset val="238"/>
      </rPr>
      <t xml:space="preserve"> Excluding T-eurobonds</t>
    </r>
  </si>
  <si>
    <r>
      <t>3</t>
    </r>
    <r>
      <rPr>
        <i/>
        <sz val="8"/>
        <color indexed="8"/>
        <rFont val="ING Me"/>
        <charset val="238"/>
      </rPr>
      <t xml:space="preserve"> Z wyłączeniem portfela Euroobligacji</t>
    </r>
  </si>
  <si>
    <r>
      <t>4</t>
    </r>
    <r>
      <rPr>
        <i/>
        <sz val="8"/>
        <color indexed="8"/>
        <rFont val="ING Me"/>
        <charset val="238"/>
      </rPr>
      <t xml:space="preserve"> Equity of the parent entity</t>
    </r>
  </si>
  <si>
    <r>
      <t>4</t>
    </r>
    <r>
      <rPr>
        <i/>
        <sz val="8"/>
        <color indexed="8"/>
        <rFont val="ING Me"/>
        <charset val="238"/>
      </rPr>
      <t xml:space="preserve"> Kapitały własne jednostki dominującej </t>
    </r>
  </si>
  <si>
    <r>
      <t>5</t>
    </r>
    <r>
      <rPr>
        <i/>
        <sz val="8"/>
        <color indexed="8"/>
        <rFont val="ING Me"/>
        <charset val="238"/>
      </rPr>
      <t xml:space="preserve"> Sum of NII of 4 consecutive quarters / average interest bearing assets of 5 consecutive quarters</t>
    </r>
  </si>
  <si>
    <r>
      <t>5</t>
    </r>
    <r>
      <rPr>
        <i/>
        <sz val="8"/>
        <color indexed="8"/>
        <rFont val="ING Me"/>
        <charset val="238"/>
      </rPr>
      <t xml:space="preserve"> Suma wyniku odsetkowego dla 4 kolejnych kwartałów / średnia wartośc aktywów odsetkowych dla 5 kolejnych kwartałów</t>
    </r>
  </si>
  <si>
    <r>
      <t>6</t>
    </r>
    <r>
      <rPr>
        <i/>
        <sz val="8"/>
        <color indexed="8"/>
        <rFont val="ING Me"/>
        <charset val="238"/>
      </rPr>
      <t xml:space="preserve"> After making figures comparable (1:10 split in Q4 2011)</t>
    </r>
  </si>
  <si>
    <r>
      <t>6</t>
    </r>
    <r>
      <rPr>
        <i/>
        <sz val="8"/>
        <color indexed="8"/>
        <rFont val="ING Me"/>
        <charset val="238"/>
      </rPr>
      <t xml:space="preserve"> Po doprowadzeniu do porównywalności (podział w stosunku 1:10 w IV kwartale 2011 roku)</t>
    </r>
  </si>
  <si>
    <r>
      <t xml:space="preserve">Income </t>
    </r>
    <r>
      <rPr>
        <vertAlign val="superscript"/>
        <sz val="8"/>
        <rFont val="ING Me"/>
        <charset val="238"/>
      </rPr>
      <t>1</t>
    </r>
  </si>
  <si>
    <r>
      <t xml:space="preserve">Net profit </t>
    </r>
    <r>
      <rPr>
        <vertAlign val="superscript"/>
        <sz val="8"/>
        <rFont val="ING Me"/>
        <charset val="238"/>
      </rPr>
      <t>2</t>
    </r>
  </si>
  <si>
    <r>
      <t xml:space="preserve">Loans and receivables to customers (net) </t>
    </r>
    <r>
      <rPr>
        <vertAlign val="superscript"/>
        <sz val="8"/>
        <rFont val="ING Me"/>
        <charset val="238"/>
      </rPr>
      <t>3</t>
    </r>
    <r>
      <rPr>
        <sz val="8"/>
        <rFont val="ING Me"/>
        <charset val="238"/>
      </rPr>
      <t>, of which:</t>
    </r>
  </si>
  <si>
    <r>
      <t xml:space="preserve">Equity </t>
    </r>
    <r>
      <rPr>
        <vertAlign val="superscript"/>
        <sz val="8"/>
        <rFont val="ING Me"/>
        <charset val="238"/>
      </rPr>
      <t>4</t>
    </r>
  </si>
  <si>
    <r>
      <t xml:space="preserve">Net interest margin (NIM) as % </t>
    </r>
    <r>
      <rPr>
        <vertAlign val="superscript"/>
        <sz val="8"/>
        <rFont val="ING Me"/>
        <charset val="238"/>
      </rPr>
      <t>5</t>
    </r>
  </si>
  <si>
    <r>
      <t xml:space="preserve">Number of shares </t>
    </r>
    <r>
      <rPr>
        <vertAlign val="superscript"/>
        <sz val="8"/>
        <rFont val="ING Me"/>
        <charset val="238"/>
      </rPr>
      <t>6</t>
    </r>
  </si>
  <si>
    <t xml:space="preserve"> - Wynik na sprzedaży papierów wartościowych oraz przychody z tytułu dywidend</t>
  </si>
  <si>
    <t xml:space="preserve"> - Net income on the sale of securities and dividend income</t>
  </si>
  <si>
    <t xml:space="preserve"> - Podatek od niektórych instytucji finansowych</t>
  </si>
  <si>
    <t>Wynik z tytułu wyceny kredytów i innych należności udzielonych klientom wycenianych do wartości godziwej przez rachunek zysków i strat</t>
  </si>
  <si>
    <t>Wynik z pozycji wymiany oraz wynik na pochodnych transakcjach
walutowych, w tym:</t>
  </si>
  <si>
    <t xml:space="preserve">     - FX result</t>
  </si>
  <si>
    <t xml:space="preserve">     - Wynik z pozycji wymiany</t>
  </si>
  <si>
    <t xml:space="preserve">     - Transakcje pochodne walutowe</t>
  </si>
  <si>
    <t xml:space="preserve">     - Currency derivatives</t>
  </si>
  <si>
    <t>Wynik na instrumentach kapitałowych</t>
  </si>
  <si>
    <t>Wynik na instrumentach dłużnych</t>
  </si>
  <si>
    <t>Wynik na transakcjach pochodnych na stopę procentową</t>
  </si>
  <si>
    <t>Wynik na transakcjach pochodnych związanych z papierami wartościowymi</t>
  </si>
  <si>
    <t>Net income on interest rate derivatives</t>
  </si>
  <si>
    <t>Net income on securities derivatives</t>
  </si>
  <si>
    <t>Net income on debt instruments</t>
  </si>
  <si>
    <t>Net income on equity instruments</t>
  </si>
  <si>
    <t xml:space="preserve"> - odsetki od kredytów i innych należności udzielonych klientom wycenianych zamortyzowanym kosztem</t>
  </si>
  <si>
    <t>Result on measurement of loans to customers which are measured at fair value through profit or loss</t>
  </si>
  <si>
    <t xml:space="preserve">   - Wymogi kapitałowe dla ryzyka kredytowego, kredytowego kontrahenta, rozmycia i dostawy instrumentów do rozliczenia w późniejszym terminie</t>
  </si>
  <si>
    <t xml:space="preserve">        - w tym: uzupełnienie wymogu kapitałowego z tytułu ryzyka kredytowego do wielkości wymogu obliczonego wg metody standardowej</t>
  </si>
  <si>
    <t xml:space="preserve">   - Wymogi kapitałowe dla ryzyka cen kapitałowych papierów wartościowych, ryzyka cen instrumentów dłużnych, walutowego i cen towarów</t>
  </si>
  <si>
    <t xml:space="preserve">   - Capital requirements for credit risk, credit counterparty, dilution and delivery of instruments for future settlement</t>
  </si>
  <si>
    <t xml:space="preserve">        - including: supplementation of the credit risk capital requirement to the requirement computed using the standard method</t>
  </si>
  <si>
    <t xml:space="preserve">   - Capital requirements for the capital securities rate risk, debt instruments rates risk, FX risk and commodity rates risk</t>
  </si>
  <si>
    <t>FX result and net income on currency derivatives, including:</t>
  </si>
  <si>
    <t xml:space="preserve">2Q </t>
  </si>
  <si>
    <t xml:space="preserve">3Q </t>
  </si>
  <si>
    <t xml:space="preserve">4Q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</si>
</sst>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0.0%"/>
  </numFmts>
  <fonts count="60">
    <font>
      <sz val="10"/>
      <name val="Arial CE"/>
      <charset val="238"/>
    </font>
    <font>
      <sz val="11"/>
      <color theme="1"/>
      <name val="Calibri"/>
      <family val="2"/>
      <charset val="238"/>
      <scheme val="minor"/>
    </font>
    <font>
      <sz val="10"/>
      <name val="Arial CE"/>
      <charset val="238"/>
    </font>
    <font>
      <sz val="10"/>
      <name val="Arial"/>
      <family val="2"/>
      <charset val="238"/>
    </font>
    <font>
      <sz val="10"/>
      <name val="Courier"/>
      <family val="3"/>
    </font>
    <font>
      <b/>
      <sz val="10"/>
      <name val="Arial"/>
      <family val="2"/>
      <charset val="238"/>
    </font>
    <font>
      <b/>
      <sz val="12"/>
      <color indexed="9"/>
      <name val="Arial"/>
      <family val="2"/>
      <charset val="238"/>
    </font>
    <font>
      <b/>
      <sz val="8"/>
      <color indexed="9"/>
      <name val="Arial"/>
      <family val="2"/>
      <charset val="238"/>
    </font>
    <font>
      <sz val="8"/>
      <color indexed="81"/>
      <name val="Tahoma"/>
      <family val="2"/>
      <charset val="238"/>
    </font>
    <font>
      <b/>
      <sz val="10"/>
      <color indexed="10"/>
      <name val="Arial"/>
      <family val="2"/>
      <charset val="238"/>
    </font>
    <font>
      <b/>
      <sz val="10"/>
      <color indexed="12"/>
      <name val="Arial"/>
      <family val="2"/>
      <charset val="238"/>
    </font>
    <font>
      <b/>
      <sz val="12"/>
      <color indexed="12"/>
      <name val="Arial"/>
      <family val="2"/>
      <charset val="238"/>
    </font>
    <font>
      <sz val="10"/>
      <name val="ING Me"/>
      <charset val="238"/>
    </font>
    <font>
      <i/>
      <sz val="10"/>
      <name val="ING Me"/>
      <charset val="238"/>
    </font>
    <font>
      <b/>
      <sz val="10"/>
      <name val="ING Me"/>
      <charset val="238"/>
    </font>
    <font>
      <sz val="8"/>
      <name val="ING Me"/>
      <charset val="238"/>
    </font>
    <font>
      <i/>
      <sz val="8"/>
      <name val="ING Me"/>
      <charset val="238"/>
    </font>
    <font>
      <b/>
      <sz val="8"/>
      <name val="ING Me"/>
      <charset val="238"/>
    </font>
    <font>
      <b/>
      <sz val="10"/>
      <color indexed="10"/>
      <name val="ING Me"/>
      <charset val="238"/>
    </font>
    <font>
      <b/>
      <sz val="12"/>
      <color indexed="9"/>
      <name val="ING Me"/>
      <charset val="238"/>
    </font>
    <font>
      <b/>
      <sz val="8"/>
      <color indexed="9"/>
      <name val="ING Me"/>
      <charset val="238"/>
    </font>
    <font>
      <sz val="7"/>
      <name val="ING Me"/>
      <charset val="238"/>
    </font>
    <font>
      <b/>
      <sz val="12"/>
      <color indexed="10"/>
      <name val="ING Me"/>
      <charset val="238"/>
    </font>
    <font>
      <b/>
      <sz val="10"/>
      <color indexed="12"/>
      <name val="ING Me"/>
      <charset val="238"/>
    </font>
    <font>
      <b/>
      <sz val="12"/>
      <color indexed="12"/>
      <name val="ING Me"/>
      <charset val="238"/>
    </font>
    <font>
      <i/>
      <u/>
      <sz val="8"/>
      <color indexed="12"/>
      <name val="ING Me"/>
      <charset val="238"/>
    </font>
    <font>
      <sz val="11"/>
      <color theme="1"/>
      <name val="Calibri"/>
      <family val="2"/>
      <charset val="238"/>
      <scheme val="minor"/>
    </font>
    <font>
      <sz val="11"/>
      <color theme="1"/>
      <name val="Calibri"/>
      <family val="2"/>
      <scheme val="minor"/>
    </font>
    <font>
      <b/>
      <sz val="8"/>
      <color theme="0"/>
      <name val="Arial"/>
      <family val="2"/>
      <charset val="238"/>
    </font>
    <font>
      <b/>
      <sz val="8"/>
      <color theme="0"/>
      <name val="ING Me"/>
      <charset val="238"/>
    </font>
    <font>
      <sz val="10"/>
      <color rgb="FFFFC000"/>
      <name val="ING Me"/>
      <charset val="238"/>
    </font>
    <font>
      <b/>
      <sz val="10"/>
      <color theme="0"/>
      <name val="ING Me"/>
      <charset val="238"/>
    </font>
    <font>
      <sz val="8"/>
      <color rgb="FF000000"/>
      <name val="ING Me"/>
      <charset val="238"/>
    </font>
    <font>
      <b/>
      <sz val="8"/>
      <color rgb="FFFFFFFF"/>
      <name val="ING Me"/>
      <charset val="238"/>
    </font>
    <font>
      <sz val="8"/>
      <color theme="1"/>
      <name val="ING Me"/>
      <charset val="238"/>
    </font>
    <font>
      <b/>
      <sz val="8"/>
      <color rgb="FF000000"/>
      <name val="ING Me"/>
      <charset val="238"/>
    </font>
    <font>
      <b/>
      <sz val="10"/>
      <color rgb="FFFF0000"/>
      <name val="Arial"/>
      <family val="2"/>
      <charset val="238"/>
    </font>
    <font>
      <b/>
      <i/>
      <sz val="8"/>
      <color rgb="FFFF6600"/>
      <name val="ING Me"/>
      <charset val="238"/>
    </font>
    <font>
      <sz val="8"/>
      <color rgb="FFFF6600"/>
      <name val="ING Me"/>
      <charset val="238"/>
    </font>
    <font>
      <b/>
      <sz val="8"/>
      <color theme="1"/>
      <name val="ING Me"/>
      <charset val="238"/>
    </font>
    <font>
      <i/>
      <sz val="8"/>
      <color theme="1"/>
      <name val="ING Me"/>
      <charset val="238"/>
    </font>
    <font>
      <i/>
      <sz val="8"/>
      <color theme="0" tint="-0.499984740745262"/>
      <name val="ING Me"/>
      <charset val="238"/>
    </font>
    <font>
      <sz val="8"/>
      <color theme="0" tint="-0.499984740745262"/>
      <name val="ING Me"/>
      <charset val="238"/>
    </font>
    <font>
      <b/>
      <i/>
      <sz val="8"/>
      <color theme="1"/>
      <name val="ING Me"/>
      <charset val="238"/>
    </font>
    <font>
      <i/>
      <sz val="8"/>
      <color theme="0"/>
      <name val="ING Me"/>
      <charset val="238"/>
    </font>
    <font>
      <b/>
      <i/>
      <sz val="8"/>
      <color theme="0"/>
      <name val="ING Me"/>
      <charset val="238"/>
    </font>
    <font>
      <b/>
      <i/>
      <sz val="8"/>
      <name val="ING Me"/>
      <charset val="238"/>
    </font>
    <font>
      <sz val="9"/>
      <name val="ING Me"/>
      <charset val="238"/>
    </font>
    <font>
      <sz val="11"/>
      <name val="ING Me"/>
      <charset val="238"/>
    </font>
    <font>
      <sz val="11"/>
      <color theme="0"/>
      <name val="ING Me"/>
      <charset val="238"/>
    </font>
    <font>
      <sz val="8"/>
      <color theme="0"/>
      <name val="ING Me"/>
      <charset val="238"/>
    </font>
    <font>
      <b/>
      <sz val="8"/>
      <color theme="0" tint="-0.499984740745262"/>
      <name val="ING Me"/>
      <charset val="238"/>
    </font>
    <font>
      <b/>
      <i/>
      <sz val="8"/>
      <color theme="0" tint="-0.499984740745262"/>
      <name val="ING Me"/>
      <charset val="238"/>
    </font>
    <font>
      <vertAlign val="superscript"/>
      <sz val="8"/>
      <name val="ING Me"/>
      <charset val="238"/>
    </font>
    <font>
      <i/>
      <vertAlign val="superscript"/>
      <sz val="8"/>
      <color indexed="8"/>
      <name val="ING Me"/>
      <charset val="238"/>
    </font>
    <font>
      <i/>
      <sz val="8"/>
      <color indexed="8"/>
      <name val="ING Me"/>
      <charset val="238"/>
    </font>
    <font>
      <i/>
      <vertAlign val="superscript"/>
      <sz val="8"/>
      <name val="ING Me"/>
      <charset val="238"/>
    </font>
    <font>
      <sz val="8"/>
      <color indexed="53"/>
      <name val="ING Me"/>
      <charset val="238"/>
    </font>
    <font>
      <b/>
      <sz val="12"/>
      <color theme="0"/>
      <name val="ING Me"/>
      <charset val="238"/>
    </font>
    <font>
      <i/>
      <sz val="7"/>
      <name val="ING Me"/>
      <charset val="238"/>
    </font>
  </fonts>
  <fills count="9">
    <fill>
      <patternFill patternType="none"/>
    </fill>
    <fill>
      <patternFill patternType="gray125"/>
    </fill>
    <fill>
      <patternFill patternType="solid">
        <fgColor indexed="53"/>
        <bgColor indexed="64"/>
      </patternFill>
    </fill>
    <fill>
      <patternFill patternType="solid">
        <fgColor theme="0"/>
        <bgColor indexed="64"/>
      </patternFill>
    </fill>
    <fill>
      <patternFill patternType="solid">
        <fgColor rgb="FFFF6600"/>
        <bgColor indexed="64"/>
      </patternFill>
    </fill>
    <fill>
      <patternFill patternType="solid">
        <fgColor theme="0" tint="-4.9989318521683403E-2"/>
        <bgColor indexed="64"/>
      </patternFill>
    </fill>
    <fill>
      <patternFill patternType="solid">
        <fgColor rgb="FFFF6200"/>
        <bgColor indexed="64"/>
      </patternFill>
    </fill>
    <fill>
      <patternFill patternType="solid">
        <fgColor rgb="FFA8A8A8"/>
        <bgColor indexed="64"/>
      </patternFill>
    </fill>
    <fill>
      <patternFill patternType="solid">
        <fgColor rgb="FF767676"/>
        <bgColor indexed="64"/>
      </patternFill>
    </fill>
  </fills>
  <borders count="21">
    <border>
      <left/>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medium">
        <color rgb="FFFF6600"/>
      </top>
      <bottom style="medium">
        <color rgb="FFFF6600"/>
      </bottom>
      <diagonal/>
    </border>
    <border>
      <left style="hair">
        <color indexed="64"/>
      </left>
      <right/>
      <top style="medium">
        <color rgb="FFFF6600"/>
      </top>
      <bottom style="medium">
        <color rgb="FFFF6600"/>
      </bottom>
      <diagonal/>
    </border>
    <border>
      <left/>
      <right style="hair">
        <color indexed="64"/>
      </right>
      <top style="medium">
        <color rgb="FFFF6600"/>
      </top>
      <bottom style="medium">
        <color rgb="FFFF6600"/>
      </bottom>
      <diagonal/>
    </border>
    <border>
      <left style="hair">
        <color indexed="64"/>
      </left>
      <right style="hair">
        <color indexed="64"/>
      </right>
      <top/>
      <bottom/>
      <diagonal/>
    </border>
    <border>
      <left style="hair">
        <color rgb="FFBFBFBF"/>
      </left>
      <right/>
      <top style="hair">
        <color auto="1"/>
      </top>
      <bottom style="hair">
        <color auto="1"/>
      </bottom>
      <diagonal/>
    </border>
    <border>
      <left/>
      <right style="hair">
        <color rgb="FFBFBFBF"/>
      </right>
      <top style="hair">
        <color auto="1"/>
      </top>
      <bottom style="hair">
        <color auto="1"/>
      </bottom>
      <diagonal/>
    </border>
    <border>
      <left style="hair">
        <color auto="1"/>
      </left>
      <right style="hair">
        <color auto="1"/>
      </right>
      <top/>
      <bottom style="hair">
        <color auto="1"/>
      </bottom>
      <diagonal/>
    </border>
    <border>
      <left style="hair">
        <color indexed="64"/>
      </left>
      <right style="hair">
        <color indexed="64"/>
      </right>
      <top style="hair">
        <color indexed="64"/>
      </top>
      <bottom/>
      <diagonal/>
    </border>
  </borders>
  <cellStyleXfs count="14">
    <xf numFmtId="0" fontId="0" fillId="0" borderId="0"/>
    <xf numFmtId="0" fontId="4" fillId="0" borderId="0">
      <alignment vertical="center"/>
    </xf>
    <xf numFmtId="0" fontId="3" fillId="0" borderId="0">
      <alignment vertical="center"/>
    </xf>
    <xf numFmtId="0" fontId="3" fillId="0" borderId="0">
      <alignment vertical="center"/>
    </xf>
    <xf numFmtId="0" fontId="2" fillId="0" borderId="0"/>
    <xf numFmtId="0" fontId="3" fillId="0" borderId="0"/>
    <xf numFmtId="0" fontId="27" fillId="0" borderId="0"/>
    <xf numFmtId="0" fontId="26" fillId="0" borderId="0"/>
    <xf numFmtId="0" fontId="26" fillId="0" borderId="0"/>
    <xf numFmtId="0" fontId="26" fillId="0" borderId="0"/>
    <xf numFmtId="9" fontId="2"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0" fontId="1" fillId="0" borderId="0"/>
  </cellStyleXfs>
  <cellXfs count="545">
    <xf numFmtId="0" fontId="0" fillId="0" borderId="0" xfId="0"/>
    <xf numFmtId="0" fontId="3" fillId="0" borderId="0" xfId="0" applyFont="1" applyAlignment="1">
      <alignment vertical="center" wrapText="1"/>
    </xf>
    <xf numFmtId="0" fontId="3" fillId="0" borderId="0" xfId="0" applyFont="1" applyBorder="1" applyAlignment="1">
      <alignment vertical="center"/>
    </xf>
    <xf numFmtId="0" fontId="3" fillId="0" borderId="0" xfId="0" applyFont="1" applyFill="1" applyBorder="1" applyAlignment="1">
      <alignment vertical="center"/>
    </xf>
    <xf numFmtId="0" fontId="5" fillId="0" borderId="0" xfId="0" applyFont="1" applyFill="1" applyBorder="1" applyAlignment="1">
      <alignment vertical="center"/>
    </xf>
    <xf numFmtId="3" fontId="7" fillId="2" borderId="5" xfId="0" applyNumberFormat="1" applyFont="1" applyFill="1" applyBorder="1" applyAlignment="1">
      <alignment horizontal="right" vertical="center" wrapText="1"/>
    </xf>
    <xf numFmtId="3" fontId="7" fillId="2" borderId="0" xfId="0" applyNumberFormat="1" applyFont="1" applyFill="1" applyBorder="1" applyAlignment="1">
      <alignment horizontal="right" vertical="center" wrapText="1"/>
    </xf>
    <xf numFmtId="3" fontId="7" fillId="2" borderId="6" xfId="0" applyNumberFormat="1" applyFont="1" applyFill="1" applyBorder="1" applyAlignment="1">
      <alignment horizontal="right" vertical="center" wrapText="1"/>
    </xf>
    <xf numFmtId="3" fontId="7" fillId="2" borderId="5" xfId="4" applyNumberFormat="1" applyFont="1" applyFill="1" applyBorder="1" applyAlignment="1">
      <alignment horizontal="right" vertical="center" wrapText="1"/>
    </xf>
    <xf numFmtId="3" fontId="7" fillId="2" borderId="0" xfId="4" applyNumberFormat="1" applyFont="1" applyFill="1" applyBorder="1" applyAlignment="1">
      <alignment horizontal="right" vertical="center" wrapText="1"/>
    </xf>
    <xf numFmtId="3" fontId="7" fillId="2" borderId="6" xfId="4" applyNumberFormat="1" applyFont="1" applyFill="1" applyBorder="1" applyAlignment="1">
      <alignment horizontal="right" vertical="center" wrapText="1"/>
    </xf>
    <xf numFmtId="0" fontId="9" fillId="0" borderId="0" xfId="0" applyFont="1" applyFill="1" applyAlignment="1">
      <alignment vertical="center" wrapText="1"/>
    </xf>
    <xf numFmtId="164" fontId="3" fillId="0" borderId="0" xfId="0" applyNumberFormat="1" applyFont="1" applyFill="1" applyBorder="1" applyAlignment="1">
      <alignment vertical="center"/>
    </xf>
    <xf numFmtId="0" fontId="12" fillId="0" borderId="0" xfId="0" applyFont="1" applyBorder="1" applyAlignment="1">
      <alignment vertical="center"/>
    </xf>
    <xf numFmtId="0" fontId="12" fillId="0" borderId="0" xfId="0" applyFont="1" applyFill="1" applyBorder="1" applyAlignment="1">
      <alignment vertical="center"/>
    </xf>
    <xf numFmtId="164" fontId="13" fillId="0" borderId="0" xfId="0" applyNumberFormat="1" applyFont="1" applyFill="1" applyBorder="1" applyAlignment="1">
      <alignment vertical="center"/>
    </xf>
    <xf numFmtId="0" fontId="13" fillId="0" borderId="0" xfId="0" applyFont="1" applyFill="1" applyBorder="1" applyAlignment="1">
      <alignment vertical="center"/>
    </xf>
    <xf numFmtId="0" fontId="14" fillId="0" borderId="0" xfId="0" applyFont="1" applyFill="1" applyBorder="1" applyAlignment="1">
      <alignment vertical="center"/>
    </xf>
    <xf numFmtId="0" fontId="14" fillId="0" borderId="0" xfId="0" applyFont="1" applyBorder="1" applyAlignment="1">
      <alignment vertical="center"/>
    </xf>
    <xf numFmtId="0" fontId="15" fillId="0" borderId="0" xfId="0" applyFont="1" applyBorder="1" applyAlignment="1">
      <alignment vertical="center"/>
    </xf>
    <xf numFmtId="0" fontId="18" fillId="5" borderId="0" xfId="0" applyFont="1" applyFill="1" applyAlignment="1">
      <alignment vertical="center" wrapText="1"/>
    </xf>
    <xf numFmtId="164" fontId="12" fillId="0" borderId="0" xfId="0" applyNumberFormat="1" applyFont="1" applyBorder="1" applyAlignment="1">
      <alignment vertical="center"/>
    </xf>
    <xf numFmtId="3" fontId="20" fillId="2" borderId="5" xfId="0" applyNumberFormat="1" applyFont="1" applyFill="1" applyBorder="1" applyAlignment="1">
      <alignment horizontal="right" vertical="center" wrapText="1"/>
    </xf>
    <xf numFmtId="3" fontId="20" fillId="2" borderId="0" xfId="0" applyNumberFormat="1" applyFont="1" applyFill="1" applyBorder="1" applyAlignment="1">
      <alignment horizontal="right" vertical="center" wrapText="1"/>
    </xf>
    <xf numFmtId="3" fontId="15" fillId="0" borderId="1" xfId="0" applyNumberFormat="1" applyFont="1" applyFill="1" applyBorder="1" applyAlignment="1">
      <alignment horizontal="right" vertical="center"/>
    </xf>
    <xf numFmtId="3" fontId="12" fillId="0" borderId="2" xfId="0" applyNumberFormat="1" applyFont="1" applyFill="1" applyBorder="1" applyAlignment="1">
      <alignment vertical="center"/>
    </xf>
    <xf numFmtId="3" fontId="12" fillId="0" borderId="1" xfId="0" applyNumberFormat="1" applyFont="1" applyFill="1" applyBorder="1" applyAlignment="1">
      <alignment vertical="center"/>
    </xf>
    <xf numFmtId="3" fontId="12" fillId="0" borderId="3" xfId="0" applyNumberFormat="1" applyFont="1" applyFill="1" applyBorder="1" applyAlignment="1">
      <alignment vertical="center"/>
    </xf>
    <xf numFmtId="0" fontId="15" fillId="0" borderId="1" xfId="0" applyFont="1" applyFill="1" applyBorder="1" applyAlignment="1">
      <alignment horizontal="left" vertical="center" wrapText="1"/>
    </xf>
    <xf numFmtId="164" fontId="15" fillId="0" borderId="2" xfId="0" applyNumberFormat="1" applyFont="1" applyFill="1" applyBorder="1" applyAlignment="1">
      <alignment vertical="center"/>
    </xf>
    <xf numFmtId="164" fontId="15" fillId="0" borderId="1" xfId="0" applyNumberFormat="1" applyFont="1" applyFill="1" applyBorder="1" applyAlignment="1">
      <alignment vertical="center"/>
    </xf>
    <xf numFmtId="164" fontId="15" fillId="0" borderId="3" xfId="0" applyNumberFormat="1" applyFont="1" applyFill="1" applyBorder="1" applyAlignment="1">
      <alignment vertical="center"/>
    </xf>
    <xf numFmtId="0" fontId="15" fillId="0" borderId="1" xfId="0" applyFont="1" applyFill="1" applyBorder="1" applyAlignment="1">
      <alignment vertical="center" wrapText="1"/>
    </xf>
    <xf numFmtId="0" fontId="17" fillId="0" borderId="1" xfId="0" applyFont="1" applyFill="1" applyBorder="1" applyAlignment="1">
      <alignment vertical="center" wrapText="1"/>
    </xf>
    <xf numFmtId="164" fontId="17" fillId="0" borderId="2" xfId="0" applyNumberFormat="1" applyFont="1" applyFill="1" applyBorder="1" applyAlignment="1">
      <alignment vertical="center"/>
    </xf>
    <xf numFmtId="164" fontId="17" fillId="0" borderId="1" xfId="0" applyNumberFormat="1" applyFont="1" applyFill="1" applyBorder="1" applyAlignment="1">
      <alignment vertical="center"/>
    </xf>
    <xf numFmtId="164" fontId="17" fillId="0" borderId="3" xfId="0" applyNumberFormat="1" applyFont="1" applyFill="1" applyBorder="1" applyAlignment="1">
      <alignment vertical="center"/>
    </xf>
    <xf numFmtId="3" fontId="15" fillId="0" borderId="1" xfId="0" applyNumberFormat="1" applyFont="1" applyFill="1" applyBorder="1" applyAlignment="1">
      <alignment vertical="center" wrapText="1"/>
    </xf>
    <xf numFmtId="0" fontId="15" fillId="0" borderId="1" xfId="0" quotePrefix="1" applyFont="1" applyFill="1" applyBorder="1" applyAlignment="1">
      <alignment vertical="center" wrapText="1"/>
    </xf>
    <xf numFmtId="0" fontId="15" fillId="0" borderId="0" xfId="0" applyFont="1" applyFill="1" applyBorder="1" applyAlignment="1">
      <alignment vertical="center" wrapText="1"/>
    </xf>
    <xf numFmtId="0" fontId="17" fillId="0" borderId="4" xfId="0" applyFont="1" applyFill="1" applyBorder="1" applyAlignment="1">
      <alignment vertical="center" wrapText="1"/>
    </xf>
    <xf numFmtId="0" fontId="29" fillId="4" borderId="4" xfId="0" applyFont="1" applyFill="1" applyBorder="1" applyAlignment="1">
      <alignment vertical="center" wrapText="1"/>
    </xf>
    <xf numFmtId="164" fontId="29" fillId="4" borderId="2" xfId="0" applyNumberFormat="1" applyFont="1" applyFill="1" applyBorder="1" applyAlignment="1">
      <alignment vertical="center"/>
    </xf>
    <xf numFmtId="164" fontId="29" fillId="4" borderId="1" xfId="0" applyNumberFormat="1" applyFont="1" applyFill="1" applyBorder="1" applyAlignment="1">
      <alignment vertical="center"/>
    </xf>
    <xf numFmtId="164" fontId="29" fillId="4" borderId="3" xfId="0" applyNumberFormat="1" applyFont="1" applyFill="1" applyBorder="1" applyAlignment="1">
      <alignment vertical="center"/>
    </xf>
    <xf numFmtId="0" fontId="12" fillId="0" borderId="0" xfId="0" applyFont="1" applyBorder="1" applyAlignment="1">
      <alignment vertical="center" wrapText="1"/>
    </xf>
    <xf numFmtId="0" fontId="15" fillId="0" borderId="0" xfId="0" applyFont="1" applyBorder="1" applyAlignment="1">
      <alignment vertical="center" wrapText="1"/>
    </xf>
    <xf numFmtId="164" fontId="15" fillId="0" borderId="0" xfId="0" applyNumberFormat="1" applyFont="1" applyBorder="1" applyAlignment="1">
      <alignment vertical="center"/>
    </xf>
    <xf numFmtId="3" fontId="20" fillId="2" borderId="6" xfId="0" applyNumberFormat="1" applyFont="1" applyFill="1" applyBorder="1" applyAlignment="1">
      <alignment horizontal="right" vertical="center" wrapText="1"/>
    </xf>
    <xf numFmtId="3" fontId="20" fillId="2" borderId="0" xfId="0" applyNumberFormat="1" applyFont="1" applyFill="1" applyBorder="1" applyAlignment="1">
      <alignment horizontal="center" vertical="center" wrapText="1"/>
    </xf>
    <xf numFmtId="0" fontId="17" fillId="0" borderId="1" xfId="0" applyFont="1" applyFill="1" applyBorder="1" applyAlignment="1">
      <alignment horizontal="left" vertical="center" wrapText="1"/>
    </xf>
    <xf numFmtId="3" fontId="16" fillId="0" borderId="1" xfId="0" applyNumberFormat="1" applyFont="1" applyFill="1" applyBorder="1" applyAlignment="1">
      <alignment vertical="center" wrapText="1"/>
    </xf>
    <xf numFmtId="164" fontId="16" fillId="0" borderId="2" xfId="0" applyNumberFormat="1" applyFont="1" applyFill="1" applyBorder="1" applyAlignment="1">
      <alignment vertical="center"/>
    </xf>
    <xf numFmtId="164" fontId="16" fillId="0" borderId="1" xfId="0" applyNumberFormat="1" applyFont="1" applyFill="1" applyBorder="1" applyAlignment="1">
      <alignment vertical="center"/>
    </xf>
    <xf numFmtId="164" fontId="16" fillId="0" borderId="3" xfId="0" applyNumberFormat="1" applyFont="1" applyFill="1" applyBorder="1" applyAlignment="1">
      <alignment vertical="center"/>
    </xf>
    <xf numFmtId="3" fontId="17" fillId="0" borderId="1" xfId="0" applyNumberFormat="1" applyFont="1" applyFill="1" applyBorder="1" applyAlignment="1">
      <alignment vertical="center" wrapText="1"/>
    </xf>
    <xf numFmtId="3" fontId="15" fillId="0" borderId="1" xfId="0" quotePrefix="1" applyNumberFormat="1" applyFont="1" applyFill="1" applyBorder="1" applyAlignment="1">
      <alignment vertical="center" wrapText="1"/>
    </xf>
    <xf numFmtId="0" fontId="29" fillId="4" borderId="1" xfId="0" applyFont="1" applyFill="1" applyBorder="1" applyAlignment="1">
      <alignment vertical="center" wrapText="1"/>
    </xf>
    <xf numFmtId="0" fontId="12" fillId="0" borderId="0" xfId="0" applyFont="1" applyAlignment="1">
      <alignment vertical="center" wrapText="1"/>
    </xf>
    <xf numFmtId="0" fontId="18" fillId="0" borderId="0" xfId="0" applyFont="1" applyFill="1" applyAlignment="1">
      <alignment vertical="center" wrapText="1"/>
    </xf>
    <xf numFmtId="0" fontId="17" fillId="0" borderId="1" xfId="0" applyFont="1" applyFill="1" applyBorder="1" applyAlignment="1">
      <alignment vertical="center"/>
    </xf>
    <xf numFmtId="3" fontId="15" fillId="0" borderId="1" xfId="0" applyNumberFormat="1" applyFont="1" applyFill="1" applyBorder="1" applyAlignment="1">
      <alignment vertical="center"/>
    </xf>
    <xf numFmtId="0" fontId="15" fillId="0" borderId="1" xfId="0" applyFont="1" applyFill="1" applyBorder="1" applyAlignment="1">
      <alignment horizontal="left" vertical="center"/>
    </xf>
    <xf numFmtId="0" fontId="15" fillId="0" borderId="1" xfId="0" applyFont="1" applyFill="1" applyBorder="1" applyAlignment="1">
      <alignment vertical="center"/>
    </xf>
    <xf numFmtId="0" fontId="15" fillId="0" borderId="1" xfId="0" applyFont="1" applyBorder="1" applyAlignment="1">
      <alignment vertical="center"/>
    </xf>
    <xf numFmtId="0" fontId="29" fillId="4" borderId="1" xfId="0" applyFont="1" applyFill="1" applyBorder="1" applyAlignment="1">
      <alignment vertical="center"/>
    </xf>
    <xf numFmtId="165" fontId="15" fillId="0" borderId="0" xfId="0" applyNumberFormat="1" applyFont="1" applyBorder="1" applyAlignment="1">
      <alignment vertical="center"/>
    </xf>
    <xf numFmtId="165" fontId="12" fillId="0" borderId="0" xfId="0" applyNumberFormat="1" applyFont="1" applyBorder="1" applyAlignment="1">
      <alignment vertical="center"/>
    </xf>
    <xf numFmtId="0" fontId="17" fillId="0" borderId="1" xfId="0" applyFont="1" applyBorder="1" applyAlignment="1">
      <alignment vertical="center"/>
    </xf>
    <xf numFmtId="164" fontId="15" fillId="0" borderId="2" xfId="0" applyNumberFormat="1" applyFont="1" applyFill="1" applyBorder="1" applyAlignment="1">
      <alignment horizontal="right" vertical="center"/>
    </xf>
    <xf numFmtId="164" fontId="15" fillId="0" borderId="1" xfId="0" applyNumberFormat="1" applyFont="1" applyFill="1" applyBorder="1" applyAlignment="1">
      <alignment horizontal="right" vertical="center"/>
    </xf>
    <xf numFmtId="0" fontId="12" fillId="0" borderId="0" xfId="0" applyFont="1" applyBorder="1" applyAlignment="1">
      <alignment horizontal="right" vertical="center"/>
    </xf>
    <xf numFmtId="164" fontId="12" fillId="0" borderId="0" xfId="0" applyNumberFormat="1" applyFont="1" applyBorder="1" applyAlignment="1">
      <alignment horizontal="right" vertical="center"/>
    </xf>
    <xf numFmtId="3" fontId="12" fillId="0" borderId="2" xfId="0" applyNumberFormat="1" applyFont="1" applyFill="1" applyBorder="1" applyAlignment="1">
      <alignment horizontal="right" vertical="center"/>
    </xf>
    <xf numFmtId="3" fontId="12" fillId="0" borderId="1" xfId="0" applyNumberFormat="1" applyFont="1" applyFill="1" applyBorder="1" applyAlignment="1">
      <alignment horizontal="right" vertical="center"/>
    </xf>
    <xf numFmtId="3" fontId="12" fillId="0" borderId="3" xfId="0" applyNumberFormat="1" applyFont="1" applyFill="1" applyBorder="1" applyAlignment="1">
      <alignment horizontal="right" vertical="center"/>
    </xf>
    <xf numFmtId="0" fontId="12" fillId="0" borderId="5" xfId="0" applyFont="1" applyFill="1" applyBorder="1" applyAlignment="1">
      <alignment horizontal="right" vertical="center"/>
    </xf>
    <xf numFmtId="0" fontId="12" fillId="0" borderId="0" xfId="0" applyFont="1" applyFill="1" applyBorder="1" applyAlignment="1">
      <alignment horizontal="right" vertical="center"/>
    </xf>
    <xf numFmtId="164" fontId="15" fillId="0" borderId="3" xfId="0" applyNumberFormat="1" applyFont="1" applyFill="1" applyBorder="1" applyAlignment="1">
      <alignment horizontal="right" vertical="center"/>
    </xf>
    <xf numFmtId="164" fontId="15" fillId="3" borderId="2" xfId="0" applyNumberFormat="1" applyFont="1" applyFill="1" applyBorder="1" applyAlignment="1">
      <alignment horizontal="right" vertical="center"/>
    </xf>
    <xf numFmtId="164" fontId="15" fillId="0" borderId="3" xfId="0" quotePrefix="1" applyNumberFormat="1" applyFont="1" applyFill="1" applyBorder="1" applyAlignment="1">
      <alignment horizontal="right" vertical="center"/>
    </xf>
    <xf numFmtId="164" fontId="17" fillId="0" borderId="2" xfId="0" applyNumberFormat="1" applyFont="1" applyFill="1" applyBorder="1" applyAlignment="1">
      <alignment horizontal="right" vertical="center"/>
    </xf>
    <xf numFmtId="164" fontId="17" fillId="0" borderId="1" xfId="0" applyNumberFormat="1" applyFont="1" applyFill="1" applyBorder="1" applyAlignment="1">
      <alignment horizontal="right" vertical="center"/>
    </xf>
    <xf numFmtId="164" fontId="17" fillId="0" borderId="3" xfId="0" applyNumberFormat="1" applyFont="1" applyFill="1" applyBorder="1" applyAlignment="1">
      <alignment horizontal="right" vertical="center"/>
    </xf>
    <xf numFmtId="164" fontId="15" fillId="3" borderId="1" xfId="0" applyNumberFormat="1" applyFont="1" applyFill="1" applyBorder="1" applyAlignment="1">
      <alignment horizontal="right" vertical="center"/>
    </xf>
    <xf numFmtId="164" fontId="15" fillId="3" borderId="3" xfId="0" applyNumberFormat="1" applyFont="1" applyFill="1" applyBorder="1" applyAlignment="1">
      <alignment horizontal="right" vertical="center"/>
    </xf>
    <xf numFmtId="164" fontId="29" fillId="4" borderId="2" xfId="0" applyNumberFormat="1" applyFont="1" applyFill="1" applyBorder="1" applyAlignment="1">
      <alignment horizontal="right" vertical="center"/>
    </xf>
    <xf numFmtId="164" fontId="29" fillId="4" borderId="1" xfId="0" applyNumberFormat="1" applyFont="1" applyFill="1" applyBorder="1" applyAlignment="1">
      <alignment horizontal="right" vertical="center"/>
    </xf>
    <xf numFmtId="164" fontId="29" fillId="4" borderId="3" xfId="0" applyNumberFormat="1" applyFont="1" applyFill="1" applyBorder="1" applyAlignment="1">
      <alignment horizontal="right" vertical="center"/>
    </xf>
    <xf numFmtId="164" fontId="13" fillId="0" borderId="0" xfId="0" applyNumberFormat="1" applyFont="1" applyFill="1" applyBorder="1" applyAlignment="1">
      <alignment horizontal="right" vertical="center"/>
    </xf>
    <xf numFmtId="164" fontId="15" fillId="0" borderId="0" xfId="0" applyNumberFormat="1" applyFont="1" applyBorder="1" applyAlignment="1">
      <alignment horizontal="right" vertical="center"/>
    </xf>
    <xf numFmtId="0" fontId="15" fillId="0" borderId="0" xfId="0" applyFont="1" applyBorder="1" applyAlignment="1">
      <alignment horizontal="right" vertical="center"/>
    </xf>
    <xf numFmtId="2" fontId="21" fillId="0" borderId="0" xfId="0" applyNumberFormat="1" applyFont="1" applyBorder="1" applyAlignment="1">
      <alignment horizontal="right" vertical="center"/>
    </xf>
    <xf numFmtId="164" fontId="21" fillId="0" borderId="0" xfId="0" applyNumberFormat="1" applyFont="1" applyBorder="1" applyAlignment="1">
      <alignment horizontal="right" vertical="center"/>
    </xf>
    <xf numFmtId="0" fontId="21" fillId="0" borderId="0" xfId="0" applyFont="1" applyBorder="1" applyAlignment="1">
      <alignment horizontal="right" vertical="center"/>
    </xf>
    <xf numFmtId="0" fontId="30" fillId="0" borderId="0" xfId="0" applyFont="1" applyFill="1" applyBorder="1" applyAlignment="1">
      <alignment horizontal="right" vertical="center"/>
    </xf>
    <xf numFmtId="164" fontId="16" fillId="0" borderId="2" xfId="0" applyNumberFormat="1" applyFont="1" applyFill="1" applyBorder="1" applyAlignment="1">
      <alignment horizontal="right" vertical="center"/>
    </xf>
    <xf numFmtId="164" fontId="16" fillId="0" borderId="1" xfId="0" applyNumberFormat="1" applyFont="1" applyFill="1" applyBorder="1" applyAlignment="1">
      <alignment horizontal="right" vertical="center"/>
    </xf>
    <xf numFmtId="164" fontId="16" fillId="0" borderId="3" xfId="0" applyNumberFormat="1" applyFont="1" applyFill="1" applyBorder="1" applyAlignment="1">
      <alignment horizontal="right" vertical="center"/>
    </xf>
    <xf numFmtId="164" fontId="15" fillId="0" borderId="4" xfId="0" applyNumberFormat="1" applyFont="1" applyFill="1" applyBorder="1" applyAlignment="1">
      <alignment horizontal="right" vertical="center"/>
    </xf>
    <xf numFmtId="164" fontId="15" fillId="0" borderId="7" xfId="0" quotePrefix="1" applyNumberFormat="1" applyFont="1" applyFill="1" applyBorder="1" applyAlignment="1">
      <alignment horizontal="right" vertical="center"/>
    </xf>
    <xf numFmtId="164" fontId="15" fillId="0" borderId="4" xfId="0" quotePrefix="1" applyNumberFormat="1" applyFont="1" applyFill="1" applyBorder="1" applyAlignment="1">
      <alignment horizontal="right" vertical="center"/>
    </xf>
    <xf numFmtId="0" fontId="19" fillId="2" borderId="9" xfId="0" applyFont="1" applyFill="1" applyBorder="1" applyAlignment="1">
      <alignment horizontal="center" vertical="center" wrapText="1"/>
    </xf>
    <xf numFmtId="164" fontId="15" fillId="0" borderId="7" xfId="0" applyNumberFormat="1" applyFont="1" applyFill="1" applyBorder="1" applyAlignment="1">
      <alignment horizontal="right" vertical="center"/>
    </xf>
    <xf numFmtId="0" fontId="31" fillId="4" borderId="0" xfId="13" applyFont="1" applyFill="1" applyBorder="1" applyAlignment="1">
      <alignment vertical="center" wrapText="1"/>
    </xf>
    <xf numFmtId="0" fontId="3" fillId="0" borderId="0" xfId="0" applyFont="1" applyBorder="1" applyAlignment="1">
      <alignment horizontal="right" vertical="center"/>
    </xf>
    <xf numFmtId="166" fontId="28" fillId="0" borderId="5" xfId="10" applyNumberFormat="1" applyFont="1" applyFill="1" applyBorder="1" applyAlignment="1">
      <alignment horizontal="right" vertical="center"/>
    </xf>
    <xf numFmtId="166" fontId="28" fillId="0" borderId="0" xfId="10" applyNumberFormat="1" applyFont="1" applyFill="1" applyBorder="1" applyAlignment="1">
      <alignment horizontal="right" vertical="center"/>
    </xf>
    <xf numFmtId="166" fontId="28" fillId="0" borderId="6" xfId="10" applyNumberFormat="1" applyFont="1" applyFill="1" applyBorder="1" applyAlignment="1">
      <alignment horizontal="right" vertical="center"/>
    </xf>
    <xf numFmtId="10" fontId="28" fillId="0" borderId="0" xfId="10" applyNumberFormat="1" applyFont="1" applyFill="1" applyBorder="1" applyAlignment="1">
      <alignment vertical="center"/>
    </xf>
    <xf numFmtId="0" fontId="36" fillId="0" borderId="0" xfId="0" applyFont="1" applyFill="1" applyBorder="1" applyAlignment="1">
      <alignment vertical="center" wrapText="1"/>
    </xf>
    <xf numFmtId="0" fontId="7" fillId="0" borderId="5" xfId="4" applyNumberFormat="1" applyFont="1" applyFill="1" applyBorder="1" applyAlignment="1">
      <alignment horizontal="center" vertical="center" wrapText="1"/>
    </xf>
    <xf numFmtId="3" fontId="7" fillId="0" borderId="5" xfId="4" applyNumberFormat="1" applyFont="1" applyFill="1" applyBorder="1" applyAlignment="1">
      <alignment horizontal="right" vertical="center" wrapText="1"/>
    </xf>
    <xf numFmtId="164" fontId="3" fillId="0" borderId="0" xfId="0" applyNumberFormat="1" applyFont="1" applyFill="1" applyBorder="1" applyAlignment="1">
      <alignment horizontal="right" vertical="center"/>
    </xf>
    <xf numFmtId="10" fontId="3" fillId="0" borderId="0" xfId="10" applyNumberFormat="1" applyFont="1" applyBorder="1" applyAlignment="1">
      <alignment vertical="center"/>
    </xf>
    <xf numFmtId="0" fontId="17" fillId="0" borderId="0" xfId="0" applyFont="1" applyBorder="1" applyAlignment="1">
      <alignment vertical="center" wrapText="1"/>
    </xf>
    <xf numFmtId="164" fontId="29" fillId="4" borderId="1" xfId="13" applyNumberFormat="1" applyFont="1" applyFill="1" applyBorder="1" applyAlignment="1">
      <alignment horizontal="right" vertical="center" wrapText="1"/>
    </xf>
    <xf numFmtId="0" fontId="31" fillId="4" borderId="17" xfId="13" applyFont="1" applyFill="1" applyBorder="1" applyAlignment="1">
      <alignment vertical="center" wrapText="1"/>
    </xf>
    <xf numFmtId="0" fontId="31" fillId="4" borderId="1" xfId="13" applyFont="1" applyFill="1" applyBorder="1" applyAlignment="1">
      <alignment vertical="center" wrapText="1"/>
    </xf>
    <xf numFmtId="164" fontId="15" fillId="0" borderId="1" xfId="13" applyNumberFormat="1" applyFont="1" applyFill="1" applyBorder="1" applyAlignment="1">
      <alignment horizontal="right" vertical="center" wrapText="1"/>
    </xf>
    <xf numFmtId="164" fontId="15" fillId="0" borderId="12" xfId="13" applyNumberFormat="1" applyFont="1" applyFill="1" applyBorder="1" applyAlignment="1">
      <alignment horizontal="right" vertical="center" wrapText="1"/>
    </xf>
    <xf numFmtId="164" fontId="29" fillId="4" borderId="12" xfId="13" applyNumberFormat="1" applyFont="1" applyFill="1" applyBorder="1" applyAlignment="1">
      <alignment horizontal="right" vertical="center" wrapText="1"/>
    </xf>
    <xf numFmtId="164" fontId="33" fillId="4" borderId="1" xfId="0" applyNumberFormat="1" applyFont="1" applyFill="1" applyBorder="1" applyAlignment="1">
      <alignment horizontal="right" vertical="center" wrapText="1"/>
    </xf>
    <xf numFmtId="164" fontId="35" fillId="0" borderId="1" xfId="0" applyNumberFormat="1" applyFont="1" applyBorder="1" applyAlignment="1">
      <alignment horizontal="right" vertical="center" wrapText="1"/>
    </xf>
    <xf numFmtId="164" fontId="33" fillId="4" borderId="12" xfId="0" applyNumberFormat="1" applyFont="1" applyFill="1" applyBorder="1" applyAlignment="1">
      <alignment horizontal="right" vertical="center" wrapText="1"/>
    </xf>
    <xf numFmtId="164" fontId="35" fillId="0" borderId="12" xfId="0" applyNumberFormat="1" applyFont="1" applyBorder="1" applyAlignment="1">
      <alignment horizontal="right" vertical="center" wrapText="1"/>
    </xf>
    <xf numFmtId="164" fontId="33" fillId="4" borderId="2" xfId="0" applyNumberFormat="1" applyFont="1" applyFill="1" applyBorder="1" applyAlignment="1">
      <alignment horizontal="right" vertical="center" wrapText="1"/>
    </xf>
    <xf numFmtId="164" fontId="35" fillId="0" borderId="2" xfId="0" applyNumberFormat="1" applyFont="1" applyBorder="1" applyAlignment="1">
      <alignment horizontal="right" vertical="center" wrapText="1"/>
    </xf>
    <xf numFmtId="3" fontId="15" fillId="0" borderId="2" xfId="0" applyNumberFormat="1" applyFont="1" applyFill="1" applyBorder="1" applyAlignment="1">
      <alignment vertical="center"/>
    </xf>
    <xf numFmtId="3" fontId="16" fillId="0" borderId="1" xfId="0" applyNumberFormat="1" applyFont="1" applyFill="1" applyBorder="1" applyAlignment="1">
      <alignment vertical="center"/>
    </xf>
    <xf numFmtId="3" fontId="16" fillId="0" borderId="3" xfId="0" applyNumberFormat="1" applyFont="1" applyFill="1" applyBorder="1" applyAlignment="1">
      <alignment vertical="center"/>
    </xf>
    <xf numFmtId="3" fontId="15" fillId="0" borderId="2" xfId="0" applyNumberFormat="1" applyFont="1" applyFill="1" applyBorder="1" applyAlignment="1">
      <alignment horizontal="right" vertical="center"/>
    </xf>
    <xf numFmtId="3" fontId="16" fillId="0" borderId="1" xfId="0" applyNumberFormat="1" applyFont="1" applyFill="1" applyBorder="1" applyAlignment="1">
      <alignment horizontal="right" vertical="center"/>
    </xf>
    <xf numFmtId="3" fontId="16" fillId="0" borderId="3" xfId="0" applyNumberFormat="1" applyFont="1" applyFill="1" applyBorder="1" applyAlignment="1">
      <alignment horizontal="right" vertical="center"/>
    </xf>
    <xf numFmtId="3" fontId="15" fillId="0" borderId="3" xfId="0" applyNumberFormat="1" applyFont="1" applyFill="1" applyBorder="1" applyAlignment="1">
      <alignment horizontal="right" vertical="center"/>
    </xf>
    <xf numFmtId="0" fontId="16" fillId="0" borderId="0" xfId="0" applyFont="1" applyAlignment="1">
      <alignment vertical="center"/>
    </xf>
    <xf numFmtId="0" fontId="37" fillId="0" borderId="1" xfId="0" applyFont="1" applyBorder="1" applyAlignment="1">
      <alignment vertical="center"/>
    </xf>
    <xf numFmtId="0" fontId="38" fillId="0" borderId="2" xfId="0" applyFont="1" applyBorder="1"/>
    <xf numFmtId="0" fontId="38" fillId="0" borderId="1" xfId="0" applyFont="1" applyBorder="1"/>
    <xf numFmtId="0" fontId="38" fillId="0" borderId="3" xfId="0" applyFont="1" applyBorder="1"/>
    <xf numFmtId="0" fontId="38" fillId="0" borderId="1" xfId="0" applyFont="1" applyBorder="1" applyAlignment="1">
      <alignment horizontal="right"/>
    </xf>
    <xf numFmtId="0" fontId="38" fillId="0" borderId="2" xfId="0" applyFont="1" applyBorder="1" applyAlignment="1">
      <alignment horizontal="right"/>
    </xf>
    <xf numFmtId="0" fontId="38" fillId="0" borderId="3" xfId="0" applyFont="1" applyBorder="1" applyAlignment="1">
      <alignment horizontal="right"/>
    </xf>
    <xf numFmtId="0" fontId="38" fillId="0" borderId="0" xfId="0" applyFont="1"/>
    <xf numFmtId="0" fontId="39" fillId="0" borderId="1" xfId="0" applyFont="1" applyFill="1" applyBorder="1" applyAlignment="1">
      <alignment vertical="center"/>
    </xf>
    <xf numFmtId="164" fontId="39" fillId="0" borderId="2" xfId="0" applyNumberFormat="1" applyFont="1" applyFill="1" applyBorder="1" applyAlignment="1">
      <alignment vertical="center"/>
    </xf>
    <xf numFmtId="164" fontId="39" fillId="0" borderId="1" xfId="0" applyNumberFormat="1" applyFont="1" applyFill="1" applyBorder="1" applyAlignment="1">
      <alignment vertical="center"/>
    </xf>
    <xf numFmtId="164" fontId="39" fillId="0" borderId="3" xfId="0" applyNumberFormat="1" applyFont="1" applyFill="1" applyBorder="1" applyAlignment="1">
      <alignment vertical="center"/>
    </xf>
    <xf numFmtId="164" fontId="39" fillId="0" borderId="1" xfId="0" applyNumberFormat="1" applyFont="1" applyFill="1" applyBorder="1" applyAlignment="1">
      <alignment horizontal="right" vertical="center"/>
    </xf>
    <xf numFmtId="164" fontId="39" fillId="0" borderId="2" xfId="0" applyNumberFormat="1" applyFont="1" applyFill="1" applyBorder="1" applyAlignment="1">
      <alignment horizontal="right" vertical="center"/>
    </xf>
    <xf numFmtId="164" fontId="39" fillId="0" borderId="3" xfId="0" applyNumberFormat="1" applyFont="1" applyFill="1" applyBorder="1" applyAlignment="1">
      <alignment horizontal="right" vertical="center"/>
    </xf>
    <xf numFmtId="0" fontId="15" fillId="0" borderId="0" xfId="0" applyFont="1"/>
    <xf numFmtId="0" fontId="34" fillId="3" borderId="1" xfId="0" applyFont="1" applyFill="1" applyBorder="1" applyAlignment="1">
      <alignment vertical="center"/>
    </xf>
    <xf numFmtId="0" fontId="34" fillId="0" borderId="1" xfId="0" applyFont="1" applyFill="1" applyBorder="1" applyAlignment="1">
      <alignment vertical="center"/>
    </xf>
    <xf numFmtId="164" fontId="34" fillId="0" borderId="2" xfId="0" applyNumberFormat="1" applyFont="1" applyFill="1" applyBorder="1" applyAlignment="1">
      <alignment vertical="center"/>
    </xf>
    <xf numFmtId="164" fontId="34" fillId="0" borderId="1" xfId="0" applyNumberFormat="1" applyFont="1" applyFill="1" applyBorder="1" applyAlignment="1">
      <alignment vertical="center"/>
    </xf>
    <xf numFmtId="164" fontId="34" fillId="0" borderId="3" xfId="0" applyNumberFormat="1" applyFont="1" applyFill="1" applyBorder="1" applyAlignment="1">
      <alignment vertical="center"/>
    </xf>
    <xf numFmtId="164" fontId="34" fillId="0" borderId="1" xfId="0" applyNumberFormat="1" applyFont="1" applyFill="1" applyBorder="1" applyAlignment="1">
      <alignment horizontal="right" vertical="center"/>
    </xf>
    <xf numFmtId="164" fontId="34" fillId="0" borderId="2" xfId="0" applyNumberFormat="1" applyFont="1" applyFill="1" applyBorder="1" applyAlignment="1">
      <alignment horizontal="right" vertical="center"/>
    </xf>
    <xf numFmtId="164" fontId="34" fillId="0" borderId="3" xfId="0" applyNumberFormat="1" applyFont="1" applyFill="1" applyBorder="1" applyAlignment="1">
      <alignment horizontal="right" vertical="center"/>
    </xf>
    <xf numFmtId="0" fontId="40" fillId="0" borderId="1" xfId="0" applyFont="1" applyFill="1" applyBorder="1" applyAlignment="1">
      <alignment vertical="center"/>
    </xf>
    <xf numFmtId="0" fontId="16" fillId="0" borderId="1" xfId="0" applyFont="1" applyFill="1" applyBorder="1" applyAlignment="1">
      <alignment vertical="center"/>
    </xf>
    <xf numFmtId="164" fontId="40" fillId="0" borderId="2" xfId="0" applyNumberFormat="1" applyFont="1" applyFill="1" applyBorder="1" applyAlignment="1">
      <alignment vertical="center"/>
    </xf>
    <xf numFmtId="164" fontId="40" fillId="0" borderId="1" xfId="0" applyNumberFormat="1" applyFont="1" applyFill="1" applyBorder="1" applyAlignment="1">
      <alignment vertical="center"/>
    </xf>
    <xf numFmtId="164" fontId="40" fillId="0" borderId="3" xfId="0" applyNumberFormat="1" applyFont="1" applyFill="1" applyBorder="1" applyAlignment="1">
      <alignment vertical="center"/>
    </xf>
    <xf numFmtId="164" fontId="40" fillId="0" borderId="1" xfId="0" applyNumberFormat="1" applyFont="1" applyFill="1" applyBorder="1" applyAlignment="1">
      <alignment horizontal="right" vertical="center"/>
    </xf>
    <xf numFmtId="164" fontId="40" fillId="0" borderId="2" xfId="0" applyNumberFormat="1" applyFont="1" applyFill="1" applyBorder="1" applyAlignment="1">
      <alignment horizontal="right" vertical="center"/>
    </xf>
    <xf numFmtId="164" fontId="40" fillId="0" borderId="3" xfId="0" applyNumberFormat="1" applyFont="1" applyFill="1" applyBorder="1" applyAlignment="1">
      <alignment horizontal="right" vertical="center"/>
    </xf>
    <xf numFmtId="0" fontId="15" fillId="0" borderId="0" xfId="0" applyFont="1" applyFill="1"/>
    <xf numFmtId="0" fontId="39" fillId="0" borderId="1" xfId="0" applyFont="1" applyFill="1" applyBorder="1" applyAlignment="1"/>
    <xf numFmtId="0" fontId="39" fillId="0" borderId="1" xfId="0" applyFont="1" applyFill="1" applyBorder="1"/>
    <xf numFmtId="0" fontId="41" fillId="0" borderId="1" xfId="0" applyFont="1" applyFill="1" applyBorder="1" applyAlignment="1">
      <alignment vertical="center"/>
    </xf>
    <xf numFmtId="0" fontId="41" fillId="3" borderId="1" xfId="0" applyFont="1" applyFill="1" applyBorder="1" applyAlignment="1">
      <alignment vertical="center"/>
    </xf>
    <xf numFmtId="164" fontId="41" fillId="0" borderId="2" xfId="0" applyNumberFormat="1" applyFont="1" applyFill="1" applyBorder="1" applyAlignment="1">
      <alignment horizontal="right" vertical="center"/>
    </xf>
    <xf numFmtId="164" fontId="41" fillId="0" borderId="1" xfId="0" applyNumberFormat="1" applyFont="1" applyFill="1" applyBorder="1" applyAlignment="1">
      <alignment horizontal="right" vertical="center"/>
    </xf>
    <xf numFmtId="164" fontId="41" fillId="0" borderId="3" xfId="0" applyNumberFormat="1" applyFont="1" applyFill="1" applyBorder="1" applyAlignment="1">
      <alignment horizontal="right" vertical="center"/>
    </xf>
    <xf numFmtId="0" fontId="42" fillId="0" borderId="0" xfId="0" applyFont="1"/>
    <xf numFmtId="164" fontId="41" fillId="0" borderId="2" xfId="0" applyNumberFormat="1" applyFont="1" applyFill="1" applyBorder="1" applyAlignment="1">
      <alignment vertical="center"/>
    </xf>
    <xf numFmtId="164" fontId="41" fillId="0" borderId="1" xfId="0" applyNumberFormat="1" applyFont="1" applyFill="1" applyBorder="1" applyAlignment="1">
      <alignment vertical="center"/>
    </xf>
    <xf numFmtId="164" fontId="41" fillId="0" borderId="3" xfId="0" applyNumberFormat="1" applyFont="1" applyFill="1" applyBorder="1" applyAlignment="1">
      <alignment vertical="center"/>
    </xf>
    <xf numFmtId="0" fontId="41" fillId="0" borderId="1" xfId="0" applyFont="1" applyFill="1" applyBorder="1" applyAlignment="1">
      <alignment vertical="center" wrapText="1"/>
    </xf>
    <xf numFmtId="0" fontId="41" fillId="0" borderId="1" xfId="0" quotePrefix="1" applyFont="1" applyFill="1" applyBorder="1" applyAlignment="1">
      <alignment vertical="center" wrapText="1"/>
    </xf>
    <xf numFmtId="0" fontId="39" fillId="0" borderId="1" xfId="4" applyFont="1" applyFill="1" applyBorder="1"/>
    <xf numFmtId="0" fontId="41" fillId="0" borderId="4" xfId="0" applyFont="1" applyBorder="1" applyAlignment="1">
      <alignment vertical="center"/>
    </xf>
    <xf numFmtId="164" fontId="41" fillId="0" borderId="7" xfId="0" applyNumberFormat="1" applyFont="1" applyFill="1" applyBorder="1" applyAlignment="1">
      <alignment vertical="center"/>
    </xf>
    <xf numFmtId="164" fontId="41" fillId="0" borderId="4" xfId="0" applyNumberFormat="1" applyFont="1" applyFill="1" applyBorder="1" applyAlignment="1">
      <alignment vertical="center"/>
    </xf>
    <xf numFmtId="164" fontId="41" fillId="0" borderId="8" xfId="0" applyNumberFormat="1" applyFont="1" applyFill="1" applyBorder="1" applyAlignment="1">
      <alignment vertical="center"/>
    </xf>
    <xf numFmtId="164" fontId="41" fillId="0" borderId="4" xfId="0" applyNumberFormat="1" applyFont="1" applyFill="1" applyBorder="1" applyAlignment="1">
      <alignment horizontal="right" vertical="center"/>
    </xf>
    <xf numFmtId="164" fontId="41" fillId="0" borderId="7" xfId="0" applyNumberFormat="1" applyFont="1" applyFill="1" applyBorder="1" applyAlignment="1">
      <alignment horizontal="right" vertical="center"/>
    </xf>
    <xf numFmtId="164" fontId="41" fillId="0" borderId="8" xfId="0" applyNumberFormat="1" applyFont="1" applyFill="1" applyBorder="1" applyAlignment="1">
      <alignment horizontal="right" vertical="center"/>
    </xf>
    <xf numFmtId="0" fontId="17" fillId="3" borderId="13" xfId="0" applyFont="1" applyFill="1" applyBorder="1" applyAlignment="1">
      <alignment vertical="center" wrapText="1"/>
    </xf>
    <xf numFmtId="0" fontId="17" fillId="0" borderId="13" xfId="0" applyFont="1" applyFill="1" applyBorder="1" applyAlignment="1">
      <alignment vertical="center" wrapText="1"/>
    </xf>
    <xf numFmtId="164" fontId="17" fillId="0" borderId="14" xfId="0" applyNumberFormat="1" applyFont="1" applyFill="1" applyBorder="1" applyAlignment="1">
      <alignment horizontal="right" vertical="center"/>
    </xf>
    <xf numFmtId="164" fontId="17" fillId="0" borderId="13" xfId="0" applyNumberFormat="1" applyFont="1" applyFill="1" applyBorder="1" applyAlignment="1">
      <alignment horizontal="right" vertical="center"/>
    </xf>
    <xf numFmtId="164" fontId="17" fillId="0" borderId="15" xfId="0" applyNumberFormat="1" applyFont="1" applyFill="1" applyBorder="1" applyAlignment="1">
      <alignment horizontal="right" vertical="center"/>
    </xf>
    <xf numFmtId="0" fontId="34" fillId="0" borderId="9" xfId="0" applyFont="1" applyFill="1" applyBorder="1" applyAlignment="1">
      <alignment vertical="center"/>
    </xf>
    <xf numFmtId="0" fontId="34" fillId="0" borderId="1" xfId="4" applyFont="1" applyFill="1" applyBorder="1" applyAlignment="1">
      <alignment vertical="center"/>
    </xf>
    <xf numFmtId="164" fontId="34" fillId="0" borderId="10" xfId="0" applyNumberFormat="1" applyFont="1" applyFill="1" applyBorder="1" applyAlignment="1">
      <alignment horizontal="right" vertical="center"/>
    </xf>
    <xf numFmtId="164" fontId="34" fillId="0" borderId="9" xfId="0" applyNumberFormat="1" applyFont="1" applyFill="1" applyBorder="1" applyAlignment="1">
      <alignment horizontal="right" vertical="center"/>
    </xf>
    <xf numFmtId="164" fontId="34" fillId="0" borderId="11" xfId="0" applyNumberFormat="1" applyFont="1" applyFill="1" applyBorder="1" applyAlignment="1">
      <alignment horizontal="right" vertical="center"/>
    </xf>
    <xf numFmtId="164" fontId="43" fillId="0" borderId="1" xfId="0" applyNumberFormat="1" applyFont="1" applyBorder="1" applyAlignment="1">
      <alignment vertical="center"/>
    </xf>
    <xf numFmtId="164" fontId="39" fillId="0" borderId="2" xfId="0" applyNumberFormat="1" applyFont="1" applyBorder="1" applyAlignment="1">
      <alignment horizontal="right" vertical="center" wrapText="1"/>
    </xf>
    <xf numFmtId="164" fontId="39" fillId="0" borderId="1" xfId="0" applyNumberFormat="1" applyFont="1" applyBorder="1" applyAlignment="1">
      <alignment horizontal="right" vertical="center" wrapText="1"/>
    </xf>
    <xf numFmtId="164" fontId="39" fillId="0" borderId="3" xfId="0" applyNumberFormat="1" applyFont="1" applyBorder="1" applyAlignment="1">
      <alignment horizontal="right" vertical="center" wrapText="1"/>
    </xf>
    <xf numFmtId="164" fontId="15" fillId="0" borderId="0" xfId="0" applyNumberFormat="1" applyFont="1"/>
    <xf numFmtId="164" fontId="38" fillId="0" borderId="2" xfId="0" applyNumberFormat="1" applyFont="1" applyBorder="1" applyAlignment="1">
      <alignment vertical="center"/>
    </xf>
    <xf numFmtId="164" fontId="38" fillId="0" borderId="1" xfId="0" applyNumberFormat="1" applyFont="1" applyBorder="1" applyAlignment="1">
      <alignment vertical="center"/>
    </xf>
    <xf numFmtId="164" fontId="38" fillId="0" borderId="3" xfId="0" applyNumberFormat="1" applyFont="1" applyBorder="1" applyAlignment="1">
      <alignment vertical="center"/>
    </xf>
    <xf numFmtId="164" fontId="38" fillId="0" borderId="1" xfId="0" applyNumberFormat="1" applyFont="1" applyBorder="1" applyAlignment="1">
      <alignment horizontal="right" vertical="center"/>
    </xf>
    <xf numFmtId="164" fontId="38" fillId="0" borderId="2" xfId="0" applyNumberFormat="1" applyFont="1" applyBorder="1" applyAlignment="1">
      <alignment horizontal="right" vertical="center"/>
    </xf>
    <xf numFmtId="164" fontId="38" fillId="0" borderId="3" xfId="0" applyNumberFormat="1" applyFont="1" applyBorder="1" applyAlignment="1">
      <alignment horizontal="right" vertical="center"/>
    </xf>
    <xf numFmtId="164" fontId="17" fillId="3" borderId="14" xfId="0" applyNumberFormat="1" applyFont="1" applyFill="1" applyBorder="1" applyAlignment="1">
      <alignment horizontal="right" vertical="center"/>
    </xf>
    <xf numFmtId="164" fontId="17" fillId="3" borderId="13" xfId="0" applyNumberFormat="1" applyFont="1" applyFill="1" applyBorder="1" applyAlignment="1">
      <alignment horizontal="right" vertical="center"/>
    </xf>
    <xf numFmtId="164" fontId="17" fillId="3" borderId="15" xfId="0" applyNumberFormat="1" applyFont="1" applyFill="1" applyBorder="1" applyAlignment="1">
      <alignment horizontal="right" vertical="center"/>
    </xf>
    <xf numFmtId="0" fontId="39" fillId="0" borderId="1" xfId="0" applyFont="1" applyBorder="1" applyAlignment="1">
      <alignment vertical="center"/>
    </xf>
    <xf numFmtId="164" fontId="34" fillId="0" borderId="2" xfId="0" applyNumberFormat="1" applyFont="1" applyBorder="1" applyAlignment="1">
      <alignment vertical="center"/>
    </xf>
    <xf numFmtId="164" fontId="34" fillId="0" borderId="1" xfId="0" applyNumberFormat="1" applyFont="1" applyBorder="1" applyAlignment="1">
      <alignment vertical="center"/>
    </xf>
    <xf numFmtId="164" fontId="34" fillId="0" borderId="3" xfId="0" applyNumberFormat="1" applyFont="1" applyBorder="1" applyAlignment="1">
      <alignment vertical="center"/>
    </xf>
    <xf numFmtId="164" fontId="34" fillId="0" borderId="1" xfId="0" applyNumberFormat="1" applyFont="1" applyBorder="1" applyAlignment="1">
      <alignment horizontal="right" vertical="center"/>
    </xf>
    <xf numFmtId="164" fontId="34" fillId="0" borderId="2" xfId="0" applyNumberFormat="1" applyFont="1" applyBorder="1" applyAlignment="1">
      <alignment horizontal="right" vertical="center"/>
    </xf>
    <xf numFmtId="164" fontId="34" fillId="0" borderId="3" xfId="0" applyNumberFormat="1" applyFont="1" applyBorder="1" applyAlignment="1">
      <alignment horizontal="right" vertical="center"/>
    </xf>
    <xf numFmtId="10" fontId="29" fillId="4" borderId="2" xfId="0" applyNumberFormat="1" applyFont="1" applyFill="1" applyBorder="1" applyAlignment="1">
      <alignment horizontal="right" vertical="center" wrapText="1"/>
    </xf>
    <xf numFmtId="10" fontId="29" fillId="4" borderId="1" xfId="0" applyNumberFormat="1" applyFont="1" applyFill="1" applyBorder="1" applyAlignment="1">
      <alignment horizontal="right" vertical="center" wrapText="1"/>
    </xf>
    <xf numFmtId="10" fontId="29" fillId="4" borderId="3" xfId="0" applyNumberFormat="1" applyFont="1" applyFill="1" applyBorder="1" applyAlignment="1">
      <alignment horizontal="right" vertical="center" wrapText="1"/>
    </xf>
    <xf numFmtId="0" fontId="44" fillId="4" borderId="1" xfId="4" applyFont="1" applyFill="1" applyBorder="1" applyAlignment="1">
      <alignment vertical="center"/>
    </xf>
    <xf numFmtId="0" fontId="44" fillId="4" borderId="1" xfId="0" applyFont="1" applyFill="1" applyBorder="1" applyAlignment="1">
      <alignment vertical="center"/>
    </xf>
    <xf numFmtId="10" fontId="44" fillId="4" borderId="2" xfId="0" applyNumberFormat="1" applyFont="1" applyFill="1" applyBorder="1" applyAlignment="1">
      <alignment horizontal="right" vertical="center" wrapText="1"/>
    </xf>
    <xf numFmtId="10" fontId="44" fillId="4" borderId="1" xfId="0" applyNumberFormat="1" applyFont="1" applyFill="1" applyBorder="1" applyAlignment="1">
      <alignment horizontal="right" vertical="center" wrapText="1"/>
    </xf>
    <xf numFmtId="10" fontId="44" fillId="4" borderId="3" xfId="0" applyNumberFormat="1" applyFont="1" applyFill="1" applyBorder="1" applyAlignment="1">
      <alignment horizontal="right" vertical="center" wrapText="1"/>
    </xf>
    <xf numFmtId="0" fontId="16" fillId="0" borderId="0" xfId="0" applyFont="1"/>
    <xf numFmtId="10" fontId="44" fillId="4" borderId="2" xfId="10" applyNumberFormat="1" applyFont="1" applyFill="1" applyBorder="1" applyAlignment="1">
      <alignment horizontal="right" vertical="center"/>
    </xf>
    <xf numFmtId="10" fontId="44" fillId="4" borderId="1" xfId="10" applyNumberFormat="1" applyFont="1" applyFill="1" applyBorder="1" applyAlignment="1">
      <alignment horizontal="right" vertical="center"/>
    </xf>
    <xf numFmtId="10" fontId="44" fillId="4" borderId="3" xfId="10" applyNumberFormat="1" applyFont="1" applyFill="1" applyBorder="1" applyAlignment="1">
      <alignment horizontal="right" vertical="center"/>
    </xf>
    <xf numFmtId="0" fontId="15" fillId="0" borderId="1" xfId="0" applyFont="1" applyBorder="1"/>
    <xf numFmtId="0" fontId="15" fillId="0" borderId="2" xfId="0" applyFont="1" applyBorder="1" applyAlignment="1">
      <alignment horizontal="right"/>
    </xf>
    <xf numFmtId="0" fontId="15" fillId="0" borderId="1" xfId="0" applyFont="1" applyBorder="1" applyAlignment="1">
      <alignment horizontal="right"/>
    </xf>
    <xf numFmtId="0" fontId="15" fillId="0" borderId="3" xfId="0" applyFont="1" applyBorder="1" applyAlignment="1">
      <alignment horizontal="right"/>
    </xf>
    <xf numFmtId="0" fontId="45" fillId="4" borderId="1" xfId="0" applyFont="1" applyFill="1" applyBorder="1" applyAlignment="1">
      <alignment vertical="center" wrapText="1"/>
    </xf>
    <xf numFmtId="10" fontId="45" fillId="4" borderId="2" xfId="10" applyNumberFormat="1" applyFont="1" applyFill="1" applyBorder="1" applyAlignment="1">
      <alignment horizontal="right" vertical="center"/>
    </xf>
    <xf numFmtId="10" fontId="45" fillId="4" borderId="1" xfId="10" applyNumberFormat="1" applyFont="1" applyFill="1" applyBorder="1" applyAlignment="1">
      <alignment horizontal="right" vertical="center"/>
    </xf>
    <xf numFmtId="10" fontId="45" fillId="4" borderId="3" xfId="10" applyNumberFormat="1" applyFont="1" applyFill="1" applyBorder="1" applyAlignment="1">
      <alignment horizontal="right" vertical="center"/>
    </xf>
    <xf numFmtId="0" fontId="46" fillId="0" borderId="0" xfId="0" applyFont="1"/>
    <xf numFmtId="0" fontId="44" fillId="4" borderId="1" xfId="0" applyFont="1" applyFill="1" applyBorder="1" applyAlignment="1">
      <alignment vertical="center" wrapText="1"/>
    </xf>
    <xf numFmtId="0" fontId="44" fillId="4" borderId="1" xfId="4" applyFont="1" applyFill="1" applyBorder="1" applyAlignment="1">
      <alignment vertical="center" wrapText="1"/>
    </xf>
    <xf numFmtId="0" fontId="12" fillId="0" borderId="0" xfId="0" applyFont="1"/>
    <xf numFmtId="0" fontId="19" fillId="2" borderId="4" xfId="0" applyFont="1" applyFill="1" applyBorder="1" applyAlignment="1">
      <alignment horizontal="center" vertical="center" wrapText="1"/>
    </xf>
    <xf numFmtId="0" fontId="20" fillId="4" borderId="20" xfId="13" applyNumberFormat="1" applyFont="1" applyFill="1" applyBorder="1" applyAlignment="1">
      <alignment vertical="center" wrapText="1"/>
    </xf>
    <xf numFmtId="3" fontId="20" fillId="2" borderId="19" xfId="4" applyNumberFormat="1" applyFont="1" applyFill="1" applyBorder="1" applyAlignment="1">
      <alignment horizontal="right" vertical="center" wrapText="1"/>
    </xf>
    <xf numFmtId="3" fontId="20" fillId="2" borderId="9" xfId="4" applyNumberFormat="1" applyFont="1" applyFill="1" applyBorder="1" applyAlignment="1">
      <alignment horizontal="right" vertical="center" wrapText="1"/>
    </xf>
    <xf numFmtId="3" fontId="20" fillId="2" borderId="10" xfId="4" applyNumberFormat="1" applyFont="1" applyFill="1" applyBorder="1" applyAlignment="1">
      <alignment horizontal="right" vertical="center" wrapText="1"/>
    </xf>
    <xf numFmtId="3" fontId="15" fillId="0" borderId="0" xfId="0" applyNumberFormat="1" applyFont="1" applyFill="1" applyBorder="1" applyAlignment="1">
      <alignment horizontal="right" vertical="center"/>
    </xf>
    <xf numFmtId="0" fontId="33" fillId="4" borderId="1" xfId="0" applyFont="1" applyFill="1" applyBorder="1" applyAlignment="1">
      <alignment vertical="center" wrapText="1"/>
    </xf>
    <xf numFmtId="0" fontId="34" fillId="0" borderId="1" xfId="0" applyFont="1" applyBorder="1" applyAlignment="1">
      <alignment horizontal="left" vertical="center" wrapText="1" indent="1"/>
    </xf>
    <xf numFmtId="0" fontId="39" fillId="0" borderId="1" xfId="0" applyFont="1" applyBorder="1" applyAlignment="1">
      <alignment vertical="center" wrapText="1"/>
    </xf>
    <xf numFmtId="0" fontId="39" fillId="0" borderId="1" xfId="0" applyFont="1" applyBorder="1" applyAlignment="1">
      <alignment horizontal="left" vertical="center" wrapText="1" indent="1"/>
    </xf>
    <xf numFmtId="0" fontId="34" fillId="0" borderId="1" xfId="0" applyFont="1" applyBorder="1" applyAlignment="1">
      <alignment horizontal="left" vertical="center" wrapText="1" indent="3"/>
    </xf>
    <xf numFmtId="0" fontId="32" fillId="0" borderId="1" xfId="0" applyFont="1" applyBorder="1" applyAlignment="1">
      <alignment horizontal="left" vertical="center" wrapText="1" indent="1"/>
    </xf>
    <xf numFmtId="164" fontId="17" fillId="3" borderId="1" xfId="0" applyNumberFormat="1" applyFont="1" applyFill="1" applyBorder="1" applyAlignment="1">
      <alignment vertical="center"/>
    </xf>
    <xf numFmtId="164" fontId="17" fillId="3" borderId="3" xfId="0" applyNumberFormat="1" applyFont="1" applyFill="1" applyBorder="1" applyAlignment="1">
      <alignment vertical="center"/>
    </xf>
    <xf numFmtId="164" fontId="15" fillId="3" borderId="1" xfId="0" applyNumberFormat="1" applyFont="1" applyFill="1" applyBorder="1" applyAlignment="1">
      <alignment vertical="center"/>
    </xf>
    <xf numFmtId="164" fontId="15" fillId="3" borderId="3" xfId="0" applyNumberFormat="1" applyFont="1" applyFill="1" applyBorder="1" applyAlignment="1">
      <alignment vertical="center"/>
    </xf>
    <xf numFmtId="0" fontId="47" fillId="0" borderId="0" xfId="0" applyFont="1" applyBorder="1" applyAlignment="1">
      <alignment vertical="center" wrapText="1"/>
    </xf>
    <xf numFmtId="3" fontId="47" fillId="0" borderId="4" xfId="0" applyNumberFormat="1" applyFont="1" applyFill="1" applyBorder="1" applyAlignment="1">
      <alignment vertical="center"/>
    </xf>
    <xf numFmtId="3" fontId="47" fillId="0" borderId="0" xfId="0" applyNumberFormat="1" applyFont="1" applyFill="1" applyBorder="1" applyAlignment="1">
      <alignment vertical="center"/>
    </xf>
    <xf numFmtId="164" fontId="47" fillId="0" borderId="4" xfId="0" applyNumberFormat="1" applyFont="1" applyFill="1" applyBorder="1" applyAlignment="1">
      <alignment vertical="center"/>
    </xf>
    <xf numFmtId="164" fontId="47" fillId="0" borderId="0" xfId="0" applyNumberFormat="1" applyFont="1" applyFill="1" applyBorder="1" applyAlignment="1">
      <alignment vertical="center"/>
    </xf>
    <xf numFmtId="2" fontId="15" fillId="0" borderId="0" xfId="0" applyNumberFormat="1" applyFont="1" applyBorder="1" applyAlignment="1">
      <alignment vertical="center"/>
    </xf>
    <xf numFmtId="0" fontId="15" fillId="0" borderId="0" xfId="0" applyFont="1" applyFill="1" applyBorder="1" applyAlignment="1">
      <alignment vertical="center"/>
    </xf>
    <xf numFmtId="0" fontId="16" fillId="0" borderId="0" xfId="0" applyFont="1" applyFill="1" applyBorder="1" applyAlignment="1">
      <alignment vertical="center"/>
    </xf>
    <xf numFmtId="164" fontId="16" fillId="0" borderId="0" xfId="0" applyNumberFormat="1" applyFont="1" applyFill="1" applyBorder="1" applyAlignment="1">
      <alignment vertical="center"/>
    </xf>
    <xf numFmtId="0" fontId="17" fillId="0" borderId="0" xfId="0" applyFont="1" applyFill="1" applyBorder="1" applyAlignment="1">
      <alignment vertical="center"/>
    </xf>
    <xf numFmtId="0" fontId="17" fillId="0" borderId="0" xfId="0" applyFont="1" applyBorder="1" applyAlignment="1">
      <alignment vertical="center"/>
    </xf>
    <xf numFmtId="3" fontId="15" fillId="0" borderId="3" xfId="0" applyNumberFormat="1" applyFont="1" applyFill="1" applyBorder="1" applyAlignment="1">
      <alignment vertical="center"/>
    </xf>
    <xf numFmtId="0" fontId="46" fillId="0" borderId="0" xfId="0" applyFont="1" applyFill="1" applyBorder="1" applyAlignment="1">
      <alignment vertical="center"/>
    </xf>
    <xf numFmtId="0" fontId="47" fillId="0" borderId="0" xfId="0" applyFont="1" applyBorder="1" applyAlignment="1">
      <alignment vertical="center"/>
    </xf>
    <xf numFmtId="3" fontId="20" fillId="2" borderId="5" xfId="4" applyNumberFormat="1" applyFont="1" applyFill="1" applyBorder="1" applyAlignment="1">
      <alignment horizontal="right" vertical="center" wrapText="1"/>
    </xf>
    <xf numFmtId="3" fontId="20" fillId="2" borderId="0" xfId="4" applyNumberFormat="1" applyFont="1" applyFill="1" applyBorder="1" applyAlignment="1">
      <alignment horizontal="right" vertical="center" wrapText="1"/>
    </xf>
    <xf numFmtId="3" fontId="20" fillId="2" borderId="6" xfId="4" applyNumberFormat="1" applyFont="1" applyFill="1" applyBorder="1" applyAlignment="1">
      <alignment horizontal="right" vertical="center" wrapText="1"/>
    </xf>
    <xf numFmtId="0" fontId="17" fillId="0" borderId="1" xfId="0" applyFont="1" applyBorder="1" applyAlignment="1">
      <alignment vertical="center" wrapText="1"/>
    </xf>
    <xf numFmtId="0" fontId="15" fillId="0" borderId="1" xfId="0" applyFont="1" applyBorder="1" applyAlignment="1">
      <alignment vertical="center" wrapText="1"/>
    </xf>
    <xf numFmtId="164" fontId="47" fillId="0" borderId="0" xfId="0" applyNumberFormat="1" applyFont="1" applyBorder="1" applyAlignment="1">
      <alignment vertical="center"/>
    </xf>
    <xf numFmtId="0" fontId="16" fillId="0" borderId="1" xfId="0" applyFont="1" applyFill="1" applyBorder="1" applyAlignment="1">
      <alignment horizontal="left" vertical="center" wrapText="1"/>
    </xf>
    <xf numFmtId="0" fontId="17" fillId="0" borderId="0" xfId="0" applyFont="1" applyFill="1" applyAlignment="1">
      <alignment vertical="center" wrapText="1"/>
    </xf>
    <xf numFmtId="0" fontId="15" fillId="0" borderId="1" xfId="5" applyFont="1" applyFill="1" applyBorder="1" applyAlignment="1">
      <alignment horizontal="left" vertical="center" wrapText="1"/>
    </xf>
    <xf numFmtId="0" fontId="16" fillId="0" borderId="1" xfId="0" applyFont="1" applyFill="1" applyBorder="1" applyAlignment="1">
      <alignment horizontal="left" vertical="center"/>
    </xf>
    <xf numFmtId="0" fontId="16" fillId="0" borderId="1" xfId="5" applyFont="1" applyFill="1" applyBorder="1" applyAlignment="1">
      <alignment horizontal="left" vertical="center"/>
    </xf>
    <xf numFmtId="0" fontId="17" fillId="0" borderId="1" xfId="0" applyFont="1" applyFill="1" applyBorder="1" applyAlignment="1">
      <alignment horizontal="left" vertical="center"/>
    </xf>
    <xf numFmtId="164" fontId="16" fillId="0" borderId="1" xfId="5" applyNumberFormat="1" applyFont="1" applyFill="1" applyBorder="1" applyAlignment="1">
      <alignment vertical="center"/>
    </xf>
    <xf numFmtId="164" fontId="16" fillId="0" borderId="3" xfId="5" applyNumberFormat="1" applyFont="1" applyFill="1" applyBorder="1" applyAlignment="1">
      <alignment vertical="center"/>
    </xf>
    <xf numFmtId="164" fontId="15" fillId="0" borderId="1" xfId="5" applyNumberFormat="1" applyFont="1" applyFill="1" applyBorder="1" applyAlignment="1">
      <alignment vertical="center"/>
    </xf>
    <xf numFmtId="164" fontId="15" fillId="0" borderId="3" xfId="5" applyNumberFormat="1" applyFont="1" applyFill="1" applyBorder="1" applyAlignment="1">
      <alignment vertical="center"/>
    </xf>
    <xf numFmtId="0" fontId="16" fillId="0" borderId="1" xfId="5" applyFont="1" applyFill="1" applyBorder="1" applyAlignment="1">
      <alignment horizontal="left" vertical="center" wrapText="1"/>
    </xf>
    <xf numFmtId="0" fontId="16" fillId="0" borderId="0" xfId="0" applyFont="1" applyBorder="1" applyAlignment="1">
      <alignment vertical="center"/>
    </xf>
    <xf numFmtId="0" fontId="48" fillId="0" borderId="0" xfId="13" applyFont="1" applyBorder="1"/>
    <xf numFmtId="0" fontId="48" fillId="0" borderId="0" xfId="13" applyFont="1"/>
    <xf numFmtId="0" fontId="29" fillId="4" borderId="16" xfId="13" applyNumberFormat="1" applyFont="1" applyFill="1" applyBorder="1" applyAlignment="1">
      <alignment horizontal="center" vertical="center" wrapText="1"/>
    </xf>
    <xf numFmtId="0" fontId="49" fillId="0" borderId="0" xfId="13" applyFont="1" applyBorder="1"/>
    <xf numFmtId="3" fontId="29" fillId="2" borderId="16" xfId="4" applyNumberFormat="1" applyFont="1" applyFill="1" applyBorder="1" applyAlignment="1">
      <alignment horizontal="right" vertical="center" wrapText="1"/>
    </xf>
    <xf numFmtId="3" fontId="29" fillId="2" borderId="0" xfId="4" applyNumberFormat="1" applyFont="1" applyFill="1" applyBorder="1" applyAlignment="1">
      <alignment horizontal="right" vertical="center" wrapText="1"/>
    </xf>
    <xf numFmtId="3" fontId="15" fillId="0" borderId="1" xfId="13" applyNumberFormat="1" applyFont="1" applyFill="1" applyBorder="1" applyAlignment="1">
      <alignment horizontal="right" vertical="center"/>
    </xf>
    <xf numFmtId="3" fontId="15" fillId="0" borderId="18" xfId="13" applyNumberFormat="1" applyFont="1" applyFill="1" applyBorder="1" applyAlignment="1">
      <alignment horizontal="right" vertical="center"/>
    </xf>
    <xf numFmtId="3" fontId="15" fillId="0" borderId="17" xfId="13" applyNumberFormat="1" applyFont="1" applyFill="1" applyBorder="1" applyAlignment="1">
      <alignment horizontal="right" vertical="center"/>
    </xf>
    <xf numFmtId="0" fontId="15" fillId="0" borderId="1" xfId="13" applyFont="1" applyBorder="1" applyAlignment="1">
      <alignment vertical="center" wrapText="1"/>
    </xf>
    <xf numFmtId="0" fontId="15" fillId="0" borderId="18" xfId="13" applyFont="1" applyBorder="1" applyAlignment="1">
      <alignment horizontal="left" vertical="center" wrapText="1"/>
    </xf>
    <xf numFmtId="0" fontId="15" fillId="0" borderId="17" xfId="13" applyFont="1" applyBorder="1" applyAlignment="1">
      <alignment horizontal="left" vertical="center" wrapText="1"/>
    </xf>
    <xf numFmtId="0" fontId="15" fillId="0" borderId="1" xfId="13" applyFont="1" applyBorder="1" applyAlignment="1">
      <alignment horizontal="left" vertical="center" wrapText="1"/>
    </xf>
    <xf numFmtId="0" fontId="29" fillId="4" borderId="1" xfId="13" applyFont="1" applyFill="1" applyBorder="1" applyAlignment="1">
      <alignment vertical="center" wrapText="1"/>
    </xf>
    <xf numFmtId="0" fontId="29" fillId="4" borderId="18" xfId="13" applyFont="1" applyFill="1" applyBorder="1" applyAlignment="1">
      <alignment vertical="center" wrapText="1"/>
    </xf>
    <xf numFmtId="0" fontId="29" fillId="4" borderId="17" xfId="13" applyFont="1" applyFill="1" applyBorder="1" applyAlignment="1">
      <alignment vertical="center" wrapText="1"/>
    </xf>
    <xf numFmtId="0" fontId="15" fillId="0" borderId="1" xfId="13" applyFont="1" applyBorder="1" applyAlignment="1">
      <alignment horizontal="right" vertical="center" wrapText="1"/>
    </xf>
    <xf numFmtId="0" fontId="15" fillId="0" borderId="18" xfId="13" applyFont="1" applyBorder="1" applyAlignment="1">
      <alignment horizontal="right" vertical="center" wrapText="1"/>
    </xf>
    <xf numFmtId="0" fontId="15" fillId="0" borderId="17" xfId="13" applyFont="1" applyBorder="1" applyAlignment="1">
      <alignment horizontal="right" vertical="center" wrapText="1"/>
    </xf>
    <xf numFmtId="0" fontId="29" fillId="8" borderId="1" xfId="13" applyFont="1" applyFill="1" applyBorder="1" applyAlignment="1">
      <alignment vertical="center" wrapText="1"/>
    </xf>
    <xf numFmtId="0" fontId="29" fillId="8" borderId="18" xfId="13" applyFont="1" applyFill="1" applyBorder="1" applyAlignment="1">
      <alignment vertical="center" wrapText="1"/>
    </xf>
    <xf numFmtId="0" fontId="29" fillId="8" borderId="17" xfId="13" applyFont="1" applyFill="1" applyBorder="1" applyAlignment="1">
      <alignment vertical="center" wrapText="1"/>
    </xf>
    <xf numFmtId="164" fontId="29" fillId="8" borderId="12" xfId="13" applyNumberFormat="1" applyFont="1" applyFill="1" applyBorder="1" applyAlignment="1">
      <alignment horizontal="right" vertical="center" wrapText="1"/>
    </xf>
    <xf numFmtId="164" fontId="29" fillId="8" borderId="1" xfId="13" applyNumberFormat="1" applyFont="1" applyFill="1" applyBorder="1" applyAlignment="1">
      <alignment horizontal="right" vertical="center" wrapText="1"/>
    </xf>
    <xf numFmtId="0" fontId="29" fillId="7" borderId="1" xfId="13" applyFont="1" applyFill="1" applyBorder="1" applyAlignment="1">
      <alignment vertical="center" wrapText="1"/>
    </xf>
    <xf numFmtId="0" fontId="29" fillId="7" borderId="18" xfId="13" applyFont="1" applyFill="1" applyBorder="1" applyAlignment="1">
      <alignment vertical="center" wrapText="1"/>
    </xf>
    <xf numFmtId="0" fontId="29" fillId="7" borderId="17" xfId="13" applyFont="1" applyFill="1" applyBorder="1" applyAlignment="1">
      <alignment vertical="center" wrapText="1"/>
    </xf>
    <xf numFmtId="164" fontId="29" fillId="7" borderId="12" xfId="13" applyNumberFormat="1" applyFont="1" applyFill="1" applyBorder="1" applyAlignment="1">
      <alignment horizontal="right" vertical="center" wrapText="1"/>
    </xf>
    <xf numFmtId="164" fontId="29" fillId="7" borderId="1" xfId="13" applyNumberFormat="1" applyFont="1" applyFill="1" applyBorder="1" applyAlignment="1">
      <alignment horizontal="right" vertical="center" wrapText="1"/>
    </xf>
    <xf numFmtId="0" fontId="15" fillId="0" borderId="1" xfId="13" applyFont="1" applyBorder="1" applyAlignment="1">
      <alignment horizontal="left" vertical="center" wrapText="1" indent="1"/>
    </xf>
    <xf numFmtId="0" fontId="15" fillId="0" borderId="18" xfId="13" applyFont="1" applyBorder="1" applyAlignment="1">
      <alignment horizontal="left" vertical="center" wrapText="1" indent="1"/>
    </xf>
    <xf numFmtId="0" fontId="15" fillId="0" borderId="17" xfId="13" applyFont="1" applyBorder="1" applyAlignment="1">
      <alignment horizontal="left" vertical="center" wrapText="1" indent="1"/>
    </xf>
    <xf numFmtId="164" fontId="15" fillId="0" borderId="12" xfId="13" applyNumberFormat="1" applyFont="1" applyBorder="1" applyAlignment="1">
      <alignment horizontal="right" vertical="center" wrapText="1"/>
    </xf>
    <xf numFmtId="164" fontId="15" fillId="0" borderId="1" xfId="13" applyNumberFormat="1" applyFont="1" applyBorder="1" applyAlignment="1">
      <alignment horizontal="right" vertical="center" wrapText="1"/>
    </xf>
    <xf numFmtId="0" fontId="17" fillId="0" borderId="1" xfId="13" applyFont="1" applyBorder="1" applyAlignment="1">
      <alignment vertical="center" wrapText="1"/>
    </xf>
    <xf numFmtId="0" fontId="17" fillId="0" borderId="18" xfId="13" applyFont="1" applyBorder="1" applyAlignment="1">
      <alignment vertical="center" wrapText="1"/>
    </xf>
    <xf numFmtId="0" fontId="17" fillId="0" borderId="17" xfId="13" applyFont="1" applyBorder="1" applyAlignment="1">
      <alignment vertical="center" wrapText="1"/>
    </xf>
    <xf numFmtId="164" fontId="17" fillId="0" borderId="12" xfId="13" applyNumberFormat="1" applyFont="1" applyBorder="1" applyAlignment="1">
      <alignment horizontal="right" vertical="center" wrapText="1"/>
    </xf>
    <xf numFmtId="164" fontId="17" fillId="0" borderId="1" xfId="13" applyNumberFormat="1" applyFont="1" applyBorder="1" applyAlignment="1">
      <alignment horizontal="right" vertical="center" wrapText="1"/>
    </xf>
    <xf numFmtId="0" fontId="17" fillId="0" borderId="1" xfId="13" applyFont="1" applyBorder="1" applyAlignment="1">
      <alignment horizontal="left" vertical="center" wrapText="1" indent="1"/>
    </xf>
    <xf numFmtId="0" fontId="17" fillId="0" borderId="18" xfId="13" applyFont="1" applyBorder="1" applyAlignment="1">
      <alignment horizontal="left" vertical="center" wrapText="1" indent="1"/>
    </xf>
    <xf numFmtId="0" fontId="17" fillId="0" borderId="17" xfId="13" applyFont="1" applyBorder="1" applyAlignment="1">
      <alignment horizontal="left" vertical="center" wrapText="1" indent="1"/>
    </xf>
    <xf numFmtId="0" fontId="15" fillId="0" borderId="1" xfId="13" applyFont="1" applyBorder="1" applyAlignment="1">
      <alignment horizontal="left" vertical="center" wrapText="1" indent="3"/>
    </xf>
    <xf numFmtId="0" fontId="15" fillId="0" borderId="18" xfId="13" applyFont="1" applyBorder="1" applyAlignment="1">
      <alignment horizontal="left" vertical="center" wrapText="1" indent="3"/>
    </xf>
    <xf numFmtId="0" fontId="15" fillId="0" borderId="17" xfId="13" applyFont="1" applyBorder="1" applyAlignment="1">
      <alignment horizontal="left" vertical="center" wrapText="1" indent="3"/>
    </xf>
    <xf numFmtId="0" fontId="15" fillId="0" borderId="12" xfId="13" applyFont="1" applyBorder="1" applyAlignment="1">
      <alignment horizontal="center" vertical="center" wrapText="1"/>
    </xf>
    <xf numFmtId="0" fontId="15" fillId="0" borderId="1" xfId="13" applyFont="1" applyBorder="1" applyAlignment="1">
      <alignment horizontal="center" vertical="center" wrapText="1"/>
    </xf>
    <xf numFmtId="0" fontId="15" fillId="0" borderId="0" xfId="13" applyFont="1" applyBorder="1"/>
    <xf numFmtId="0" fontId="50" fillId="0" borderId="0" xfId="13" applyFont="1" applyBorder="1"/>
    <xf numFmtId="0" fontId="15" fillId="0" borderId="1" xfId="13" applyFont="1" applyBorder="1"/>
    <xf numFmtId="0" fontId="17" fillId="0" borderId="12" xfId="13" applyFont="1" applyBorder="1" applyAlignment="1">
      <alignment horizontal="right" vertical="center" wrapText="1"/>
    </xf>
    <xf numFmtId="0" fontId="17" fillId="0" borderId="1" xfId="13" applyFont="1" applyBorder="1" applyAlignment="1">
      <alignment horizontal="right" vertical="center" wrapText="1"/>
    </xf>
    <xf numFmtId="0" fontId="29" fillId="0" borderId="1" xfId="13" applyFont="1" applyBorder="1" applyAlignment="1">
      <alignment vertical="center" wrapText="1"/>
    </xf>
    <xf numFmtId="0" fontId="29" fillId="0" borderId="18" xfId="13" applyFont="1" applyBorder="1" applyAlignment="1">
      <alignment vertical="center" wrapText="1"/>
    </xf>
    <xf numFmtId="0" fontId="29" fillId="0" borderId="17" xfId="13" applyFont="1" applyBorder="1" applyAlignment="1">
      <alignment vertical="center" wrapText="1"/>
    </xf>
    <xf numFmtId="164" fontId="29" fillId="0" borderId="12" xfId="13" applyNumberFormat="1" applyFont="1" applyBorder="1" applyAlignment="1">
      <alignment horizontal="right" vertical="center" wrapText="1"/>
    </xf>
    <xf numFmtId="164" fontId="29" fillId="0" borderId="1" xfId="13" applyNumberFormat="1" applyFont="1" applyBorder="1" applyAlignment="1">
      <alignment horizontal="right" vertical="center" wrapText="1"/>
    </xf>
    <xf numFmtId="0" fontId="15" fillId="0" borderId="5" xfId="0" applyFont="1" applyBorder="1" applyAlignment="1">
      <alignment vertical="center"/>
    </xf>
    <xf numFmtId="0" fontId="15" fillId="0" borderId="6" xfId="0" applyFont="1" applyBorder="1" applyAlignment="1">
      <alignment vertical="center"/>
    </xf>
    <xf numFmtId="164" fontId="51" fillId="4" borderId="2" xfId="0" applyNumberFormat="1" applyFont="1" applyFill="1" applyBorder="1" applyAlignment="1">
      <alignment vertical="center"/>
    </xf>
    <xf numFmtId="0" fontId="15" fillId="0" borderId="0" xfId="0" applyFont="1" applyAlignment="1">
      <alignment vertical="center" wrapText="1"/>
    </xf>
    <xf numFmtId="166" fontId="29" fillId="4" borderId="2" xfId="10" applyNumberFormat="1" applyFont="1" applyFill="1" applyBorder="1" applyAlignment="1">
      <alignment horizontal="right" vertical="center"/>
    </xf>
    <xf numFmtId="166" fontId="29" fillId="4" borderId="1" xfId="10" applyNumberFormat="1" applyFont="1" applyFill="1" applyBorder="1" applyAlignment="1">
      <alignment horizontal="right" vertical="center"/>
    </xf>
    <xf numFmtId="166" fontId="29" fillId="4" borderId="3" xfId="10" applyNumberFormat="1" applyFont="1" applyFill="1" applyBorder="1" applyAlignment="1">
      <alignment horizontal="right" vertical="center"/>
    </xf>
    <xf numFmtId="166" fontId="29" fillId="4" borderId="1" xfId="10" applyNumberFormat="1" applyFont="1" applyFill="1" applyBorder="1" applyAlignment="1">
      <alignment vertical="center"/>
    </xf>
    <xf numFmtId="10" fontId="29" fillId="4" borderId="1" xfId="10" applyNumberFormat="1" applyFont="1" applyFill="1" applyBorder="1" applyAlignment="1">
      <alignment vertical="center"/>
    </xf>
    <xf numFmtId="0" fontId="29" fillId="0" borderId="0" xfId="0" applyFont="1" applyFill="1" applyBorder="1" applyAlignment="1">
      <alignment vertical="center" wrapText="1"/>
    </xf>
    <xf numFmtId="166" fontId="29" fillId="0" borderId="5" xfId="10" applyNumberFormat="1" applyFont="1" applyFill="1" applyBorder="1" applyAlignment="1">
      <alignment horizontal="right" vertical="center"/>
    </xf>
    <xf numFmtId="166" fontId="29" fillId="0" borderId="0" xfId="10" applyNumberFormat="1" applyFont="1" applyFill="1" applyBorder="1" applyAlignment="1">
      <alignment horizontal="right" vertical="center"/>
    </xf>
    <xf numFmtId="166" fontId="29" fillId="0" borderId="6" xfId="10" applyNumberFormat="1" applyFont="1" applyFill="1" applyBorder="1" applyAlignment="1">
      <alignment horizontal="right" vertical="center"/>
    </xf>
    <xf numFmtId="10" fontId="29" fillId="0" borderId="0" xfId="10" applyNumberFormat="1" applyFont="1" applyFill="1" applyBorder="1" applyAlignment="1">
      <alignment vertical="center"/>
    </xf>
    <xf numFmtId="164" fontId="15" fillId="0" borderId="5" xfId="0" applyNumberFormat="1" applyFont="1" applyFill="1" applyBorder="1" applyAlignment="1">
      <alignment horizontal="right" vertical="center"/>
    </xf>
    <xf numFmtId="164" fontId="51" fillId="0" borderId="2" xfId="0" applyNumberFormat="1" applyFont="1" applyFill="1" applyBorder="1" applyAlignment="1">
      <alignment vertical="center"/>
    </xf>
    <xf numFmtId="164" fontId="51" fillId="0" borderId="1" xfId="0" applyNumberFormat="1" applyFont="1" applyFill="1" applyBorder="1" applyAlignment="1">
      <alignment vertical="center"/>
    </xf>
    <xf numFmtId="164" fontId="17" fillId="0" borderId="5" xfId="0" applyNumberFormat="1" applyFont="1" applyFill="1" applyBorder="1" applyAlignment="1">
      <alignment horizontal="right" vertical="center"/>
    </xf>
    <xf numFmtId="164" fontId="42" fillId="0" borderId="2" xfId="0" applyNumberFormat="1" applyFont="1" applyFill="1" applyBorder="1" applyAlignment="1">
      <alignment vertical="center"/>
    </xf>
    <xf numFmtId="164" fontId="42" fillId="0" borderId="1" xfId="0" applyNumberFormat="1" applyFont="1" applyFill="1" applyBorder="1" applyAlignment="1">
      <alignment vertical="center"/>
    </xf>
    <xf numFmtId="166" fontId="42" fillId="0" borderId="2" xfId="10" applyNumberFormat="1" applyFont="1" applyFill="1" applyBorder="1" applyAlignment="1">
      <alignment vertical="center"/>
    </xf>
    <xf numFmtId="166" fontId="42" fillId="0" borderId="1" xfId="10" applyNumberFormat="1" applyFont="1" applyFill="1" applyBorder="1" applyAlignment="1">
      <alignment vertical="center"/>
    </xf>
    <xf numFmtId="166" fontId="15" fillId="0" borderId="1" xfId="10" applyNumberFormat="1" applyFont="1" applyFill="1" applyBorder="1" applyAlignment="1">
      <alignment vertical="center"/>
    </xf>
    <xf numFmtId="166" fontId="15" fillId="0" borderId="3" xfId="10" applyNumberFormat="1" applyFont="1" applyFill="1" applyBorder="1" applyAlignment="1">
      <alignment vertical="center"/>
    </xf>
    <xf numFmtId="166" fontId="15" fillId="0" borderId="2" xfId="10" applyNumberFormat="1" applyFont="1" applyFill="1" applyBorder="1" applyAlignment="1">
      <alignment vertical="center"/>
    </xf>
    <xf numFmtId="3" fontId="42" fillId="0" borderId="2" xfId="0" applyNumberFormat="1" applyFont="1" applyFill="1" applyBorder="1" applyAlignment="1">
      <alignment vertical="center"/>
    </xf>
    <xf numFmtId="3" fontId="42" fillId="0" borderId="1" xfId="0" applyNumberFormat="1" applyFont="1" applyFill="1" applyBorder="1" applyAlignment="1">
      <alignment vertical="center"/>
    </xf>
    <xf numFmtId="3" fontId="15" fillId="0" borderId="5" xfId="0" applyNumberFormat="1" applyFont="1" applyFill="1" applyBorder="1" applyAlignment="1">
      <alignment horizontal="right" vertical="center"/>
    </xf>
    <xf numFmtId="164" fontId="51" fillId="4" borderId="1" xfId="0" applyNumberFormat="1" applyFont="1" applyFill="1" applyBorder="1" applyAlignment="1">
      <alignment vertical="center"/>
    </xf>
    <xf numFmtId="164" fontId="29" fillId="0" borderId="5" xfId="0" applyNumberFormat="1" applyFont="1" applyFill="1" applyBorder="1" applyAlignment="1">
      <alignment horizontal="right" vertical="center"/>
    </xf>
    <xf numFmtId="166" fontId="15" fillId="0" borderId="5" xfId="10" applyNumberFormat="1" applyFont="1" applyFill="1" applyBorder="1" applyAlignment="1">
      <alignment horizontal="right" vertical="center"/>
    </xf>
    <xf numFmtId="166" fontId="51" fillId="0" borderId="2" xfId="10" applyNumberFormat="1" applyFont="1" applyFill="1" applyBorder="1" applyAlignment="1">
      <alignment vertical="center"/>
    </xf>
    <xf numFmtId="166" fontId="51" fillId="0" borderId="1" xfId="10" applyNumberFormat="1" applyFont="1" applyFill="1" applyBorder="1" applyAlignment="1">
      <alignment vertical="center"/>
    </xf>
    <xf numFmtId="166" fontId="17" fillId="0" borderId="1" xfId="10" applyNumberFormat="1" applyFont="1" applyFill="1" applyBorder="1" applyAlignment="1">
      <alignment vertical="center"/>
    </xf>
    <xf numFmtId="166" fontId="17" fillId="0" borderId="3" xfId="10" applyNumberFormat="1" applyFont="1" applyFill="1" applyBorder="1" applyAlignment="1">
      <alignment vertical="center"/>
    </xf>
    <xf numFmtId="166" fontId="17" fillId="0" borderId="2" xfId="10" applyNumberFormat="1" applyFont="1" applyFill="1" applyBorder="1" applyAlignment="1">
      <alignment vertical="center"/>
    </xf>
    <xf numFmtId="166" fontId="17" fillId="0" borderId="5" xfId="10" applyNumberFormat="1" applyFont="1" applyFill="1" applyBorder="1" applyAlignment="1">
      <alignment horizontal="right" vertical="center"/>
    </xf>
    <xf numFmtId="0" fontId="41" fillId="0" borderId="1" xfId="0" applyFont="1" applyFill="1" applyBorder="1" applyAlignment="1">
      <alignment horizontal="left" vertical="center" wrapText="1" indent="2"/>
    </xf>
    <xf numFmtId="3" fontId="41" fillId="0" borderId="1" xfId="0" applyNumberFormat="1" applyFont="1" applyFill="1" applyBorder="1" applyAlignment="1">
      <alignment horizontal="left" vertical="center" wrapText="1" indent="2"/>
    </xf>
    <xf numFmtId="0" fontId="52" fillId="0" borderId="0" xfId="0" applyFont="1" applyFill="1" applyBorder="1" applyAlignment="1">
      <alignment vertical="center"/>
    </xf>
    <xf numFmtId="0" fontId="15" fillId="0" borderId="0" xfId="0" applyFont="1" applyFill="1" applyAlignment="1">
      <alignment vertical="center" wrapText="1"/>
    </xf>
    <xf numFmtId="0" fontId="16" fillId="0" borderId="0" xfId="0" applyFont="1" applyAlignment="1">
      <alignment vertical="center" wrapText="1"/>
    </xf>
    <xf numFmtId="164" fontId="16" fillId="0" borderId="6" xfId="0" applyNumberFormat="1" applyFont="1" applyFill="1" applyBorder="1" applyAlignment="1">
      <alignment vertical="center"/>
    </xf>
    <xf numFmtId="0" fontId="34" fillId="0" borderId="0" xfId="0" applyFont="1" applyBorder="1" applyAlignment="1">
      <alignment horizontal="right" vertical="center" wrapText="1"/>
    </xf>
    <xf numFmtId="0" fontId="15" fillId="0" borderId="0" xfId="0" applyFont="1" applyBorder="1"/>
    <xf numFmtId="0" fontId="14" fillId="0" borderId="0" xfId="0" applyFont="1" applyAlignment="1">
      <alignment horizontal="right" vertical="center" wrapText="1"/>
    </xf>
    <xf numFmtId="0" fontId="22" fillId="0" borderId="0" xfId="0" applyFont="1" applyFill="1" applyAlignment="1">
      <alignment vertical="center" wrapText="1"/>
    </xf>
    <xf numFmtId="0" fontId="16" fillId="0" borderId="0" xfId="0" applyFont="1" applyFill="1" applyAlignment="1">
      <alignment vertical="center"/>
    </xf>
    <xf numFmtId="164" fontId="12" fillId="0" borderId="0" xfId="0" applyNumberFormat="1" applyFont="1"/>
    <xf numFmtId="3" fontId="15" fillId="3" borderId="1" xfId="0" applyNumberFormat="1" applyFont="1" applyFill="1" applyBorder="1" applyAlignment="1">
      <alignment vertical="center"/>
    </xf>
    <xf numFmtId="3" fontId="38" fillId="0" borderId="2" xfId="0" applyNumberFormat="1" applyFont="1" applyFill="1" applyBorder="1" applyAlignment="1">
      <alignment vertical="center"/>
    </xf>
    <xf numFmtId="3" fontId="38" fillId="0" borderId="1" xfId="0" applyNumberFormat="1" applyFont="1" applyFill="1" applyBorder="1" applyAlignment="1">
      <alignment vertical="center"/>
    </xf>
    <xf numFmtId="3" fontId="38" fillId="0" borderId="3" xfId="0" applyNumberFormat="1" applyFont="1" applyFill="1" applyBorder="1" applyAlignment="1">
      <alignment vertical="center"/>
    </xf>
    <xf numFmtId="3" fontId="15" fillId="3" borderId="2" xfId="0" applyNumberFormat="1" applyFont="1" applyFill="1" applyBorder="1" applyAlignment="1">
      <alignment vertical="center"/>
    </xf>
    <xf numFmtId="0" fontId="15" fillId="0" borderId="4" xfId="0" applyFont="1" applyFill="1" applyBorder="1" applyAlignment="1">
      <alignment horizontal="left" vertical="center" wrapText="1"/>
    </xf>
    <xf numFmtId="164" fontId="15" fillId="0" borderId="7" xfId="0" applyNumberFormat="1" applyFont="1" applyFill="1" applyBorder="1" applyAlignment="1">
      <alignment vertical="center"/>
    </xf>
    <xf numFmtId="164" fontId="15" fillId="0" borderId="4" xfId="0" applyNumberFormat="1" applyFont="1" applyFill="1" applyBorder="1" applyAlignment="1">
      <alignment vertical="center"/>
    </xf>
    <xf numFmtId="164" fontId="15" fillId="0" borderId="8" xfId="0" applyNumberFormat="1" applyFont="1" applyFill="1" applyBorder="1" applyAlignment="1">
      <alignment vertical="center"/>
    </xf>
    <xf numFmtId="3" fontId="17" fillId="0" borderId="2" xfId="0" applyNumberFormat="1" applyFont="1" applyFill="1" applyBorder="1" applyAlignment="1">
      <alignment vertical="center"/>
    </xf>
    <xf numFmtId="3" fontId="17" fillId="0" borderId="1" xfId="0" applyNumberFormat="1" applyFont="1" applyFill="1" applyBorder="1" applyAlignment="1">
      <alignment vertical="center"/>
    </xf>
    <xf numFmtId="3" fontId="17" fillId="0" borderId="3" xfId="0" applyNumberFormat="1" applyFont="1" applyFill="1" applyBorder="1" applyAlignment="1">
      <alignment vertical="center"/>
    </xf>
    <xf numFmtId="0" fontId="15" fillId="0" borderId="9" xfId="0" applyFont="1" applyFill="1" applyBorder="1" applyAlignment="1">
      <alignment horizontal="left" vertical="center" wrapText="1"/>
    </xf>
    <xf numFmtId="164" fontId="15" fillId="0" borderId="10" xfId="0" applyNumberFormat="1" applyFont="1" applyFill="1" applyBorder="1" applyAlignment="1">
      <alignment vertical="center"/>
    </xf>
    <xf numFmtId="164" fontId="15" fillId="0" borderId="9" xfId="0" applyNumberFormat="1" applyFont="1" applyFill="1" applyBorder="1" applyAlignment="1">
      <alignment vertical="center"/>
    </xf>
    <xf numFmtId="164" fontId="15" fillId="0" borderId="11" xfId="0" applyNumberFormat="1" applyFont="1" applyFill="1" applyBorder="1" applyAlignment="1">
      <alignment vertical="center"/>
    </xf>
    <xf numFmtId="10" fontId="15" fillId="0" borderId="2" xfId="10" applyNumberFormat="1" applyFont="1" applyFill="1" applyBorder="1" applyAlignment="1">
      <alignment vertical="center"/>
    </xf>
    <xf numFmtId="10" fontId="15" fillId="0" borderId="1" xfId="10" applyNumberFormat="1" applyFont="1" applyFill="1" applyBorder="1" applyAlignment="1">
      <alignment vertical="center"/>
    </xf>
    <xf numFmtId="10" fontId="15" fillId="0" borderId="3" xfId="10" applyNumberFormat="1" applyFont="1" applyFill="1" applyBorder="1" applyAlignment="1">
      <alignment vertical="center"/>
    </xf>
    <xf numFmtId="10" fontId="15" fillId="0" borderId="2" xfId="10" applyNumberFormat="1" applyFont="1" applyFill="1" applyBorder="1" applyAlignment="1">
      <alignment horizontal="right" vertical="center"/>
    </xf>
    <xf numFmtId="10" fontId="15" fillId="0" borderId="1" xfId="10" applyNumberFormat="1" applyFont="1" applyFill="1" applyBorder="1" applyAlignment="1">
      <alignment horizontal="right" vertical="center"/>
    </xf>
    <xf numFmtId="10" fontId="15" fillId="0" borderId="3" xfId="10" applyNumberFormat="1" applyFont="1" applyFill="1" applyBorder="1" applyAlignment="1">
      <alignment horizontal="right" vertical="center"/>
    </xf>
    <xf numFmtId="0" fontId="41" fillId="0" borderId="1" xfId="0" applyFont="1" applyFill="1" applyBorder="1" applyAlignment="1">
      <alignment horizontal="left" vertical="center" wrapText="1"/>
    </xf>
    <xf numFmtId="10" fontId="41" fillId="0" borderId="2" xfId="10" applyNumberFormat="1" applyFont="1" applyFill="1" applyBorder="1" applyAlignment="1">
      <alignment horizontal="right" vertical="center"/>
    </xf>
    <xf numFmtId="10" fontId="41" fillId="0" borderId="1" xfId="10" applyNumberFormat="1" applyFont="1" applyFill="1" applyBorder="1" applyAlignment="1">
      <alignment horizontal="right" vertical="center"/>
    </xf>
    <xf numFmtId="10" fontId="41" fillId="0" borderId="3" xfId="10" applyNumberFormat="1" applyFont="1" applyFill="1" applyBorder="1" applyAlignment="1">
      <alignment horizontal="right" vertical="center"/>
    </xf>
    <xf numFmtId="10" fontId="41" fillId="0" borderId="1" xfId="10" applyNumberFormat="1" applyFont="1" applyFill="1" applyBorder="1" applyAlignment="1">
      <alignment vertical="center"/>
    </xf>
    <xf numFmtId="10" fontId="41" fillId="0" borderId="3" xfId="10" applyNumberFormat="1" applyFont="1" applyFill="1" applyBorder="1" applyAlignment="1">
      <alignment vertical="center"/>
    </xf>
    <xf numFmtId="164" fontId="15" fillId="3" borderId="2" xfId="0" applyNumberFormat="1" applyFont="1" applyFill="1" applyBorder="1" applyAlignment="1">
      <alignment vertical="center"/>
    </xf>
    <xf numFmtId="0" fontId="15" fillId="3" borderId="1" xfId="0" applyFont="1" applyFill="1" applyBorder="1" applyAlignment="1">
      <alignment horizontal="left" vertical="center" wrapText="1"/>
    </xf>
    <xf numFmtId="165" fontId="15" fillId="0" borderId="2" xfId="10" applyNumberFormat="1" applyFont="1" applyFill="1" applyBorder="1" applyAlignment="1">
      <alignment vertical="center"/>
    </xf>
    <xf numFmtId="165" fontId="15" fillId="0" borderId="1" xfId="10" applyNumberFormat="1" applyFont="1" applyFill="1" applyBorder="1" applyAlignment="1">
      <alignment vertical="center"/>
    </xf>
    <xf numFmtId="165" fontId="15" fillId="0" borderId="3" xfId="10" applyNumberFormat="1" applyFont="1" applyFill="1" applyBorder="1" applyAlignment="1">
      <alignment vertical="center"/>
    </xf>
    <xf numFmtId="165" fontId="15" fillId="3" borderId="1" xfId="10" applyNumberFormat="1" applyFont="1" applyFill="1" applyBorder="1" applyAlignment="1">
      <alignment vertical="center"/>
    </xf>
    <xf numFmtId="4" fontId="15" fillId="0" borderId="2" xfId="0" applyNumberFormat="1" applyFont="1" applyFill="1" applyBorder="1" applyAlignment="1">
      <alignment horizontal="right" vertical="center"/>
    </xf>
    <xf numFmtId="4" fontId="15" fillId="0" borderId="1" xfId="0" applyNumberFormat="1" applyFont="1" applyFill="1" applyBorder="1" applyAlignment="1">
      <alignment horizontal="right" vertical="center"/>
    </xf>
    <xf numFmtId="4" fontId="15" fillId="0" borderId="3" xfId="0" applyNumberFormat="1" applyFont="1" applyFill="1" applyBorder="1" applyAlignment="1">
      <alignment horizontal="right" vertical="center"/>
    </xf>
    <xf numFmtId="4" fontId="15" fillId="0" borderId="3" xfId="0" applyNumberFormat="1" applyFont="1" applyFill="1" applyBorder="1" applyAlignment="1">
      <alignment vertical="center"/>
    </xf>
    <xf numFmtId="4" fontId="15" fillId="0" borderId="1" xfId="0" applyNumberFormat="1" applyFont="1" applyFill="1" applyBorder="1" applyAlignment="1">
      <alignment vertical="center"/>
    </xf>
    <xf numFmtId="4" fontId="15" fillId="0" borderId="2" xfId="0" applyNumberFormat="1" applyFont="1" applyFill="1" applyBorder="1" applyAlignment="1">
      <alignment vertical="center"/>
    </xf>
    <xf numFmtId="3" fontId="15" fillId="0" borderId="4" xfId="0" applyNumberFormat="1" applyFont="1" applyFill="1" applyBorder="1" applyAlignment="1">
      <alignment vertical="center"/>
    </xf>
    <xf numFmtId="3" fontId="15" fillId="0" borderId="0" xfId="0" applyNumberFormat="1" applyFont="1" applyFill="1" applyBorder="1" applyAlignment="1">
      <alignment vertical="center"/>
    </xf>
    <xf numFmtId="0" fontId="54" fillId="0" borderId="0" xfId="8" applyFont="1" applyBorder="1" applyAlignment="1">
      <alignment vertical="center"/>
    </xf>
    <xf numFmtId="0" fontId="16" fillId="0" borderId="0" xfId="8" applyFont="1" applyBorder="1" applyAlignment="1">
      <alignment vertical="center"/>
    </xf>
    <xf numFmtId="0" fontId="55" fillId="0" borderId="0" xfId="8" applyFont="1" applyBorder="1" applyAlignment="1">
      <alignment vertical="center"/>
    </xf>
    <xf numFmtId="164" fontId="15" fillId="0" borderId="0" xfId="0" applyNumberFormat="1" applyFont="1" applyFill="1" applyBorder="1" applyAlignment="1">
      <alignment vertical="center"/>
    </xf>
    <xf numFmtId="0" fontId="15" fillId="0" borderId="5" xfId="0" applyFont="1" applyFill="1" applyBorder="1" applyAlignment="1">
      <alignment vertical="center"/>
    </xf>
    <xf numFmtId="0" fontId="17" fillId="0" borderId="5" xfId="0" applyFont="1" applyFill="1" applyBorder="1" applyAlignment="1">
      <alignment vertical="center"/>
    </xf>
    <xf numFmtId="0" fontId="52" fillId="0" borderId="5" xfId="0" applyFont="1" applyFill="1" applyBorder="1" applyAlignment="1">
      <alignment vertical="center"/>
    </xf>
    <xf numFmtId="0" fontId="57" fillId="0" borderId="0" xfId="0" applyFont="1" applyBorder="1" applyAlignment="1">
      <alignment vertical="center"/>
    </xf>
    <xf numFmtId="164" fontId="17" fillId="0" borderId="0" xfId="0" applyNumberFormat="1" applyFont="1" applyBorder="1" applyAlignment="1">
      <alignment vertical="center" wrapText="1"/>
    </xf>
    <xf numFmtId="164" fontId="17" fillId="0" borderId="0" xfId="0" applyNumberFormat="1" applyFont="1" applyBorder="1" applyAlignment="1">
      <alignment vertical="center"/>
    </xf>
    <xf numFmtId="0" fontId="15" fillId="0" borderId="5" xfId="0" applyFont="1" applyBorder="1" applyAlignment="1">
      <alignment horizontal="right" vertical="center"/>
    </xf>
    <xf numFmtId="164" fontId="15" fillId="0" borderId="2" xfId="0" quotePrefix="1" applyNumberFormat="1" applyFont="1" applyFill="1" applyBorder="1" applyAlignment="1">
      <alignment horizontal="right" vertical="center"/>
    </xf>
    <xf numFmtId="164" fontId="15" fillId="0" borderId="1" xfId="0" quotePrefix="1" applyNumberFormat="1" applyFont="1" applyFill="1" applyBorder="1" applyAlignment="1">
      <alignment horizontal="right" vertical="center"/>
    </xf>
    <xf numFmtId="164" fontId="59" fillId="0" borderId="0" xfId="0" applyNumberFormat="1" applyFont="1" applyFill="1" applyBorder="1" applyAlignment="1">
      <alignment horizontal="right" vertical="center"/>
    </xf>
    <xf numFmtId="3" fontId="29" fillId="2" borderId="5" xfId="4" applyNumberFormat="1" applyFont="1" applyFill="1" applyBorder="1" applyAlignment="1">
      <alignment horizontal="right" vertical="center" wrapText="1"/>
    </xf>
    <xf numFmtId="0" fontId="15" fillId="0" borderId="2" xfId="13" applyFont="1" applyBorder="1" applyAlignment="1">
      <alignment horizontal="center" vertical="center" wrapText="1"/>
    </xf>
    <xf numFmtId="164" fontId="15" fillId="0" borderId="2" xfId="13" applyNumberFormat="1" applyFont="1" applyFill="1" applyBorder="1" applyAlignment="1">
      <alignment horizontal="right" vertical="center" wrapText="1"/>
    </xf>
    <xf numFmtId="164" fontId="29" fillId="4" borderId="2" xfId="13" applyNumberFormat="1" applyFont="1" applyFill="1" applyBorder="1" applyAlignment="1">
      <alignment horizontal="right" vertical="center" wrapText="1"/>
    </xf>
    <xf numFmtId="0" fontId="15" fillId="0" borderId="2" xfId="13" applyFont="1" applyBorder="1"/>
    <xf numFmtId="0" fontId="17" fillId="0" borderId="2" xfId="13" applyFont="1" applyBorder="1" applyAlignment="1">
      <alignment horizontal="right" vertical="center" wrapText="1"/>
    </xf>
    <xf numFmtId="164" fontId="29" fillId="8" borderId="2" xfId="13" applyNumberFormat="1" applyFont="1" applyFill="1" applyBorder="1" applyAlignment="1">
      <alignment horizontal="right" vertical="center" wrapText="1"/>
    </xf>
    <xf numFmtId="164" fontId="29" fillId="7" borderId="2" xfId="13" applyNumberFormat="1" applyFont="1" applyFill="1" applyBorder="1" applyAlignment="1">
      <alignment horizontal="right" vertical="center" wrapText="1"/>
    </xf>
    <xf numFmtId="164" fontId="15" fillId="0" borderId="2" xfId="13" applyNumberFormat="1" applyFont="1" applyBorder="1" applyAlignment="1">
      <alignment horizontal="right" vertical="center" wrapText="1"/>
    </xf>
    <xf numFmtId="164" fontId="17" fillId="0" borderId="2" xfId="13" applyNumberFormat="1" applyFont="1" applyBorder="1" applyAlignment="1">
      <alignment horizontal="right" vertical="center" wrapText="1"/>
    </xf>
    <xf numFmtId="164" fontId="29" fillId="0" borderId="2" xfId="13" applyNumberFormat="1" applyFont="1" applyBorder="1" applyAlignment="1">
      <alignment horizontal="right" vertical="center" wrapText="1"/>
    </xf>
    <xf numFmtId="0" fontId="7" fillId="0" borderId="0" xfId="4" applyNumberFormat="1" applyFont="1" applyFill="1" applyBorder="1" applyAlignment="1">
      <alignment horizontal="center" vertical="center" wrapText="1"/>
    </xf>
    <xf numFmtId="3" fontId="7" fillId="0" borderId="0" xfId="4" applyNumberFormat="1" applyFont="1" applyFill="1" applyBorder="1" applyAlignment="1">
      <alignment horizontal="right" vertical="center" wrapText="1"/>
    </xf>
    <xf numFmtId="164" fontId="15" fillId="0" borderId="0" xfId="0" applyNumberFormat="1" applyFont="1" applyFill="1" applyBorder="1" applyAlignment="1">
      <alignment horizontal="right" vertical="center"/>
    </xf>
    <xf numFmtId="164" fontId="17" fillId="0" borderId="0" xfId="0" applyNumberFormat="1" applyFont="1" applyFill="1" applyBorder="1" applyAlignment="1">
      <alignment horizontal="right" vertical="center"/>
    </xf>
    <xf numFmtId="164" fontId="29" fillId="0" borderId="0" xfId="0" applyNumberFormat="1" applyFont="1" applyFill="1" applyBorder="1" applyAlignment="1">
      <alignment horizontal="right" vertical="center"/>
    </xf>
    <xf numFmtId="166" fontId="15" fillId="0" borderId="0" xfId="10" applyNumberFormat="1" applyFont="1" applyFill="1" applyBorder="1" applyAlignment="1">
      <alignment horizontal="right" vertical="center"/>
    </xf>
    <xf numFmtId="166" fontId="17" fillId="0" borderId="0" xfId="10" applyNumberFormat="1" applyFont="1" applyFill="1" applyBorder="1" applyAlignment="1">
      <alignment horizontal="right" vertical="center"/>
    </xf>
    <xf numFmtId="0" fontId="12" fillId="0" borderId="0" xfId="0" applyFont="1" applyBorder="1"/>
    <xf numFmtId="0" fontId="20" fillId="4" borderId="5" xfId="0" applyNumberFormat="1" applyFont="1" applyFill="1" applyBorder="1" applyAlignment="1">
      <alignment horizontal="center" vertical="center" wrapText="1"/>
    </xf>
    <xf numFmtId="0" fontId="20" fillId="4" borderId="0" xfId="0" applyNumberFormat="1" applyFont="1" applyFill="1" applyBorder="1" applyAlignment="1">
      <alignment horizontal="center" vertical="center" wrapText="1"/>
    </xf>
    <xf numFmtId="0" fontId="12" fillId="0" borderId="0" xfId="0" applyFont="1" applyAlignment="1">
      <alignment horizontal="center" vertical="center" wrapText="1"/>
    </xf>
    <xf numFmtId="0" fontId="20" fillId="2" borderId="5" xfId="0" applyNumberFormat="1" applyFont="1" applyFill="1" applyBorder="1" applyAlignment="1">
      <alignment horizontal="center" vertical="center" wrapText="1"/>
    </xf>
    <xf numFmtId="0" fontId="20" fillId="4" borderId="6" xfId="0" applyNumberFormat="1" applyFont="1" applyFill="1" applyBorder="1" applyAlignment="1">
      <alignment horizontal="center" vertical="center" wrapText="1"/>
    </xf>
    <xf numFmtId="0" fontId="20" fillId="2" borderId="0" xfId="0" applyNumberFormat="1" applyFont="1" applyFill="1" applyBorder="1" applyAlignment="1">
      <alignment horizontal="center" vertical="center" wrapText="1"/>
    </xf>
    <xf numFmtId="0" fontId="0" fillId="0" borderId="0" xfId="0" applyAlignment="1">
      <alignment vertical="center"/>
    </xf>
    <xf numFmtId="0" fontId="19" fillId="2" borderId="0"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20" fillId="2" borderId="6" xfId="0" applyNumberFormat="1" applyFont="1" applyFill="1" applyBorder="1" applyAlignment="1">
      <alignment horizontal="center" vertical="center" wrapText="1"/>
    </xf>
    <xf numFmtId="0" fontId="0" fillId="0" borderId="0" xfId="0" applyAlignment="1">
      <alignment vertical="center" wrapText="1"/>
    </xf>
    <xf numFmtId="0" fontId="15" fillId="0" borderId="0" xfId="0" applyFont="1" applyBorder="1" applyAlignment="1">
      <alignment vertical="center" wrapText="1"/>
    </xf>
    <xf numFmtId="0" fontId="12" fillId="0" borderId="0" xfId="0" applyFont="1" applyAlignment="1">
      <alignment vertical="center" wrapText="1"/>
    </xf>
    <xf numFmtId="164" fontId="15" fillId="0" borderId="7" xfId="0" applyNumberFormat="1" applyFont="1" applyFill="1" applyBorder="1" applyAlignment="1">
      <alignment horizontal="right" vertical="center"/>
    </xf>
    <xf numFmtId="0" fontId="15" fillId="0" borderId="5" xfId="0" applyFont="1" applyBorder="1" applyAlignment="1">
      <alignment horizontal="right" vertical="center"/>
    </xf>
    <xf numFmtId="0" fontId="15" fillId="0" borderId="10" xfId="0" applyFont="1" applyBorder="1" applyAlignment="1">
      <alignment horizontal="right" vertical="center"/>
    </xf>
    <xf numFmtId="0" fontId="29" fillId="4" borderId="5" xfId="13" applyNumberFormat="1" applyFont="1" applyFill="1" applyBorder="1" applyAlignment="1">
      <alignment horizontal="center" vertical="center" wrapText="1"/>
    </xf>
    <xf numFmtId="0" fontId="29" fillId="4" borderId="0" xfId="13" applyNumberFormat="1" applyFont="1" applyFill="1" applyBorder="1" applyAlignment="1">
      <alignment horizontal="center" vertical="center" wrapText="1"/>
    </xf>
    <xf numFmtId="0" fontId="0" fillId="0" borderId="0" xfId="0" applyAlignment="1"/>
    <xf numFmtId="0" fontId="29" fillId="4" borderId="7" xfId="13" applyNumberFormat="1" applyFont="1" applyFill="1" applyBorder="1" applyAlignment="1">
      <alignment horizontal="center" vertical="center" wrapText="1"/>
    </xf>
    <xf numFmtId="0" fontId="29" fillId="4" borderId="4" xfId="13" applyNumberFormat="1" applyFont="1" applyFill="1" applyBorder="1" applyAlignment="1">
      <alignment horizontal="center" vertical="center" wrapText="1"/>
    </xf>
    <xf numFmtId="0" fontId="0" fillId="0" borderId="4" xfId="0" applyBorder="1" applyAlignment="1"/>
    <xf numFmtId="0" fontId="58" fillId="4" borderId="1" xfId="13" applyFont="1" applyFill="1" applyBorder="1" applyAlignment="1">
      <alignment horizontal="center" vertical="center" wrapText="1"/>
    </xf>
    <xf numFmtId="0" fontId="58" fillId="4" borderId="18" xfId="13" applyFont="1" applyFill="1" applyBorder="1" applyAlignment="1">
      <alignment horizontal="center" vertical="center" wrapText="1"/>
    </xf>
    <xf numFmtId="1" fontId="29" fillId="2" borderId="0" xfId="4" applyNumberFormat="1" applyFont="1" applyFill="1" applyBorder="1" applyAlignment="1">
      <alignment horizontal="center" vertical="center"/>
    </xf>
    <xf numFmtId="0" fontId="58" fillId="4" borderId="0" xfId="13" applyFont="1" applyFill="1" applyBorder="1" applyAlignment="1">
      <alignment horizontal="center" vertical="center" wrapText="1"/>
    </xf>
    <xf numFmtId="0" fontId="7" fillId="4" borderId="5" xfId="0" applyNumberFormat="1" applyFont="1" applyFill="1" applyBorder="1" applyAlignment="1">
      <alignment horizontal="center" vertical="center" wrapText="1"/>
    </xf>
    <xf numFmtId="0" fontId="7" fillId="4" borderId="0" xfId="0" applyNumberFormat="1" applyFont="1" applyFill="1" applyBorder="1" applyAlignment="1">
      <alignment horizontal="center" vertical="center" wrapText="1"/>
    </xf>
    <xf numFmtId="0" fontId="7" fillId="4" borderId="6" xfId="0" applyNumberFormat="1" applyFont="1" applyFill="1" applyBorder="1" applyAlignment="1">
      <alignment horizontal="center" vertical="center" wrapText="1"/>
    </xf>
    <xf numFmtId="0" fontId="7" fillId="2" borderId="5" xfId="4" applyNumberFormat="1" applyFont="1" applyFill="1" applyBorder="1" applyAlignment="1">
      <alignment horizontal="center" vertical="center" wrapText="1"/>
    </xf>
    <xf numFmtId="0" fontId="7" fillId="2" borderId="0" xfId="4"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7" fillId="2" borderId="5" xfId="0" applyNumberFormat="1" applyFont="1" applyFill="1" applyBorder="1" applyAlignment="1">
      <alignment horizontal="center" vertical="center" wrapText="1"/>
    </xf>
    <xf numFmtId="0" fontId="7" fillId="2" borderId="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wrapText="1"/>
    </xf>
    <xf numFmtId="1" fontId="7" fillId="2" borderId="5" xfId="4" applyNumberFormat="1" applyFont="1" applyFill="1" applyBorder="1" applyAlignment="1">
      <alignment horizontal="center" vertical="center" wrapText="1"/>
    </xf>
    <xf numFmtId="1" fontId="7" fillId="2" borderId="0" xfId="4" applyNumberFormat="1" applyFont="1" applyFill="1" applyBorder="1" applyAlignment="1">
      <alignment horizontal="center" vertical="center" wrapText="1"/>
    </xf>
    <xf numFmtId="1" fontId="7" fillId="2" borderId="6" xfId="4" applyNumberFormat="1" applyFont="1" applyFill="1" applyBorder="1" applyAlignment="1">
      <alignment horizontal="center" vertical="center" wrapText="1"/>
    </xf>
    <xf numFmtId="1" fontId="20" fillId="2" borderId="5" xfId="4" applyNumberFormat="1" applyFont="1" applyFill="1" applyBorder="1" applyAlignment="1">
      <alignment horizontal="center" vertical="center" wrapText="1"/>
    </xf>
    <xf numFmtId="1" fontId="20" fillId="2" borderId="0" xfId="4" applyNumberFormat="1" applyFont="1" applyFill="1" applyBorder="1" applyAlignment="1">
      <alignment horizontal="center" vertical="center" wrapText="1"/>
    </xf>
    <xf numFmtId="0" fontId="19" fillId="2" borderId="4" xfId="0" applyFont="1" applyFill="1" applyBorder="1" applyAlignment="1">
      <alignment horizontal="center" vertical="center" wrapText="1"/>
    </xf>
    <xf numFmtId="1" fontId="20" fillId="2" borderId="4" xfId="4" applyNumberFormat="1" applyFont="1" applyFill="1" applyBorder="1" applyAlignment="1">
      <alignment horizontal="center" vertical="center"/>
    </xf>
    <xf numFmtId="0" fontId="20" fillId="4" borderId="5" xfId="13" applyNumberFormat="1" applyFont="1" applyFill="1" applyBorder="1" applyAlignment="1">
      <alignment horizontal="center" vertical="center" wrapText="1"/>
    </xf>
    <xf numFmtId="0" fontId="20" fillId="4" borderId="0" xfId="13" applyNumberFormat="1" applyFont="1" applyFill="1" applyBorder="1" applyAlignment="1">
      <alignment horizontal="center" vertical="center" wrapText="1"/>
    </xf>
    <xf numFmtId="0" fontId="29" fillId="6" borderId="5" xfId="0" applyFont="1" applyFill="1" applyBorder="1" applyAlignment="1">
      <alignment horizontal="center" vertical="center"/>
    </xf>
    <xf numFmtId="0" fontId="29" fillId="6" borderId="0" xfId="0" applyFont="1" applyFill="1" applyBorder="1" applyAlignment="1">
      <alignment horizontal="center" vertical="center"/>
    </xf>
    <xf numFmtId="1" fontId="20" fillId="2" borderId="5" xfId="4" applyNumberFormat="1" applyFont="1" applyFill="1" applyBorder="1" applyAlignment="1">
      <alignment horizontal="center" vertical="center"/>
    </xf>
    <xf numFmtId="1" fontId="20" fillId="2" borderId="0" xfId="4" applyNumberFormat="1" applyFont="1" applyFill="1" applyBorder="1" applyAlignment="1">
      <alignment horizontal="center" vertical="center"/>
    </xf>
    <xf numFmtId="164" fontId="17" fillId="4" borderId="1" xfId="0" applyNumberFormat="1" applyFont="1" applyFill="1" applyBorder="1" applyAlignment="1">
      <alignment horizontal="right" vertical="center"/>
    </xf>
    <xf numFmtId="164" fontId="17" fillId="4" borderId="2" xfId="0" applyNumberFormat="1" applyFont="1" applyFill="1" applyBorder="1" applyAlignment="1">
      <alignment horizontal="right" vertical="center"/>
    </xf>
    <xf numFmtId="164" fontId="15" fillId="0" borderId="12" xfId="0" applyNumberFormat="1" applyFont="1" applyBorder="1" applyAlignment="1">
      <alignment horizontal="right" vertical="center" wrapText="1"/>
    </xf>
    <xf numFmtId="164" fontId="15" fillId="0" borderId="1" xfId="0" applyNumberFormat="1" applyFont="1" applyBorder="1" applyAlignment="1">
      <alignment horizontal="right" vertical="center" wrapText="1"/>
    </xf>
    <xf numFmtId="164" fontId="15" fillId="0" borderId="2" xfId="0" applyNumberFormat="1" applyFont="1" applyBorder="1" applyAlignment="1">
      <alignment horizontal="right" vertical="center" wrapText="1"/>
    </xf>
    <xf numFmtId="164" fontId="17" fillId="0" borderId="12" xfId="0" applyNumberFormat="1" applyFont="1" applyBorder="1" applyAlignment="1">
      <alignment horizontal="right" vertical="center" wrapText="1"/>
    </xf>
    <xf numFmtId="164" fontId="17" fillId="0" borderId="1" xfId="0" applyNumberFormat="1" applyFont="1" applyBorder="1" applyAlignment="1">
      <alignment horizontal="right" vertical="center" wrapText="1"/>
    </xf>
    <xf numFmtId="164" fontId="17" fillId="0" borderId="2" xfId="0" applyNumberFormat="1" applyFont="1" applyBorder="1" applyAlignment="1">
      <alignment horizontal="right" vertical="center" wrapText="1"/>
    </xf>
    <xf numFmtId="164" fontId="16" fillId="0" borderId="2" xfId="0" quotePrefix="1" applyNumberFormat="1" applyFont="1" applyFill="1" applyBorder="1" applyAlignment="1">
      <alignment horizontal="right" vertical="center"/>
    </xf>
    <xf numFmtId="164" fontId="16" fillId="0" borderId="1" xfId="0" quotePrefix="1" applyNumberFormat="1" applyFont="1" applyFill="1" applyBorder="1" applyAlignment="1">
      <alignment horizontal="right" vertical="center"/>
    </xf>
    <xf numFmtId="164" fontId="16" fillId="0" borderId="8" xfId="0" applyNumberFormat="1" applyFont="1" applyFill="1" applyBorder="1" applyAlignment="1">
      <alignment horizontal="right" vertical="center"/>
    </xf>
    <xf numFmtId="164" fontId="16" fillId="0" borderId="7" xfId="0" applyNumberFormat="1" applyFont="1" applyFill="1" applyBorder="1" applyAlignment="1">
      <alignment horizontal="right" vertical="center"/>
    </xf>
    <xf numFmtId="164" fontId="16" fillId="0" borderId="4" xfId="0" applyNumberFormat="1" applyFont="1" applyFill="1" applyBorder="1" applyAlignment="1">
      <alignment horizontal="right" vertical="center"/>
    </xf>
    <xf numFmtId="164" fontId="15" fillId="0" borderId="11" xfId="0" applyNumberFormat="1" applyFont="1" applyFill="1" applyBorder="1" applyAlignment="1">
      <alignment horizontal="right" vertical="center"/>
    </xf>
    <xf numFmtId="164" fontId="15" fillId="0" borderId="10" xfId="0" applyNumberFormat="1" applyFont="1" applyFill="1" applyBorder="1" applyAlignment="1">
      <alignment horizontal="right" vertical="center"/>
    </xf>
    <xf numFmtId="164" fontId="15" fillId="0" borderId="9" xfId="0" applyNumberFormat="1" applyFont="1" applyFill="1" applyBorder="1" applyAlignment="1">
      <alignment horizontal="right" vertical="center"/>
    </xf>
    <xf numFmtId="164" fontId="17" fillId="0" borderId="3" xfId="0" applyNumberFormat="1" applyFont="1" applyBorder="1" applyAlignment="1">
      <alignment horizontal="right" vertical="center" wrapText="1"/>
    </xf>
    <xf numFmtId="164" fontId="15" fillId="0" borderId="3" xfId="0" applyNumberFormat="1" applyFont="1" applyBorder="1" applyAlignment="1">
      <alignment horizontal="right" vertical="center"/>
    </xf>
    <xf numFmtId="164" fontId="15" fillId="0" borderId="2" xfId="0" applyNumberFormat="1" applyFont="1" applyBorder="1" applyAlignment="1">
      <alignment horizontal="right" vertical="center"/>
    </xf>
    <xf numFmtId="164" fontId="15" fillId="0" borderId="1" xfId="0" applyNumberFormat="1" applyFont="1" applyBorder="1" applyAlignment="1">
      <alignment horizontal="right" vertical="center"/>
    </xf>
  </cellXfs>
  <cellStyles count="14">
    <cellStyle name="˙˙˙" xfId="1"/>
    <cellStyle name="˙˙˙ 2" xfId="2"/>
    <cellStyle name="Normalny" xfId="0" builtinId="0"/>
    <cellStyle name="Normalny 2" xfId="3"/>
    <cellStyle name="Normalny 2 2" xfId="4"/>
    <cellStyle name="Normalny 3" xfId="5"/>
    <cellStyle name="Normalny 3 2" xfId="6"/>
    <cellStyle name="Normalny 4" xfId="7"/>
    <cellStyle name="Normalny 4 2" xfId="8"/>
    <cellStyle name="Normalny 5" xfId="9"/>
    <cellStyle name="Normalny 6" xfId="13"/>
    <cellStyle name="Procentowy" xfId="10" builtinId="5"/>
    <cellStyle name="Procentowy 2" xfId="11"/>
    <cellStyle name="Procentowy 3" xfId="12"/>
  </cellStyles>
  <dxfs count="0"/>
  <tableStyles count="0" defaultTableStyle="TableStyleMedium2" defaultPivotStyle="PivotStyleLight16"/>
  <colors>
    <mruColors>
      <color rgb="FF333333"/>
      <color rgb="FF767676"/>
      <color rgb="FFA8A8A8"/>
      <color rgb="FFFF6200"/>
      <color rgb="FFFF62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theme/theme1.xml" Type="http://schemas.openxmlformats.org/officeDocument/2006/relationships/theme"/>
<Relationship Id="rId19" Target="styles.xml" Type="http://schemas.openxmlformats.org/officeDocument/2006/relationships/styles"/>
<Relationship Id="rId2" Target="worksheets/sheet2.xml" Type="http://schemas.openxmlformats.org/officeDocument/2006/relationships/worksheet"/>
<Relationship Id="rId20" Target="sharedStrings.xml" Type="http://schemas.openxmlformats.org/officeDocument/2006/relationships/sharedStrings"/>
<Relationship Id="rId21" Target="calcChain.xml" Type="http://schemas.openxmlformats.org/officeDocument/2006/relationships/calcChain"/>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yes"?>
<Relationships xmlns="http://schemas.openxmlformats.org/package/2006/relationships">
<Relationship Id="rId1" Target="../printerSettings/printerSettings2.bin" Type="http://schemas.openxmlformats.org/officeDocument/2006/relationships/printerSettings"/>
</Relationships>

</file>

<file path=xl/worksheets/_rels/sheet3.xml.rels><?xml version="1.0" encoding="UTF-8" standalone="yes"?>
<Relationships xmlns="http://schemas.openxmlformats.org/package/2006/relationships">
<Relationship Id="rId1" Target="../printerSettings/printerSettings3.bin" Type="http://schemas.openxmlformats.org/officeDocument/2006/relationships/printerSettings"/>
</Relationships>

</file>

<file path=xl/worksheets/_rels/sheet4.xml.rels><?xml version="1.0" encoding="UTF-8" standalone="yes"?>
<Relationships xmlns="http://schemas.openxmlformats.org/package/2006/relationships">
<Relationship Id="rId1" Target="../printerSettings/printerSettings4.bin" Type="http://schemas.openxmlformats.org/officeDocument/2006/relationships/printerSettings"/>
</Relationships>

</file>

<file path=xl/worksheets/_rels/sheet5.xml.rels><?xml version="1.0" encoding="UTF-8" standalone="yes"?>
<Relationships xmlns="http://schemas.openxmlformats.org/package/2006/relationships">
<Relationship Id="rId1" Target="../printerSettings/printerSettings5.bin" Type="http://schemas.openxmlformats.org/officeDocument/2006/relationships/printerSettings"/>
</Relationships>

</file>

<file path=xl/worksheets/_rels/sheet6.xml.rels><?xml version="1.0" encoding="UTF-8" standalone="yes"?>
<Relationships xmlns="http://schemas.openxmlformats.org/package/2006/relationships">
<Relationship Id="rId1" Target="../printerSettings/printerSettings6.bin" Type="http://schemas.openxmlformats.org/officeDocument/2006/relationships/printerSettings"/>
</Relationships>

</file>

<file path=xl/worksheets/_rels/sheet7.xml.rels><?xml version="1.0" encoding="UTF-8" standalone="yes"?>
<Relationships xmlns="http://schemas.openxmlformats.org/package/2006/relationships">
<Relationship Id="rId1" Target="../printerSettings/printerSettings7.bin" Type="http://schemas.openxmlformats.org/officeDocument/2006/relationships/printerSettings"/>
</Relationships>

</file>

<file path=xl/worksheets/_rels/sheet8.xml.rels><?xml version="1.0" encoding="UTF-8" standalone="yes"?>
<Relationships xmlns="http://schemas.openxmlformats.org/package/2006/relationships">
<Relationship Id="rId1" Target="../printerSettings/printerSettings8.bin" Type="http://schemas.openxmlformats.org/officeDocument/2006/relationships/printerSettings"/>
</Relationships>

</file>

<file path=xl/worksheets/_rels/sheet9.xml.rels><?xml version="1.0" encoding="UTF-8" standalone="yes"?>
<Relationships xmlns="http://schemas.openxmlformats.org/package/2006/relationships">
<Relationship Id="rId1" Target="../printerSettings/printerSettings9.bin" Type="http://schemas.openxmlformats.org/officeDocument/2006/relationships/printerSettings"/>
</Relationships>

</file>

<file path=xl/worksheets/_rels/sheet10.xml.rels><?xml version="1.0" encoding="UTF-8" standalone="yes"?>
<Relationships xmlns="http://schemas.openxmlformats.org/package/2006/relationships">
<Relationship Id="rId1" Target="../printerSettings/printerSettings10.bin" Type="http://schemas.openxmlformats.org/officeDocument/2006/relationships/printerSettings"/>
</Relationships>

</file>

<file path=xl/worksheets/_rels/sheet11.xml.rels><?xml version="1.0" encoding="UTF-8" standalone="yes"?>
<Relationships xmlns="http://schemas.openxmlformats.org/package/2006/relationships">
<Relationship Id="rId1" Target="../printerSettings/printerSettings11.bin" Type="http://schemas.openxmlformats.org/officeDocument/2006/relationships/printerSettings"/>
</Relationships>

</file>

<file path=xl/worksheets/_rels/sheet12.xml.rels><?xml version="1.0" encoding="UTF-8" standalone="yes"?>
<Relationships xmlns="http://schemas.openxmlformats.org/package/2006/relationships">
<Relationship Id="rId1" Target="../printerSettings/printerSettings12.bin" Type="http://schemas.openxmlformats.org/officeDocument/2006/relationships/printerSettings"/>
</Relationships>

</file>

<file path=xl/worksheets/_rels/sheet13.xml.rels><?xml version="1.0" encoding="UTF-8" standalone="yes"?>
<Relationships xmlns="http://schemas.openxmlformats.org/package/2006/relationships">
<Relationship Id="rId1" Target="../printerSettings/printerSettings13.bin" Type="http://schemas.openxmlformats.org/officeDocument/2006/relationships/printerSettings"/>
</Relationships>

</file>

<file path=xl/worksheets/_rels/sheet14.xml.rels><?xml version="1.0" encoding="UTF-8" standalone="yes"?>
<Relationships xmlns="http://schemas.openxmlformats.org/package/2006/relationships">
<Relationship Id="rId1" Target="../printerSettings/printerSettings14.bin" Type="http://schemas.openxmlformats.org/officeDocument/2006/relationships/printerSettings"/>
<Relationship Id="rId2" Target="../drawings/vmlDrawing1.vml" Type="http://schemas.openxmlformats.org/officeDocument/2006/relationships/vmlDrawing"/>
<Relationship Id="rId3" Target="../comments1.xml" Type="http://schemas.openxmlformats.org/officeDocument/2006/relationships/comments"/>
</Relationships>

</file>

<file path=xl/worksheets/_rels/sheet15.xml.rels><?xml version="1.0" encoding="UTF-8" standalone="yes"?>
<Relationships xmlns="http://schemas.openxmlformats.org/package/2006/relationships">
<Relationship Id="rId1" Target="../printerSettings/printerSettings15.bin" Type="http://schemas.openxmlformats.org/officeDocument/2006/relationships/printerSettings"/>
</Relationships>

</file>

<file path=xl/worksheets/_rels/sheet16.xml.rels><?xml version="1.0" encoding="UTF-8" standalone="yes"?>
<Relationships xmlns="http://schemas.openxmlformats.org/package/2006/relationships">
<Relationship Id="rId1" Target="../printerSettings/printerSettings16.bin" Type="http://schemas.openxmlformats.org/officeDocument/2006/relationships/printerSettings"/>
</Relationships>

</file>

<file path=xl/worksheets/_rels/sheet17.xml.rels><?xml version="1.0" encoding="UTF-8" standalone="yes"?>
<Relationships xmlns="http://schemas.openxmlformats.org/package/2006/relationships">
<Relationship Id="rId1" Target="../printerSettings/printerSettings17.bin" Type="http://schemas.openxmlformats.org/officeDocument/2006/relationships/printerSetting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pageSetUpPr fitToPage="1"/>
  </sheetPr>
  <dimension ref="A1:AX57"/>
  <sheetViews>
    <sheetView showGridLines="0" tabSelected="1" view="pageBreakPreview" zoomScaleNormal="85" zoomScaleSheetLayoutView="100" zoomScalePageLayoutView="80" workbookViewId="0">
      <pane xSplit="2" ySplit="3" topLeftCell="AR4" activePane="bottomRight" state="frozen"/>
      <selection activeCell="B1" sqref="B1"/>
      <selection pane="topRight" activeCell="B1" sqref="B1"/>
      <selection pane="bottomLeft" activeCell="B1" sqref="B1"/>
      <selection pane="bottomRight" activeCell="A2" sqref="A2:A3"/>
    </sheetView>
  </sheetViews>
  <sheetFormatPr defaultColWidth="8.85546875" defaultRowHeight="13.5" outlineLevelCol="1"/>
  <cols>
    <col min="1" max="1" width="50.7109375" style="58" customWidth="1" outlineLevel="1"/>
    <col min="2" max="2" width="50.7109375" style="58" customWidth="1"/>
    <col min="3" max="27" width="9.5703125" style="19" bestFit="1" customWidth="1"/>
    <col min="28" max="28" width="9.5703125" style="13" bestFit="1" customWidth="1"/>
    <col min="29" max="32" width="9.5703125" style="13" customWidth="1"/>
    <col min="33" max="33" width="9.5703125" style="13" bestFit="1" customWidth="1"/>
    <col min="34" max="34" width="9.5703125" style="13" customWidth="1"/>
    <col min="35" max="35" width="9.5703125" style="13" bestFit="1" customWidth="1"/>
    <col min="36" max="36" width="9.5703125" style="13" customWidth="1"/>
    <col min="37" max="37" width="9.5703125" style="13" bestFit="1" customWidth="1"/>
    <col min="38" max="46" width="9.5703125" style="13" customWidth="1"/>
    <col min="47" max="48" width="9.5703125" style="13" bestFit="1" customWidth="1"/>
    <col min="49" max="50" width="9.5703125" style="13" customWidth="1"/>
    <col min="51" max="16384" width="8.85546875" style="13"/>
  </cols>
  <sheetData>
    <row r="1" spans="1:50">
      <c r="A1" s="59" t="s">
        <v>430</v>
      </c>
      <c r="B1" s="59" t="s">
        <v>431</v>
      </c>
    </row>
    <row r="2" spans="1:50">
      <c r="A2" s="481" t="s">
        <v>297</v>
      </c>
      <c r="B2" s="481" t="s">
        <v>141</v>
      </c>
      <c r="C2" s="477">
        <v>2007</v>
      </c>
      <c r="D2" s="475"/>
      <c r="E2" s="475"/>
      <c r="F2" s="478"/>
      <c r="G2" s="479">
        <v>2008</v>
      </c>
      <c r="H2" s="475"/>
      <c r="I2" s="475"/>
      <c r="J2" s="475"/>
      <c r="K2" s="477">
        <v>2009</v>
      </c>
      <c r="L2" s="475"/>
      <c r="M2" s="475"/>
      <c r="N2" s="478"/>
      <c r="O2" s="477">
        <v>2010</v>
      </c>
      <c r="P2" s="475"/>
      <c r="Q2" s="475"/>
      <c r="R2" s="475"/>
      <c r="S2" s="477">
        <v>2011</v>
      </c>
      <c r="T2" s="475"/>
      <c r="U2" s="475"/>
      <c r="V2" s="475"/>
      <c r="W2" s="477">
        <v>2012</v>
      </c>
      <c r="X2" s="475"/>
      <c r="Y2" s="475"/>
      <c r="Z2" s="478"/>
      <c r="AA2" s="477">
        <v>2013</v>
      </c>
      <c r="AB2" s="475"/>
      <c r="AC2" s="475"/>
      <c r="AD2" s="478"/>
      <c r="AE2" s="477">
        <v>2014</v>
      </c>
      <c r="AF2" s="475"/>
      <c r="AG2" s="475"/>
      <c r="AH2" s="475"/>
      <c r="AI2" s="477">
        <v>2015</v>
      </c>
      <c r="AJ2" s="475"/>
      <c r="AK2" s="475"/>
      <c r="AL2" s="475"/>
      <c r="AM2" s="477">
        <v>2016</v>
      </c>
      <c r="AN2" s="475"/>
      <c r="AO2" s="475"/>
      <c r="AP2" s="478"/>
      <c r="AQ2" s="474">
        <v>2017</v>
      </c>
      <c r="AR2" s="475"/>
      <c r="AS2" s="475"/>
      <c r="AT2" s="476"/>
      <c r="AU2" s="477">
        <v>2018</v>
      </c>
      <c r="AV2" s="479"/>
      <c r="AW2" s="479"/>
      <c r="AX2" s="480"/>
    </row>
    <row r="3" spans="1:50" s="14" customFormat="1">
      <c r="A3" s="482"/>
      <c r="B3" s="482"/>
      <c r="C3" s="22" t="s">
        <v>151</v>
      </c>
      <c r="D3" s="23" t="s">
        <v>152</v>
      </c>
      <c r="E3" s="23" t="s">
        <v>153</v>
      </c>
      <c r="F3" s="48" t="s">
        <v>154</v>
      </c>
      <c r="G3" s="23" t="s">
        <v>151</v>
      </c>
      <c r="H3" s="23" t="s">
        <v>152</v>
      </c>
      <c r="I3" s="23" t="s">
        <v>153</v>
      </c>
      <c r="J3" s="23" t="s">
        <v>154</v>
      </c>
      <c r="K3" s="22" t="s">
        <v>151</v>
      </c>
      <c r="L3" s="23" t="s">
        <v>152</v>
      </c>
      <c r="M3" s="23" t="s">
        <v>153</v>
      </c>
      <c r="N3" s="48" t="s">
        <v>154</v>
      </c>
      <c r="O3" s="22" t="s">
        <v>151</v>
      </c>
      <c r="P3" s="23" t="s">
        <v>152</v>
      </c>
      <c r="Q3" s="23" t="s">
        <v>153</v>
      </c>
      <c r="R3" s="23" t="s">
        <v>154</v>
      </c>
      <c r="S3" s="22" t="s">
        <v>151</v>
      </c>
      <c r="T3" s="23" t="s">
        <v>152</v>
      </c>
      <c r="U3" s="23" t="s">
        <v>153</v>
      </c>
      <c r="V3" s="48" t="s">
        <v>154</v>
      </c>
      <c r="W3" s="22" t="s">
        <v>151</v>
      </c>
      <c r="X3" s="23" t="s">
        <v>152</v>
      </c>
      <c r="Y3" s="23" t="s">
        <v>153</v>
      </c>
      <c r="Z3" s="48" t="s">
        <v>154</v>
      </c>
      <c r="AA3" s="22" t="s">
        <v>151</v>
      </c>
      <c r="AB3" s="23" t="s">
        <v>152</v>
      </c>
      <c r="AC3" s="23" t="s">
        <v>153</v>
      </c>
      <c r="AD3" s="48" t="s">
        <v>154</v>
      </c>
      <c r="AE3" s="23" t="s">
        <v>151</v>
      </c>
      <c r="AF3" s="23" t="s">
        <v>152</v>
      </c>
      <c r="AG3" s="23" t="s">
        <v>153</v>
      </c>
      <c r="AH3" s="23" t="s">
        <v>154</v>
      </c>
      <c r="AI3" s="22" t="s">
        <v>151</v>
      </c>
      <c r="AJ3" s="23" t="s">
        <v>152</v>
      </c>
      <c r="AK3" s="23" t="s">
        <v>153</v>
      </c>
      <c r="AL3" s="48" t="s">
        <v>154</v>
      </c>
      <c r="AM3" s="22" t="s">
        <v>151</v>
      </c>
      <c r="AN3" s="23" t="s">
        <v>152</v>
      </c>
      <c r="AO3" s="23" t="s">
        <v>153</v>
      </c>
      <c r="AP3" s="48" t="s">
        <v>154</v>
      </c>
      <c r="AQ3" s="22" t="s">
        <v>151</v>
      </c>
      <c r="AR3" s="23" t="s">
        <v>152</v>
      </c>
      <c r="AS3" s="23" t="s">
        <v>153</v>
      </c>
      <c r="AT3" s="48" t="s">
        <v>154</v>
      </c>
      <c r="AU3" s="22" t="s">
        <v>151</v>
      </c>
      <c r="AV3" s="23" t="s">
        <v>152</v>
      </c>
      <c r="AW3" s="23" t="s">
        <v>153</v>
      </c>
      <c r="AX3" s="23" t="s">
        <v>154</v>
      </c>
    </row>
    <row r="4" spans="1:50" s="267" customFormat="1" ht="12.75" customHeight="1">
      <c r="A4" s="24" t="s">
        <v>156</v>
      </c>
      <c r="B4" s="24" t="s">
        <v>11</v>
      </c>
      <c r="C4" s="128"/>
      <c r="D4" s="61"/>
      <c r="E4" s="61"/>
      <c r="F4" s="272"/>
      <c r="G4" s="61"/>
      <c r="H4" s="61"/>
      <c r="I4" s="61"/>
      <c r="J4" s="272"/>
      <c r="K4" s="128"/>
      <c r="L4" s="61"/>
      <c r="M4" s="61"/>
      <c r="N4" s="272"/>
      <c r="O4" s="128"/>
      <c r="P4" s="61"/>
      <c r="Q4" s="61"/>
      <c r="R4" s="272"/>
      <c r="S4" s="128"/>
      <c r="T4" s="61"/>
      <c r="U4" s="61"/>
      <c r="V4" s="272"/>
      <c r="W4" s="128"/>
      <c r="X4" s="61"/>
      <c r="Y4" s="61"/>
      <c r="Z4" s="272"/>
      <c r="AA4" s="128"/>
      <c r="AB4" s="61"/>
      <c r="AC4" s="61"/>
      <c r="AD4" s="272"/>
      <c r="AE4" s="61"/>
      <c r="AF4" s="61"/>
      <c r="AG4" s="61"/>
      <c r="AH4" s="61"/>
      <c r="AI4" s="128"/>
      <c r="AJ4" s="61"/>
      <c r="AK4" s="61"/>
      <c r="AL4" s="272"/>
      <c r="AM4" s="128"/>
      <c r="AN4" s="61"/>
      <c r="AO4" s="61"/>
      <c r="AP4" s="272"/>
      <c r="AQ4" s="128"/>
      <c r="AR4" s="61"/>
      <c r="AS4" s="61"/>
      <c r="AT4" s="272"/>
      <c r="AU4" s="445"/>
    </row>
    <row r="5" spans="1:50" s="270" customFormat="1" ht="11.25">
      <c r="A5" s="50" t="s">
        <v>308</v>
      </c>
      <c r="B5" s="50" t="s">
        <v>145</v>
      </c>
      <c r="C5" s="128"/>
      <c r="D5" s="61"/>
      <c r="E5" s="61"/>
      <c r="F5" s="272"/>
      <c r="G5" s="61"/>
      <c r="H5" s="61"/>
      <c r="I5" s="61"/>
      <c r="J5" s="272"/>
      <c r="K5" s="128"/>
      <c r="L5" s="61"/>
      <c r="M5" s="61"/>
      <c r="N5" s="272"/>
      <c r="O5" s="128"/>
      <c r="P5" s="61"/>
      <c r="Q5" s="61"/>
      <c r="R5" s="272"/>
      <c r="S5" s="128"/>
      <c r="T5" s="61"/>
      <c r="U5" s="61"/>
      <c r="V5" s="272"/>
      <c r="W5" s="128"/>
      <c r="X5" s="61"/>
      <c r="Y5" s="61"/>
      <c r="Z5" s="272"/>
      <c r="AA5" s="128"/>
      <c r="AB5" s="61"/>
      <c r="AC5" s="61"/>
      <c r="AD5" s="272"/>
      <c r="AE5" s="61"/>
      <c r="AF5" s="61"/>
      <c r="AG5" s="61"/>
      <c r="AH5" s="61"/>
      <c r="AI5" s="128"/>
      <c r="AJ5" s="61"/>
      <c r="AK5" s="61"/>
      <c r="AL5" s="272"/>
      <c r="AM5" s="128"/>
      <c r="AN5" s="61"/>
      <c r="AO5" s="61"/>
      <c r="AP5" s="272"/>
      <c r="AQ5" s="128"/>
      <c r="AR5" s="61"/>
      <c r="AS5" s="61"/>
      <c r="AT5" s="272"/>
      <c r="AU5" s="128"/>
      <c r="AV5" s="61"/>
      <c r="AW5" s="61"/>
      <c r="AX5" s="61"/>
    </row>
    <row r="6" spans="1:50" s="268" customFormat="1" ht="12">
      <c r="A6" s="28" t="s">
        <v>792</v>
      </c>
      <c r="B6" s="28" t="s">
        <v>774</v>
      </c>
      <c r="C6" s="29">
        <f>'RZiS_P&amp;L'!C18+'RZiS_P&amp;L'!C23</f>
        <v>539.20000000000005</v>
      </c>
      <c r="D6" s="30">
        <f>'RZiS_P&amp;L'!D18+'RZiS_P&amp;L'!D23</f>
        <v>522.20000000000016</v>
      </c>
      <c r="E6" s="30">
        <f>'RZiS_P&amp;L'!E18+'RZiS_P&amp;L'!E23</f>
        <v>542.29999999999995</v>
      </c>
      <c r="F6" s="31">
        <f>'RZiS_P&amp;L'!F18+'RZiS_P&amp;L'!F23</f>
        <v>473.19999999999993</v>
      </c>
      <c r="G6" s="30">
        <f>'RZiS_P&amp;L'!G18+'RZiS_P&amp;L'!G23</f>
        <v>582.70000000000005</v>
      </c>
      <c r="H6" s="30">
        <f>'RZiS_P&amp;L'!H18+'RZiS_P&amp;L'!H23</f>
        <v>625.69999999999993</v>
      </c>
      <c r="I6" s="30">
        <f>'RZiS_P&amp;L'!I18+'RZiS_P&amp;L'!I23</f>
        <v>620.20000000000005</v>
      </c>
      <c r="J6" s="31">
        <f>'RZiS_P&amp;L'!J18+'RZiS_P&amp;L'!J23</f>
        <v>303.89999999999998</v>
      </c>
      <c r="K6" s="29">
        <f>'RZiS_P&amp;L'!K18+'RZiS_P&amp;L'!K23</f>
        <v>561.39999999999986</v>
      </c>
      <c r="L6" s="30">
        <f>'RZiS_P&amp;L'!L18+'RZiS_P&amp;L'!L23</f>
        <v>689.1</v>
      </c>
      <c r="M6" s="30">
        <f>'RZiS_P&amp;L'!M18+'RZiS_P&amp;L'!M23</f>
        <v>708.39999999999986</v>
      </c>
      <c r="N6" s="31">
        <f>'RZiS_P&amp;L'!N18+'RZiS_P&amp;L'!N23</f>
        <v>589.69999999999993</v>
      </c>
      <c r="O6" s="29">
        <f>'RZiS_P&amp;L'!O18+'RZiS_P&amp;L'!O23</f>
        <v>661.99999999999989</v>
      </c>
      <c r="P6" s="30">
        <f>'RZiS_P&amp;L'!P18+'RZiS_P&amp;L'!P23</f>
        <v>682.5</v>
      </c>
      <c r="Q6" s="30">
        <f>'RZiS_P&amp;L'!Q18+'RZiS_P&amp;L'!Q23</f>
        <v>704.09999999999991</v>
      </c>
      <c r="R6" s="31">
        <f>'RZiS_P&amp;L'!R18+'RZiS_P&amp;L'!R23</f>
        <v>698.59999999999991</v>
      </c>
      <c r="S6" s="29">
        <f>'RZiS_P&amp;L'!S18+'RZiS_P&amp;L'!S23</f>
        <v>741.6</v>
      </c>
      <c r="T6" s="30">
        <f>'RZiS_P&amp;L'!T18+'RZiS_P&amp;L'!T23</f>
        <v>759.5</v>
      </c>
      <c r="U6" s="30">
        <f>'RZiS_P&amp;L'!U18+'RZiS_P&amp;L'!U23</f>
        <v>734.80000000000007</v>
      </c>
      <c r="V6" s="31">
        <f>'RZiS_P&amp;L'!V18+'RZiS_P&amp;L'!V23</f>
        <v>754.1</v>
      </c>
      <c r="W6" s="29">
        <f>'RZiS_P&amp;L'!W18+'RZiS_P&amp;L'!W23</f>
        <v>856.80000000000007</v>
      </c>
      <c r="X6" s="30">
        <f>'RZiS_P&amp;L'!X18+'RZiS_P&amp;L'!X23</f>
        <v>803.5</v>
      </c>
      <c r="Y6" s="30">
        <f>'RZiS_P&amp;L'!Y18+'RZiS_P&amp;L'!Y23</f>
        <v>801.49999999999989</v>
      </c>
      <c r="Z6" s="31">
        <f>'RZiS_P&amp;L'!Z18+'RZiS_P&amp;L'!Z23</f>
        <v>783.30000000000007</v>
      </c>
      <c r="AA6" s="29">
        <f>'RZiS_P&amp;L'!AA18+'RZiS_P&amp;L'!AA23</f>
        <v>864.19999999999993</v>
      </c>
      <c r="AB6" s="30">
        <f>'RZiS_P&amp;L'!AB18+'RZiS_P&amp;L'!AB23</f>
        <v>814.09999999999991</v>
      </c>
      <c r="AC6" s="30">
        <f>'RZiS_P&amp;L'!AC18+'RZiS_P&amp;L'!AC23</f>
        <v>811.10000000000014</v>
      </c>
      <c r="AD6" s="31">
        <f>'RZiS_P&amp;L'!AD18+'RZiS_P&amp;L'!AD23</f>
        <v>839.1</v>
      </c>
      <c r="AE6" s="30">
        <f>'RZiS_P&amp;L'!AE18+'RZiS_P&amp;L'!AE23</f>
        <v>883.8</v>
      </c>
      <c r="AF6" s="30">
        <f>'RZiS_P&amp;L'!AF18+'RZiS_P&amp;L'!AF23</f>
        <v>897.7</v>
      </c>
      <c r="AG6" s="30">
        <f>'RZiS_P&amp;L'!AG18+'RZiS_P&amp;L'!AG23</f>
        <v>897.30000000000018</v>
      </c>
      <c r="AH6" s="30">
        <f>'RZiS_P&amp;L'!AH18+'RZiS_P&amp;L'!AH23</f>
        <v>866</v>
      </c>
      <c r="AI6" s="29">
        <f>'RZiS_P&amp;L'!AI18+'RZiS_P&amp;L'!AI23</f>
        <v>906</v>
      </c>
      <c r="AJ6" s="30">
        <f>'RZiS_P&amp;L'!AJ18+'RZiS_P&amp;L'!AJ23</f>
        <v>981.4</v>
      </c>
      <c r="AK6" s="30">
        <f>'RZiS_P&amp;L'!AK18+'RZiS_P&amp;L'!AK23</f>
        <v>937.1</v>
      </c>
      <c r="AL6" s="31">
        <f>'RZiS_P&amp;L'!AL18+'RZiS_P&amp;L'!AL23</f>
        <v>953.6</v>
      </c>
      <c r="AM6" s="29">
        <f>'RZiS_P&amp;L'!AM18+'RZiS_P&amp;L'!AM23</f>
        <v>975.6</v>
      </c>
      <c r="AN6" s="30">
        <f>'RZiS_P&amp;L'!AN18+'RZiS_P&amp;L'!AN23</f>
        <v>1152.4000000000001</v>
      </c>
      <c r="AO6" s="30">
        <f>'RZiS_P&amp;L'!AO18+'RZiS_P&amp;L'!AO23</f>
        <v>1074.5000000000002</v>
      </c>
      <c r="AP6" s="31">
        <f>'RZiS_P&amp;L'!AP18+'RZiS_P&amp;L'!AP23</f>
        <v>1121.9999999999998</v>
      </c>
      <c r="AQ6" s="29">
        <f>'RZiS_P&amp;L'!AQ18+'RZiS_P&amp;L'!AQ23</f>
        <v>1135.3</v>
      </c>
      <c r="AR6" s="30">
        <f>'RZiS_P&amp;L'!AR18+'RZiS_P&amp;L'!AR23</f>
        <v>1191.5999999999999</v>
      </c>
      <c r="AS6" s="30">
        <f>'RZiS_P&amp;L'!AS18+'RZiS_P&amp;L'!AS23</f>
        <v>1214.8999999999996</v>
      </c>
      <c r="AT6" s="31">
        <f>'RZiS_P&amp;L'!AT18+'RZiS_P&amp;L'!AT23</f>
        <v>1227.3000000000002</v>
      </c>
      <c r="AU6" s="29">
        <f>'RZiS_P&amp;L'!AU18+'RZiS_P&amp;L'!AU23</f>
        <v>1256.8999999999999</v>
      </c>
      <c r="AV6" s="30">
        <f>'RZiS_P&amp;L'!AV18+'RZiS_P&amp;L'!AV23</f>
        <v>1310.2</v>
      </c>
      <c r="AW6" s="30">
        <f>'RZiS_P&amp;L'!AW18+'RZiS_P&amp;L'!AW23</f>
        <v>1305.9000000000001</v>
      </c>
      <c r="AX6" s="30">
        <f>'RZiS_P&amp;L'!AX18+'RZiS_P&amp;L'!AX23</f>
        <v>1359.4</v>
      </c>
    </row>
    <row r="7" spans="1:50" s="268" customFormat="1" ht="11.25">
      <c r="A7" s="28" t="s">
        <v>547</v>
      </c>
      <c r="B7" s="28" t="s">
        <v>546</v>
      </c>
      <c r="C7" s="29">
        <f>'RZiS_P&amp;L'!C19</f>
        <v>336.1</v>
      </c>
      <c r="D7" s="30">
        <f>'RZiS_P&amp;L'!D19</f>
        <v>345</v>
      </c>
      <c r="E7" s="30">
        <f>'RZiS_P&amp;L'!E19</f>
        <v>356.9</v>
      </c>
      <c r="F7" s="31">
        <f>'RZiS_P&amp;L'!F19-'RZiS_P&amp;L'!F20</f>
        <v>355.1</v>
      </c>
      <c r="G7" s="30">
        <f>'RZiS_P&amp;L'!G19</f>
        <v>367.69999999999993</v>
      </c>
      <c r="H7" s="30">
        <f>'RZiS_P&amp;L'!H19</f>
        <v>389.9</v>
      </c>
      <c r="I7" s="30">
        <f>'RZiS_P&amp;L'!I19</f>
        <v>407.7</v>
      </c>
      <c r="J7" s="31">
        <f>'RZiS_P&amp;L'!J19-'RZiS_P&amp;L'!J20</f>
        <v>338.59999999999997</v>
      </c>
      <c r="K7" s="29">
        <f>'RZiS_P&amp;L'!K19</f>
        <v>366.79999999999995</v>
      </c>
      <c r="L7" s="30">
        <f>'RZiS_P&amp;L'!L19</f>
        <v>386.6</v>
      </c>
      <c r="M7" s="30">
        <f>'RZiS_P&amp;L'!M19</f>
        <v>397.29999999999995</v>
      </c>
      <c r="N7" s="31">
        <f>'RZiS_P&amp;L'!N19-'RZiS_P&amp;L'!N20</f>
        <v>355.2</v>
      </c>
      <c r="O7" s="29">
        <f>'RZiS_P&amp;L'!O19</f>
        <v>394.4</v>
      </c>
      <c r="P7" s="30">
        <f>'RZiS_P&amp;L'!P19</f>
        <v>407.1</v>
      </c>
      <c r="Q7" s="30">
        <f>'RZiS_P&amp;L'!Q19</f>
        <v>411.6</v>
      </c>
      <c r="R7" s="31">
        <f>'RZiS_P&amp;L'!R19-'RZiS_P&amp;L'!R20</f>
        <v>396.4</v>
      </c>
      <c r="S7" s="29">
        <f>'RZiS_P&amp;L'!S19</f>
        <v>417.4</v>
      </c>
      <c r="T7" s="30">
        <f>'RZiS_P&amp;L'!T19</f>
        <v>431.8</v>
      </c>
      <c r="U7" s="30">
        <f>'RZiS_P&amp;L'!U19</f>
        <v>431.1</v>
      </c>
      <c r="V7" s="31">
        <f>'RZiS_P&amp;L'!V19-'RZiS_P&amp;L'!V20</f>
        <v>419.7</v>
      </c>
      <c r="W7" s="29">
        <f>'RZiS_P&amp;L'!W19</f>
        <v>474.90000000000003</v>
      </c>
      <c r="X7" s="30">
        <f>'RZiS_P&amp;L'!X19</f>
        <v>465</v>
      </c>
      <c r="Y7" s="30">
        <f>'RZiS_P&amp;L'!Y19</f>
        <v>466.2</v>
      </c>
      <c r="Z7" s="31">
        <f>'RZiS_P&amp;L'!Z19-'RZiS_P&amp;L'!Z20</f>
        <v>460.1</v>
      </c>
      <c r="AA7" s="29">
        <f>'RZiS_P&amp;L'!AA19</f>
        <v>482.2</v>
      </c>
      <c r="AB7" s="30">
        <f>'RZiS_P&amp;L'!AB19</f>
        <v>477</v>
      </c>
      <c r="AC7" s="30">
        <f>'RZiS_P&amp;L'!AC19</f>
        <v>458.79999999999995</v>
      </c>
      <c r="AD7" s="31">
        <f>'RZiS_P&amp;L'!AD19-'RZiS_P&amp;L'!AD20</f>
        <v>450.40000000000003</v>
      </c>
      <c r="AE7" s="30">
        <f>'RZiS_P&amp;L'!AE19-'RZiS_P&amp;L'!AE20</f>
        <v>471.20000000000005</v>
      </c>
      <c r="AF7" s="30">
        <f>'RZiS_P&amp;L'!AF19-'RZiS_P&amp;L'!AF20</f>
        <v>480.5</v>
      </c>
      <c r="AG7" s="30">
        <f>'RZiS_P&amp;L'!AG19-'RZiS_P&amp;L'!AG20</f>
        <v>489.5</v>
      </c>
      <c r="AH7" s="30">
        <f>'RZiS_P&amp;L'!AH19-'RZiS_P&amp;L'!AH20</f>
        <v>488.5</v>
      </c>
      <c r="AI7" s="29">
        <f>'RZiS_P&amp;L'!AI19-'RZiS_P&amp;L'!AI20</f>
        <v>495.6</v>
      </c>
      <c r="AJ7" s="30">
        <f>'RZiS_P&amp;L'!AJ19-'RZiS_P&amp;L'!AJ20</f>
        <v>502.29999999999995</v>
      </c>
      <c r="AK7" s="30">
        <f>'RZiS_P&amp;L'!AK19-'RZiS_P&amp;L'!AK20</f>
        <v>509.8</v>
      </c>
      <c r="AL7" s="31">
        <f>'RZiS_P&amp;L'!AL19-'RZiS_P&amp;L'!AL20</f>
        <v>648</v>
      </c>
      <c r="AM7" s="29">
        <f>'RZiS_P&amp;L'!AM19</f>
        <v>508.8</v>
      </c>
      <c r="AN7" s="30">
        <f>'RZiS_P&amp;L'!AN19</f>
        <v>517.20000000000005</v>
      </c>
      <c r="AO7" s="30">
        <f>'RZiS_P&amp;L'!AO19</f>
        <v>515.5</v>
      </c>
      <c r="AP7" s="31">
        <f>'RZiS_P&amp;L'!AP19</f>
        <v>557.69999999999993</v>
      </c>
      <c r="AQ7" s="29">
        <f>'RZiS_P&amp;L'!AQ19</f>
        <v>565.6</v>
      </c>
      <c r="AR7" s="30">
        <f>'RZiS_P&amp;L'!AR19</f>
        <v>512.1</v>
      </c>
      <c r="AS7" s="30">
        <f>'RZiS_P&amp;L'!AS19</f>
        <v>529.6</v>
      </c>
      <c r="AT7" s="31">
        <f>'RZiS_P&amp;L'!AT19</f>
        <v>528.5</v>
      </c>
      <c r="AU7" s="29">
        <f>'RZiS_P&amp;L'!AU19</f>
        <v>628.30000000000007</v>
      </c>
      <c r="AV7" s="30">
        <f>'RZiS_P&amp;L'!AV19</f>
        <v>554.99999999999989</v>
      </c>
      <c r="AW7" s="30">
        <f>'RZiS_P&amp;L'!AW19</f>
        <v>577.20000000000005</v>
      </c>
      <c r="AX7" s="30">
        <f>'RZiS_P&amp;L'!AX19</f>
        <v>566.29999999999995</v>
      </c>
    </row>
    <row r="8" spans="1:50" s="268" customFormat="1" ht="11.25">
      <c r="A8" s="28" t="s">
        <v>298</v>
      </c>
      <c r="B8" s="28" t="s">
        <v>133</v>
      </c>
      <c r="C8" s="29">
        <f>'RZiS_P&amp;L'!C21</f>
        <v>-6.3</v>
      </c>
      <c r="D8" s="30">
        <f>'RZiS_P&amp;L'!D21</f>
        <v>-26.7</v>
      </c>
      <c r="E8" s="30">
        <f>'RZiS_P&amp;L'!E21</f>
        <v>-64.400000000000006</v>
      </c>
      <c r="F8" s="31">
        <f>'RZiS_P&amp;L'!F21</f>
        <v>-5.8</v>
      </c>
      <c r="G8" s="30">
        <f>'RZiS_P&amp;L'!G21</f>
        <v>0.7</v>
      </c>
      <c r="H8" s="30">
        <f>'RZiS_P&amp;L'!H21</f>
        <v>-58.8</v>
      </c>
      <c r="I8" s="30">
        <f>'RZiS_P&amp;L'!I21</f>
        <v>7.2</v>
      </c>
      <c r="J8" s="31">
        <f>'RZiS_P&amp;L'!J21</f>
        <v>116.5</v>
      </c>
      <c r="K8" s="29">
        <f>'RZiS_P&amp;L'!K21</f>
        <v>91.7</v>
      </c>
      <c r="L8" s="30">
        <f>'RZiS_P&amp;L'!L21</f>
        <v>73.8</v>
      </c>
      <c r="M8" s="30">
        <f>'RZiS_P&amp;L'!M21</f>
        <v>54.1</v>
      </c>
      <c r="N8" s="31">
        <f>'RZiS_P&amp;L'!N21</f>
        <v>84.8</v>
      </c>
      <c r="O8" s="29">
        <f>'RZiS_P&amp;L'!O21</f>
        <v>48.1</v>
      </c>
      <c r="P8" s="30">
        <f>'RZiS_P&amp;L'!P21</f>
        <v>39.200000000000003</v>
      </c>
      <c r="Q8" s="30">
        <f>'RZiS_P&amp;L'!Q21</f>
        <v>55.1</v>
      </c>
      <c r="R8" s="31">
        <f>'RZiS_P&amp;L'!R21</f>
        <v>61.2</v>
      </c>
      <c r="S8" s="29">
        <f>'RZiS_P&amp;L'!S21</f>
        <v>57.1</v>
      </c>
      <c r="T8" s="30">
        <f>'RZiS_P&amp;L'!T21</f>
        <v>37.700000000000003</v>
      </c>
      <c r="U8" s="30">
        <f>'RZiS_P&amp;L'!U21</f>
        <v>27.1</v>
      </c>
      <c r="V8" s="31">
        <f>'RZiS_P&amp;L'!V21</f>
        <v>50.5</v>
      </c>
      <c r="W8" s="29">
        <f>'RZiS_P&amp;L'!W21</f>
        <v>64.3</v>
      </c>
      <c r="X8" s="30">
        <f>'RZiS_P&amp;L'!X21</f>
        <v>131.19999999999999</v>
      </c>
      <c r="Y8" s="30">
        <f>'RZiS_P&amp;L'!Y21</f>
        <v>82.600000000000023</v>
      </c>
      <c r="Z8" s="31">
        <f>'RZiS_P&amp;L'!Z21</f>
        <v>84.7</v>
      </c>
      <c r="AA8" s="29">
        <f>'RZiS_P&amp;L'!AA21</f>
        <v>58</v>
      </c>
      <c r="AB8" s="30">
        <f>'RZiS_P&amp;L'!AB21</f>
        <v>69.099999999999994</v>
      </c>
      <c r="AC8" s="30">
        <f>'RZiS_P&amp;L'!AC21</f>
        <v>63.7</v>
      </c>
      <c r="AD8" s="31">
        <f>'RZiS_P&amp;L'!AD21</f>
        <v>76.399999999999991</v>
      </c>
      <c r="AE8" s="30">
        <f>'RZiS_P&amp;L'!AE21</f>
        <v>84.1</v>
      </c>
      <c r="AF8" s="30">
        <f>'RZiS_P&amp;L'!AF21</f>
        <v>33.299999999999997</v>
      </c>
      <c r="AG8" s="30">
        <f>'RZiS_P&amp;L'!AG21</f>
        <v>65.2</v>
      </c>
      <c r="AH8" s="30">
        <f>'RZiS_P&amp;L'!AH21</f>
        <v>85.1</v>
      </c>
      <c r="AI8" s="29">
        <f>'RZiS_P&amp;L'!AI21</f>
        <v>84.3</v>
      </c>
      <c r="AJ8" s="30">
        <f>'RZiS_P&amp;L'!AJ21</f>
        <v>64.3</v>
      </c>
      <c r="AK8" s="30">
        <f>'RZiS_P&amp;L'!AK21</f>
        <v>32</v>
      </c>
      <c r="AL8" s="31">
        <f>'RZiS_P&amp;L'!AL21</f>
        <v>51.5</v>
      </c>
      <c r="AM8" s="29">
        <f>'RZiS_P&amp;L'!AM21</f>
        <v>78.900000000000006</v>
      </c>
      <c r="AN8" s="30">
        <f>'RZiS_P&amp;L'!AN21</f>
        <v>33.5</v>
      </c>
      <c r="AO8" s="30">
        <f>'RZiS_P&amp;L'!AO21</f>
        <v>49.7</v>
      </c>
      <c r="AP8" s="31">
        <f>'RZiS_P&amp;L'!AP21</f>
        <v>138.5</v>
      </c>
      <c r="AQ8" s="29">
        <f>'RZiS_P&amp;L'!AQ21</f>
        <v>76.400000000000006</v>
      </c>
      <c r="AR8" s="30">
        <f>'RZiS_P&amp;L'!AR21</f>
        <v>123.1</v>
      </c>
      <c r="AS8" s="30">
        <f>'RZiS_P&amp;L'!AS21</f>
        <v>109.1</v>
      </c>
      <c r="AT8" s="31">
        <f>'RZiS_P&amp;L'!AT21</f>
        <v>112.6</v>
      </c>
      <c r="AU8" s="29">
        <f>'RZiS_P&amp;L'!AU22</f>
        <v>94.8</v>
      </c>
      <c r="AV8" s="30">
        <f>'RZiS_P&amp;L'!AV22</f>
        <v>173.7</v>
      </c>
      <c r="AW8" s="30">
        <f>'RZiS_P&amp;L'!AW22</f>
        <v>133.9</v>
      </c>
      <c r="AX8" s="30">
        <f>'RZiS_P&amp;L'!AX22</f>
        <v>98.5</v>
      </c>
    </row>
    <row r="9" spans="1:50" s="267" customFormat="1" ht="11.25">
      <c r="A9" s="404" t="s">
        <v>299</v>
      </c>
      <c r="B9" s="404" t="s">
        <v>134</v>
      </c>
      <c r="C9" s="405">
        <f>'RZiS_P&amp;L'!C24</f>
        <v>209.40000000000006</v>
      </c>
      <c r="D9" s="406">
        <f>'RZiS_P&amp;L'!D24</f>
        <v>203.90000000000018</v>
      </c>
      <c r="E9" s="406">
        <f>'RZiS_P&amp;L'!E24</f>
        <v>249.79999999999995</v>
      </c>
      <c r="F9" s="407">
        <f>'RZiS_P&amp;L'!F24</f>
        <v>123.89999999999992</v>
      </c>
      <c r="G9" s="406">
        <f>'RZiS_P&amp;L'!G24</f>
        <v>214.3000000000001</v>
      </c>
      <c r="H9" s="406">
        <f>'RZiS_P&amp;L'!H24</f>
        <v>294.59999999999991</v>
      </c>
      <c r="I9" s="406">
        <f>'RZiS_P&amp;L'!I24</f>
        <v>205.30000000000007</v>
      </c>
      <c r="J9" s="407">
        <f>'RZiS_P&amp;L'!J24</f>
        <v>-151.19999999999996</v>
      </c>
      <c r="K9" s="405">
        <f>'RZiS_P&amp;L'!K24</f>
        <v>102.89999999999988</v>
      </c>
      <c r="L9" s="406">
        <f>'RZiS_P&amp;L'!L24</f>
        <v>228.7</v>
      </c>
      <c r="M9" s="406">
        <f>'RZiS_P&amp;L'!M24</f>
        <v>256.99999999999994</v>
      </c>
      <c r="N9" s="407">
        <f>'RZiS_P&amp;L'!N24</f>
        <v>149.6999999999999</v>
      </c>
      <c r="O9" s="405">
        <f>'RZiS_P&amp;L'!O24</f>
        <v>219.49999999999997</v>
      </c>
      <c r="P9" s="406">
        <f>'RZiS_P&amp;L'!P24</f>
        <v>236.20000000000002</v>
      </c>
      <c r="Q9" s="406">
        <f>'RZiS_P&amp;L'!Q24</f>
        <v>237.39999999999986</v>
      </c>
      <c r="R9" s="407">
        <f>'RZiS_P&amp;L'!R24</f>
        <v>240.99999999999997</v>
      </c>
      <c r="S9" s="405">
        <f>'RZiS_P&amp;L'!S24</f>
        <v>267.09999999999997</v>
      </c>
      <c r="T9" s="406">
        <f>'RZiS_P&amp;L'!T24</f>
        <v>289.99999999999994</v>
      </c>
      <c r="U9" s="406">
        <f>'RZiS_P&amp;L'!U24</f>
        <v>276.59999999999997</v>
      </c>
      <c r="V9" s="407">
        <f>'RZiS_P&amp;L'!V24</f>
        <v>283.90000000000003</v>
      </c>
      <c r="W9" s="405">
        <f>'RZiS_P&amp;L'!W24</f>
        <v>317.60000000000008</v>
      </c>
      <c r="X9" s="406">
        <f>'RZiS_P&amp;L'!X24</f>
        <v>207.29999999999995</v>
      </c>
      <c r="Y9" s="406">
        <f>'RZiS_P&amp;L'!Y24</f>
        <v>252.69999999999985</v>
      </c>
      <c r="Z9" s="407">
        <f>'RZiS_P&amp;L'!Z24</f>
        <v>238.50000000000003</v>
      </c>
      <c r="AA9" s="405">
        <f>'RZiS_P&amp;L'!AA24</f>
        <v>323.99999999999994</v>
      </c>
      <c r="AB9" s="406">
        <f>'RZiS_P&amp;L'!AB24</f>
        <v>267.99999999999994</v>
      </c>
      <c r="AC9" s="406">
        <f>'RZiS_P&amp;L'!AC24</f>
        <v>288.60000000000025</v>
      </c>
      <c r="AD9" s="407">
        <f>'RZiS_P&amp;L'!AD24</f>
        <v>312.3</v>
      </c>
      <c r="AE9" s="406">
        <f>'RZiS_P&amp;L'!AE24</f>
        <v>328.49999999999983</v>
      </c>
      <c r="AF9" s="406">
        <f>'RZiS_P&amp;L'!AF24</f>
        <v>383.90000000000003</v>
      </c>
      <c r="AG9" s="406">
        <f>'RZiS_P&amp;L'!AG24</f>
        <v>342.60000000000019</v>
      </c>
      <c r="AH9" s="406">
        <f>'RZiS_P&amp;L'!AH24</f>
        <v>292.39999999999998</v>
      </c>
      <c r="AI9" s="405">
        <f>'RZiS_P&amp;L'!AI24</f>
        <v>326.09999999999997</v>
      </c>
      <c r="AJ9" s="406">
        <f>'RZiS_P&amp;L'!AJ24</f>
        <v>414.8</v>
      </c>
      <c r="AK9" s="406">
        <f>'RZiS_P&amp;L'!AK24</f>
        <v>395.3</v>
      </c>
      <c r="AL9" s="407">
        <f>'RZiS_P&amp;L'!AL24</f>
        <v>254.10000000000002</v>
      </c>
      <c r="AM9" s="405">
        <f>'RZiS_P&amp;L'!AM24</f>
        <v>337.4</v>
      </c>
      <c r="AN9" s="406">
        <f>'RZiS_P&amp;L'!AN24</f>
        <v>524.90000000000009</v>
      </c>
      <c r="AO9" s="406">
        <f>'RZiS_P&amp;L'!AO24</f>
        <v>433.60000000000025</v>
      </c>
      <c r="AP9" s="407">
        <f>'RZiS_P&amp;L'!AP24</f>
        <v>348.59999999999985</v>
      </c>
      <c r="AQ9" s="405">
        <f>'RZiS_P&amp;L'!AQ24</f>
        <v>413.9</v>
      </c>
      <c r="AR9" s="406">
        <f>'RZiS_P&amp;L'!AR24</f>
        <v>475.99999999999989</v>
      </c>
      <c r="AS9" s="406">
        <f>'RZiS_P&amp;L'!AS24</f>
        <v>492.09999999999957</v>
      </c>
      <c r="AT9" s="407">
        <f>'RZiS_P&amp;L'!AT24</f>
        <v>500.00000000000017</v>
      </c>
      <c r="AU9" s="405">
        <f>'RZiS_P&amp;L'!AU24</f>
        <v>446.29999999999978</v>
      </c>
      <c r="AV9" s="406">
        <f>'RZiS_P&amp;L'!AV24</f>
        <v>490.40000000000015</v>
      </c>
      <c r="AW9" s="406">
        <f>'RZiS_P&amp;L'!AW24</f>
        <v>500.6</v>
      </c>
      <c r="AX9" s="406">
        <f>'RZiS_P&amp;L'!AX24</f>
        <v>595.70000000000005</v>
      </c>
    </row>
    <row r="10" spans="1:50" s="267" customFormat="1" ht="12">
      <c r="A10" s="28" t="s">
        <v>793</v>
      </c>
      <c r="B10" s="28" t="s">
        <v>775</v>
      </c>
      <c r="C10" s="29">
        <f>'RZiS_P&amp;L'!C27</f>
        <v>167.40000000000006</v>
      </c>
      <c r="D10" s="30">
        <f>'RZiS_P&amp;L'!D27</f>
        <v>167.80000000000018</v>
      </c>
      <c r="E10" s="30">
        <f>'RZiS_P&amp;L'!E27</f>
        <v>197.99999999999994</v>
      </c>
      <c r="F10" s="31">
        <f>'RZiS_P&amp;L'!F27</f>
        <v>97.499999999999915</v>
      </c>
      <c r="G10" s="30">
        <f>'RZiS_P&amp;L'!G27</f>
        <v>173.8000000000001</v>
      </c>
      <c r="H10" s="30">
        <f>'RZiS_P&amp;L'!H27</f>
        <v>233.6999999999999</v>
      </c>
      <c r="I10" s="30">
        <f>'RZiS_P&amp;L'!I27</f>
        <v>166.90000000000006</v>
      </c>
      <c r="J10" s="31">
        <f>'RZiS_P&amp;L'!J27</f>
        <v>-128.99999999999997</v>
      </c>
      <c r="K10" s="29">
        <f>'RZiS_P&amp;L'!K27</f>
        <v>80.799999999999869</v>
      </c>
      <c r="L10" s="30">
        <f>'RZiS_P&amp;L'!L27</f>
        <v>182.7</v>
      </c>
      <c r="M10" s="30">
        <f>'RZiS_P&amp;L'!M27</f>
        <v>210.79999999999995</v>
      </c>
      <c r="N10" s="31">
        <f>'RZiS_P&amp;L'!N27</f>
        <v>120.7999999999999</v>
      </c>
      <c r="O10" s="29">
        <f>'RZiS_P&amp;L'!O27</f>
        <v>177.49999999999997</v>
      </c>
      <c r="P10" s="30">
        <f>'RZiS_P&amp;L'!P27</f>
        <v>191.5</v>
      </c>
      <c r="Q10" s="30">
        <f>'RZiS_P&amp;L'!Q27</f>
        <v>192.39999999999986</v>
      </c>
      <c r="R10" s="31">
        <f>'RZiS_P&amp;L'!R27</f>
        <v>191.7</v>
      </c>
      <c r="S10" s="29">
        <f>'RZiS_P&amp;L'!S27</f>
        <v>212.49999999999997</v>
      </c>
      <c r="T10" s="30">
        <f>'RZiS_P&amp;L'!T27</f>
        <v>233.89999999999995</v>
      </c>
      <c r="U10" s="30">
        <f>'RZiS_P&amp;L'!U27</f>
        <v>220.09999999999997</v>
      </c>
      <c r="V10" s="31">
        <f>'RZiS_P&amp;L'!V27</f>
        <v>213.60000000000002</v>
      </c>
      <c r="W10" s="29">
        <f>'RZiS_P&amp;L'!W27</f>
        <v>271.50000000000006</v>
      </c>
      <c r="X10" s="30">
        <f>'RZiS_P&amp;L'!X27</f>
        <v>167.59999999999997</v>
      </c>
      <c r="Y10" s="30">
        <f>'RZiS_P&amp;L'!Y27</f>
        <v>203.19999999999985</v>
      </c>
      <c r="Z10" s="31">
        <f>'RZiS_P&amp;L'!Z27</f>
        <v>190.00000000000003</v>
      </c>
      <c r="AA10" s="29">
        <f>'RZiS_P&amp;L'!AA27</f>
        <v>259.69999999999993</v>
      </c>
      <c r="AB10" s="30">
        <f>'RZiS_P&amp;L'!AB27</f>
        <v>216.89999999999995</v>
      </c>
      <c r="AC10" s="30">
        <f>'RZiS_P&amp;L'!AC27</f>
        <v>234.40000000000026</v>
      </c>
      <c r="AD10" s="31">
        <f>'RZiS_P&amp;L'!AD27</f>
        <v>250.5</v>
      </c>
      <c r="AE10" s="30">
        <f>'RZiS_P&amp;L'!AE27</f>
        <v>254.59999999999982</v>
      </c>
      <c r="AF10" s="30">
        <f>'RZiS_P&amp;L'!AF27</f>
        <v>282.3</v>
      </c>
      <c r="AG10" s="30">
        <f>'RZiS_P&amp;L'!AG27</f>
        <v>273.00000000000017</v>
      </c>
      <c r="AH10" s="30">
        <f>'RZiS_P&amp;L'!AH27</f>
        <v>230.79999999999998</v>
      </c>
      <c r="AI10" s="29">
        <f>'RZiS_P&amp;L'!AI27</f>
        <v>261</v>
      </c>
      <c r="AJ10" s="30">
        <f>'RZiS_P&amp;L'!AJ27</f>
        <v>344.6</v>
      </c>
      <c r="AK10" s="30">
        <f>'RZiS_P&amp;L'!AK27</f>
        <v>315.70000000000005</v>
      </c>
      <c r="AL10" s="31">
        <f>'RZiS_P&amp;L'!AL27</f>
        <v>205.70000000000002</v>
      </c>
      <c r="AM10" s="29">
        <f>'RZiS_P&amp;L'!AM27</f>
        <v>259.2</v>
      </c>
      <c r="AN10" s="30">
        <f>'RZiS_P&amp;L'!AN27</f>
        <v>406.90000000000009</v>
      </c>
      <c r="AO10" s="30">
        <f>'RZiS_P&amp;L'!AO27</f>
        <v>332.00000000000023</v>
      </c>
      <c r="AP10" s="31">
        <f>'RZiS_P&amp;L'!AP27</f>
        <v>254.89999999999986</v>
      </c>
      <c r="AQ10" s="29">
        <f>'RZiS_P&amp;L'!AQ27</f>
        <v>300.29999999999995</v>
      </c>
      <c r="AR10" s="30">
        <f>'RZiS_P&amp;L'!AR27</f>
        <v>360.2999999999999</v>
      </c>
      <c r="AS10" s="30">
        <f>'RZiS_P&amp;L'!AS27</f>
        <v>375.69999999999959</v>
      </c>
      <c r="AT10" s="31">
        <f>'RZiS_P&amp;L'!AT27</f>
        <v>366.80000000000018</v>
      </c>
      <c r="AU10" s="29">
        <f>'RZiS_P&amp;L'!AU27</f>
        <v>322.19999999999982</v>
      </c>
      <c r="AV10" s="30">
        <f>'RZiS_P&amp;L'!AV27</f>
        <v>372.70000000000016</v>
      </c>
      <c r="AW10" s="30">
        <f>'RZiS_P&amp;L'!AW27</f>
        <v>378.8</v>
      </c>
      <c r="AX10" s="30">
        <f>'RZiS_P&amp;L'!AX27</f>
        <v>452.20000000000005</v>
      </c>
    </row>
    <row r="11" spans="1:50" s="270" customFormat="1" ht="11.25">
      <c r="A11" s="50"/>
      <c r="B11" s="50"/>
      <c r="C11" s="34"/>
      <c r="D11" s="35"/>
      <c r="E11" s="35"/>
      <c r="F11" s="36"/>
      <c r="G11" s="35"/>
      <c r="H11" s="35"/>
      <c r="I11" s="35"/>
      <c r="J11" s="35"/>
      <c r="K11" s="34"/>
      <c r="L11" s="35"/>
      <c r="M11" s="35"/>
      <c r="N11" s="36"/>
      <c r="O11" s="35"/>
      <c r="P11" s="35"/>
      <c r="Q11" s="35"/>
      <c r="R11" s="35"/>
      <c r="S11" s="34"/>
      <c r="T11" s="35"/>
      <c r="U11" s="35"/>
      <c r="V11" s="36"/>
      <c r="W11" s="34"/>
      <c r="X11" s="35"/>
      <c r="Y11" s="35"/>
      <c r="Z11" s="36"/>
      <c r="AA11" s="34"/>
      <c r="AB11" s="35"/>
      <c r="AC11" s="35"/>
      <c r="AD11" s="36"/>
      <c r="AE11" s="35"/>
      <c r="AF11" s="35"/>
      <c r="AG11" s="35"/>
      <c r="AH11" s="35"/>
      <c r="AI11" s="34"/>
      <c r="AJ11" s="35"/>
      <c r="AK11" s="35"/>
      <c r="AL11" s="36"/>
      <c r="AM11" s="34"/>
      <c r="AN11" s="35"/>
      <c r="AO11" s="35"/>
      <c r="AP11" s="36"/>
      <c r="AQ11" s="34"/>
      <c r="AR11" s="35"/>
      <c r="AS11" s="35"/>
      <c r="AT11" s="36"/>
      <c r="AU11" s="34"/>
      <c r="AV11" s="35"/>
      <c r="AW11" s="35"/>
      <c r="AX11" s="35"/>
    </row>
    <row r="12" spans="1:50" s="270" customFormat="1" ht="11.25">
      <c r="A12" s="50" t="s">
        <v>307</v>
      </c>
      <c r="B12" s="50" t="s">
        <v>375</v>
      </c>
      <c r="C12" s="408"/>
      <c r="D12" s="409"/>
      <c r="E12" s="409"/>
      <c r="F12" s="410"/>
      <c r="G12" s="409"/>
      <c r="H12" s="409"/>
      <c r="I12" s="409"/>
      <c r="J12" s="409"/>
      <c r="K12" s="408"/>
      <c r="L12" s="409"/>
      <c r="M12" s="409"/>
      <c r="N12" s="410"/>
      <c r="O12" s="409"/>
      <c r="P12" s="409"/>
      <c r="Q12" s="409"/>
      <c r="R12" s="409"/>
      <c r="S12" s="408"/>
      <c r="T12" s="409"/>
      <c r="U12" s="409"/>
      <c r="V12" s="410"/>
      <c r="W12" s="408"/>
      <c r="X12" s="409"/>
      <c r="Y12" s="409"/>
      <c r="Z12" s="410"/>
      <c r="AA12" s="408"/>
      <c r="AB12" s="409"/>
      <c r="AC12" s="409"/>
      <c r="AD12" s="410"/>
      <c r="AE12" s="409"/>
      <c r="AF12" s="409"/>
      <c r="AG12" s="409"/>
      <c r="AH12" s="409"/>
      <c r="AI12" s="408"/>
      <c r="AJ12" s="409"/>
      <c r="AK12" s="409"/>
      <c r="AL12" s="410"/>
      <c r="AM12" s="408"/>
      <c r="AN12" s="409"/>
      <c r="AO12" s="409"/>
      <c r="AP12" s="410"/>
      <c r="AQ12" s="408"/>
      <c r="AR12" s="409"/>
      <c r="AS12" s="409"/>
      <c r="AT12" s="410"/>
      <c r="AU12" s="408"/>
      <c r="AV12" s="409"/>
      <c r="AW12" s="409"/>
      <c r="AX12" s="409"/>
    </row>
    <row r="13" spans="1:50" s="267" customFormat="1" ht="11.25">
      <c r="A13" s="411" t="s">
        <v>306</v>
      </c>
      <c r="B13" s="411" t="s">
        <v>135</v>
      </c>
      <c r="C13" s="412">
        <f>Bilans_BS!C20</f>
        <v>56616.89999999998</v>
      </c>
      <c r="D13" s="413">
        <f>Bilans_BS!D20</f>
        <v>53203.100000000013</v>
      </c>
      <c r="E13" s="413">
        <f>Bilans_BS!E20</f>
        <v>53246.599999999991</v>
      </c>
      <c r="F13" s="414">
        <f>Bilans_BS!F20</f>
        <v>52010.80000000001</v>
      </c>
      <c r="G13" s="413">
        <f>Bilans_BS!G20</f>
        <v>60234.400000000009</v>
      </c>
      <c r="H13" s="413">
        <f>Bilans_BS!H20</f>
        <v>60513.200000000004</v>
      </c>
      <c r="I13" s="413">
        <f>Bilans_BS!I20</f>
        <v>65262.600000000006</v>
      </c>
      <c r="J13" s="414">
        <f>Bilans_BS!J20</f>
        <v>69610.5</v>
      </c>
      <c r="K13" s="412">
        <f>Bilans_BS!K20</f>
        <v>68205.799999999988</v>
      </c>
      <c r="L13" s="413">
        <f>Bilans_BS!L20</f>
        <v>64516.5</v>
      </c>
      <c r="M13" s="413">
        <f>Bilans_BS!M20</f>
        <v>64256.4</v>
      </c>
      <c r="N13" s="414">
        <f>Bilans_BS!N20</f>
        <v>59883.400000000009</v>
      </c>
      <c r="O13" s="412">
        <f>Bilans_BS!O20</f>
        <v>62099.1</v>
      </c>
      <c r="P13" s="413">
        <f>Bilans_BS!P20</f>
        <v>61583.000000000007</v>
      </c>
      <c r="Q13" s="413">
        <f>Bilans_BS!Q20</f>
        <v>62165.500000000007</v>
      </c>
      <c r="R13" s="414">
        <f>Bilans_BS!R20</f>
        <v>64517.499999999985</v>
      </c>
      <c r="S13" s="412">
        <f>Bilans_BS!S20</f>
        <v>65839.799999999988</v>
      </c>
      <c r="T13" s="413">
        <f>Bilans_BS!T20</f>
        <v>67500.900000000009</v>
      </c>
      <c r="U13" s="413">
        <f>Bilans_BS!U20</f>
        <v>73696.099999999991</v>
      </c>
      <c r="V13" s="414">
        <f>Bilans_BS!V20</f>
        <v>69723.400000000009</v>
      </c>
      <c r="W13" s="412">
        <f>Bilans_BS!W20</f>
        <v>72263.099999999991</v>
      </c>
      <c r="X13" s="413">
        <f>Bilans_BS!X20</f>
        <v>70260.099999999991</v>
      </c>
      <c r="Y13" s="413">
        <f>Bilans_BS!Y20</f>
        <v>73637.799999999988</v>
      </c>
      <c r="Z13" s="414">
        <f>Bilans_BS!Z20</f>
        <v>78266.799999999988</v>
      </c>
      <c r="AA13" s="412">
        <f>Bilans_BS!AA20</f>
        <v>77753.800000000032</v>
      </c>
      <c r="AB13" s="413">
        <f>Bilans_BS!AB20</f>
        <v>81790.60000000002</v>
      </c>
      <c r="AC13" s="413">
        <f>Bilans_BS!AC20</f>
        <v>84639.5</v>
      </c>
      <c r="AD13" s="414">
        <f>Bilans_BS!AD20</f>
        <v>86750.6</v>
      </c>
      <c r="AE13" s="413">
        <f>Bilans_BS!AE20</f>
        <v>92244.699999999968</v>
      </c>
      <c r="AF13" s="413">
        <f>Bilans_BS!AF20</f>
        <v>98261.799999999988</v>
      </c>
      <c r="AG13" s="413">
        <f>Bilans_BS!AG20</f>
        <v>96848.5</v>
      </c>
      <c r="AH13" s="413">
        <f>Bilans_BS!AH20</f>
        <v>99860.700000000012</v>
      </c>
      <c r="AI13" s="412">
        <f>Bilans_BS!AI20</f>
        <v>102568.3</v>
      </c>
      <c r="AJ13" s="413">
        <f>Bilans_BS!AJ20</f>
        <v>105318.90000000001</v>
      </c>
      <c r="AK13" s="413">
        <f>Bilans_BS!AK20</f>
        <v>112180.7</v>
      </c>
      <c r="AL13" s="414">
        <f>Bilans_BS!AL20</f>
        <v>108893.09999999999</v>
      </c>
      <c r="AM13" s="412">
        <f>Bilans_BS!AM20</f>
        <v>112732.69999999998</v>
      </c>
      <c r="AN13" s="413">
        <f>Bilans_BS!AN20</f>
        <v>115639.7</v>
      </c>
      <c r="AO13" s="413">
        <f>Bilans_BS!AO20</f>
        <v>116550</v>
      </c>
      <c r="AP13" s="414">
        <f>Bilans_BS!AP20</f>
        <v>117477.70000000001</v>
      </c>
      <c r="AQ13" s="412">
        <f>Bilans_BS!AQ20</f>
        <v>118850.5</v>
      </c>
      <c r="AR13" s="413">
        <f>Bilans_BS!AR20</f>
        <v>120197.6</v>
      </c>
      <c r="AS13" s="413">
        <f>Bilans_BS!AS20</f>
        <v>122290</v>
      </c>
      <c r="AT13" s="414">
        <f>Bilans_BS!AT20</f>
        <v>126013.90000000002</v>
      </c>
      <c r="AU13" s="412">
        <f>Bilans_BS!AU20</f>
        <v>127310.30000000002</v>
      </c>
      <c r="AV13" s="413">
        <f>Bilans_BS!AV20</f>
        <v>130758.6</v>
      </c>
      <c r="AW13" s="413">
        <f>Bilans_BS!AW20</f>
        <v>134098.20000000001</v>
      </c>
      <c r="AX13" s="413">
        <f>Bilans_BS!AX20</f>
        <v>141589.60000000003</v>
      </c>
    </row>
    <row r="14" spans="1:50" s="268" customFormat="1" ht="12">
      <c r="A14" s="28" t="s">
        <v>794</v>
      </c>
      <c r="B14" s="28" t="s">
        <v>776</v>
      </c>
      <c r="C14" s="29">
        <f>Bilans_BS!C11-Kredyty_loans_old!C83-Kredyty_loans_old!C90</f>
        <v>13782.6</v>
      </c>
      <c r="D14" s="30">
        <f>Bilans_BS!D11-Kredyty_loans_old!D83-Kredyty_loans_old!D90</f>
        <v>14567.2</v>
      </c>
      <c r="E14" s="30">
        <f>Bilans_BS!E11-Kredyty_loans_old!E83-Kredyty_loans_old!E90</f>
        <v>15449.4</v>
      </c>
      <c r="F14" s="31">
        <f>Bilans_BS!F11-Kredyty_loans_old!F83-Kredyty_loans_old!F90</f>
        <v>16379.1</v>
      </c>
      <c r="G14" s="30">
        <f>Bilans_BS!G11-Kredyty_loans_old!G83-Kredyty_loans_old!G90</f>
        <v>18039.900000000001</v>
      </c>
      <c r="H14" s="30">
        <f>Bilans_BS!H11-Kredyty_loans_old!H83-Kredyty_loans_old!H90</f>
        <v>20372</v>
      </c>
      <c r="I14" s="30">
        <f>Bilans_BS!I11-Kredyty_loans_old!I83-Kredyty_loans_old!I90</f>
        <v>21986.799999999999</v>
      </c>
      <c r="J14" s="30">
        <f>Bilans_BS!J11-Kredyty_loans_old!J83-Kredyty_loans_old!J90</f>
        <v>24088.799999999999</v>
      </c>
      <c r="K14" s="29">
        <f>Bilans_BS!K11-Kredyty_loans_old!K83-Kredyty_loans_old!K90</f>
        <v>25265.1</v>
      </c>
      <c r="L14" s="30">
        <f>Bilans_BS!L11-Kredyty_loans_old!L83-Kredyty_loans_old!L90</f>
        <v>25829.5</v>
      </c>
      <c r="M14" s="30">
        <f>Bilans_BS!M11-Kredyty_loans_old!M83-Kredyty_loans_old!M90</f>
        <v>25701.1</v>
      </c>
      <c r="N14" s="31">
        <f>Bilans_BS!N11-Kredyty_loans_old!N83-Kredyty_loans_old!N90</f>
        <v>27330.899999999998</v>
      </c>
      <c r="O14" s="30">
        <f>Bilans_BS!O11-Kredyty_loans_old!O83-Kredyty_loans_old!O90</f>
        <v>27011.699999999997</v>
      </c>
      <c r="P14" s="30">
        <f>Bilans_BS!P11-Kredyty_loans_old!P83-Kredyty_loans_old!P90</f>
        <v>28333.5</v>
      </c>
      <c r="Q14" s="30">
        <f>Bilans_BS!Q11-Kredyty_loans_old!Q83-Kredyty_loans_old!Q90</f>
        <v>29895.5</v>
      </c>
      <c r="R14" s="30">
        <f>Bilans_BS!R11-Kredyty_loans_old!R83-Kredyty_loans_old!R90</f>
        <v>31240.5</v>
      </c>
      <c r="S14" s="29">
        <f>Bilans_BS!S11-Kredyty_loans_old!S83-Kredyty_loans_old!S90</f>
        <v>32116.800000000003</v>
      </c>
      <c r="T14" s="30">
        <f>Bilans_BS!T11-Kredyty_loans_old!T83-Kredyty_loans_old!T90</f>
        <v>33905.800000000003</v>
      </c>
      <c r="U14" s="30">
        <f>Bilans_BS!U11-Kredyty_loans_old!U83-Kredyty_loans_old!U90</f>
        <v>36003.5</v>
      </c>
      <c r="V14" s="31">
        <f>Bilans_BS!V11-Kredyty_loans_old!V83-Kredyty_loans_old!V90</f>
        <v>38457.1</v>
      </c>
      <c r="W14" s="30">
        <f>Bilans_BS!W11-Kredyty_loans_old!W83-Kredyty_loans_old!W90</f>
        <v>44115.199999999997</v>
      </c>
      <c r="X14" s="30">
        <f>Bilans_BS!X11-Kredyty_loans_old!X83-Kredyty_loans_old!X90</f>
        <v>44732.4</v>
      </c>
      <c r="Y14" s="30">
        <f>Bilans_BS!Y11-Kredyty_loans_old!Y83-Kredyty_loans_old!Y90</f>
        <v>45542.6</v>
      </c>
      <c r="Z14" s="30">
        <f>Bilans_BS!Z11-Kredyty_loans_old!Z83-Kredyty_loans_old!Z90</f>
        <v>45205.599999999999</v>
      </c>
      <c r="AA14" s="29">
        <f>Bilans_BS!AA11-Kredyty_loans_old!AA83-Kredyty_loans_old!AA90</f>
        <v>45301.600000000013</v>
      </c>
      <c r="AB14" s="30">
        <f>Bilans_BS!AB11-Kredyty_loans_old!AB83-Kredyty_loans_old!AB90</f>
        <v>47962.5</v>
      </c>
      <c r="AC14" s="30">
        <f>Bilans_BS!AC11-Kredyty_loans_old!AC83-Kredyty_loans_old!AC90</f>
        <v>48634.6</v>
      </c>
      <c r="AD14" s="31">
        <f>Bilans_BS!AD11-Kredyty_loans_old!AD83-Kredyty_loans_old!AD90</f>
        <v>49191.299999999996</v>
      </c>
      <c r="AE14" s="30">
        <f>Bilans_BS!AE11-Kredyty_loans_old!AE83-Kredyty_loans_old!AE90</f>
        <v>51507.700000000004</v>
      </c>
      <c r="AF14" s="30">
        <f>Bilans_BS!AF11-Kredyty_loans_old!AF83-Kredyty_loans_old!AF90</f>
        <v>54369.399999999987</v>
      </c>
      <c r="AG14" s="30">
        <f>Bilans_BS!AG11-Kredyty_loans_old!AG83-Kredyty_loans_old!AG90</f>
        <v>56905.599999999999</v>
      </c>
      <c r="AH14" s="413">
        <f>Bilans_BS!AH11-Kredyty_loans_old!AH83-Kredyty_loans_old!AH90</f>
        <v>57238</v>
      </c>
      <c r="AI14" s="29">
        <f>Bilans_BS!AI11-Kredyty_loans_old!AI83-Kredyty_loans_old!AI90</f>
        <v>60635.9</v>
      </c>
      <c r="AJ14" s="30">
        <f>Bilans_BS!AJ11-Kredyty_loans_old!AJ83-Kredyty_loans_old!AJ90</f>
        <v>64907.700000000004</v>
      </c>
      <c r="AK14" s="30">
        <f>Bilans_BS!AK11-Kredyty_loans_old!AK83-Kredyty_loans_old!AK90</f>
        <v>68185.7</v>
      </c>
      <c r="AL14" s="31">
        <f>Bilans_BS!AL11-Kredyty_loans_old!AL83-Kredyty_loans_old!AL90</f>
        <v>70035.899999999994</v>
      </c>
      <c r="AM14" s="29">
        <f>Bilans_BS!AM11-Kredyty_loans_old!AM83-Kredyty_loans_old!AM90</f>
        <v>71497.2</v>
      </c>
      <c r="AN14" s="30">
        <f>Bilans_BS!AN11-Kredyty_loans_old!AN83-Kredyty_loans_old!AN90</f>
        <v>74399.599999999991</v>
      </c>
      <c r="AO14" s="30">
        <f>Bilans_BS!AO11-Kredyty_loans_old!AO83-Kredyty_loans_old!AO90</f>
        <v>76575.199999999997</v>
      </c>
      <c r="AP14" s="414">
        <f>Bilans_BS!AP11-Kredyty_loans_old!AP83-Kredyty_loans_old!AP90</f>
        <v>78069.5</v>
      </c>
      <c r="AQ14" s="29">
        <f>Bilans_BS!AQ11-Kredyty_loans_old!AQ83-Kredyty_loans_old!AQ90</f>
        <v>80713.7</v>
      </c>
      <c r="AR14" s="30">
        <f>Bilans_BS!AR11-Kredyty_loans_old!AR83-Kredyty_loans_old!AR90</f>
        <v>83333.2</v>
      </c>
      <c r="AS14" s="30">
        <f>Bilans_BS!AS11-Kredyty_loans_old!AS83-Kredyty_loans_old!AS90</f>
        <v>86433.3</v>
      </c>
      <c r="AT14" s="31">
        <f>Bilans_BS!AT11-Kredyty_loans_old!AT83-Kredyty_loans_old!AT90</f>
        <v>87544</v>
      </c>
      <c r="AU14" s="29">
        <f>Bilans_BS!AU11</f>
        <v>90290.5</v>
      </c>
      <c r="AV14" s="30">
        <f>Bilans_BS!AV11</f>
        <v>94724.3</v>
      </c>
      <c r="AW14" s="30">
        <f>Bilans_BS!AW11</f>
        <v>99223.8</v>
      </c>
      <c r="AX14" s="30">
        <f>Bilans_BS!AX11</f>
        <v>103125.8</v>
      </c>
    </row>
    <row r="15" spans="1:50" s="268" customFormat="1" ht="11.25">
      <c r="A15" s="281" t="s">
        <v>309</v>
      </c>
      <c r="B15" s="281" t="s">
        <v>332</v>
      </c>
      <c r="C15" s="52">
        <f>Kredyty_loans_old!C6+Kredyty_loans_old!C9+Kredyty_loans_old!C16+Kredyty_loans_old!C19</f>
        <v>13547.400000000001</v>
      </c>
      <c r="D15" s="53">
        <f>Kredyty_loans_old!D6+Kredyty_loans_old!D9+Kredyty_loans_old!D16+Kredyty_loans_old!D19</f>
        <v>14323.800000000001</v>
      </c>
      <c r="E15" s="53">
        <f>Kredyty_loans_old!E6+Kredyty_loans_old!E9+Kredyty_loans_old!E16+Kredyty_loans_old!E19</f>
        <v>15231.499999999998</v>
      </c>
      <c r="F15" s="54">
        <f>Kredyty_loans_old!F6+Kredyty_loans_old!F9+Kredyty_loans_old!F16+Kredyty_loans_old!F19</f>
        <v>16105.499999999998</v>
      </c>
      <c r="G15" s="53">
        <f>Kredyty_loans_old!G6+Kredyty_loans_old!G9+Kredyty_loans_old!G16+Kredyty_loans_old!G19</f>
        <v>17758.900000000001</v>
      </c>
      <c r="H15" s="53">
        <f>Kredyty_loans_old!H6+Kredyty_loans_old!H9+Kredyty_loans_old!H16+Kredyty_loans_old!H19</f>
        <v>19283.500000000004</v>
      </c>
      <c r="I15" s="53">
        <f>Kredyty_loans_old!I6+Kredyty_loans_old!I9+Kredyty_loans_old!I16+Kredyty_loans_old!I19</f>
        <v>21522.100000000002</v>
      </c>
      <c r="J15" s="54">
        <f>Kredyty_loans_old!J6+Kredyty_loans_old!J9+Kredyty_loans_old!J16+Kredyty_loans_old!J19</f>
        <v>23639.8</v>
      </c>
      <c r="K15" s="52">
        <f>Kredyty_loans_old!K6+Kredyty_loans_old!K9+Kredyty_loans_old!K16+Kredyty_loans_old!K19</f>
        <v>24679.600000000002</v>
      </c>
      <c r="L15" s="53">
        <f>Kredyty_loans_old!L6+Kredyty_loans_old!L9+Kredyty_loans_old!L16+Kredyty_loans_old!L19</f>
        <v>24767.5</v>
      </c>
      <c r="M15" s="53">
        <f>Kredyty_loans_old!M6+Kredyty_loans_old!M9+Kredyty_loans_old!M16+Kredyty_loans_old!M19</f>
        <v>25157</v>
      </c>
      <c r="N15" s="54">
        <f>Kredyty_loans_old!N6+Kredyty_loans_old!N9+Kredyty_loans_old!N16+Kredyty_loans_old!N19</f>
        <v>26315.599999999999</v>
      </c>
      <c r="O15" s="52">
        <f>Kredyty_loans_old!O6+Kredyty_loans_old!O9+Kredyty_loans_old!O16+Kredyty_loans_old!O19</f>
        <v>26507.800000000003</v>
      </c>
      <c r="P15" s="53">
        <f>Kredyty_loans_old!P6+Kredyty_loans_old!P9+Kredyty_loans_old!P16+Kredyty_loans_old!P19</f>
        <v>27855.300000000003</v>
      </c>
      <c r="Q15" s="53">
        <f>Kredyty_loans_old!Q6+Kredyty_loans_old!Q9+Kredyty_loans_old!Q16+Kredyty_loans_old!Q19</f>
        <v>29465.7</v>
      </c>
      <c r="R15" s="54">
        <f>Kredyty_loans_old!R6+Kredyty_loans_old!R9+Kredyty_loans_old!R16+Kredyty_loans_old!R19</f>
        <v>30975.4</v>
      </c>
      <c r="S15" s="52">
        <f>Kredyty_loans_old!S6+Kredyty_loans_old!S9+Kredyty_loans_old!S16+Kredyty_loans_old!S19</f>
        <v>31759.899999999998</v>
      </c>
      <c r="T15" s="53">
        <f>Kredyty_loans_old!T6+Kredyty_loans_old!T9+Kredyty_loans_old!T16+Kredyty_loans_old!T19</f>
        <v>33421.4</v>
      </c>
      <c r="U15" s="53">
        <f>Kredyty_loans_old!U6+Kredyty_loans_old!U9+Kredyty_loans_old!U16+Kredyty_loans_old!U19</f>
        <v>35459.999999999993</v>
      </c>
      <c r="V15" s="54">
        <f>Kredyty_loans_old!V6+Kredyty_loans_old!V9+Kredyty_loans_old!V16+Kredyty_loans_old!V19</f>
        <v>38084.9</v>
      </c>
      <c r="W15" s="52">
        <f>Kredyty_loans_old!W6+Kredyty_loans_old!W9+Kredyty_loans_old!W16+Kredyty_loans_old!W19</f>
        <v>39016.200000000004</v>
      </c>
      <c r="X15" s="53">
        <f>Kredyty_loans_old!X6+Kredyty_loans_old!X9+Kredyty_loans_old!X16+Kredyty_loans_old!X19</f>
        <v>39442.399999999987</v>
      </c>
      <c r="Y15" s="53">
        <f>Kredyty_loans_old!Y6+Kredyty_loans_old!Y9+Kredyty_loans_old!Y16+Kredyty_loans_old!Y19</f>
        <v>40300.400000000001</v>
      </c>
      <c r="Z15" s="54">
        <f>Kredyty_loans_old!Z6+Kredyty_loans_old!Z9+Kredyty_loans_old!Z16+Kredyty_loans_old!Z19</f>
        <v>39718.799999999988</v>
      </c>
      <c r="AA15" s="52">
        <f>Kredyty_loans_old!AA6+Kredyty_loans_old!AA9+Kredyty_loans_old!AA16+Kredyty_loans_old!AA19</f>
        <v>40054.699999999997</v>
      </c>
      <c r="AB15" s="53">
        <f>Kredyty_loans_old!AB6+Kredyty_loans_old!AB9+Kredyty_loans_old!AB16+Kredyty_loans_old!AB19</f>
        <v>41021.9</v>
      </c>
      <c r="AC15" s="53">
        <f>Kredyty_loans_old!AC6+Kredyty_loans_old!AC9+Kredyty_loans_old!AC16+Kredyty_loans_old!AC19</f>
        <v>42356.7</v>
      </c>
      <c r="AD15" s="54">
        <f>Kredyty_loans_old!AD6+Kredyty_loans_old!AD9+Kredyty_loans_old!AD16+Kredyty_loans_old!AD19</f>
        <v>42383.7</v>
      </c>
      <c r="AE15" s="53">
        <f>Kredyty_loans_old!AE6+Kredyty_loans_old!AE9+Kredyty_loans_old!AE16+Kredyty_loans_old!AE19</f>
        <v>44572.400000000009</v>
      </c>
      <c r="AF15" s="53">
        <f>Kredyty_loans_old!AF6+Kredyty_loans_old!AF9+Kredyty_loans_old!AF16+Kredyty_loans_old!AF19</f>
        <v>46704.200000000004</v>
      </c>
      <c r="AG15" s="53">
        <f>Kredyty_loans_old!AG6+Kredyty_loans_old!AG9+Kredyty_loans_old!AG16+Kredyty_loans_old!AG19</f>
        <v>48976.900000000009</v>
      </c>
      <c r="AH15" s="53">
        <f>Kredyty_loans_old!AH6+Kredyty_loans_old!AH9+Kredyty_loans_old!AH16+Kredyty_loans_old!AH19</f>
        <v>49878.6</v>
      </c>
      <c r="AI15" s="52">
        <f>Kredyty_loans_old!AI6+Kredyty_loans_old!AI9+Kredyty_loans_old!AI16+Kredyty_loans_old!AI19</f>
        <v>52663.299999999996</v>
      </c>
      <c r="AJ15" s="53">
        <f>Kredyty_loans_old!AJ6+Kredyty_loans_old!AJ9+Kredyty_loans_old!AJ16+Kredyty_loans_old!AJ19</f>
        <v>56848</v>
      </c>
      <c r="AK15" s="53">
        <f>Kredyty_loans_old!AK6+Kredyty_loans_old!AK9+Kredyty_loans_old!AK16+Kredyty_loans_old!AK19</f>
        <v>59612.6</v>
      </c>
      <c r="AL15" s="54">
        <f>Kredyty_loans_old!AL6+Kredyty_loans_old!AL9+Kredyty_loans_old!AL16+Kredyty_loans_old!AL19</f>
        <v>60228.600000000006</v>
      </c>
      <c r="AM15" s="52">
        <f>Kredyty_loans_old!AM6+Kredyty_loans_old!AM9+Kredyty_loans_old!AM16+Kredyty_loans_old!AM19</f>
        <v>62931</v>
      </c>
      <c r="AN15" s="53">
        <f>Kredyty_loans_old!AN6+Kredyty_loans_old!AN9+Kredyty_loans_old!AN16+Kredyty_loans_old!AN19</f>
        <v>64859.600000000006</v>
      </c>
      <c r="AO15" s="53">
        <f>Kredyty_loans_old!AO6+Kredyty_loans_old!AO9+Kredyty_loans_old!AO16+Kredyty_loans_old!AO19</f>
        <v>66660.600000000006</v>
      </c>
      <c r="AP15" s="54">
        <f>Kredyty_loans!AP66-Kredyty_loans!AP70-Kredyty_loans!AP71-Kredyty_loans!AP76</f>
        <v>67572.60000000002</v>
      </c>
      <c r="AQ15" s="52">
        <f>Kredyty_loans!AQ66-Kredyty_loans!AQ70-Kredyty_loans!AQ71-Kredyty_loans!AQ76</f>
        <v>69982.900000000009</v>
      </c>
      <c r="AR15" s="53">
        <f>Kredyty_loans!AR66-Kredyty_loans!AR70-Kredyty_loans!AR71-Kredyty_loans!AR76</f>
        <v>72021.200000000012</v>
      </c>
      <c r="AS15" s="53">
        <f>Kredyty_loans!AS66-Kredyty_loans!AS70-Kredyty_loans!AS71-Kredyty_loans!AS76</f>
        <v>74721.799999999988</v>
      </c>
      <c r="AT15" s="54">
        <f>Kredyty_loans!AT66-Kredyty_loans!AT70-Kredyty_loans!AT71-Kredyty_loans!AT76</f>
        <v>75667.900000000009</v>
      </c>
      <c r="AU15" s="52">
        <f>Kredyty_loans!AU66-Kredyty_loans!AU70-Kredyty_loans!AU71-Kredyty_loans!AU76</f>
        <v>77893.399999999994</v>
      </c>
      <c r="AV15" s="53">
        <f>Kredyty_loans!AV66-Kredyty_loans!AV70-Kredyty_loans!AV71-Kredyty_loans!AV76</f>
        <v>81668.39999999998</v>
      </c>
      <c r="AW15" s="53">
        <f>Kredyty_loans!AW66-Kredyty_loans!AW70-Kredyty_loans!AW71-Kredyty_loans!AW76</f>
        <v>85819.599999999991</v>
      </c>
      <c r="AX15" s="53">
        <f>Kredyty_loans!AX66-Kredyty_loans!AX70-Kredyty_loans!AX71-Kredyty_loans!AX76</f>
        <v>89028.7</v>
      </c>
    </row>
    <row r="16" spans="1:50" s="268" customFormat="1" ht="11.25">
      <c r="A16" s="281" t="s">
        <v>310</v>
      </c>
      <c r="B16" s="281" t="s">
        <v>333</v>
      </c>
      <c r="C16" s="52">
        <v>0</v>
      </c>
      <c r="D16" s="53">
        <v>0</v>
      </c>
      <c r="E16" s="53">
        <v>0</v>
      </c>
      <c r="F16" s="54">
        <v>0</v>
      </c>
      <c r="G16" s="53">
        <v>0</v>
      </c>
      <c r="H16" s="53">
        <v>0</v>
      </c>
      <c r="I16" s="53">
        <v>0</v>
      </c>
      <c r="J16" s="54">
        <v>0</v>
      </c>
      <c r="K16" s="52">
        <v>0</v>
      </c>
      <c r="L16" s="53">
        <v>0</v>
      </c>
      <c r="M16" s="53">
        <v>0</v>
      </c>
      <c r="N16" s="54">
        <v>0</v>
      </c>
      <c r="O16" s="52">
        <v>0</v>
      </c>
      <c r="P16" s="53">
        <v>0</v>
      </c>
      <c r="Q16" s="53">
        <v>0</v>
      </c>
      <c r="R16" s="54">
        <v>0</v>
      </c>
      <c r="S16" s="52">
        <v>0</v>
      </c>
      <c r="T16" s="53">
        <v>0</v>
      </c>
      <c r="U16" s="53">
        <v>0</v>
      </c>
      <c r="V16" s="54">
        <v>0</v>
      </c>
      <c r="W16" s="52">
        <v>3045.6000000000004</v>
      </c>
      <c r="X16" s="53">
        <v>3084.3999999999996</v>
      </c>
      <c r="Y16" s="53">
        <f>Kredyty_loans_old!Y7+Kredyty_loans_old!Y17</f>
        <v>3067.2</v>
      </c>
      <c r="Z16" s="54">
        <f>Kredyty_loans_old!Z7+Kredyty_loans_old!Z17</f>
        <v>3164.5</v>
      </c>
      <c r="AA16" s="52">
        <f>Kredyty_loans_old!AA7+Kredyty_loans_old!AA17</f>
        <v>3188.4</v>
      </c>
      <c r="AB16" s="53">
        <f>Kredyty_loans_old!AB7+Kredyty_loans_old!AB17</f>
        <v>3322.4</v>
      </c>
      <c r="AC16" s="53">
        <f>Kredyty_loans_old!AC7+Kredyty_loans_old!AC17</f>
        <v>3472.2</v>
      </c>
      <c r="AD16" s="54">
        <f>Kredyty_loans_old!AD7+Kredyty_loans_old!AD17</f>
        <v>3590.8</v>
      </c>
      <c r="AE16" s="53">
        <f>Kredyty_loans_old!AE7+Kredyty_loans_old!AE17</f>
        <v>3774.3</v>
      </c>
      <c r="AF16" s="53">
        <f>Kredyty_loans_old!AF7+Kredyty_loans_old!AF17</f>
        <v>4162.0999999999995</v>
      </c>
      <c r="AG16" s="53">
        <f>Kredyty_loans_old!AG7+Kredyty_loans_old!AG17</f>
        <v>4244.1000000000004</v>
      </c>
      <c r="AH16" s="53">
        <f>Kredyty_loans_old!AH7+Kredyty_loans_old!AH17</f>
        <v>4335.6000000000004</v>
      </c>
      <c r="AI16" s="52">
        <f>Kredyty_loans_old!AI7+Kredyty_loans_old!AI17</f>
        <v>4301.2000000000007</v>
      </c>
      <c r="AJ16" s="53">
        <f>Kredyty_loans_old!AJ7+Kredyty_loans_old!AJ17</f>
        <v>4611.6000000000004</v>
      </c>
      <c r="AK16" s="53">
        <f>Kredyty_loans_old!AK7+Kredyty_loans_old!AK17</f>
        <v>4789.6000000000004</v>
      </c>
      <c r="AL16" s="54">
        <f>Kredyty_loans_old!AL7+Kredyty_loans_old!AL17</f>
        <v>4882.7</v>
      </c>
      <c r="AM16" s="52">
        <f>Kredyty_loans_old!AM7+Kredyty_loans_old!AM17</f>
        <v>5023.2999999999993</v>
      </c>
      <c r="AN16" s="53">
        <f>Kredyty_loans_old!AN7+Kredyty_loans_old!AN17</f>
        <v>5444.0999999999995</v>
      </c>
      <c r="AO16" s="53">
        <f>Kredyty_loans_old!AO7+Kredyty_loans_old!AO17</f>
        <v>5509.3</v>
      </c>
      <c r="AP16" s="54">
        <f>Kredyty_loans!AP70+Kredyty_loans!AP76</f>
        <v>5710.6</v>
      </c>
      <c r="AQ16" s="52">
        <f>Kredyty_loans!AQ70+Kredyty_loans!AQ76</f>
        <v>5774.0999999999995</v>
      </c>
      <c r="AR16" s="53">
        <f>Kredyty_loans!AR70+Kredyty_loans!AR76</f>
        <v>6098.6</v>
      </c>
      <c r="AS16" s="53">
        <f>Kredyty_loans!AS70+Kredyty_loans!AS76</f>
        <v>6327.4000000000005</v>
      </c>
      <c r="AT16" s="54">
        <f>Kredyty_loans!AT70+Kredyty_loans!AT76</f>
        <v>6560.0999999999995</v>
      </c>
      <c r="AU16" s="52">
        <f>Kredyty_loans!AU70+Kredyty_loans!AU76</f>
        <v>6825</v>
      </c>
      <c r="AV16" s="53">
        <f>Kredyty_loans!AV70+Kredyty_loans!AV76</f>
        <v>7246.2999999999993</v>
      </c>
      <c r="AW16" s="53">
        <f>Kredyty_loans!AW70+Kredyty_loans!AW76</f>
        <v>7608.2999999999993</v>
      </c>
      <c r="AX16" s="53">
        <f>Kredyty_loans!AX70+Kredyty_loans!AX76</f>
        <v>8093.6000000000013</v>
      </c>
    </row>
    <row r="17" spans="1:50" s="268" customFormat="1" ht="11.25">
      <c r="A17" s="281" t="s">
        <v>311</v>
      </c>
      <c r="B17" s="281" t="s">
        <v>334</v>
      </c>
      <c r="C17" s="52">
        <f>Kredyty_loans_old!C8+Kredyty_loans_old!C18</f>
        <v>148.70000000000002</v>
      </c>
      <c r="D17" s="53">
        <f>Kredyty_loans_old!D8+Kredyty_loans_old!D18</f>
        <v>148.10000000000002</v>
      </c>
      <c r="E17" s="53">
        <f>Kredyty_loans_old!E8+Kredyty_loans_old!E18</f>
        <v>125.5</v>
      </c>
      <c r="F17" s="54">
        <f>Kredyty_loans_old!F8+Kredyty_loans_old!F18</f>
        <v>128.6</v>
      </c>
      <c r="G17" s="53">
        <f>Kredyty_loans_old!G8+Kredyty_loans_old!G18</f>
        <v>130.5</v>
      </c>
      <c r="H17" s="53">
        <f>Kredyty_loans_old!H8+Kredyty_loans_old!H18</f>
        <v>136</v>
      </c>
      <c r="I17" s="53">
        <f>Kredyty_loans_old!I8+Kredyty_loans_old!I18</f>
        <v>178.20000000000002</v>
      </c>
      <c r="J17" s="54">
        <f>Kredyty_loans_old!J8+Kredyty_loans_old!J18</f>
        <v>164.6</v>
      </c>
      <c r="K17" s="52">
        <f>Kredyty_loans_old!K8+Kredyty_loans_old!K18</f>
        <v>270.09999999999997</v>
      </c>
      <c r="L17" s="53">
        <f>Kredyty_loans_old!L8+Kredyty_loans_old!L18</f>
        <v>252.7</v>
      </c>
      <c r="M17" s="53">
        <f>Kredyty_loans_old!M8+Kredyty_loans_old!M18</f>
        <v>175.6</v>
      </c>
      <c r="N17" s="54">
        <f>Kredyty_loans_old!N8+Kredyty_loans_old!N18</f>
        <v>173.1</v>
      </c>
      <c r="O17" s="52">
        <f>Kredyty_loans_old!O8+Kredyty_loans_old!O18</f>
        <v>142.40000000000003</v>
      </c>
      <c r="P17" s="53">
        <f>Kredyty_loans_old!P8+Kredyty_loans_old!P18</f>
        <v>171.1</v>
      </c>
      <c r="Q17" s="53">
        <f>Kredyty_loans_old!Q8+Kredyty_loans_old!Q18</f>
        <v>165</v>
      </c>
      <c r="R17" s="54">
        <f>Kredyty_loans_old!R8+Kredyty_loans_old!R18</f>
        <v>122.7</v>
      </c>
      <c r="S17" s="52">
        <f>Kredyty_loans_old!S8+Kredyty_loans_old!S18</f>
        <v>108.4</v>
      </c>
      <c r="T17" s="53">
        <f>Kredyty_loans_old!T8+Kredyty_loans_old!T18</f>
        <v>196.29999999999998</v>
      </c>
      <c r="U17" s="53">
        <f>Kredyty_loans_old!U8+Kredyty_loans_old!U18</f>
        <v>279.90000000000003</v>
      </c>
      <c r="V17" s="54">
        <f>Kredyty_loans_old!V8+Kredyty_loans_old!V18</f>
        <v>272.40000000000003</v>
      </c>
      <c r="W17" s="52">
        <f>Kredyty_loans_old!W8+Kredyty_loans_old!W18</f>
        <v>1852.5000000000002</v>
      </c>
      <c r="X17" s="53">
        <f>Kredyty_loans_old!X8+Kredyty_loans_old!X18</f>
        <v>2094.2000000000003</v>
      </c>
      <c r="Y17" s="53">
        <f>Kredyty_loans_old!Y8+Kredyty_loans_old!Y18</f>
        <v>2022.6000000000001</v>
      </c>
      <c r="Z17" s="54">
        <f>Kredyty_loans_old!Z8+Kredyty_loans_old!Z18</f>
        <v>2202.6999999999998</v>
      </c>
      <c r="AA17" s="52">
        <f>Kredyty_loans_old!AA8+Kredyty_loans_old!AA18</f>
        <v>1958.3</v>
      </c>
      <c r="AB17" s="53">
        <f>Kredyty_loans_old!AB8+Kredyty_loans_old!AB18</f>
        <v>2223.0000000000005</v>
      </c>
      <c r="AC17" s="53">
        <f>Kredyty_loans_old!AC8+Kredyty_loans_old!AC18</f>
        <v>2442.7999999999993</v>
      </c>
      <c r="AD17" s="54">
        <f>Kredyty_loans_old!AD8+Kredyty_loans_old!AD18</f>
        <v>2453.7999999999997</v>
      </c>
      <c r="AE17" s="53">
        <f>Kredyty_loans_old!AE8+Kredyty_loans_old!AE18</f>
        <v>2361.1999999999998</v>
      </c>
      <c r="AF17" s="53">
        <f>Kredyty_loans_old!AF8+Kredyty_loans_old!AF18</f>
        <v>2621.0000000000005</v>
      </c>
      <c r="AG17" s="53">
        <f>Kredyty_loans_old!AG8+Kredyty_loans_old!AG18</f>
        <v>2868.7</v>
      </c>
      <c r="AH17" s="53">
        <f>Kredyty_loans_old!AH8+Kredyty_loans_old!AH18</f>
        <v>2816.5</v>
      </c>
      <c r="AI17" s="52">
        <f>Kredyty_loans_old!AI8+Kredyty_loans_old!AI18</f>
        <v>2567.6000000000004</v>
      </c>
      <c r="AJ17" s="53">
        <f>Kredyty_loans_old!AJ8+Kredyty_loans_old!AJ18</f>
        <v>2822.4000000000005</v>
      </c>
      <c r="AK17" s="53">
        <f>Kredyty_loans_old!AK8+Kredyty_loans_old!AK18</f>
        <v>3139.4</v>
      </c>
      <c r="AL17" s="54">
        <f>Kredyty_loans_old!AL8+Kredyty_loans_old!AL18</f>
        <v>3389.7</v>
      </c>
      <c r="AM17" s="52">
        <f>Kredyty_loans_old!AM8+Kredyty_loans_old!AM18</f>
        <v>3396.8</v>
      </c>
      <c r="AN17" s="53">
        <f>Kredyty_loans_old!AN8+Kredyty_loans_old!AN18</f>
        <v>4027.5</v>
      </c>
      <c r="AO17" s="53">
        <f>Kredyty_loans_old!AO8+Kredyty_loans_old!AO18</f>
        <v>4264.7</v>
      </c>
      <c r="AP17" s="54">
        <f>Kredyty_loans!AP71</f>
        <v>4350.4000000000005</v>
      </c>
      <c r="AQ17" s="52">
        <f>Kredyty_loans!AQ71</f>
        <v>4513.3999999999996</v>
      </c>
      <c r="AR17" s="53">
        <f>Kredyty_loans!AR71</f>
        <v>4622.2</v>
      </c>
      <c r="AS17" s="53">
        <f>Kredyty_loans!AS71</f>
        <v>4715.1000000000004</v>
      </c>
      <c r="AT17" s="54">
        <f>Kredyty_loans!AT71</f>
        <v>4589</v>
      </c>
      <c r="AU17" s="52">
        <f>Kredyty_loans!AU71</f>
        <v>4562.6000000000004</v>
      </c>
      <c r="AV17" s="53">
        <f>Kredyty_loans!AV71</f>
        <v>4751.6000000000004</v>
      </c>
      <c r="AW17" s="53">
        <f>Kredyty_loans!AW71</f>
        <v>4766.9999999999991</v>
      </c>
      <c r="AX17" s="53">
        <f>Kredyty_loans!AX71</f>
        <v>4834.5</v>
      </c>
    </row>
    <row r="18" spans="1:50" s="270" customFormat="1" ht="11.25">
      <c r="A18" s="28" t="s">
        <v>276</v>
      </c>
      <c r="B18" s="28" t="s">
        <v>121</v>
      </c>
      <c r="C18" s="29">
        <f>Bilans_BS!C28</f>
        <v>40774.6</v>
      </c>
      <c r="D18" s="30">
        <f>Bilans_BS!D28</f>
        <v>40253.4</v>
      </c>
      <c r="E18" s="30">
        <f>Bilans_BS!E28</f>
        <v>40658.1</v>
      </c>
      <c r="F18" s="31">
        <f>Bilans_BS!F28</f>
        <v>44501.8</v>
      </c>
      <c r="G18" s="30">
        <f>Bilans_BS!G28</f>
        <v>45359.100000000006</v>
      </c>
      <c r="H18" s="30">
        <f>Bilans_BS!H28</f>
        <v>47651.4</v>
      </c>
      <c r="I18" s="30">
        <f>Bilans_BS!I28</f>
        <v>51303.5</v>
      </c>
      <c r="J18" s="31">
        <f>Bilans_BS!J28</f>
        <v>47111.9</v>
      </c>
      <c r="K18" s="29">
        <f>Bilans_BS!K28</f>
        <v>46583.4</v>
      </c>
      <c r="L18" s="30">
        <f>Bilans_BS!L28</f>
        <v>45927.9</v>
      </c>
      <c r="M18" s="30">
        <f>Bilans_BS!M28</f>
        <v>46520</v>
      </c>
      <c r="N18" s="31">
        <f>Bilans_BS!N28</f>
        <v>47630.7</v>
      </c>
      <c r="O18" s="29">
        <f>Bilans_BS!O28</f>
        <v>46197.299999999996</v>
      </c>
      <c r="P18" s="30">
        <f>Bilans_BS!P28</f>
        <v>46022.6</v>
      </c>
      <c r="Q18" s="30">
        <f>Bilans_BS!Q28</f>
        <v>47701.599999999999</v>
      </c>
      <c r="R18" s="31">
        <f>Bilans_BS!R28</f>
        <v>47448.200000000004</v>
      </c>
      <c r="S18" s="29">
        <f>Bilans_BS!S28</f>
        <v>46487.900000000009</v>
      </c>
      <c r="T18" s="30">
        <f>Bilans_BS!T28</f>
        <v>48310.7</v>
      </c>
      <c r="U18" s="30">
        <f>Bilans_BS!U28</f>
        <v>50782.5</v>
      </c>
      <c r="V18" s="31">
        <f>Bilans_BS!V28</f>
        <v>52976.69999999999</v>
      </c>
      <c r="W18" s="29">
        <f>Bilans_BS!W28</f>
        <v>52465.499999999993</v>
      </c>
      <c r="X18" s="30">
        <f>Bilans_BS!X28</f>
        <v>54186.000000000007</v>
      </c>
      <c r="Y18" s="30">
        <f>Bilans_BS!Y28</f>
        <v>54896.2</v>
      </c>
      <c r="Z18" s="31">
        <f>Bilans_BS!Z28</f>
        <v>57898.399999999994</v>
      </c>
      <c r="AA18" s="29">
        <f>Bilans_BS!AA28</f>
        <v>58126.799999999996</v>
      </c>
      <c r="AB18" s="30">
        <f>Bilans_BS!AB28</f>
        <v>64159.100000000006</v>
      </c>
      <c r="AC18" s="30">
        <f>Bilans_BS!AC28</f>
        <v>66911.399999999994</v>
      </c>
      <c r="AD18" s="31">
        <f>Bilans_BS!AD28</f>
        <v>67981.399999999994</v>
      </c>
      <c r="AE18" s="30">
        <f>Bilans_BS!AE28</f>
        <v>67036.3</v>
      </c>
      <c r="AF18" s="30">
        <f>Bilans_BS!AF28</f>
        <v>70975.3</v>
      </c>
      <c r="AG18" s="30">
        <f>Bilans_BS!AG28</f>
        <v>71979.60000000002</v>
      </c>
      <c r="AH18" s="30">
        <f>Bilans_BS!AH28</f>
        <v>75688.599999999991</v>
      </c>
      <c r="AI18" s="29">
        <f>Bilans_BS!AI28</f>
        <v>77661.500000000015</v>
      </c>
      <c r="AJ18" s="30">
        <f>Bilans_BS!AJ28</f>
        <v>80755.099999999991</v>
      </c>
      <c r="AK18" s="30">
        <f>Bilans_BS!AK28</f>
        <v>83830</v>
      </c>
      <c r="AL18" s="31">
        <f>Bilans_BS!AL28</f>
        <v>87866</v>
      </c>
      <c r="AM18" s="29">
        <f>Bilans_BS!AM28</f>
        <v>90413.4</v>
      </c>
      <c r="AN18" s="30">
        <f>Bilans_BS!AN28</f>
        <v>93492.400000000009</v>
      </c>
      <c r="AO18" s="30">
        <f>Bilans_BS!AO28</f>
        <v>92304.6</v>
      </c>
      <c r="AP18" s="31">
        <f>Bilans_BS!AP28</f>
        <v>95825.4</v>
      </c>
      <c r="AQ18" s="29">
        <f>Bilans_BS!AQ28</f>
        <v>96620.7</v>
      </c>
      <c r="AR18" s="30">
        <f>Bilans_BS!AR28</f>
        <v>97708.800000000003</v>
      </c>
      <c r="AS18" s="30">
        <f>Bilans_BS!AS28</f>
        <v>98459.8</v>
      </c>
      <c r="AT18" s="31">
        <f>Bilans_BS!AT28</f>
        <v>104503.3</v>
      </c>
      <c r="AU18" s="29">
        <f>Bilans_BS!AU28</f>
        <v>104662.1</v>
      </c>
      <c r="AV18" s="30">
        <f>Bilans_BS!AV28</f>
        <v>109174.1</v>
      </c>
      <c r="AW18" s="30">
        <f>Bilans_BS!AW28</f>
        <v>110205</v>
      </c>
      <c r="AX18" s="30">
        <f>Bilans_BS!AX28</f>
        <v>117682.5</v>
      </c>
    </row>
    <row r="19" spans="1:50" s="270" customFormat="1" ht="12">
      <c r="A19" s="28" t="s">
        <v>795</v>
      </c>
      <c r="B19" s="28" t="s">
        <v>777</v>
      </c>
      <c r="C19" s="29">
        <f>Bilans_BS!C41</f>
        <v>3902.2999999999997</v>
      </c>
      <c r="D19" s="30">
        <f>Bilans_BS!D41</f>
        <v>3622</v>
      </c>
      <c r="E19" s="30">
        <f>Bilans_BS!E41</f>
        <v>3820.3999999999996</v>
      </c>
      <c r="F19" s="31">
        <f>Bilans_BS!F41</f>
        <v>3838.7999999999997</v>
      </c>
      <c r="G19" s="30">
        <f>Bilans_BS!G41</f>
        <v>4013.7</v>
      </c>
      <c r="H19" s="30">
        <f>Bilans_BS!H41</f>
        <v>3977.5999999999995</v>
      </c>
      <c r="I19" s="30">
        <f>Bilans_BS!I41</f>
        <v>4277.8999999999996</v>
      </c>
      <c r="J19" s="31">
        <f>Bilans_BS!J41</f>
        <v>4222.2</v>
      </c>
      <c r="K19" s="29">
        <f>Bilans_BS!K41</f>
        <v>4280.8999999999996</v>
      </c>
      <c r="L19" s="30">
        <f>Bilans_BS!L41</f>
        <v>4514.6000000000004</v>
      </c>
      <c r="M19" s="30">
        <f>Bilans_BS!M41</f>
        <v>4742.0999999999995</v>
      </c>
      <c r="N19" s="31">
        <f>Bilans_BS!N41</f>
        <v>4884.3999999999996</v>
      </c>
      <c r="O19" s="29">
        <f>Bilans_BS!O41</f>
        <v>5131.7</v>
      </c>
      <c r="P19" s="30">
        <f>Bilans_BS!P41</f>
        <v>5280.2000000000007</v>
      </c>
      <c r="Q19" s="30">
        <f>Bilans_BS!Q41</f>
        <v>5529.4999999999991</v>
      </c>
      <c r="R19" s="31">
        <f>Bilans_BS!R41</f>
        <v>5650.8</v>
      </c>
      <c r="S19" s="29">
        <f>Bilans_BS!S41</f>
        <v>5782</v>
      </c>
      <c r="T19" s="30">
        <f>Bilans_BS!T41</f>
        <v>5951.5</v>
      </c>
      <c r="U19" s="30">
        <f>Bilans_BS!U41</f>
        <v>6194.6</v>
      </c>
      <c r="V19" s="31">
        <f>Bilans_BS!V41</f>
        <v>6413.7</v>
      </c>
      <c r="W19" s="29">
        <f>Bilans_BS!W41</f>
        <v>6751.1</v>
      </c>
      <c r="X19" s="30">
        <f>Bilans_BS!X41</f>
        <v>6978.8</v>
      </c>
      <c r="Y19" s="30">
        <f>Bilans_BS!Y41</f>
        <v>7424.9</v>
      </c>
      <c r="Z19" s="31">
        <f>Bilans_BS!Z41</f>
        <v>8133.7999999999993</v>
      </c>
      <c r="AA19" s="29">
        <f>Bilans_BS!AA41</f>
        <v>8236.5</v>
      </c>
      <c r="AB19" s="30">
        <f>Bilans_BS!AB41</f>
        <v>8131.2</v>
      </c>
      <c r="AC19" s="30">
        <f>Bilans_BS!AC41</f>
        <v>8269.2000000000007</v>
      </c>
      <c r="AD19" s="31">
        <f>Bilans_BS!AD41</f>
        <v>8626.2999999999993</v>
      </c>
      <c r="AE19" s="30">
        <f>Bilans_BS!AE41</f>
        <v>8885.5999999999985</v>
      </c>
      <c r="AF19" s="30">
        <f>Bilans_BS!AF41</f>
        <v>9158.6999999999989</v>
      </c>
      <c r="AG19" s="30">
        <f>Bilans_BS!AG41</f>
        <v>9931.5999999999985</v>
      </c>
      <c r="AH19" s="30">
        <f>Bilans_BS!AH41</f>
        <v>10454</v>
      </c>
      <c r="AI19" s="29">
        <f>Bilans_BS!AI41</f>
        <v>10229.5</v>
      </c>
      <c r="AJ19" s="30">
        <f>Bilans_BS!AJ41</f>
        <v>9556.1</v>
      </c>
      <c r="AK19" s="30">
        <f>Bilans_BS!AK41</f>
        <v>10301.799999999999</v>
      </c>
      <c r="AL19" s="31">
        <f>Bilans_BS!AL41</f>
        <v>10677.899999999998</v>
      </c>
      <c r="AM19" s="29">
        <f>Bilans_BS!AM41</f>
        <v>10667.7</v>
      </c>
      <c r="AN19" s="30">
        <f>Bilans_BS!AN41</f>
        <v>10810.099999999999</v>
      </c>
      <c r="AO19" s="30">
        <f>Bilans_BS!AO41</f>
        <v>10976.7</v>
      </c>
      <c r="AP19" s="31">
        <f>Bilans_BS!AP41</f>
        <v>10474.9</v>
      </c>
      <c r="AQ19" s="29">
        <f>Bilans_BS!AQ41</f>
        <v>10787.3</v>
      </c>
      <c r="AR19" s="30">
        <f>Bilans_BS!AR41</f>
        <v>11154.1</v>
      </c>
      <c r="AS19" s="30">
        <f>Bilans_BS!AS41</f>
        <v>11486.199999999997</v>
      </c>
      <c r="AT19" s="31">
        <f>Bilans_BS!AT41</f>
        <v>11794.800000000001</v>
      </c>
      <c r="AU19" s="29">
        <f>Bilans_BS!AU41</f>
        <v>12058.9</v>
      </c>
      <c r="AV19" s="30">
        <f>Bilans_BS!AV41</f>
        <v>11889.499999999998</v>
      </c>
      <c r="AW19" s="30">
        <f>Bilans_BS!AW41</f>
        <v>12161.900000000001</v>
      </c>
      <c r="AX19" s="30">
        <f>Bilans_BS!AX41</f>
        <v>13336.300000000001</v>
      </c>
    </row>
    <row r="20" spans="1:50" s="270" customFormat="1" ht="11.25">
      <c r="A20" s="28"/>
      <c r="B20" s="28"/>
      <c r="C20" s="415"/>
      <c r="D20" s="416"/>
      <c r="E20" s="416"/>
      <c r="F20" s="417"/>
      <c r="G20" s="416"/>
      <c r="H20" s="416"/>
      <c r="I20" s="416"/>
      <c r="J20" s="417"/>
      <c r="K20" s="415"/>
      <c r="L20" s="416"/>
      <c r="M20" s="416"/>
      <c r="N20" s="417"/>
      <c r="O20" s="415"/>
      <c r="P20" s="416"/>
      <c r="Q20" s="416"/>
      <c r="R20" s="417"/>
      <c r="S20" s="415"/>
      <c r="T20" s="416"/>
      <c r="U20" s="416"/>
      <c r="V20" s="417"/>
      <c r="W20" s="415"/>
      <c r="X20" s="416"/>
      <c r="Y20" s="416"/>
      <c r="Z20" s="417"/>
      <c r="AA20" s="415"/>
      <c r="AB20" s="416"/>
      <c r="AC20" s="416"/>
      <c r="AD20" s="417"/>
      <c r="AE20" s="416"/>
      <c r="AF20" s="416"/>
      <c r="AG20" s="416"/>
      <c r="AH20" s="416"/>
      <c r="AI20" s="415"/>
      <c r="AJ20" s="416"/>
      <c r="AK20" s="416"/>
      <c r="AL20" s="417"/>
      <c r="AM20" s="415"/>
      <c r="AN20" s="416"/>
      <c r="AO20" s="416"/>
      <c r="AP20" s="417"/>
      <c r="AQ20" s="415"/>
      <c r="AR20" s="416"/>
      <c r="AS20" s="416"/>
      <c r="AT20" s="417"/>
      <c r="AU20" s="446"/>
    </row>
    <row r="21" spans="1:50" s="270" customFormat="1" ht="11.25">
      <c r="A21" s="28" t="s">
        <v>498</v>
      </c>
      <c r="B21" s="28" t="s">
        <v>499</v>
      </c>
      <c r="C21" s="418">
        <v>0.13739999999999999</v>
      </c>
      <c r="D21" s="419">
        <v>0.1341</v>
      </c>
      <c r="E21" s="419">
        <v>0.1305</v>
      </c>
      <c r="F21" s="420">
        <v>0.13120000000000001</v>
      </c>
      <c r="G21" s="419">
        <v>0.11020000000000001</v>
      </c>
      <c r="H21" s="419">
        <v>0.11219999999999999</v>
      </c>
      <c r="I21" s="419">
        <v>0.11899999999999999</v>
      </c>
      <c r="J21" s="420">
        <v>0.10390000000000001</v>
      </c>
      <c r="K21" s="418">
        <v>0.10100000000000001</v>
      </c>
      <c r="L21" s="419">
        <v>0.1087</v>
      </c>
      <c r="M21" s="419">
        <v>0.1207</v>
      </c>
      <c r="N21" s="420">
        <v>0.1201</v>
      </c>
      <c r="O21" s="418">
        <v>0.13</v>
      </c>
      <c r="P21" s="419">
        <v>0.12559999999999999</v>
      </c>
      <c r="Q21" s="419">
        <v>0.13300000000000001</v>
      </c>
      <c r="R21" s="420">
        <v>0.13150000000000001</v>
      </c>
      <c r="S21" s="418">
        <v>0.12740000000000001</v>
      </c>
      <c r="T21" s="419">
        <v>0.12609999999999999</v>
      </c>
      <c r="U21" s="419">
        <v>0.12559999999999999</v>
      </c>
      <c r="V21" s="420">
        <v>0.1192</v>
      </c>
      <c r="W21" s="418">
        <v>0.1211</v>
      </c>
      <c r="X21" s="416">
        <v>0.1298</v>
      </c>
      <c r="Y21" s="416">
        <f>'Łączny współ kap_TCR_GROUP'!Y51</f>
        <v>0.13669999999999999</v>
      </c>
      <c r="Z21" s="417">
        <f>'Łączny współ kap_TCR_GROUP'!Z51</f>
        <v>0.14549999999999999</v>
      </c>
      <c r="AA21" s="418">
        <f>'Łączny współ kap_TCR_GROUP'!AA51</f>
        <v>0.1515</v>
      </c>
      <c r="AB21" s="419">
        <f>'Łączny współ kap_TCR_GROUP'!AB51</f>
        <v>0.1583</v>
      </c>
      <c r="AC21" s="419">
        <f>'Łączny współ kap_TCR_GROUP'!AC51</f>
        <v>0.1739</v>
      </c>
      <c r="AD21" s="420">
        <f>'Łączny współ kap_TCR_GROUP'!AD51</f>
        <v>0.17280000000000001</v>
      </c>
      <c r="AE21" s="416">
        <f>'Łączny współ kap_TCR_GROUP'!AE51</f>
        <v>0.1457</v>
      </c>
      <c r="AF21" s="416">
        <f>'Łączny współ kap_TCR_GROUP'!AF51</f>
        <v>0.15040000000000001</v>
      </c>
      <c r="AG21" s="416">
        <f>'Łączny współ kap_TCR_GROUP'!AG51</f>
        <v>0.14180000000000001</v>
      </c>
      <c r="AH21" s="416">
        <f>'Łączny współ kap_TCR_GROUP'!AH51</f>
        <v>0.14169999999999999</v>
      </c>
      <c r="AI21" s="418">
        <f>'Łączny współ kap_TCR_GROUP'!AI51</f>
        <v>0.14810000000000001</v>
      </c>
      <c r="AJ21" s="419">
        <f>'Łączny współ kap_TCR_GROUP'!AJ51</f>
        <v>0.13700000000000001</v>
      </c>
      <c r="AK21" s="419">
        <f>'Łączny współ kap_TCR_GROUP'!AK51</f>
        <v>0.1366</v>
      </c>
      <c r="AL21" s="420">
        <f>'Łączny współ kap_TCR_GROUP'!AL51</f>
        <v>0.13739999999999999</v>
      </c>
      <c r="AM21" s="418">
        <f>'Łączny współ kap_TCR_GROUP'!AM51</f>
        <v>0.1411</v>
      </c>
      <c r="AN21" s="416">
        <f>'Łączny współ kap_TCR_GROUP'!AN51</f>
        <v>0.14580000000000001</v>
      </c>
      <c r="AO21" s="416">
        <f>'Łączny współ kap_TCR_GROUP'!AO51</f>
        <v>0.14799999999999999</v>
      </c>
      <c r="AP21" s="417">
        <f>'Łączny współ kap_TCR_GROUP'!AP51</f>
        <v>0.14729999999999999</v>
      </c>
      <c r="AQ21" s="418">
        <f>'Łączny współ kap_TCR_GROUP'!AQ51</f>
        <v>0.1429</v>
      </c>
      <c r="AR21" s="419">
        <f>'Łączny współ kap_TCR_GROUP'!AR51</f>
        <v>0.15279999999999999</v>
      </c>
      <c r="AS21" s="419">
        <f>'Łączny współ kap_TCR_GROUP'!AS51</f>
        <v>0.15049999999999999</v>
      </c>
      <c r="AT21" s="420">
        <f>'Łączny współ kap_TCR_GROUP'!AT51</f>
        <v>0.1671</v>
      </c>
      <c r="AU21" s="415">
        <f>'Łączny współ kap_TCR_GROUP'!AU51</f>
        <v>0.1605</v>
      </c>
      <c r="AV21" s="416">
        <f>'Łączny współ kap_TCR_GROUP'!AV51</f>
        <v>0.15240000000000001</v>
      </c>
      <c r="AW21" s="416">
        <f>'Łączny współ kap_TCR_GROUP'!AW51</f>
        <v>0.15240000000000001</v>
      </c>
      <c r="AX21" s="416">
        <f>'Łączny współ kap_TCR_GROUP'!AX51</f>
        <v>0.156</v>
      </c>
    </row>
    <row r="22" spans="1:50" s="389" customFormat="1" ht="12.75" hidden="1" customHeight="1">
      <c r="A22" s="421"/>
      <c r="B22" s="421"/>
      <c r="C22" s="422"/>
      <c r="D22" s="423"/>
      <c r="E22" s="423"/>
      <c r="F22" s="424"/>
      <c r="G22" s="423"/>
      <c r="H22" s="423"/>
      <c r="I22" s="423"/>
      <c r="J22" s="424"/>
      <c r="K22" s="422"/>
      <c r="L22" s="423"/>
      <c r="M22" s="423"/>
      <c r="N22" s="424"/>
      <c r="O22" s="422"/>
      <c r="P22" s="423"/>
      <c r="Q22" s="423"/>
      <c r="R22" s="424"/>
      <c r="S22" s="422"/>
      <c r="T22" s="423"/>
      <c r="U22" s="423"/>
      <c r="V22" s="424"/>
      <c r="W22" s="422"/>
      <c r="X22" s="425"/>
      <c r="Y22" s="425"/>
      <c r="Z22" s="426"/>
      <c r="AA22" s="422"/>
      <c r="AB22" s="423"/>
      <c r="AC22" s="423"/>
      <c r="AD22" s="424"/>
      <c r="AE22" s="423"/>
      <c r="AF22" s="423"/>
      <c r="AG22" s="423"/>
      <c r="AH22" s="423"/>
      <c r="AI22" s="422"/>
      <c r="AJ22" s="423"/>
      <c r="AK22" s="423"/>
      <c r="AL22" s="424"/>
      <c r="AM22" s="422"/>
      <c r="AN22" s="423"/>
      <c r="AO22" s="423"/>
      <c r="AP22" s="424"/>
      <c r="AQ22" s="422"/>
      <c r="AR22" s="423"/>
      <c r="AS22" s="423"/>
      <c r="AT22" s="424"/>
      <c r="AU22" s="447"/>
    </row>
    <row r="23" spans="1:50" s="389" customFormat="1" ht="12.75" hidden="1" customHeight="1">
      <c r="A23" s="421"/>
      <c r="B23" s="421"/>
      <c r="C23" s="422"/>
      <c r="D23" s="423"/>
      <c r="E23" s="423"/>
      <c r="F23" s="424"/>
      <c r="G23" s="423"/>
      <c r="H23" s="423"/>
      <c r="I23" s="423"/>
      <c r="J23" s="424"/>
      <c r="K23" s="422"/>
      <c r="L23" s="423"/>
      <c r="M23" s="423"/>
      <c r="N23" s="424"/>
      <c r="O23" s="422"/>
      <c r="P23" s="423"/>
      <c r="Q23" s="423"/>
      <c r="R23" s="424"/>
      <c r="S23" s="422"/>
      <c r="T23" s="423"/>
      <c r="U23" s="423"/>
      <c r="V23" s="424"/>
      <c r="W23" s="422"/>
      <c r="X23" s="425"/>
      <c r="Y23" s="425"/>
      <c r="Z23" s="426"/>
      <c r="AA23" s="422"/>
      <c r="AB23" s="423"/>
      <c r="AC23" s="423"/>
      <c r="AD23" s="424"/>
      <c r="AE23" s="423"/>
      <c r="AF23" s="423"/>
      <c r="AG23" s="423"/>
      <c r="AH23" s="423"/>
      <c r="AI23" s="422"/>
      <c r="AJ23" s="423"/>
      <c r="AK23" s="423"/>
      <c r="AL23" s="424"/>
      <c r="AM23" s="422"/>
      <c r="AN23" s="423"/>
      <c r="AO23" s="423"/>
      <c r="AP23" s="424"/>
      <c r="AQ23" s="422"/>
      <c r="AR23" s="423"/>
      <c r="AS23" s="423"/>
      <c r="AT23" s="424"/>
      <c r="AU23" s="447"/>
    </row>
    <row r="24" spans="1:50" s="270" customFormat="1" ht="12.75" hidden="1" customHeight="1">
      <c r="A24" s="28"/>
      <c r="B24" s="28"/>
      <c r="C24" s="415"/>
      <c r="D24" s="416"/>
      <c r="E24" s="416"/>
      <c r="F24" s="417"/>
      <c r="G24" s="416"/>
      <c r="H24" s="416"/>
      <c r="I24" s="416"/>
      <c r="J24" s="417"/>
      <c r="K24" s="415"/>
      <c r="L24" s="416"/>
      <c r="M24" s="416"/>
      <c r="N24" s="417"/>
      <c r="O24" s="415"/>
      <c r="P24" s="416"/>
      <c r="Q24" s="416"/>
      <c r="R24" s="417"/>
      <c r="S24" s="415"/>
      <c r="T24" s="416"/>
      <c r="U24" s="416"/>
      <c r="V24" s="417"/>
      <c r="W24" s="415"/>
      <c r="X24" s="416"/>
      <c r="Y24" s="416"/>
      <c r="Z24" s="417"/>
      <c r="AA24" s="415"/>
      <c r="AB24" s="416"/>
      <c r="AC24" s="416"/>
      <c r="AD24" s="417"/>
      <c r="AE24" s="416"/>
      <c r="AF24" s="416"/>
      <c r="AG24" s="416"/>
      <c r="AH24" s="416"/>
      <c r="AI24" s="415"/>
      <c r="AJ24" s="416"/>
      <c r="AK24" s="416"/>
      <c r="AL24" s="417"/>
      <c r="AM24" s="415"/>
      <c r="AN24" s="416"/>
      <c r="AO24" s="416"/>
      <c r="AP24" s="417"/>
      <c r="AQ24" s="415"/>
      <c r="AR24" s="416"/>
      <c r="AS24" s="416"/>
      <c r="AT24" s="417"/>
      <c r="AU24" s="446"/>
    </row>
    <row r="25" spans="1:50" s="270" customFormat="1" ht="11.25">
      <c r="A25" s="28" t="s">
        <v>500</v>
      </c>
      <c r="B25" s="28" t="s">
        <v>501</v>
      </c>
      <c r="C25" s="415">
        <v>0.1318</v>
      </c>
      <c r="D25" s="416">
        <v>0.1255</v>
      </c>
      <c r="E25" s="416">
        <v>0.1217</v>
      </c>
      <c r="F25" s="417">
        <v>0.1203</v>
      </c>
      <c r="G25" s="416">
        <v>0.10249999999999999</v>
      </c>
      <c r="H25" s="416">
        <v>0.1033</v>
      </c>
      <c r="I25" s="416">
        <v>0.11310000000000001</v>
      </c>
      <c r="J25" s="417">
        <v>9.8299999999999998E-2</v>
      </c>
      <c r="K25" s="415">
        <v>9.3899999999999997E-2</v>
      </c>
      <c r="L25" s="416">
        <v>9.9299999999999999E-2</v>
      </c>
      <c r="M25" s="416">
        <v>0.11210000000000001</v>
      </c>
      <c r="N25" s="417">
        <v>0.1124</v>
      </c>
      <c r="O25" s="415">
        <v>0.12180000000000001</v>
      </c>
      <c r="P25" s="416">
        <v>0.1159</v>
      </c>
      <c r="Q25" s="416">
        <v>0.1236</v>
      </c>
      <c r="R25" s="417">
        <v>0.122</v>
      </c>
      <c r="S25" s="415">
        <v>0.1173</v>
      </c>
      <c r="T25" s="416">
        <v>0.11609999999999999</v>
      </c>
      <c r="U25" s="416">
        <v>0.1178</v>
      </c>
      <c r="V25" s="417">
        <v>0.1158</v>
      </c>
      <c r="W25" s="415">
        <v>0.1157</v>
      </c>
      <c r="X25" s="416">
        <v>0.124</v>
      </c>
      <c r="Y25" s="416">
        <v>0.13089999999999999</v>
      </c>
      <c r="Z25" s="417">
        <v>0.14000000000000001</v>
      </c>
      <c r="AA25" s="415">
        <v>0.14410000000000001</v>
      </c>
      <c r="AB25" s="416">
        <v>0.1525</v>
      </c>
      <c r="AC25" s="416">
        <v>0.17330000000000001</v>
      </c>
      <c r="AD25" s="417">
        <v>0.17100000000000001</v>
      </c>
      <c r="AE25" s="416">
        <v>0.153</v>
      </c>
      <c r="AF25" s="416">
        <v>0.157</v>
      </c>
      <c r="AG25" s="416">
        <v>0.15310000000000001</v>
      </c>
      <c r="AH25" s="416">
        <v>0.1552</v>
      </c>
      <c r="AI25" s="415">
        <v>0.15759999999999999</v>
      </c>
      <c r="AJ25" s="416">
        <v>0.1462</v>
      </c>
      <c r="AK25" s="416">
        <v>0.1467</v>
      </c>
      <c r="AL25" s="417">
        <v>0.1507</v>
      </c>
      <c r="AM25" s="415">
        <v>0.154</v>
      </c>
      <c r="AN25" s="416">
        <v>0.1628</v>
      </c>
      <c r="AO25" s="416">
        <v>0.16589999999999999</v>
      </c>
      <c r="AP25" s="417">
        <v>0.16600000000000001</v>
      </c>
      <c r="AQ25" s="415">
        <v>0.1613</v>
      </c>
      <c r="AR25" s="416">
        <v>0.17199999999999999</v>
      </c>
      <c r="AS25" s="416">
        <v>0.16470000000000001</v>
      </c>
      <c r="AT25" s="417">
        <v>0.18390000000000001</v>
      </c>
      <c r="AU25" s="415">
        <v>0.17649999999999999</v>
      </c>
      <c r="AV25" s="416">
        <v>0.16639999999999999</v>
      </c>
      <c r="AW25" s="416">
        <v>0.1673</v>
      </c>
      <c r="AX25" s="416">
        <v>0.1719</v>
      </c>
    </row>
    <row r="26" spans="1:50" s="389" customFormat="1" ht="12.75" hidden="1" customHeight="1">
      <c r="A26" s="421"/>
      <c r="B26" s="421"/>
      <c r="C26" s="422"/>
      <c r="D26" s="423"/>
      <c r="E26" s="423"/>
      <c r="F26" s="424"/>
      <c r="G26" s="423"/>
      <c r="H26" s="423"/>
      <c r="I26" s="423"/>
      <c r="J26" s="424"/>
      <c r="K26" s="422"/>
      <c r="L26" s="423"/>
      <c r="M26" s="423"/>
      <c r="N26" s="424"/>
      <c r="O26" s="422"/>
      <c r="P26" s="423"/>
      <c r="Q26" s="423"/>
      <c r="R26" s="424"/>
      <c r="S26" s="422"/>
      <c r="T26" s="423"/>
      <c r="U26" s="423"/>
      <c r="V26" s="424"/>
      <c r="W26" s="422"/>
      <c r="X26" s="425"/>
      <c r="Y26" s="425"/>
      <c r="Z26" s="426"/>
      <c r="AA26" s="422"/>
      <c r="AB26" s="423"/>
      <c r="AC26" s="423"/>
      <c r="AD26" s="424"/>
      <c r="AE26" s="423"/>
      <c r="AF26" s="423"/>
      <c r="AG26" s="423"/>
      <c r="AH26" s="423"/>
      <c r="AI26" s="422"/>
      <c r="AJ26" s="423"/>
      <c r="AK26" s="423"/>
      <c r="AL26" s="424"/>
      <c r="AM26" s="422"/>
      <c r="AN26" s="423"/>
      <c r="AO26" s="423"/>
      <c r="AP26" s="424"/>
      <c r="AQ26" s="422"/>
      <c r="AR26" s="423"/>
      <c r="AS26" s="423"/>
      <c r="AT26" s="424"/>
      <c r="AU26" s="447"/>
    </row>
    <row r="27" spans="1:50" s="389" customFormat="1" ht="12.75" hidden="1" customHeight="1">
      <c r="A27" s="421"/>
      <c r="B27" s="421"/>
      <c r="C27" s="422"/>
      <c r="D27" s="423"/>
      <c r="E27" s="423"/>
      <c r="F27" s="424"/>
      <c r="G27" s="423"/>
      <c r="H27" s="423"/>
      <c r="I27" s="423"/>
      <c r="J27" s="424"/>
      <c r="K27" s="422"/>
      <c r="L27" s="423"/>
      <c r="M27" s="423"/>
      <c r="N27" s="424"/>
      <c r="O27" s="422"/>
      <c r="P27" s="423"/>
      <c r="Q27" s="423"/>
      <c r="R27" s="424"/>
      <c r="S27" s="422"/>
      <c r="T27" s="423"/>
      <c r="U27" s="423"/>
      <c r="V27" s="424"/>
      <c r="W27" s="422"/>
      <c r="X27" s="425"/>
      <c r="Y27" s="425"/>
      <c r="Z27" s="426"/>
      <c r="AA27" s="422"/>
      <c r="AB27" s="423"/>
      <c r="AC27" s="423"/>
      <c r="AD27" s="424"/>
      <c r="AE27" s="423"/>
      <c r="AF27" s="423"/>
      <c r="AG27" s="423"/>
      <c r="AH27" s="423"/>
      <c r="AI27" s="422"/>
      <c r="AJ27" s="423"/>
      <c r="AK27" s="423"/>
      <c r="AL27" s="424"/>
      <c r="AM27" s="422"/>
      <c r="AN27" s="423"/>
      <c r="AO27" s="423"/>
      <c r="AP27" s="424"/>
      <c r="AQ27" s="422"/>
      <c r="AR27" s="423"/>
      <c r="AS27" s="423"/>
      <c r="AT27" s="424"/>
      <c r="AU27" s="447"/>
    </row>
    <row r="28" spans="1:50" s="270" customFormat="1" ht="11.25">
      <c r="A28" s="28"/>
      <c r="B28" s="28"/>
      <c r="C28" s="128"/>
      <c r="D28" s="61"/>
      <c r="E28" s="61"/>
      <c r="F28" s="272"/>
      <c r="G28" s="61"/>
      <c r="H28" s="61"/>
      <c r="I28" s="61"/>
      <c r="J28" s="272"/>
      <c r="K28" s="128"/>
      <c r="L28" s="61"/>
      <c r="M28" s="61"/>
      <c r="N28" s="272"/>
      <c r="O28" s="128"/>
      <c r="P28" s="61"/>
      <c r="Q28" s="61"/>
      <c r="R28" s="272"/>
      <c r="S28" s="128"/>
      <c r="T28" s="61"/>
      <c r="U28" s="61"/>
      <c r="V28" s="272"/>
      <c r="W28" s="128"/>
      <c r="X28" s="61"/>
      <c r="Y28" s="61"/>
      <c r="Z28" s="272"/>
      <c r="AA28" s="128"/>
      <c r="AB28" s="61"/>
      <c r="AC28" s="61"/>
      <c r="AD28" s="272"/>
      <c r="AE28" s="61"/>
      <c r="AF28" s="61"/>
      <c r="AG28" s="61"/>
      <c r="AH28" s="61"/>
      <c r="AI28" s="128"/>
      <c r="AJ28" s="61"/>
      <c r="AK28" s="61"/>
      <c r="AL28" s="272"/>
      <c r="AM28" s="128"/>
      <c r="AN28" s="61"/>
      <c r="AO28" s="61"/>
      <c r="AP28" s="272"/>
      <c r="AQ28" s="128"/>
      <c r="AR28" s="61"/>
      <c r="AS28" s="61"/>
      <c r="AT28" s="272"/>
      <c r="AU28" s="128"/>
      <c r="AV28" s="61"/>
      <c r="AW28" s="61"/>
      <c r="AX28" s="61"/>
    </row>
    <row r="29" spans="1:50" s="270" customFormat="1" ht="11.25">
      <c r="A29" s="50" t="s">
        <v>312</v>
      </c>
      <c r="B29" s="50" t="s">
        <v>142</v>
      </c>
      <c r="C29" s="128"/>
      <c r="D29" s="61"/>
      <c r="E29" s="61"/>
      <c r="F29" s="272"/>
      <c r="G29" s="61"/>
      <c r="H29" s="61"/>
      <c r="I29" s="61"/>
      <c r="J29" s="272"/>
      <c r="K29" s="128"/>
      <c r="L29" s="61"/>
      <c r="M29" s="61"/>
      <c r="N29" s="272"/>
      <c r="O29" s="128"/>
      <c r="P29" s="61"/>
      <c r="Q29" s="61"/>
      <c r="R29" s="272"/>
      <c r="S29" s="128"/>
      <c r="T29" s="61"/>
      <c r="U29" s="61"/>
      <c r="V29" s="272"/>
      <c r="W29" s="128"/>
      <c r="X29" s="61"/>
      <c r="Y29" s="61"/>
      <c r="Z29" s="272"/>
      <c r="AA29" s="128"/>
      <c r="AB29" s="61"/>
      <c r="AC29" s="61"/>
      <c r="AD29" s="272"/>
      <c r="AE29" s="61"/>
      <c r="AF29" s="61"/>
      <c r="AG29" s="61"/>
      <c r="AH29" s="61"/>
      <c r="AI29" s="128"/>
      <c r="AJ29" s="61"/>
      <c r="AK29" s="61"/>
      <c r="AL29" s="272"/>
      <c r="AM29" s="128"/>
      <c r="AN29" s="61"/>
      <c r="AO29" s="61"/>
      <c r="AP29" s="272"/>
      <c r="AQ29" s="128"/>
      <c r="AR29" s="61"/>
      <c r="AS29" s="61"/>
      <c r="AT29" s="272"/>
      <c r="AU29" s="128"/>
      <c r="AV29" s="372"/>
      <c r="AW29" s="372"/>
      <c r="AX29" s="372"/>
    </row>
    <row r="30" spans="1:50" s="270" customFormat="1" ht="11.25">
      <c r="A30" s="28" t="s">
        <v>303</v>
      </c>
      <c r="B30" s="28" t="s">
        <v>335</v>
      </c>
      <c r="C30" s="427">
        <v>1.3</v>
      </c>
      <c r="D30" s="259">
        <v>1.2</v>
      </c>
      <c r="E30" s="259">
        <v>1.2</v>
      </c>
      <c r="F30" s="260">
        <v>1.2</v>
      </c>
      <c r="G30" s="259">
        <v>1.2</v>
      </c>
      <c r="H30" s="259">
        <v>1.3</v>
      </c>
      <c r="I30" s="259">
        <v>1.2</v>
      </c>
      <c r="J30" s="260">
        <v>0.7</v>
      </c>
      <c r="K30" s="427">
        <v>0.5</v>
      </c>
      <c r="L30" s="259">
        <v>0.5</v>
      </c>
      <c r="M30" s="259">
        <v>0.5</v>
      </c>
      <c r="N30" s="260">
        <v>0.9</v>
      </c>
      <c r="O30" s="427">
        <v>1.1000000000000001</v>
      </c>
      <c r="P30" s="259">
        <v>1.1000000000000001</v>
      </c>
      <c r="Q30" s="259">
        <v>1.1000000000000001</v>
      </c>
      <c r="R30" s="260">
        <v>1.2</v>
      </c>
      <c r="S30" s="427">
        <v>1.2</v>
      </c>
      <c r="T30" s="259">
        <v>1.3</v>
      </c>
      <c r="U30" s="259">
        <v>1.3</v>
      </c>
      <c r="V30" s="260">
        <v>1.3</v>
      </c>
      <c r="W30" s="427">
        <v>1.3</v>
      </c>
      <c r="X30" s="259">
        <v>1.2</v>
      </c>
      <c r="Y30" s="259">
        <v>1.2</v>
      </c>
      <c r="Z30" s="31">
        <v>1.1000000000000001</v>
      </c>
      <c r="AA30" s="427">
        <v>1.1000000000000001</v>
      </c>
      <c r="AB30" s="259">
        <v>1.1000000000000001</v>
      </c>
      <c r="AC30" s="259">
        <v>1.1000000000000001</v>
      </c>
      <c r="AD30" s="260">
        <v>1.2</v>
      </c>
      <c r="AE30" s="30">
        <v>1.1000000000000001</v>
      </c>
      <c r="AF30" s="30">
        <v>1.2</v>
      </c>
      <c r="AG30" s="30">
        <v>1.2</v>
      </c>
      <c r="AH30" s="30">
        <v>1.1000000000000001</v>
      </c>
      <c r="AI30" s="427">
        <v>1.1000000000000001</v>
      </c>
      <c r="AJ30" s="259">
        <v>1.1000000000000001</v>
      </c>
      <c r="AK30" s="259">
        <v>1.1000000000000001</v>
      </c>
      <c r="AL30" s="260">
        <v>1.1000000000000001</v>
      </c>
      <c r="AM30" s="427">
        <v>1</v>
      </c>
      <c r="AN30" s="259">
        <v>1.1000000000000001</v>
      </c>
      <c r="AO30" s="259">
        <v>1.1000000000000001</v>
      </c>
      <c r="AP30" s="260">
        <v>1.1000000000000001</v>
      </c>
      <c r="AQ30" s="427">
        <v>1.1000000000000001</v>
      </c>
      <c r="AR30" s="259">
        <v>1.1000000000000001</v>
      </c>
      <c r="AS30" s="259">
        <v>1.1000000000000001</v>
      </c>
      <c r="AT30" s="260">
        <v>1.2</v>
      </c>
      <c r="AU30" s="427">
        <v>1.2</v>
      </c>
      <c r="AV30" s="30">
        <v>1.1000000000000001</v>
      </c>
      <c r="AW30" s="30">
        <v>1.1000000000000001</v>
      </c>
      <c r="AX30" s="30">
        <v>1.2</v>
      </c>
    </row>
    <row r="31" spans="1:50" s="270" customFormat="1" ht="11.25">
      <c r="A31" s="28" t="s">
        <v>304</v>
      </c>
      <c r="B31" s="28" t="s">
        <v>136</v>
      </c>
      <c r="C31" s="427">
        <v>16.3</v>
      </c>
      <c r="D31" s="259">
        <v>16.3</v>
      </c>
      <c r="E31" s="259">
        <v>17</v>
      </c>
      <c r="F31" s="260">
        <v>16.7</v>
      </c>
      <c r="G31" s="259">
        <v>16.600000000000001</v>
      </c>
      <c r="H31" s="259">
        <v>18.2</v>
      </c>
      <c r="I31" s="259">
        <v>16.899999999999999</v>
      </c>
      <c r="J31" s="260">
        <v>11</v>
      </c>
      <c r="K31" s="427">
        <v>8.5</v>
      </c>
      <c r="L31" s="259">
        <v>7.1</v>
      </c>
      <c r="M31" s="259">
        <v>7.8</v>
      </c>
      <c r="N31" s="260">
        <v>13.1</v>
      </c>
      <c r="O31" s="427">
        <v>14.7</v>
      </c>
      <c r="P31" s="259">
        <v>14.3</v>
      </c>
      <c r="Q31" s="259">
        <v>13.3</v>
      </c>
      <c r="R31" s="260">
        <v>14.2</v>
      </c>
      <c r="S31" s="427">
        <v>14.4</v>
      </c>
      <c r="T31" s="259">
        <v>14.7</v>
      </c>
      <c r="U31" s="259">
        <v>14.7</v>
      </c>
      <c r="V31" s="260">
        <v>14.7</v>
      </c>
      <c r="W31" s="427">
        <v>15.1</v>
      </c>
      <c r="X31" s="259">
        <v>13.5</v>
      </c>
      <c r="Y31" s="259">
        <v>12.7</v>
      </c>
      <c r="Z31" s="31">
        <v>11.7</v>
      </c>
      <c r="AA31" s="427">
        <v>10.9</v>
      </c>
      <c r="AB31" s="259">
        <v>11.2</v>
      </c>
      <c r="AC31" s="259">
        <v>11.2</v>
      </c>
      <c r="AD31" s="260">
        <v>11.6</v>
      </c>
      <c r="AE31" s="30">
        <v>11.3</v>
      </c>
      <c r="AF31" s="30">
        <v>11.9</v>
      </c>
      <c r="AG31" s="30">
        <v>11.8</v>
      </c>
      <c r="AH31" s="259">
        <v>11.1</v>
      </c>
      <c r="AI31" s="427">
        <v>10.8</v>
      </c>
      <c r="AJ31" s="259">
        <v>11.2</v>
      </c>
      <c r="AK31" s="259">
        <v>11.4</v>
      </c>
      <c r="AL31" s="260">
        <v>11</v>
      </c>
      <c r="AM31" s="427">
        <v>10.9</v>
      </c>
      <c r="AN31" s="259">
        <v>11.4</v>
      </c>
      <c r="AO31" s="259">
        <v>11.3</v>
      </c>
      <c r="AP31" s="260">
        <v>11.7</v>
      </c>
      <c r="AQ31" s="427">
        <v>12</v>
      </c>
      <c r="AR31" s="259">
        <v>11.5</v>
      </c>
      <c r="AS31" s="259">
        <v>11.8</v>
      </c>
      <c r="AT31" s="260">
        <v>12.6</v>
      </c>
      <c r="AU31" s="427">
        <v>12.4</v>
      </c>
      <c r="AV31" s="30">
        <v>12.3</v>
      </c>
      <c r="AW31" s="30">
        <v>12.1</v>
      </c>
      <c r="AX31" s="30">
        <v>12.5</v>
      </c>
    </row>
    <row r="32" spans="1:50" s="270" customFormat="1" ht="11.25">
      <c r="A32" s="428" t="s">
        <v>305</v>
      </c>
      <c r="B32" s="428" t="s">
        <v>137</v>
      </c>
      <c r="C32" s="429">
        <f>+C7/C6*100</f>
        <v>62.333086053412458</v>
      </c>
      <c r="D32" s="430">
        <f t="shared" ref="D32:AB32" si="0">ROUND(D7/D6*100,1)</f>
        <v>66.099999999999994</v>
      </c>
      <c r="E32" s="430">
        <f t="shared" si="0"/>
        <v>65.8</v>
      </c>
      <c r="F32" s="431">
        <f t="shared" si="0"/>
        <v>75</v>
      </c>
      <c r="G32" s="430">
        <f t="shared" si="0"/>
        <v>63.1</v>
      </c>
      <c r="H32" s="430">
        <f t="shared" si="0"/>
        <v>62.3</v>
      </c>
      <c r="I32" s="430">
        <f t="shared" si="0"/>
        <v>65.7</v>
      </c>
      <c r="J32" s="431">
        <f t="shared" si="0"/>
        <v>111.4</v>
      </c>
      <c r="K32" s="429">
        <f t="shared" si="0"/>
        <v>65.3</v>
      </c>
      <c r="L32" s="430">
        <f t="shared" si="0"/>
        <v>56.1</v>
      </c>
      <c r="M32" s="430">
        <f t="shared" si="0"/>
        <v>56.1</v>
      </c>
      <c r="N32" s="431">
        <f t="shared" si="0"/>
        <v>60.2</v>
      </c>
      <c r="O32" s="429">
        <f t="shared" si="0"/>
        <v>59.6</v>
      </c>
      <c r="P32" s="430">
        <f t="shared" si="0"/>
        <v>59.6</v>
      </c>
      <c r="Q32" s="430">
        <f t="shared" si="0"/>
        <v>58.5</v>
      </c>
      <c r="R32" s="431">
        <f t="shared" si="0"/>
        <v>56.7</v>
      </c>
      <c r="S32" s="429">
        <f t="shared" si="0"/>
        <v>56.3</v>
      </c>
      <c r="T32" s="430">
        <f t="shared" si="0"/>
        <v>56.9</v>
      </c>
      <c r="U32" s="430">
        <f t="shared" si="0"/>
        <v>58.7</v>
      </c>
      <c r="V32" s="431">
        <f t="shared" si="0"/>
        <v>55.7</v>
      </c>
      <c r="W32" s="429">
        <f t="shared" si="0"/>
        <v>55.4</v>
      </c>
      <c r="X32" s="430">
        <f t="shared" si="0"/>
        <v>57.9</v>
      </c>
      <c r="Y32" s="430">
        <f t="shared" si="0"/>
        <v>58.2</v>
      </c>
      <c r="Z32" s="431">
        <f t="shared" si="0"/>
        <v>58.7</v>
      </c>
      <c r="AA32" s="429">
        <f t="shared" si="0"/>
        <v>55.8</v>
      </c>
      <c r="AB32" s="430">
        <f t="shared" si="0"/>
        <v>58.6</v>
      </c>
      <c r="AC32" s="430">
        <f t="shared" ref="AC32:AI32" si="1">ROUND(AC7/AC6*100,1)</f>
        <v>56.6</v>
      </c>
      <c r="AD32" s="431">
        <f t="shared" si="1"/>
        <v>53.7</v>
      </c>
      <c r="AE32" s="30">
        <f t="shared" si="1"/>
        <v>53.3</v>
      </c>
      <c r="AF32" s="30">
        <f t="shared" si="1"/>
        <v>53.5</v>
      </c>
      <c r="AG32" s="30">
        <f t="shared" si="1"/>
        <v>54.6</v>
      </c>
      <c r="AH32" s="30">
        <f>ROUND(AH7/AH6*100,1)</f>
        <v>56.4</v>
      </c>
      <c r="AI32" s="429">
        <f t="shared" si="1"/>
        <v>54.7</v>
      </c>
      <c r="AJ32" s="430">
        <f t="shared" ref="AJ32:AS32" si="2">ROUND(AJ7/AJ6*100,1)</f>
        <v>51.2</v>
      </c>
      <c r="AK32" s="430">
        <f t="shared" si="2"/>
        <v>54.4</v>
      </c>
      <c r="AL32" s="431">
        <f t="shared" si="2"/>
        <v>68</v>
      </c>
      <c r="AM32" s="429">
        <f t="shared" si="2"/>
        <v>52.2</v>
      </c>
      <c r="AN32" s="259">
        <f t="shared" si="2"/>
        <v>44.9</v>
      </c>
      <c r="AO32" s="259">
        <f t="shared" si="2"/>
        <v>48</v>
      </c>
      <c r="AP32" s="31">
        <f t="shared" si="2"/>
        <v>49.7</v>
      </c>
      <c r="AQ32" s="429">
        <f>ROUND(AQ7/AQ6*100,1)</f>
        <v>49.8</v>
      </c>
      <c r="AR32" s="430">
        <f>ROUND(AR7/AR6*100,1)</f>
        <v>43</v>
      </c>
      <c r="AS32" s="430">
        <f t="shared" si="2"/>
        <v>43.6</v>
      </c>
      <c r="AT32" s="431">
        <f>ROUND(AT7/AT6*100,1)</f>
        <v>43.1</v>
      </c>
      <c r="AU32" s="29">
        <f>ROUND(AU7/AU6*100,1)</f>
        <v>50</v>
      </c>
      <c r="AV32" s="430">
        <f>ROUND(AV7/AV6*100,1)</f>
        <v>42.4</v>
      </c>
      <c r="AW32" s="430">
        <f>ROUND(AW7/AW6*100,1)</f>
        <v>44.2</v>
      </c>
      <c r="AX32" s="430">
        <f>ROUND(AX7/AX6*100,1)</f>
        <v>41.7</v>
      </c>
    </row>
    <row r="33" spans="1:50" s="270" customFormat="1" ht="11.25">
      <c r="A33" s="428" t="s">
        <v>391</v>
      </c>
      <c r="B33" s="428" t="s">
        <v>336</v>
      </c>
      <c r="C33" s="429">
        <f>+C7/C6*100</f>
        <v>62.333086053412458</v>
      </c>
      <c r="D33" s="430">
        <f>(+C7+D7)/(C6+D6)*100</f>
        <v>64.16996419822874</v>
      </c>
      <c r="E33" s="430">
        <f>(+C7+D7+E7)/(C6+D6+E6)*100</f>
        <v>64.725322691276418</v>
      </c>
      <c r="F33" s="431">
        <f>(+C7+D7+E7+F7)/(C6+D6+E6+F6)*100</f>
        <v>67.075930473301554</v>
      </c>
      <c r="G33" s="430">
        <f>+G7/G6*100</f>
        <v>63.102797322807604</v>
      </c>
      <c r="H33" s="430">
        <f>(+G7+H7)/(G6+H6)*100</f>
        <v>62.694472029129415</v>
      </c>
      <c r="I33" s="430">
        <f>(+G7+H7+I7)/(G6+H6+I6)*100</f>
        <v>63.726348025812086</v>
      </c>
      <c r="J33" s="430">
        <f>(+G7+H7+I7+J7)/(G6+H6+I6+J6)*100</f>
        <v>70.52286049237982</v>
      </c>
      <c r="K33" s="429">
        <f>+K7/K6*100</f>
        <v>65.336658354114718</v>
      </c>
      <c r="L33" s="430">
        <f>(+K7+L7)/(K6+L6)*100</f>
        <v>60.24790083966414</v>
      </c>
      <c r="M33" s="430">
        <f>(+K7+L7+M7)/(K6+L6+M6)*100</f>
        <v>58.742151207310222</v>
      </c>
      <c r="N33" s="431">
        <f>(+K7+L7+M7+N7)/(K6+L6+M6+N6)*100</f>
        <v>59.087342070156154</v>
      </c>
      <c r="O33" s="429">
        <f>+O7/O6*100</f>
        <v>59.577039274924481</v>
      </c>
      <c r="P33" s="430">
        <f>(+O7+P7)/(O6+P6)*100</f>
        <v>59.613239122350315</v>
      </c>
      <c r="Q33" s="430">
        <f>(+O7+P7+Q7)/(O6+P6+Q6)*100</f>
        <v>59.216049985355859</v>
      </c>
      <c r="R33" s="430">
        <f>(+O7+P7+Q7+R7)/(O6+P6+Q6+R6)*100</f>
        <v>58.586924868957489</v>
      </c>
      <c r="S33" s="429">
        <f>+S7/S6*100</f>
        <v>56.283710895361374</v>
      </c>
      <c r="T33" s="430">
        <f>(+S7+T7)/(S6+T6)*100</f>
        <v>56.571847311971226</v>
      </c>
      <c r="U33" s="430">
        <f>(+S7+T7+U7)/(S6+T6+U6)*100</f>
        <v>57.261058186859884</v>
      </c>
      <c r="V33" s="431">
        <f>(+S7+T7+U7+V7)/(S6+T6+U6+V6)*100</f>
        <v>56.856187290969906</v>
      </c>
      <c r="W33" s="429">
        <f>+W7/W6*100</f>
        <v>55.427170868347339</v>
      </c>
      <c r="X33" s="430">
        <f>(+W7+X7)/(W6+X6)*100</f>
        <v>56.610251159429012</v>
      </c>
      <c r="Y33" s="430">
        <f>(+X7+Y7+W7)/(X6+Y6+W6)*100</f>
        <v>57.116743845966369</v>
      </c>
      <c r="Z33" s="431">
        <f>(+Y7+W7+X7+Z7)/(Y6+W6+X6+Z6)*100</f>
        <v>57.50824319743613</v>
      </c>
      <c r="AA33" s="429">
        <f>(+AA7/AA6)*100</f>
        <v>55.797269150659567</v>
      </c>
      <c r="AB33" s="430">
        <f>(+AA7+AB7)/(AA6+AB6)*100</f>
        <v>57.153071560507676</v>
      </c>
      <c r="AC33" s="430">
        <f>(+AA7+AC7+AB7)/(AA6+AC6+AB6)*100</f>
        <v>56.961516831364989</v>
      </c>
      <c r="AD33" s="431">
        <f>(+AA7+AD7+AC7+AB7)/(AA6+AD6+AC6+AB6)*100</f>
        <v>56.133393420459669</v>
      </c>
      <c r="AE33" s="429">
        <f>(+AE7/AE6)*100</f>
        <v>53.315229689975119</v>
      </c>
      <c r="AF33" s="430">
        <f>(+AE7+AF7)/(AE6+AF6)*100</f>
        <v>53.421274207128825</v>
      </c>
      <c r="AG33" s="430">
        <f>(+AE7+AG7+AF7)/(AE6+AG6+AF6)*100</f>
        <v>53.800209048827831</v>
      </c>
      <c r="AH33" s="430">
        <f>(+AE7+AH7+AF7+AG7)/(AE6+AH6+AF6+AG6)*100</f>
        <v>54.437485894831859</v>
      </c>
      <c r="AI33" s="429">
        <f>(+AI7)/(AI6)*100</f>
        <v>54.701986754966889</v>
      </c>
      <c r="AJ33" s="430">
        <f>(+AI7+AJ7)/(AI6+AJ6)*100</f>
        <v>52.871675320546785</v>
      </c>
      <c r="AK33" s="430">
        <f>(+AI7+AK7+AJ7)/(AI6+AK6+AJ6)*100</f>
        <v>53.37935917861568</v>
      </c>
      <c r="AL33" s="431">
        <f>(+AJ7+AL7+AK7+AI7)/(AJ6+AL6+AK6+AI6)*100</f>
        <v>57.057780365792318</v>
      </c>
      <c r="AM33" s="429">
        <f>ROUND(AM7/AM6*100,1)</f>
        <v>52.2</v>
      </c>
      <c r="AN33" s="432">
        <f>(+AM7+AN7)/(AM6+AN6)*100</f>
        <v>48.214285714285715</v>
      </c>
      <c r="AO33" s="432">
        <f>(+AN7+AO7+AM7)/(AN6+AO6+AM6)*100</f>
        <v>48.13427010148321</v>
      </c>
      <c r="AP33" s="431">
        <f>(+AN7+AP7+AM7+AO7)/(AN6+AP6+AM6+AO6)*100</f>
        <v>48.542027980113303</v>
      </c>
      <c r="AQ33" s="429">
        <f>(+AQ7)/(AQ6)*100</f>
        <v>49.81943098740421</v>
      </c>
      <c r="AR33" s="430">
        <f>(+AQ7+AR7)/(AQ6+AR6)*100</f>
        <v>46.314839486011437</v>
      </c>
      <c r="AS33" s="430">
        <f>(+AQ7+AS7+AR7)/(AQ6+AS6+AR6)*100</f>
        <v>45.380879778643632</v>
      </c>
      <c r="AT33" s="431">
        <f>(+AR7+AT7+AQ7+AS7)/(AR6+AT6+AQ6+AS6)*100</f>
        <v>44.784131177790357</v>
      </c>
      <c r="AU33" s="429">
        <f>(+AU7)/(AU6)*100</f>
        <v>49.988065876362491</v>
      </c>
      <c r="AV33" s="430">
        <f>(+AU7+AV7)/(AU6+AV6)*100</f>
        <v>46.094815161076703</v>
      </c>
      <c r="AW33" s="430">
        <f>(+AU7+AW7+AV7)/(AU6+AW6+AV6)*100</f>
        <v>45.455719080815904</v>
      </c>
      <c r="AX33" s="430">
        <f>(+AV7+AX7+AW7)/(AV6+AX6+AW6)*100</f>
        <v>42.724185637026778</v>
      </c>
    </row>
    <row r="34" spans="1:50" s="270" customFormat="1" ht="12">
      <c r="A34" s="428" t="s">
        <v>796</v>
      </c>
      <c r="B34" s="428" t="s">
        <v>778</v>
      </c>
      <c r="C34" s="433" t="s">
        <v>337</v>
      </c>
      <c r="D34" s="434" t="s">
        <v>337</v>
      </c>
      <c r="E34" s="434" t="s">
        <v>337</v>
      </c>
      <c r="F34" s="435" t="s">
        <v>337</v>
      </c>
      <c r="G34" s="437">
        <v>2.04</v>
      </c>
      <c r="H34" s="437">
        <v>2.14</v>
      </c>
      <c r="I34" s="437">
        <v>2.15</v>
      </c>
      <c r="J34" s="436">
        <v>2.14</v>
      </c>
      <c r="K34" s="433">
        <v>2.08</v>
      </c>
      <c r="L34" s="434">
        <v>2.11</v>
      </c>
      <c r="M34" s="434">
        <v>2.1800000000000002</v>
      </c>
      <c r="N34" s="435">
        <v>2.25</v>
      </c>
      <c r="O34" s="438">
        <v>2.4500000000000002</v>
      </c>
      <c r="P34" s="437">
        <v>2.58</v>
      </c>
      <c r="Q34" s="437">
        <v>2.66</v>
      </c>
      <c r="R34" s="436">
        <v>2.78</v>
      </c>
      <c r="S34" s="433">
        <v>2.79</v>
      </c>
      <c r="T34" s="434">
        <v>2.83</v>
      </c>
      <c r="U34" s="434">
        <v>2.84</v>
      </c>
      <c r="V34" s="435">
        <v>2.87</v>
      </c>
      <c r="W34" s="438">
        <v>2.89</v>
      </c>
      <c r="X34" s="437">
        <v>2.94</v>
      </c>
      <c r="Y34" s="437">
        <v>2.95</v>
      </c>
      <c r="Z34" s="436">
        <v>2.94</v>
      </c>
      <c r="AA34" s="433">
        <v>2.87</v>
      </c>
      <c r="AB34" s="434">
        <v>2.76</v>
      </c>
      <c r="AC34" s="434">
        <v>2.69</v>
      </c>
      <c r="AD34" s="435">
        <v>2.68</v>
      </c>
      <c r="AE34" s="437">
        <v>2.73</v>
      </c>
      <c r="AF34" s="437">
        <v>2.73</v>
      </c>
      <c r="AG34" s="437">
        <v>2.72</v>
      </c>
      <c r="AH34" s="437">
        <v>2.67</v>
      </c>
      <c r="AI34" s="433">
        <v>2.56</v>
      </c>
      <c r="AJ34" s="434">
        <v>2.4700000000000002</v>
      </c>
      <c r="AK34" s="434">
        <v>2.4300000000000002</v>
      </c>
      <c r="AL34" s="435">
        <v>2.4500000000000002</v>
      </c>
      <c r="AM34" s="438">
        <v>2.48</v>
      </c>
      <c r="AN34" s="437">
        <v>2.5</v>
      </c>
      <c r="AO34" s="437">
        <v>2.57</v>
      </c>
      <c r="AP34" s="436">
        <v>2.67</v>
      </c>
      <c r="AQ34" s="433">
        <v>2.73</v>
      </c>
      <c r="AR34" s="434">
        <v>2.8</v>
      </c>
      <c r="AS34" s="434">
        <v>2.85</v>
      </c>
      <c r="AT34" s="435">
        <v>2.88</v>
      </c>
      <c r="AU34" s="438">
        <v>2.91</v>
      </c>
      <c r="AV34" s="437">
        <v>2.93</v>
      </c>
      <c r="AW34" s="437">
        <v>2.94</v>
      </c>
      <c r="AX34" s="437">
        <v>2.93</v>
      </c>
    </row>
    <row r="35" spans="1:50" s="19" customFormat="1" ht="11.25">
      <c r="A35" s="353"/>
      <c r="B35" s="353"/>
      <c r="C35" s="128"/>
      <c r="D35" s="61"/>
      <c r="E35" s="61"/>
      <c r="F35" s="272"/>
      <c r="G35" s="61"/>
      <c r="H35" s="61"/>
      <c r="I35" s="61"/>
      <c r="J35" s="272"/>
      <c r="K35" s="128"/>
      <c r="L35" s="61"/>
      <c r="M35" s="61"/>
      <c r="N35" s="272"/>
      <c r="O35" s="128"/>
      <c r="P35" s="61"/>
      <c r="Q35" s="61"/>
      <c r="R35" s="272"/>
      <c r="S35" s="128"/>
      <c r="T35" s="61"/>
      <c r="U35" s="61"/>
      <c r="V35" s="272"/>
      <c r="W35" s="128"/>
      <c r="X35" s="61"/>
      <c r="Y35" s="61"/>
      <c r="Z35" s="272"/>
      <c r="AA35" s="128"/>
      <c r="AB35" s="61"/>
      <c r="AC35" s="61"/>
      <c r="AD35" s="272"/>
      <c r="AE35" s="61"/>
      <c r="AF35" s="61"/>
      <c r="AG35" s="61"/>
      <c r="AH35" s="61"/>
      <c r="AI35" s="128"/>
      <c r="AJ35" s="61"/>
      <c r="AK35" s="61"/>
      <c r="AL35" s="272"/>
      <c r="AM35" s="128"/>
      <c r="AN35" s="61"/>
      <c r="AO35" s="61"/>
      <c r="AP35" s="272"/>
      <c r="AQ35" s="128"/>
      <c r="AR35" s="61"/>
      <c r="AS35" s="61"/>
      <c r="AT35" s="272"/>
      <c r="AU35" s="128"/>
      <c r="AV35" s="61"/>
      <c r="AW35" s="61"/>
      <c r="AX35" s="61"/>
    </row>
    <row r="36" spans="1:50" s="19" customFormat="1" ht="11.25">
      <c r="A36" s="50" t="s">
        <v>315</v>
      </c>
      <c r="B36" s="50" t="s">
        <v>143</v>
      </c>
      <c r="C36" s="128"/>
      <c r="D36" s="61"/>
      <c r="E36" s="61"/>
      <c r="F36" s="272"/>
      <c r="G36" s="61"/>
      <c r="H36" s="61"/>
      <c r="I36" s="61"/>
      <c r="J36" s="272"/>
      <c r="K36" s="128"/>
      <c r="L36" s="61"/>
      <c r="M36" s="61"/>
      <c r="N36" s="272"/>
      <c r="O36" s="128"/>
      <c r="P36" s="61"/>
      <c r="Q36" s="61"/>
      <c r="R36" s="272"/>
      <c r="S36" s="128"/>
      <c r="T36" s="61"/>
      <c r="U36" s="61"/>
      <c r="V36" s="272"/>
      <c r="W36" s="128"/>
      <c r="X36" s="61"/>
      <c r="Y36" s="61"/>
      <c r="Z36" s="272"/>
      <c r="AA36" s="128"/>
      <c r="AB36" s="61"/>
      <c r="AC36" s="61"/>
      <c r="AD36" s="272"/>
      <c r="AE36" s="61"/>
      <c r="AF36" s="61"/>
      <c r="AG36" s="61"/>
      <c r="AH36" s="61"/>
      <c r="AI36" s="128"/>
      <c r="AJ36" s="61"/>
      <c r="AK36" s="61"/>
      <c r="AL36" s="272"/>
      <c r="AM36" s="128"/>
      <c r="AN36" s="61"/>
      <c r="AO36" s="61"/>
      <c r="AP36" s="272"/>
      <c r="AQ36" s="128"/>
      <c r="AR36" s="61"/>
      <c r="AS36" s="61"/>
      <c r="AT36" s="272"/>
      <c r="AU36" s="128"/>
      <c r="AV36" s="61"/>
      <c r="AW36" s="61"/>
      <c r="AX36" s="61"/>
    </row>
    <row r="37" spans="1:50" s="19" customFormat="1" ht="12">
      <c r="A37" s="428" t="s">
        <v>797</v>
      </c>
      <c r="B37" s="428" t="s">
        <v>779</v>
      </c>
      <c r="C37" s="128">
        <v>130100000</v>
      </c>
      <c r="D37" s="61">
        <v>130100000</v>
      </c>
      <c r="E37" s="61">
        <v>130100000</v>
      </c>
      <c r="F37" s="272">
        <v>130100000</v>
      </c>
      <c r="G37" s="61">
        <v>130100000</v>
      </c>
      <c r="H37" s="61">
        <v>130100000</v>
      </c>
      <c r="I37" s="61">
        <v>130100000</v>
      </c>
      <c r="J37" s="61">
        <v>130100000</v>
      </c>
      <c r="K37" s="128">
        <v>130100000</v>
      </c>
      <c r="L37" s="61">
        <v>130100000</v>
      </c>
      <c r="M37" s="61">
        <v>130100000</v>
      </c>
      <c r="N37" s="272">
        <v>130100000</v>
      </c>
      <c r="O37" s="61">
        <v>130100000</v>
      </c>
      <c r="P37" s="61">
        <v>130100000</v>
      </c>
      <c r="Q37" s="61">
        <v>130100000</v>
      </c>
      <c r="R37" s="61">
        <v>130100000</v>
      </c>
      <c r="S37" s="128">
        <v>130100000</v>
      </c>
      <c r="T37" s="61">
        <v>130100000</v>
      </c>
      <c r="U37" s="61">
        <v>130100000</v>
      </c>
      <c r="V37" s="272">
        <v>130100000</v>
      </c>
      <c r="W37" s="128">
        <v>130100000</v>
      </c>
      <c r="X37" s="61">
        <v>130100000</v>
      </c>
      <c r="Y37" s="61">
        <v>130100000</v>
      </c>
      <c r="Z37" s="272">
        <v>130100000</v>
      </c>
      <c r="AA37" s="128">
        <v>130100000</v>
      </c>
      <c r="AB37" s="61">
        <v>130100000</v>
      </c>
      <c r="AC37" s="61">
        <v>130100000</v>
      </c>
      <c r="AD37" s="272">
        <v>130100000</v>
      </c>
      <c r="AE37" s="61">
        <v>130100000</v>
      </c>
      <c r="AF37" s="61">
        <v>130100000</v>
      </c>
      <c r="AG37" s="61">
        <v>130100000</v>
      </c>
      <c r="AH37" s="61">
        <v>130100000</v>
      </c>
      <c r="AI37" s="128">
        <v>130100000</v>
      </c>
      <c r="AJ37" s="61">
        <v>130100000</v>
      </c>
      <c r="AK37" s="61">
        <v>130100000</v>
      </c>
      <c r="AL37" s="272">
        <v>130100000</v>
      </c>
      <c r="AM37" s="128">
        <v>130100000</v>
      </c>
      <c r="AN37" s="61">
        <v>130100000</v>
      </c>
      <c r="AO37" s="61">
        <v>130100000</v>
      </c>
      <c r="AP37" s="272">
        <v>130100000</v>
      </c>
      <c r="AQ37" s="128">
        <v>130100000</v>
      </c>
      <c r="AR37" s="61">
        <v>130100000</v>
      </c>
      <c r="AS37" s="61">
        <v>130100000</v>
      </c>
      <c r="AT37" s="272">
        <v>130100000</v>
      </c>
      <c r="AU37" s="128">
        <v>130100000</v>
      </c>
      <c r="AV37" s="61">
        <v>130100000</v>
      </c>
      <c r="AW37" s="61">
        <v>130100000</v>
      </c>
      <c r="AX37" s="61">
        <v>130100000</v>
      </c>
    </row>
    <row r="38" spans="1:50" s="19" customFormat="1" ht="11.25">
      <c r="A38" s="28" t="s">
        <v>314</v>
      </c>
      <c r="B38" s="28" t="s">
        <v>146</v>
      </c>
      <c r="C38" s="29">
        <v>3902.2999999999993</v>
      </c>
      <c r="D38" s="30">
        <v>3622</v>
      </c>
      <c r="E38" s="30">
        <v>3820.3999999999996</v>
      </c>
      <c r="F38" s="31">
        <v>3838.7999999999997</v>
      </c>
      <c r="G38" s="30">
        <v>4013.7</v>
      </c>
      <c r="H38" s="30">
        <v>3977.5999999999995</v>
      </c>
      <c r="I38" s="30">
        <v>4277.8999999999996</v>
      </c>
      <c r="J38" s="31">
        <v>4222.2</v>
      </c>
      <c r="K38" s="29">
        <v>4280.8999999999996</v>
      </c>
      <c r="L38" s="30">
        <v>4514.6000000000004</v>
      </c>
      <c r="M38" s="30">
        <v>4742.1000000000004</v>
      </c>
      <c r="N38" s="31">
        <v>4884.3999999999996</v>
      </c>
      <c r="O38" s="29">
        <v>5131.7</v>
      </c>
      <c r="P38" s="30">
        <v>5280.2</v>
      </c>
      <c r="Q38" s="30">
        <v>5529.5</v>
      </c>
      <c r="R38" s="30">
        <v>5650.7999999999993</v>
      </c>
      <c r="S38" s="29">
        <v>5782</v>
      </c>
      <c r="T38" s="30">
        <v>5951.5</v>
      </c>
      <c r="U38" s="30">
        <v>6194.5999999999995</v>
      </c>
      <c r="V38" s="31">
        <v>6413.7</v>
      </c>
      <c r="W38" s="29">
        <v>6751.1</v>
      </c>
      <c r="X38" s="30">
        <v>6978.8</v>
      </c>
      <c r="Y38" s="30">
        <f t="shared" ref="Y38:AG38" si="3">Y19</f>
        <v>7424.9</v>
      </c>
      <c r="Z38" s="31">
        <f t="shared" si="3"/>
        <v>8133.7999999999993</v>
      </c>
      <c r="AA38" s="29">
        <f t="shared" si="3"/>
        <v>8236.5</v>
      </c>
      <c r="AB38" s="30">
        <f t="shared" si="3"/>
        <v>8131.2</v>
      </c>
      <c r="AC38" s="30">
        <f t="shared" si="3"/>
        <v>8269.2000000000007</v>
      </c>
      <c r="AD38" s="31">
        <f>AD19</f>
        <v>8626.2999999999993</v>
      </c>
      <c r="AE38" s="30">
        <f>AE19</f>
        <v>8885.5999999999985</v>
      </c>
      <c r="AF38" s="30">
        <f>AF19</f>
        <v>9158.6999999999989</v>
      </c>
      <c r="AG38" s="30">
        <f t="shared" si="3"/>
        <v>9931.5999999999985</v>
      </c>
      <c r="AH38" s="30">
        <f t="shared" ref="AH38:AS38" si="4">AH19</f>
        <v>10454</v>
      </c>
      <c r="AI38" s="29">
        <f t="shared" si="4"/>
        <v>10229.5</v>
      </c>
      <c r="AJ38" s="30">
        <f t="shared" si="4"/>
        <v>9556.1</v>
      </c>
      <c r="AK38" s="30">
        <f t="shared" si="4"/>
        <v>10301.799999999999</v>
      </c>
      <c r="AL38" s="31">
        <f t="shared" si="4"/>
        <v>10677.899999999998</v>
      </c>
      <c r="AM38" s="29">
        <f t="shared" si="4"/>
        <v>10667.7</v>
      </c>
      <c r="AN38" s="30">
        <f t="shared" si="4"/>
        <v>10810.099999999999</v>
      </c>
      <c r="AO38" s="30">
        <f t="shared" si="4"/>
        <v>10976.7</v>
      </c>
      <c r="AP38" s="31">
        <f>AP19</f>
        <v>10474.9</v>
      </c>
      <c r="AQ38" s="29">
        <f>AQ19</f>
        <v>10787.3</v>
      </c>
      <c r="AR38" s="30">
        <f>AR19</f>
        <v>11154.1</v>
      </c>
      <c r="AS38" s="30">
        <f t="shared" si="4"/>
        <v>11486.199999999997</v>
      </c>
      <c r="AT38" s="31">
        <f>AT19</f>
        <v>11794.800000000001</v>
      </c>
      <c r="AU38" s="29">
        <f>AU19</f>
        <v>12058.9</v>
      </c>
      <c r="AV38" s="30">
        <f>AV19</f>
        <v>11889.499999999998</v>
      </c>
      <c r="AW38" s="30">
        <f>AW19</f>
        <v>12161.900000000001</v>
      </c>
      <c r="AX38" s="30">
        <f>AX19</f>
        <v>13336.300000000001</v>
      </c>
    </row>
    <row r="39" spans="1:50" s="19" customFormat="1" ht="11.25">
      <c r="A39" s="28" t="s">
        <v>317</v>
      </c>
      <c r="B39" s="28" t="s">
        <v>150</v>
      </c>
      <c r="C39" s="438">
        <f t="shared" ref="C39:X39" si="5">+C38/C37*1000000</f>
        <v>29.9946195234435</v>
      </c>
      <c r="D39" s="437">
        <f t="shared" si="5"/>
        <v>27.84012298232129</v>
      </c>
      <c r="E39" s="437">
        <f t="shared" si="5"/>
        <v>29.365103766333586</v>
      </c>
      <c r="F39" s="436">
        <f t="shared" si="5"/>
        <v>29.5065334358186</v>
      </c>
      <c r="G39" s="437">
        <f t="shared" si="5"/>
        <v>30.850883935434279</v>
      </c>
      <c r="H39" s="437">
        <f t="shared" si="5"/>
        <v>30.573405073020748</v>
      </c>
      <c r="I39" s="437">
        <f t="shared" si="5"/>
        <v>32.881629515757105</v>
      </c>
      <c r="J39" s="437">
        <f t="shared" si="5"/>
        <v>32.453497309761723</v>
      </c>
      <c r="K39" s="438">
        <f t="shared" si="5"/>
        <v>32.904688700999223</v>
      </c>
      <c r="L39" s="437">
        <f t="shared" si="5"/>
        <v>34.700999231360491</v>
      </c>
      <c r="M39" s="437">
        <f t="shared" si="5"/>
        <v>36.449654112221374</v>
      </c>
      <c r="N39" s="436">
        <f t="shared" si="5"/>
        <v>37.543428132205996</v>
      </c>
      <c r="O39" s="438">
        <f t="shared" si="5"/>
        <v>39.444273635664871</v>
      </c>
      <c r="P39" s="437">
        <f t="shared" si="5"/>
        <v>40.585703305149885</v>
      </c>
      <c r="Q39" s="437">
        <f t="shared" si="5"/>
        <v>42.501921598770174</v>
      </c>
      <c r="R39" s="437">
        <f t="shared" si="5"/>
        <v>43.434281322059952</v>
      </c>
      <c r="S39" s="438">
        <f t="shared" si="5"/>
        <v>44.44273635664873</v>
      </c>
      <c r="T39" s="437">
        <f t="shared" si="5"/>
        <v>45.745580322828594</v>
      </c>
      <c r="U39" s="437">
        <f t="shared" si="5"/>
        <v>47.614142966948499</v>
      </c>
      <c r="V39" s="436">
        <f t="shared" si="5"/>
        <v>49.298232129131435</v>
      </c>
      <c r="W39" s="438">
        <f t="shared" si="5"/>
        <v>51.89162182936203</v>
      </c>
      <c r="X39" s="437">
        <f t="shared" si="5"/>
        <v>53.641813989239047</v>
      </c>
      <c r="Y39" s="437">
        <f t="shared" ref="Y39:AG39" si="6">+Y38/Y37*1000000</f>
        <v>57.070714834742503</v>
      </c>
      <c r="Z39" s="436">
        <f t="shared" si="6"/>
        <v>62.519600307455789</v>
      </c>
      <c r="AA39" s="438">
        <f t="shared" si="6"/>
        <v>63.308993082244434</v>
      </c>
      <c r="AB39" s="437">
        <f t="shared" si="6"/>
        <v>62.499615680245959</v>
      </c>
      <c r="AC39" s="437">
        <f t="shared" si="6"/>
        <v>63.560338201383558</v>
      </c>
      <c r="AD39" s="436">
        <f>+AD38/AD37*1000000</f>
        <v>66.305149884704065</v>
      </c>
      <c r="AE39" s="437">
        <f>+AE38/AE37*1000000</f>
        <v>68.298232129131435</v>
      </c>
      <c r="AF39" s="437">
        <f>+AF38/AF37*1000000</f>
        <v>70.397386625672553</v>
      </c>
      <c r="AG39" s="437">
        <f t="shared" si="6"/>
        <v>76.338201383551095</v>
      </c>
      <c r="AH39" s="437">
        <f t="shared" ref="AH39:AS39" si="7">+AH38/AH37*1000000</f>
        <v>80.353574173712531</v>
      </c>
      <c r="AI39" s="438">
        <f t="shared" si="7"/>
        <v>78.62797847809378</v>
      </c>
      <c r="AJ39" s="437">
        <f t="shared" si="7"/>
        <v>73.451960030745582</v>
      </c>
      <c r="AK39" s="437">
        <f t="shared" si="7"/>
        <v>79.183704842428895</v>
      </c>
      <c r="AL39" s="436">
        <f t="shared" si="7"/>
        <v>82.074558032282852</v>
      </c>
      <c r="AM39" s="438">
        <f t="shared" si="7"/>
        <v>81.996156802459652</v>
      </c>
      <c r="AN39" s="437">
        <f t="shared" si="7"/>
        <v>83.09069946195234</v>
      </c>
      <c r="AO39" s="437">
        <f t="shared" si="7"/>
        <v>84.371252882398167</v>
      </c>
      <c r="AP39" s="436">
        <f>+AP38/AP37*1000000</f>
        <v>80.514219830899307</v>
      </c>
      <c r="AQ39" s="438">
        <f>+AQ38/AQ37*1000000</f>
        <v>82.915449654112223</v>
      </c>
      <c r="AR39" s="437">
        <f>+AR38/AR37*1000000</f>
        <v>85.734819369715609</v>
      </c>
      <c r="AS39" s="437">
        <f t="shared" si="7"/>
        <v>88.287471176018428</v>
      </c>
      <c r="AT39" s="436">
        <f>+AT38/AT37*1000000</f>
        <v>90.659492697924676</v>
      </c>
      <c r="AU39" s="438">
        <f>+AU38/AU37*1000000</f>
        <v>92.689469638739425</v>
      </c>
      <c r="AV39" s="437">
        <f>+AV38/AV37*1000000</f>
        <v>91.387394312067627</v>
      </c>
      <c r="AW39" s="437">
        <f>+AW38/AW37*1000000</f>
        <v>93.481168332052292</v>
      </c>
      <c r="AX39" s="437">
        <f>+AX38/AX37*1000000</f>
        <v>102.50807071483474</v>
      </c>
    </row>
    <row r="40" spans="1:50" s="19" customFormat="1" ht="11.25">
      <c r="A40" s="28" t="s">
        <v>302</v>
      </c>
      <c r="B40" s="28" t="s">
        <v>138</v>
      </c>
      <c r="C40" s="438">
        <f t="shared" ref="C40:X40" si="8">(C10/C37)*1000000</f>
        <v>1.2867025365103772</v>
      </c>
      <c r="D40" s="437">
        <f t="shared" si="8"/>
        <v>1.2897770945426608</v>
      </c>
      <c r="E40" s="437">
        <f t="shared" si="8"/>
        <v>1.5219062259800151</v>
      </c>
      <c r="F40" s="436">
        <f t="shared" si="8"/>
        <v>0.74942352036894633</v>
      </c>
      <c r="G40" s="437">
        <f t="shared" si="8"/>
        <v>1.3358954650269033</v>
      </c>
      <c r="H40" s="437">
        <f t="shared" si="8"/>
        <v>1.7963105303612599</v>
      </c>
      <c r="I40" s="437">
        <f t="shared" si="8"/>
        <v>1.2828593389700236</v>
      </c>
      <c r="J40" s="437">
        <f t="shared" si="8"/>
        <v>-0.99154496541122195</v>
      </c>
      <c r="K40" s="438">
        <f t="shared" si="8"/>
        <v>0.62106072252113664</v>
      </c>
      <c r="L40" s="437">
        <f t="shared" si="8"/>
        <v>1.4043043812451959</v>
      </c>
      <c r="M40" s="437">
        <f t="shared" si="8"/>
        <v>1.6202920830130665</v>
      </c>
      <c r="N40" s="436">
        <f t="shared" si="8"/>
        <v>0.92851652574942278</v>
      </c>
      <c r="O40" s="438">
        <f t="shared" si="8"/>
        <v>1.3643351268255186</v>
      </c>
      <c r="P40" s="437">
        <f t="shared" si="8"/>
        <v>1.471944657955419</v>
      </c>
      <c r="Q40" s="437">
        <f t="shared" si="8"/>
        <v>1.4788624135280544</v>
      </c>
      <c r="R40" s="437">
        <f t="shared" si="8"/>
        <v>1.4734819369715602</v>
      </c>
      <c r="S40" s="438">
        <f t="shared" si="8"/>
        <v>1.6333589546502687</v>
      </c>
      <c r="T40" s="437">
        <f t="shared" si="8"/>
        <v>1.7978478093774015</v>
      </c>
      <c r="U40" s="437">
        <f t="shared" si="8"/>
        <v>1.691775557263643</v>
      </c>
      <c r="V40" s="436">
        <f t="shared" si="8"/>
        <v>1.6418139892390471</v>
      </c>
      <c r="W40" s="438">
        <f t="shared" si="8"/>
        <v>2.0868562644119915</v>
      </c>
      <c r="X40" s="437">
        <f t="shared" si="8"/>
        <v>1.2882398155265178</v>
      </c>
      <c r="Y40" s="437">
        <f t="shared" ref="Y40:AG40" si="9">(Y10/Y37)*1000000</f>
        <v>1.5618754803996913</v>
      </c>
      <c r="Z40" s="436">
        <f t="shared" si="9"/>
        <v>1.4604150653343584</v>
      </c>
      <c r="AA40" s="438">
        <f t="shared" si="9"/>
        <v>1.9961568024596461</v>
      </c>
      <c r="AB40" s="437">
        <f t="shared" si="9"/>
        <v>1.66717909300538</v>
      </c>
      <c r="AC40" s="437">
        <f t="shared" si="9"/>
        <v>1.8016910069177574</v>
      </c>
      <c r="AD40" s="436">
        <f t="shared" si="9"/>
        <v>1.9254419677171406</v>
      </c>
      <c r="AE40" s="437">
        <f t="shared" si="9"/>
        <v>1.9569561875480384</v>
      </c>
      <c r="AF40" s="437">
        <f t="shared" si="9"/>
        <v>2.1698693312836279</v>
      </c>
      <c r="AG40" s="437">
        <f t="shared" si="9"/>
        <v>2.0983858570330529</v>
      </c>
      <c r="AH40" s="437">
        <f t="shared" ref="AH40:AS40" si="10">(AH10/AH37)*1000000</f>
        <v>1.7740199846272096</v>
      </c>
      <c r="AI40" s="438">
        <f t="shared" si="10"/>
        <v>2.0061491160645657</v>
      </c>
      <c r="AJ40" s="437">
        <f t="shared" si="10"/>
        <v>2.6487317448116836</v>
      </c>
      <c r="AK40" s="437">
        <f t="shared" si="10"/>
        <v>2.4265949269792468</v>
      </c>
      <c r="AL40" s="436">
        <f t="shared" si="10"/>
        <v>1.5810914681014605</v>
      </c>
      <c r="AM40" s="438">
        <f t="shared" si="10"/>
        <v>1.9923136049192927</v>
      </c>
      <c r="AN40" s="437">
        <f t="shared" si="10"/>
        <v>3.1275941583397393</v>
      </c>
      <c r="AO40" s="437">
        <f t="shared" si="10"/>
        <v>2.551883166794775</v>
      </c>
      <c r="AP40" s="436">
        <f>(AP10/AP37)*1000000</f>
        <v>1.959262106072251</v>
      </c>
      <c r="AQ40" s="438">
        <f>(AQ10/AQ37)*1000000</f>
        <v>2.3082244427363565</v>
      </c>
      <c r="AR40" s="437">
        <f>(AR10/AR37)*1000000</f>
        <v>2.7694081475787851</v>
      </c>
      <c r="AS40" s="437">
        <f t="shared" si="10"/>
        <v>2.8877786318216727</v>
      </c>
      <c r="AT40" s="436">
        <f>(AT10/AT37)*1000000</f>
        <v>2.8193697156033837</v>
      </c>
      <c r="AU40" s="438">
        <f>(AU10/AU37)*1000000</f>
        <v>2.4765564950038419</v>
      </c>
      <c r="AV40" s="437">
        <f>(AV10/AV37)*1000000</f>
        <v>2.8647194465795556</v>
      </c>
      <c r="AW40" s="437">
        <f>(AW10/AW37)*1000000</f>
        <v>2.9116064565718678</v>
      </c>
      <c r="AX40" s="437">
        <f>(AX10/AX37)*1000000</f>
        <v>3.4757878554957728</v>
      </c>
    </row>
    <row r="41" spans="1:50" s="19" customFormat="1" ht="11.25">
      <c r="A41" s="28" t="s">
        <v>318</v>
      </c>
      <c r="B41" s="28" t="s">
        <v>144</v>
      </c>
      <c r="C41" s="29">
        <f>(+C42*C37)/1000000</f>
        <v>9887.6</v>
      </c>
      <c r="D41" s="30">
        <f>+(D42*D37)/1000000</f>
        <v>13049.03</v>
      </c>
      <c r="E41" s="30">
        <f>(+E42*E37)/1000000</f>
        <v>11839.1</v>
      </c>
      <c r="F41" s="31">
        <f>(+F42*F37)/1000000</f>
        <v>9432.25</v>
      </c>
      <c r="G41" s="30">
        <f>(+G42*G37)/1000000</f>
        <v>6895.3</v>
      </c>
      <c r="H41" s="30">
        <f>+(H42*H37)/1000000</f>
        <v>5399.15</v>
      </c>
      <c r="I41" s="30">
        <f>(+I42*I37)/1000000</f>
        <v>6648.11</v>
      </c>
      <c r="J41" s="30">
        <f>(+J42*J37)/1000000</f>
        <v>5594.3</v>
      </c>
      <c r="K41" s="29">
        <f>(+K42*K37)/1000000</f>
        <v>2758.12</v>
      </c>
      <c r="L41" s="30">
        <f>+(L42*L37)/1000000</f>
        <v>4566.51</v>
      </c>
      <c r="M41" s="30">
        <f>(+M42*M37)/1000000</f>
        <v>8326.4</v>
      </c>
      <c r="N41" s="31">
        <f>(+N42*N37)/1000000</f>
        <v>10147.799999999999</v>
      </c>
      <c r="O41" s="29">
        <f>(+O42*O37)/1000000</f>
        <v>9705.4599999999991</v>
      </c>
      <c r="P41" s="30">
        <f>+(P42*P37)/1000000</f>
        <v>9822.5499999999993</v>
      </c>
      <c r="Q41" s="30">
        <f>(+Q42*Q37)/1000000</f>
        <v>10733.25</v>
      </c>
      <c r="R41" s="30">
        <f>(+R42*R37)/1000000</f>
        <v>11630.94</v>
      </c>
      <c r="S41" s="29">
        <f>(+S42*S37)/1000000</f>
        <v>11630.94</v>
      </c>
      <c r="T41" s="30">
        <f>+(T42*T37)/1000000</f>
        <v>11227.63</v>
      </c>
      <c r="U41" s="30">
        <f t="shared" ref="U41:Z41" si="11">(+U42*U37)/1000000</f>
        <v>9627.4</v>
      </c>
      <c r="V41" s="31">
        <f t="shared" si="11"/>
        <v>10225.86</v>
      </c>
      <c r="W41" s="29">
        <f t="shared" si="11"/>
        <v>11500.84</v>
      </c>
      <c r="X41" s="30">
        <f t="shared" si="11"/>
        <v>10616.16</v>
      </c>
      <c r="Y41" s="30">
        <f t="shared" si="11"/>
        <v>10941.41</v>
      </c>
      <c r="Z41" s="31">
        <f t="shared" si="11"/>
        <v>11839.1</v>
      </c>
      <c r="AA41" s="29">
        <f t="shared" ref="AA41:AG41" si="12">(+AA42*AA37)/1000000</f>
        <v>11813.08</v>
      </c>
      <c r="AB41" s="30">
        <f t="shared" si="12"/>
        <v>12315.266</v>
      </c>
      <c r="AC41" s="30">
        <f t="shared" si="12"/>
        <v>14571.2</v>
      </c>
      <c r="AD41" s="31">
        <f t="shared" si="12"/>
        <v>14746.834999999999</v>
      </c>
      <c r="AE41" s="30">
        <f t="shared" si="12"/>
        <v>17238.25</v>
      </c>
      <c r="AF41" s="30">
        <f t="shared" si="12"/>
        <v>17251.259999999998</v>
      </c>
      <c r="AG41" s="30">
        <f t="shared" si="12"/>
        <v>19254.8</v>
      </c>
      <c r="AH41" s="30">
        <f t="shared" ref="AH41:AS41" si="13">(+AH42*AH37)/1000000</f>
        <v>18200.990000000002</v>
      </c>
      <c r="AI41" s="29">
        <f t="shared" si="13"/>
        <v>17797.68</v>
      </c>
      <c r="AJ41" s="30">
        <f t="shared" si="13"/>
        <v>16522.7</v>
      </c>
      <c r="AK41" s="30">
        <f t="shared" si="13"/>
        <v>15507.92</v>
      </c>
      <c r="AL41" s="31">
        <f t="shared" si="13"/>
        <v>15241.215</v>
      </c>
      <c r="AM41" s="29">
        <f t="shared" si="13"/>
        <v>15742.1</v>
      </c>
      <c r="AN41" s="30">
        <f t="shared" si="13"/>
        <v>16060.844999999999</v>
      </c>
      <c r="AO41" s="30">
        <f t="shared" si="13"/>
        <v>19254.8</v>
      </c>
      <c r="AP41" s="31">
        <f>(+AP42*AP37)/1000000</f>
        <v>20998.14</v>
      </c>
      <c r="AQ41" s="29">
        <f>(+AQ42*AQ37)/1000000</f>
        <v>22390.21</v>
      </c>
      <c r="AR41" s="30">
        <f>(+AR42*AR37)/1000000</f>
        <v>23730.240000000002</v>
      </c>
      <c r="AS41" s="30">
        <f t="shared" si="13"/>
        <v>26605.45</v>
      </c>
      <c r="AT41" s="31">
        <f>(+AT42*AT37)/1000000</f>
        <v>26748.560000000001</v>
      </c>
      <c r="AU41" s="29">
        <f>(+AU42*AU37)/1000000</f>
        <v>25603.68</v>
      </c>
      <c r="AV41" s="30">
        <f>(+AV42*AV37)/1000000</f>
        <v>23287.9</v>
      </c>
      <c r="AW41" s="30">
        <f>(+AW42*AW37)/1000000</f>
        <v>23782.28</v>
      </c>
      <c r="AX41" s="30">
        <f>(+AX42*AX37)/1000000</f>
        <v>23418</v>
      </c>
    </row>
    <row r="42" spans="1:50" s="19" customFormat="1" ht="11.25">
      <c r="A42" s="28" t="s">
        <v>316</v>
      </c>
      <c r="B42" s="28" t="s">
        <v>147</v>
      </c>
      <c r="C42" s="29">
        <v>76</v>
      </c>
      <c r="D42" s="30">
        <v>100.3</v>
      </c>
      <c r="E42" s="30">
        <v>91</v>
      </c>
      <c r="F42" s="31">
        <v>72.5</v>
      </c>
      <c r="G42" s="30">
        <v>53</v>
      </c>
      <c r="H42" s="30">
        <v>41.5</v>
      </c>
      <c r="I42" s="30">
        <v>51.1</v>
      </c>
      <c r="J42" s="31">
        <v>43</v>
      </c>
      <c r="K42" s="29">
        <v>21.2</v>
      </c>
      <c r="L42" s="30">
        <v>35.1</v>
      </c>
      <c r="M42" s="30">
        <v>64</v>
      </c>
      <c r="N42" s="31">
        <v>78</v>
      </c>
      <c r="O42" s="29">
        <v>74.599999999999994</v>
      </c>
      <c r="P42" s="30">
        <v>75.5</v>
      </c>
      <c r="Q42" s="30">
        <v>82.5</v>
      </c>
      <c r="R42" s="31">
        <v>89.4</v>
      </c>
      <c r="S42" s="29">
        <v>89.4</v>
      </c>
      <c r="T42" s="30">
        <v>86.3</v>
      </c>
      <c r="U42" s="30">
        <v>74</v>
      </c>
      <c r="V42" s="31">
        <v>78.599999999999994</v>
      </c>
      <c r="W42" s="29">
        <v>88.4</v>
      </c>
      <c r="X42" s="30">
        <v>81.599999999999994</v>
      </c>
      <c r="Y42" s="30">
        <v>84.1</v>
      </c>
      <c r="Z42" s="31">
        <v>91</v>
      </c>
      <c r="AA42" s="29">
        <v>90.8</v>
      </c>
      <c r="AB42" s="30">
        <v>94.66</v>
      </c>
      <c r="AC42" s="30">
        <v>112</v>
      </c>
      <c r="AD42" s="31">
        <v>113.35</v>
      </c>
      <c r="AE42" s="30">
        <v>132.5</v>
      </c>
      <c r="AF42" s="259">
        <v>132.6</v>
      </c>
      <c r="AG42" s="259">
        <v>148</v>
      </c>
      <c r="AH42" s="30">
        <v>139.9</v>
      </c>
      <c r="AI42" s="29">
        <v>136.80000000000001</v>
      </c>
      <c r="AJ42" s="30">
        <v>127</v>
      </c>
      <c r="AK42" s="30">
        <v>119.2</v>
      </c>
      <c r="AL42" s="31">
        <v>117.15</v>
      </c>
      <c r="AM42" s="29">
        <v>121</v>
      </c>
      <c r="AN42" s="259">
        <v>123.45</v>
      </c>
      <c r="AO42" s="259">
        <v>148</v>
      </c>
      <c r="AP42" s="31">
        <v>161.4</v>
      </c>
      <c r="AQ42" s="29">
        <v>172.1</v>
      </c>
      <c r="AR42" s="30">
        <v>182.4</v>
      </c>
      <c r="AS42" s="30">
        <v>204.5</v>
      </c>
      <c r="AT42" s="31">
        <v>205.6</v>
      </c>
      <c r="AU42" s="29">
        <v>196.8</v>
      </c>
      <c r="AV42" s="30">
        <v>179</v>
      </c>
      <c r="AW42" s="30">
        <v>182.8</v>
      </c>
      <c r="AX42" s="30">
        <v>180</v>
      </c>
    </row>
    <row r="43" spans="1:50" s="19" customFormat="1" ht="11.25">
      <c r="A43" s="28"/>
      <c r="B43" s="28"/>
      <c r="C43" s="128"/>
      <c r="D43" s="61"/>
      <c r="E43" s="61"/>
      <c r="F43" s="272"/>
      <c r="G43" s="61"/>
      <c r="H43" s="61"/>
      <c r="I43" s="61"/>
      <c r="J43" s="272"/>
      <c r="K43" s="128"/>
      <c r="L43" s="61"/>
      <c r="M43" s="61"/>
      <c r="N43" s="272"/>
      <c r="O43" s="128"/>
      <c r="P43" s="61"/>
      <c r="Q43" s="61"/>
      <c r="R43" s="272"/>
      <c r="S43" s="128"/>
      <c r="T43" s="61"/>
      <c r="U43" s="61"/>
      <c r="V43" s="272"/>
      <c r="W43" s="128"/>
      <c r="X43" s="61"/>
      <c r="Y43" s="61"/>
      <c r="Z43" s="272"/>
      <c r="AA43" s="128"/>
      <c r="AB43" s="61"/>
      <c r="AC43" s="61"/>
      <c r="AD43" s="272"/>
      <c r="AE43" s="61"/>
      <c r="AF43" s="61"/>
      <c r="AG43" s="61"/>
      <c r="AH43" s="61"/>
      <c r="AI43" s="128"/>
      <c r="AJ43" s="61"/>
      <c r="AK43" s="61"/>
      <c r="AL43" s="272"/>
      <c r="AM43" s="128"/>
      <c r="AN43" s="61"/>
      <c r="AO43" s="61"/>
      <c r="AP43" s="272"/>
      <c r="AQ43" s="128"/>
      <c r="AR43" s="61"/>
      <c r="AS43" s="61"/>
      <c r="AT43" s="272"/>
      <c r="AU43" s="128"/>
      <c r="AV43" s="61"/>
      <c r="AW43" s="61"/>
      <c r="AX43" s="61"/>
    </row>
    <row r="44" spans="1:50" s="19" customFormat="1" ht="11.25">
      <c r="A44" s="50" t="s">
        <v>313</v>
      </c>
      <c r="B44" s="50" t="s">
        <v>148</v>
      </c>
      <c r="C44" s="128"/>
      <c r="D44" s="61"/>
      <c r="E44" s="61"/>
      <c r="F44" s="272"/>
      <c r="G44" s="61"/>
      <c r="H44" s="61"/>
      <c r="I44" s="61"/>
      <c r="J44" s="272"/>
      <c r="K44" s="128"/>
      <c r="L44" s="61"/>
      <c r="M44" s="61"/>
      <c r="N44" s="272"/>
      <c r="O44" s="128"/>
      <c r="P44" s="61"/>
      <c r="Q44" s="61"/>
      <c r="R44" s="272"/>
      <c r="S44" s="128"/>
      <c r="T44" s="61"/>
      <c r="U44" s="61"/>
      <c r="V44" s="272"/>
      <c r="W44" s="128"/>
      <c r="X44" s="61"/>
      <c r="Y44" s="61"/>
      <c r="Z44" s="272"/>
      <c r="AA44" s="128"/>
      <c r="AB44" s="61"/>
      <c r="AC44" s="61"/>
      <c r="AD44" s="272"/>
      <c r="AE44" s="61"/>
      <c r="AF44" s="61"/>
      <c r="AG44" s="61"/>
      <c r="AH44" s="61"/>
      <c r="AI44" s="128"/>
      <c r="AJ44" s="61"/>
      <c r="AK44" s="61"/>
      <c r="AL44" s="272"/>
      <c r="AM44" s="128"/>
      <c r="AN44" s="61"/>
      <c r="AO44" s="61"/>
      <c r="AP44" s="272"/>
      <c r="AQ44" s="128"/>
      <c r="AR44" s="61"/>
      <c r="AS44" s="61"/>
      <c r="AT44" s="272"/>
      <c r="AU44" s="128"/>
      <c r="AV44" s="61"/>
      <c r="AW44" s="61"/>
      <c r="AX44" s="61"/>
    </row>
    <row r="45" spans="1:50" s="448" customFormat="1" ht="11.25">
      <c r="A45" s="28" t="s">
        <v>300</v>
      </c>
      <c r="B45" s="28" t="s">
        <v>149</v>
      </c>
      <c r="C45" s="128">
        <v>2193</v>
      </c>
      <c r="D45" s="61">
        <v>2239</v>
      </c>
      <c r="E45" s="61">
        <v>2323</v>
      </c>
      <c r="F45" s="272">
        <v>2369</v>
      </c>
      <c r="G45" s="61">
        <v>2458</v>
      </c>
      <c r="H45" s="61">
        <v>2530</v>
      </c>
      <c r="I45" s="61">
        <v>2648</v>
      </c>
      <c r="J45" s="272">
        <v>2729</v>
      </c>
      <c r="K45" s="128">
        <v>2764</v>
      </c>
      <c r="L45" s="61">
        <v>2806</v>
      </c>
      <c r="M45" s="61">
        <v>2841</v>
      </c>
      <c r="N45" s="272">
        <v>2898</v>
      </c>
      <c r="O45" s="128">
        <v>2945</v>
      </c>
      <c r="P45" s="61">
        <v>2997</v>
      </c>
      <c r="Q45" s="61">
        <v>3064</v>
      </c>
      <c r="R45" s="272">
        <v>3117</v>
      </c>
      <c r="S45" s="128">
        <v>3150</v>
      </c>
      <c r="T45" s="61">
        <v>3180</v>
      </c>
      <c r="U45" s="61">
        <v>3197</v>
      </c>
      <c r="V45" s="272">
        <v>3226</v>
      </c>
      <c r="W45" s="128">
        <v>3274</v>
      </c>
      <c r="X45" s="61">
        <v>3294</v>
      </c>
      <c r="Y45" s="61">
        <v>3346</v>
      </c>
      <c r="Z45" s="272">
        <v>3382</v>
      </c>
      <c r="AA45" s="128">
        <v>3413</v>
      </c>
      <c r="AB45" s="61">
        <v>3462</v>
      </c>
      <c r="AC45" s="61">
        <v>3495</v>
      </c>
      <c r="AD45" s="272">
        <v>3542</v>
      </c>
      <c r="AE45" s="128">
        <v>3545</v>
      </c>
      <c r="AF45" s="61">
        <v>3602</v>
      </c>
      <c r="AG45" s="61">
        <v>3668</v>
      </c>
      <c r="AH45" s="61">
        <v>3727</v>
      </c>
      <c r="AI45" s="128">
        <v>3806</v>
      </c>
      <c r="AJ45" s="61">
        <v>3882</v>
      </c>
      <c r="AK45" s="61">
        <v>3958</v>
      </c>
      <c r="AL45" s="272">
        <v>4015</v>
      </c>
      <c r="AM45" s="128">
        <v>4082</v>
      </c>
      <c r="AN45" s="61">
        <v>4149</v>
      </c>
      <c r="AO45" s="61">
        <v>4202</v>
      </c>
      <c r="AP45" s="272">
        <v>4272</v>
      </c>
      <c r="AQ45" s="128">
        <v>4329</v>
      </c>
      <c r="AR45" s="61">
        <v>4393</v>
      </c>
      <c r="AS45" s="61">
        <v>4468</v>
      </c>
      <c r="AT45" s="272">
        <v>4532</v>
      </c>
      <c r="AU45" s="128">
        <v>4610</v>
      </c>
      <c r="AV45" s="61">
        <v>4680</v>
      </c>
      <c r="AW45" s="61">
        <v>4757</v>
      </c>
      <c r="AX45" s="61">
        <v>4796</v>
      </c>
    </row>
    <row r="46" spans="1:50" s="448" customFormat="1" ht="11.25">
      <c r="A46" s="28" t="s">
        <v>291</v>
      </c>
      <c r="B46" s="28" t="s">
        <v>139</v>
      </c>
      <c r="C46" s="128">
        <f>'Pozostałe informacje_other info'!C13</f>
        <v>350</v>
      </c>
      <c r="D46" s="61">
        <f>'Pozostałe informacje_other info'!D13</f>
        <v>361</v>
      </c>
      <c r="E46" s="61">
        <f>'Pozostałe informacje_other info'!E13</f>
        <v>375</v>
      </c>
      <c r="F46" s="272">
        <f>'Pozostałe informacje_other info'!F13</f>
        <v>404</v>
      </c>
      <c r="G46" s="61">
        <f>'Pozostałe informacje_other info'!G13</f>
        <v>415</v>
      </c>
      <c r="H46" s="61">
        <f>'Pozostałe informacje_other info'!H13</f>
        <v>430</v>
      </c>
      <c r="I46" s="61">
        <f>'Pozostałe informacje_other info'!I13</f>
        <v>432</v>
      </c>
      <c r="J46" s="272">
        <f>'Pozostałe informacje_other info'!J13</f>
        <v>439</v>
      </c>
      <c r="K46" s="128">
        <f>'Pozostałe informacje_other info'!K13</f>
        <v>439</v>
      </c>
      <c r="L46" s="61">
        <f>'Pozostałe informacje_other info'!L13</f>
        <v>438</v>
      </c>
      <c r="M46" s="61">
        <f>'Pozostałe informacje_other info'!M13</f>
        <v>438</v>
      </c>
      <c r="N46" s="272">
        <f>'Pozostałe informacje_other info'!N13</f>
        <v>441</v>
      </c>
      <c r="O46" s="128">
        <f>'Pozostałe informacje_other info'!O13</f>
        <v>441</v>
      </c>
      <c r="P46" s="61">
        <f>'Pozostałe informacje_other info'!P13</f>
        <v>442</v>
      </c>
      <c r="Q46" s="61">
        <f>'Pozostałe informacje_other info'!Q13</f>
        <v>441</v>
      </c>
      <c r="R46" s="272">
        <f>'Pozostałe informacje_other info'!R13</f>
        <v>443</v>
      </c>
      <c r="S46" s="128">
        <f>'Pozostałe informacje_other info'!S13</f>
        <v>445</v>
      </c>
      <c r="T46" s="61">
        <f>'Pozostałe informacje_other info'!T13</f>
        <v>443</v>
      </c>
      <c r="U46" s="61">
        <f>'Pozostałe informacje_other info'!U13</f>
        <v>441</v>
      </c>
      <c r="V46" s="272">
        <f>'Pozostałe informacje_other info'!V13</f>
        <v>439</v>
      </c>
      <c r="W46" s="128">
        <f>'Pozostałe informacje_other info'!W13</f>
        <v>438</v>
      </c>
      <c r="X46" s="61">
        <f>'Pozostałe informacje_other info'!X13</f>
        <v>437</v>
      </c>
      <c r="Y46" s="61">
        <f>'Pozostałe informacje_other info'!Y13</f>
        <v>432</v>
      </c>
      <c r="Z46" s="272">
        <f>'Pozostałe informacje_other info'!Z13</f>
        <v>426</v>
      </c>
      <c r="AA46" s="128">
        <f>'Pozostałe informacje_other info'!AA13</f>
        <v>423</v>
      </c>
      <c r="AB46" s="61">
        <f>'Pozostałe informacje_other info'!AB13</f>
        <v>421</v>
      </c>
      <c r="AC46" s="61">
        <f>'Pozostałe informacje_other info'!AC13</f>
        <v>421</v>
      </c>
      <c r="AD46" s="272">
        <f>'Pozostałe informacje_other info'!AD13</f>
        <v>417</v>
      </c>
      <c r="AE46" s="61">
        <f>'Pozostałe informacje_other info'!AE13</f>
        <v>412</v>
      </c>
      <c r="AF46" s="61">
        <f>'Pozostałe informacje_other info'!AF13</f>
        <v>409</v>
      </c>
      <c r="AG46" s="61">
        <f>'Pozostałe informacje_other info'!AG13</f>
        <v>407</v>
      </c>
      <c r="AH46" s="61">
        <f>'Pozostałe informacje_other info'!AH13</f>
        <v>401</v>
      </c>
      <c r="AI46" s="128">
        <f>'Pozostałe informacje_other info'!AI13</f>
        <v>401</v>
      </c>
      <c r="AJ46" s="61">
        <f>'Pozostałe informacje_other info'!AJ13</f>
        <v>399</v>
      </c>
      <c r="AK46" s="61">
        <f>'Pozostałe informacje_other info'!AK13</f>
        <v>398</v>
      </c>
      <c r="AL46" s="272">
        <f>'Pozostałe informacje_other info'!AL13</f>
        <v>395</v>
      </c>
      <c r="AM46" s="128">
        <f>'Pozostałe informacje_other info'!AM13</f>
        <v>394</v>
      </c>
      <c r="AN46" s="61">
        <f>'Pozostałe informacje_other info'!AN13</f>
        <v>391</v>
      </c>
      <c r="AO46" s="61">
        <f>'Pozostałe informacje_other info'!AO13</f>
        <v>386</v>
      </c>
      <c r="AP46" s="272">
        <f>'Pozostałe informacje_other info'!AP13</f>
        <v>384</v>
      </c>
      <c r="AQ46" s="128">
        <f>'Pozostałe informacje_other info'!AQ13</f>
        <v>381</v>
      </c>
      <c r="AR46" s="61">
        <f>'Pozostałe informacje_other info'!AR13</f>
        <v>374</v>
      </c>
      <c r="AS46" s="61">
        <f>'Pozostałe informacje_other info'!AS13</f>
        <v>367</v>
      </c>
      <c r="AT46" s="272">
        <f>'Pozostałe informacje_other info'!AT13</f>
        <v>357</v>
      </c>
      <c r="AU46" s="128">
        <f>'Pozostałe informacje_other info'!AU13</f>
        <v>355</v>
      </c>
      <c r="AV46" s="61">
        <f>'Pozostałe informacje_other info'!AV13</f>
        <v>352</v>
      </c>
      <c r="AW46" s="61">
        <f>'Pozostałe informacje_other info'!AW13</f>
        <v>351</v>
      </c>
      <c r="AX46" s="61">
        <f>'Pozostałe informacje_other info'!AX13</f>
        <v>337</v>
      </c>
    </row>
    <row r="47" spans="1:50" s="448" customFormat="1" ht="11.25">
      <c r="A47" s="28" t="s">
        <v>301</v>
      </c>
      <c r="B47" s="28" t="s">
        <v>140</v>
      </c>
      <c r="C47" s="128">
        <f>'Pozostałe informacje_other info'!C7</f>
        <v>7578</v>
      </c>
      <c r="D47" s="61">
        <f>'Pozostałe informacje_other info'!D7</f>
        <v>7676</v>
      </c>
      <c r="E47" s="61">
        <f>'Pozostałe informacje_other info'!E7</f>
        <v>7828</v>
      </c>
      <c r="F47" s="272">
        <f>'Pozostałe informacje_other info'!F7</f>
        <v>8048</v>
      </c>
      <c r="G47" s="61">
        <f>'Pozostałe informacje_other info'!G7</f>
        <v>8137</v>
      </c>
      <c r="H47" s="61">
        <f>'Pozostałe informacje_other info'!H7</f>
        <v>8318</v>
      </c>
      <c r="I47" s="61">
        <f>'Pozostałe informacje_other info'!I7</f>
        <v>8330</v>
      </c>
      <c r="J47" s="272">
        <f>'Pozostałe informacje_other info'!J7</f>
        <v>8454</v>
      </c>
      <c r="K47" s="128">
        <f>'Pozostałe informacje_other info'!K7</f>
        <v>8368</v>
      </c>
      <c r="L47" s="61">
        <f>'Pozostałe informacje_other info'!L7</f>
        <v>8196</v>
      </c>
      <c r="M47" s="61">
        <f>'Pozostałe informacje_other info'!M7</f>
        <v>8092</v>
      </c>
      <c r="N47" s="272">
        <f>'Pozostałe informacje_other info'!N7</f>
        <v>8064</v>
      </c>
      <c r="O47" s="128">
        <f>'Pozostałe informacje_other info'!O7</f>
        <v>8084</v>
      </c>
      <c r="P47" s="61">
        <f>'Pozostałe informacje_other info'!P7</f>
        <v>8183</v>
      </c>
      <c r="Q47" s="61">
        <f>'Pozostałe informacje_other info'!Q7</f>
        <v>8366</v>
      </c>
      <c r="R47" s="272">
        <f>'Pozostałe informacje_other info'!R7</f>
        <v>8314</v>
      </c>
      <c r="S47" s="128">
        <f>'Pozostałe informacje_other info'!S7</f>
        <v>8358</v>
      </c>
      <c r="T47" s="61">
        <f>'Pozostałe informacje_other info'!T7</f>
        <v>8357</v>
      </c>
      <c r="U47" s="61">
        <f>'Pozostałe informacje_other info'!U7</f>
        <v>8212</v>
      </c>
      <c r="V47" s="272">
        <f>'Pozostałe informacje_other info'!V7</f>
        <v>8344</v>
      </c>
      <c r="W47" s="128">
        <f>'Pozostałe informacje_other info'!W7</f>
        <v>8608</v>
      </c>
      <c r="X47" s="61">
        <f>'Pozostałe informacje_other info'!X7</f>
        <v>8639</v>
      </c>
      <c r="Y47" s="61">
        <f>'Pozostałe informacje_other info'!Y7</f>
        <v>8633</v>
      </c>
      <c r="Z47" s="272">
        <f>'Pozostałe informacje_other info'!Z7</f>
        <v>8603</v>
      </c>
      <c r="AA47" s="128">
        <f>'Pozostałe informacje_other info'!AA7</f>
        <v>8569</v>
      </c>
      <c r="AB47" s="61">
        <f>'Pozostałe informacje_other info'!AB7</f>
        <v>8511</v>
      </c>
      <c r="AC47" s="61">
        <f>'Pozostałe informacje_other info'!AC7</f>
        <v>8449</v>
      </c>
      <c r="AD47" s="272">
        <f>'Pozostałe informacje_other info'!AD7</f>
        <v>8396</v>
      </c>
      <c r="AE47" s="61">
        <f>'Pozostałe informacje_other info'!AE7</f>
        <v>8327</v>
      </c>
      <c r="AF47" s="61">
        <f>'Pozostałe informacje_other info'!AF7</f>
        <v>8302</v>
      </c>
      <c r="AG47" s="61">
        <f>'Pozostałe informacje_other info'!AG7</f>
        <v>8302</v>
      </c>
      <c r="AH47" s="61">
        <f>'Pozostałe informacje_other info'!AH7</f>
        <v>8287</v>
      </c>
      <c r="AI47" s="128">
        <f>'Pozostałe informacje_other info'!AI7</f>
        <v>8332</v>
      </c>
      <c r="AJ47" s="61">
        <f>'Pozostałe informacje_other info'!AJ7</f>
        <v>8338</v>
      </c>
      <c r="AK47" s="61">
        <f>'Pozostałe informacje_other info'!AK7</f>
        <v>8314</v>
      </c>
      <c r="AL47" s="272">
        <f>'Pozostałe informacje_other info'!AL7</f>
        <v>8274</v>
      </c>
      <c r="AM47" s="128">
        <f>'Pozostałe informacje_other info'!AM7</f>
        <v>8271</v>
      </c>
      <c r="AN47" s="61">
        <f>'Pozostałe informacje_other info'!AN7</f>
        <v>8245</v>
      </c>
      <c r="AO47" s="61">
        <f>'Pozostałe informacje_other info'!AO7</f>
        <v>8179</v>
      </c>
      <c r="AP47" s="272">
        <f>'Pozostałe informacje_other info'!AP7</f>
        <v>8025</v>
      </c>
      <c r="AQ47" s="128">
        <f>'Pozostałe informacje_other info'!AQ7</f>
        <v>7966</v>
      </c>
      <c r="AR47" s="61">
        <f>'Pozostałe informacje_other info'!AR7</f>
        <v>7980</v>
      </c>
      <c r="AS47" s="61">
        <f>'Pozostałe informacje_other info'!AS7</f>
        <v>8016</v>
      </c>
      <c r="AT47" s="272">
        <f>'Pozostałe informacje_other info'!AT7</f>
        <v>8032</v>
      </c>
      <c r="AU47" s="128">
        <f>'Pozostałe informacje_other info'!AU7</f>
        <v>8082</v>
      </c>
      <c r="AV47" s="61">
        <f>'Pozostałe informacje_other info'!AV7</f>
        <v>8075</v>
      </c>
      <c r="AW47" s="61">
        <f>'Pozostałe informacje_other info'!AW7</f>
        <v>8080</v>
      </c>
      <c r="AX47" s="61">
        <f>'Pozostałe informacje_other info'!AX7</f>
        <v>8086</v>
      </c>
    </row>
    <row r="48" spans="1:50" s="19" customFormat="1" ht="11.25">
      <c r="A48" s="404"/>
      <c r="B48" s="404"/>
      <c r="C48" s="439"/>
      <c r="D48" s="439"/>
      <c r="E48" s="439"/>
      <c r="F48" s="439"/>
      <c r="G48" s="439"/>
      <c r="H48" s="439"/>
      <c r="I48" s="439"/>
      <c r="J48" s="439"/>
      <c r="K48" s="439"/>
      <c r="L48" s="439"/>
      <c r="M48" s="439"/>
      <c r="N48" s="439"/>
      <c r="O48" s="439"/>
      <c r="P48" s="439"/>
      <c r="Q48" s="439"/>
      <c r="R48" s="439"/>
      <c r="S48" s="439"/>
      <c r="T48" s="439"/>
      <c r="U48" s="439"/>
      <c r="V48" s="439"/>
      <c r="W48" s="439"/>
      <c r="X48" s="439"/>
      <c r="Y48" s="439"/>
      <c r="Z48" s="439"/>
      <c r="AA48" s="439"/>
      <c r="AI48" s="439"/>
      <c r="AJ48" s="440"/>
      <c r="AM48" s="439"/>
      <c r="AN48" s="440"/>
      <c r="AO48" s="440"/>
      <c r="AP48" s="440"/>
      <c r="AQ48" s="440"/>
      <c r="AR48" s="440"/>
      <c r="AS48" s="440"/>
      <c r="AT48" s="440"/>
    </row>
    <row r="49" spans="1:46" s="19" customFormat="1" ht="12">
      <c r="A49" s="441" t="s">
        <v>780</v>
      </c>
      <c r="B49" s="441" t="s">
        <v>781</v>
      </c>
      <c r="C49" s="440"/>
      <c r="D49" s="440"/>
      <c r="E49" s="440"/>
      <c r="F49" s="440"/>
      <c r="G49" s="440"/>
      <c r="H49" s="440"/>
      <c r="I49" s="440"/>
      <c r="J49" s="440"/>
      <c r="K49" s="440"/>
      <c r="L49" s="440"/>
      <c r="M49" s="440"/>
      <c r="N49" s="440"/>
      <c r="O49" s="440"/>
      <c r="P49" s="440"/>
      <c r="Q49" s="440"/>
      <c r="R49" s="440"/>
      <c r="S49" s="440"/>
      <c r="T49" s="440"/>
      <c r="U49" s="440"/>
      <c r="V49" s="440"/>
      <c r="W49" s="440"/>
      <c r="X49" s="440"/>
      <c r="Y49" s="440"/>
      <c r="Z49" s="440"/>
      <c r="AA49" s="440"/>
      <c r="AI49" s="440"/>
      <c r="AJ49" s="440"/>
      <c r="AM49" s="440"/>
      <c r="AN49" s="440"/>
      <c r="AO49" s="440"/>
      <c r="AP49" s="440"/>
      <c r="AQ49" s="440"/>
      <c r="AR49" s="440"/>
      <c r="AS49" s="440"/>
      <c r="AT49" s="440"/>
    </row>
    <row r="50" spans="1:46" s="19" customFormat="1" ht="12">
      <c r="A50" s="442" t="s">
        <v>782</v>
      </c>
      <c r="B50" s="443" t="s">
        <v>783</v>
      </c>
      <c r="C50" s="440"/>
      <c r="D50" s="440"/>
      <c r="E50" s="440"/>
      <c r="F50" s="440"/>
      <c r="G50" s="440"/>
      <c r="H50" s="440"/>
      <c r="I50" s="440"/>
      <c r="J50" s="440"/>
      <c r="K50" s="440"/>
      <c r="L50" s="440"/>
      <c r="M50" s="440"/>
      <c r="N50" s="440"/>
      <c r="O50" s="440"/>
      <c r="P50" s="440"/>
      <c r="Q50" s="440"/>
      <c r="R50" s="440"/>
      <c r="S50" s="440"/>
      <c r="T50" s="440"/>
      <c r="U50" s="440"/>
      <c r="V50" s="440"/>
      <c r="W50" s="440"/>
      <c r="X50" s="440"/>
      <c r="Y50" s="440"/>
      <c r="Z50" s="440"/>
      <c r="AA50" s="440"/>
      <c r="AI50" s="440"/>
      <c r="AJ50" s="440"/>
      <c r="AM50" s="440"/>
      <c r="AN50" s="440"/>
      <c r="AO50" s="440"/>
      <c r="AP50" s="440"/>
      <c r="AQ50" s="440"/>
      <c r="AR50" s="440"/>
      <c r="AS50" s="440"/>
      <c r="AT50" s="440"/>
    </row>
    <row r="51" spans="1:46" s="19" customFormat="1" ht="12">
      <c r="A51" s="441" t="s">
        <v>784</v>
      </c>
      <c r="B51" s="441" t="s">
        <v>785</v>
      </c>
      <c r="C51" s="444"/>
      <c r="D51" s="444"/>
      <c r="E51" s="444"/>
      <c r="F51" s="444"/>
      <c r="G51" s="444"/>
      <c r="H51" s="444"/>
      <c r="I51" s="444"/>
      <c r="J51" s="444"/>
      <c r="K51" s="444"/>
      <c r="L51" s="444"/>
      <c r="M51" s="444"/>
      <c r="N51" s="444"/>
      <c r="O51" s="444"/>
      <c r="P51" s="444"/>
      <c r="Q51" s="444"/>
      <c r="R51" s="444"/>
      <c r="S51" s="444"/>
      <c r="T51" s="444"/>
      <c r="U51" s="444"/>
      <c r="V51" s="444"/>
      <c r="W51" s="444"/>
      <c r="X51" s="444"/>
      <c r="Y51" s="444"/>
      <c r="Z51" s="444"/>
      <c r="AA51" s="444"/>
      <c r="AI51" s="444"/>
      <c r="AJ51" s="444"/>
      <c r="AM51" s="444"/>
      <c r="AN51" s="444"/>
      <c r="AO51" s="444"/>
      <c r="AP51" s="444"/>
      <c r="AQ51" s="444"/>
      <c r="AR51" s="444"/>
      <c r="AS51" s="444"/>
      <c r="AT51" s="444"/>
    </row>
    <row r="52" spans="1:46" s="19" customFormat="1" ht="12">
      <c r="A52" s="441" t="s">
        <v>786</v>
      </c>
      <c r="B52" s="441" t="s">
        <v>787</v>
      </c>
      <c r="C52" s="444"/>
      <c r="D52" s="444"/>
      <c r="E52" s="444"/>
      <c r="F52" s="444"/>
      <c r="G52" s="444"/>
      <c r="H52" s="444"/>
      <c r="I52" s="444"/>
      <c r="J52" s="444"/>
      <c r="K52" s="444"/>
      <c r="L52" s="444"/>
      <c r="M52" s="444"/>
      <c r="N52" s="444"/>
      <c r="O52" s="444"/>
      <c r="P52" s="444"/>
      <c r="Q52" s="444"/>
      <c r="R52" s="444"/>
      <c r="S52" s="444"/>
      <c r="T52" s="444"/>
      <c r="U52" s="444"/>
      <c r="V52" s="444"/>
      <c r="W52" s="444"/>
      <c r="X52" s="444"/>
      <c r="Y52" s="444"/>
      <c r="Z52" s="444"/>
      <c r="AA52" s="444"/>
      <c r="AI52" s="444"/>
      <c r="AJ52" s="444"/>
      <c r="AM52" s="444"/>
      <c r="AN52" s="444"/>
      <c r="AO52" s="444"/>
      <c r="AP52" s="444"/>
      <c r="AQ52" s="444"/>
      <c r="AR52" s="444"/>
      <c r="AS52" s="444"/>
      <c r="AT52" s="444"/>
    </row>
    <row r="53" spans="1:46" s="19" customFormat="1" ht="12">
      <c r="A53" s="441" t="s">
        <v>788</v>
      </c>
      <c r="B53" s="441" t="s">
        <v>789</v>
      </c>
      <c r="C53" s="440"/>
      <c r="D53" s="440"/>
      <c r="E53" s="440"/>
      <c r="F53" s="440"/>
      <c r="G53" s="440"/>
      <c r="H53" s="440"/>
      <c r="I53" s="440"/>
      <c r="J53" s="440"/>
      <c r="K53" s="440"/>
      <c r="L53" s="440"/>
      <c r="M53" s="440"/>
      <c r="N53" s="440"/>
      <c r="O53" s="440"/>
      <c r="P53" s="440"/>
      <c r="Q53" s="440"/>
      <c r="R53" s="440"/>
      <c r="S53" s="440"/>
      <c r="T53" s="440"/>
      <c r="U53" s="440"/>
      <c r="V53" s="440"/>
      <c r="W53" s="440"/>
      <c r="X53" s="440"/>
      <c r="Y53" s="440"/>
      <c r="Z53" s="440"/>
      <c r="AA53" s="440"/>
      <c r="AI53" s="440"/>
      <c r="AJ53" s="440"/>
      <c r="AM53" s="440"/>
      <c r="AN53" s="440"/>
      <c r="AO53" s="440"/>
      <c r="AP53" s="440"/>
      <c r="AQ53" s="440"/>
      <c r="AR53" s="440"/>
      <c r="AS53" s="440"/>
      <c r="AT53" s="440"/>
    </row>
    <row r="54" spans="1:46" s="19" customFormat="1" ht="12">
      <c r="A54" s="441" t="s">
        <v>790</v>
      </c>
      <c r="B54" s="441" t="s">
        <v>791</v>
      </c>
      <c r="C54" s="440"/>
      <c r="D54" s="440"/>
      <c r="E54" s="440"/>
      <c r="F54" s="440"/>
      <c r="G54" s="440"/>
      <c r="H54" s="440"/>
      <c r="I54" s="440"/>
      <c r="J54" s="440"/>
      <c r="K54" s="440"/>
      <c r="L54" s="440"/>
      <c r="M54" s="440"/>
      <c r="N54" s="440"/>
      <c r="O54" s="440"/>
      <c r="P54" s="440"/>
      <c r="Q54" s="440"/>
      <c r="R54" s="440"/>
      <c r="S54" s="440"/>
      <c r="T54" s="440"/>
      <c r="U54" s="440"/>
      <c r="V54" s="440"/>
      <c r="W54" s="440"/>
      <c r="X54" s="440"/>
      <c r="Y54" s="440"/>
      <c r="Z54" s="440"/>
      <c r="AA54" s="440"/>
      <c r="AI54" s="440"/>
      <c r="AJ54" s="440"/>
      <c r="AM54" s="440"/>
      <c r="AN54" s="440"/>
      <c r="AO54" s="440"/>
      <c r="AP54" s="440"/>
      <c r="AQ54" s="440"/>
      <c r="AR54" s="440"/>
      <c r="AS54" s="440"/>
      <c r="AT54" s="440"/>
    </row>
    <row r="55" spans="1:46">
      <c r="AI55" s="19"/>
      <c r="AJ55" s="19"/>
      <c r="AM55" s="19"/>
      <c r="AN55" s="19"/>
      <c r="AO55" s="19"/>
      <c r="AP55" s="19"/>
      <c r="AQ55" s="19"/>
      <c r="AR55" s="19"/>
      <c r="AS55" s="19"/>
      <c r="AT55" s="19"/>
    </row>
    <row r="56" spans="1:46">
      <c r="A56" s="45"/>
      <c r="B56" s="45"/>
    </row>
    <row r="57" spans="1:46">
      <c r="A57" s="45"/>
      <c r="B57" s="45"/>
    </row>
  </sheetData>
  <mergeCells count="14">
    <mergeCell ref="O2:R2"/>
    <mergeCell ref="AE2:AH2"/>
    <mergeCell ref="AA2:AD2"/>
    <mergeCell ref="W2:Z2"/>
    <mergeCell ref="A2:A3"/>
    <mergeCell ref="B2:B3"/>
    <mergeCell ref="C2:F2"/>
    <mergeCell ref="G2:J2"/>
    <mergeCell ref="K2:N2"/>
    <mergeCell ref="AQ2:AT2"/>
    <mergeCell ref="AI2:AL2"/>
    <mergeCell ref="S2:V2"/>
    <mergeCell ref="AM2:AP2"/>
    <mergeCell ref="AU2:AX2"/>
  </mergeCells>
  <printOptions horizontalCentered="1"/>
  <pageMargins left="0.25" right="0.25" top="0.75" bottom="0.75" header="0.3" footer="0.3"/>
  <pageSetup paperSize="9" scale="24" fitToHeight="0" orientation="landscape" r:id="rId1"/>
  <headerFooter alignWithMargins="0">
    <oddHeader xml:space="preserve">&amp;C&amp;"Times New Roman,Kursywa"&amp;12
</oddHeader>
  </headerFooter>
  <ignoredErrors>
    <ignoredError sqref="P41:T41 L41 D41:H4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pageSetUpPr fitToPage="1"/>
  </sheetPr>
  <dimension ref="A1:AX80"/>
  <sheetViews>
    <sheetView showGridLines="0" view="pageBreakPreview" zoomScaleNormal="100" zoomScaleSheetLayoutView="100" zoomScalePageLayoutView="80" workbookViewId="0">
      <pane xSplit="2" ySplit="4" topLeftCell="AQ5" activePane="bottomRight" state="frozen"/>
      <selection pane="topRight" activeCell="C1" sqref="C1"/>
      <selection pane="bottomLeft" activeCell="A5" sqref="A5"/>
      <selection pane="bottomRight" activeCell="A2" sqref="A2:A3"/>
    </sheetView>
  </sheetViews>
  <sheetFormatPr defaultColWidth="8.85546875" defaultRowHeight="13.5" outlineLevelCol="1"/>
  <cols>
    <col min="1" max="1" width="59.140625" style="45" customWidth="1" outlineLevel="1"/>
    <col min="2" max="2" width="59.140625" style="45" bestFit="1" customWidth="1"/>
    <col min="3" max="50" width="7.140625" style="71" customWidth="1"/>
    <col min="51" max="16384" width="8.85546875" style="13"/>
  </cols>
  <sheetData>
    <row r="1" spans="1:50">
      <c r="A1" s="20" t="s">
        <v>544</v>
      </c>
      <c r="B1" s="20" t="s">
        <v>543</v>
      </c>
      <c r="AH1" s="72"/>
      <c r="AI1" s="72"/>
      <c r="AM1" s="72"/>
      <c r="AU1" s="72"/>
    </row>
    <row r="2" spans="1:50">
      <c r="A2" s="481" t="s">
        <v>155</v>
      </c>
      <c r="B2" s="481" t="s">
        <v>10</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5"/>
      <c r="AA2" s="477">
        <v>2013</v>
      </c>
      <c r="AB2" s="475"/>
      <c r="AC2" s="475"/>
      <c r="AD2" s="475"/>
      <c r="AE2" s="477">
        <v>2014</v>
      </c>
      <c r="AF2" s="475"/>
      <c r="AG2" s="475"/>
      <c r="AH2" s="475"/>
      <c r="AI2" s="477">
        <v>2015</v>
      </c>
      <c r="AJ2" s="475"/>
      <c r="AK2" s="475"/>
      <c r="AL2" s="475"/>
      <c r="AM2" s="477">
        <v>2016</v>
      </c>
      <c r="AN2" s="475"/>
      <c r="AO2" s="475"/>
      <c r="AP2" s="475"/>
      <c r="AQ2" s="477">
        <v>2017</v>
      </c>
      <c r="AR2" s="479"/>
      <c r="AS2" s="479"/>
      <c r="AT2" s="483"/>
      <c r="AU2" s="477">
        <v>2018</v>
      </c>
      <c r="AV2" s="479"/>
      <c r="AW2" s="479"/>
      <c r="AX2" s="480"/>
    </row>
    <row r="3" spans="1:50" s="14" customFormat="1" ht="25.5" customHeigh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23" t="s">
        <v>154</v>
      </c>
      <c r="AA3" s="22" t="s">
        <v>151</v>
      </c>
      <c r="AB3" s="23" t="s">
        <v>152</v>
      </c>
      <c r="AC3" s="23" t="s">
        <v>153</v>
      </c>
      <c r="AD3" s="23" t="s">
        <v>154</v>
      </c>
      <c r="AE3" s="22" t="s">
        <v>151</v>
      </c>
      <c r="AF3" s="23" t="s">
        <v>152</v>
      </c>
      <c r="AG3" s="23" t="s">
        <v>153</v>
      </c>
      <c r="AH3" s="23" t="s">
        <v>154</v>
      </c>
      <c r="AI3" s="22" t="s">
        <v>151</v>
      </c>
      <c r="AJ3" s="23" t="s">
        <v>152</v>
      </c>
      <c r="AK3" s="23" t="s">
        <v>153</v>
      </c>
      <c r="AL3" s="23" t="s">
        <v>154</v>
      </c>
      <c r="AM3" s="22" t="s">
        <v>151</v>
      </c>
      <c r="AN3" s="23" t="s">
        <v>152</v>
      </c>
      <c r="AO3" s="23" t="s">
        <v>153</v>
      </c>
      <c r="AP3" s="23" t="s">
        <v>154</v>
      </c>
      <c r="AQ3" s="22" t="s">
        <v>151</v>
      </c>
      <c r="AR3" s="23" t="s">
        <v>152</v>
      </c>
      <c r="AS3" s="23" t="s">
        <v>153</v>
      </c>
      <c r="AT3" s="23" t="s">
        <v>154</v>
      </c>
      <c r="AU3" s="22" t="s">
        <v>151</v>
      </c>
      <c r="AV3" s="23" t="s">
        <v>152</v>
      </c>
      <c r="AW3" s="23" t="s">
        <v>153</v>
      </c>
      <c r="AX3" s="23" t="s">
        <v>154</v>
      </c>
    </row>
    <row r="4" spans="1:50" s="14" customFormat="1" ht="12.75" customHeight="1">
      <c r="A4" s="24" t="s">
        <v>156</v>
      </c>
      <c r="B4" s="24" t="s">
        <v>11</v>
      </c>
      <c r="C4" s="73"/>
      <c r="D4" s="74"/>
      <c r="E4" s="74"/>
      <c r="F4" s="74"/>
      <c r="G4" s="73"/>
      <c r="H4" s="74"/>
      <c r="I4" s="74"/>
      <c r="J4" s="75"/>
      <c r="K4" s="73"/>
      <c r="L4" s="74"/>
      <c r="M4" s="74"/>
      <c r="N4" s="75"/>
      <c r="O4" s="73"/>
      <c r="P4" s="74"/>
      <c r="Q4" s="74"/>
      <c r="R4" s="75"/>
      <c r="S4" s="73"/>
      <c r="T4" s="74"/>
      <c r="U4" s="74"/>
      <c r="V4" s="75"/>
      <c r="W4" s="73"/>
      <c r="X4" s="74"/>
      <c r="Y4" s="74"/>
      <c r="Z4" s="75"/>
      <c r="AA4" s="73"/>
      <c r="AB4" s="74"/>
      <c r="AC4" s="74"/>
      <c r="AD4" s="75"/>
      <c r="AE4" s="76"/>
      <c r="AF4" s="77"/>
      <c r="AG4" s="77"/>
      <c r="AH4" s="77"/>
      <c r="AI4" s="76"/>
      <c r="AJ4" s="77"/>
      <c r="AK4" s="77"/>
      <c r="AL4" s="77"/>
      <c r="AM4" s="76"/>
      <c r="AN4" s="77"/>
      <c r="AO4" s="77"/>
      <c r="AP4" s="77"/>
      <c r="AQ4" s="76"/>
      <c r="AR4" s="77"/>
      <c r="AS4" s="77"/>
      <c r="AT4" s="77"/>
      <c r="AU4" s="76"/>
      <c r="AV4" s="77"/>
      <c r="AW4" s="77"/>
      <c r="AX4" s="77"/>
    </row>
    <row r="5" spans="1:50" s="16" customFormat="1">
      <c r="A5" s="28" t="s">
        <v>157</v>
      </c>
      <c r="B5" s="28" t="s">
        <v>550</v>
      </c>
      <c r="C5" s="69">
        <v>556</v>
      </c>
      <c r="D5" s="70">
        <v>586.00000000000011</v>
      </c>
      <c r="E5" s="70">
        <v>618.29999999999995</v>
      </c>
      <c r="F5" s="70">
        <v>673.3</v>
      </c>
      <c r="G5" s="69">
        <v>750.5</v>
      </c>
      <c r="H5" s="70">
        <v>855.3</v>
      </c>
      <c r="I5" s="70">
        <v>910.1</v>
      </c>
      <c r="J5" s="78">
        <v>982.8</v>
      </c>
      <c r="K5" s="79">
        <v>860.8</v>
      </c>
      <c r="L5" s="70">
        <v>773.3</v>
      </c>
      <c r="M5" s="70">
        <v>732.1</v>
      </c>
      <c r="N5" s="78">
        <v>711.5</v>
      </c>
      <c r="O5" s="69">
        <v>726.8</v>
      </c>
      <c r="P5" s="70">
        <v>723.1</v>
      </c>
      <c r="Q5" s="70">
        <v>747.3</v>
      </c>
      <c r="R5" s="78">
        <v>751.5</v>
      </c>
      <c r="S5" s="69">
        <v>772.6</v>
      </c>
      <c r="T5" s="70">
        <v>833.6</v>
      </c>
      <c r="U5" s="70">
        <v>882.3</v>
      </c>
      <c r="V5" s="78">
        <v>897</v>
      </c>
      <c r="W5" s="69">
        <v>945.2</v>
      </c>
      <c r="X5" s="70">
        <v>945.2</v>
      </c>
      <c r="Y5" s="70">
        <v>963.19999999999982</v>
      </c>
      <c r="Z5" s="78">
        <v>977.9</v>
      </c>
      <c r="AA5" s="69">
        <v>925.1</v>
      </c>
      <c r="AB5" s="70">
        <v>902.8</v>
      </c>
      <c r="AC5" s="70">
        <v>895.40000000000009</v>
      </c>
      <c r="AD5" s="78">
        <v>891.4</v>
      </c>
      <c r="AE5" s="69">
        <v>903.8</v>
      </c>
      <c r="AF5" s="70">
        <v>932.6</v>
      </c>
      <c r="AG5" s="70">
        <v>962.2</v>
      </c>
      <c r="AH5" s="78">
        <v>925.9</v>
      </c>
      <c r="AI5" s="69">
        <v>887</v>
      </c>
      <c r="AJ5" s="70">
        <v>878</v>
      </c>
      <c r="AK5" s="70">
        <v>928.5</v>
      </c>
      <c r="AL5" s="78">
        <v>935.1</v>
      </c>
      <c r="AM5" s="69">
        <v>935</v>
      </c>
      <c r="AN5" s="70">
        <v>961.2</v>
      </c>
      <c r="AO5" s="70">
        <v>1010.5</v>
      </c>
      <c r="AP5" s="78">
        <v>1016.1999999999998</v>
      </c>
      <c r="AQ5" s="69">
        <v>1004.3</v>
      </c>
      <c r="AR5" s="70">
        <v>1040.6000000000001</v>
      </c>
      <c r="AS5" s="70">
        <v>1081.5999999999999</v>
      </c>
      <c r="AT5" s="78">
        <v>1111</v>
      </c>
      <c r="AU5" s="69">
        <v>1098.0999999999999</v>
      </c>
      <c r="AV5" s="70">
        <v>1150.2</v>
      </c>
      <c r="AW5" s="70">
        <v>1194.7000000000003</v>
      </c>
      <c r="AX5" s="70">
        <v>1230.8</v>
      </c>
    </row>
    <row r="6" spans="1:50" s="16" customFormat="1">
      <c r="A6" s="28" t="s">
        <v>701</v>
      </c>
      <c r="B6" s="28" t="s">
        <v>694</v>
      </c>
      <c r="C6" s="69" t="s">
        <v>337</v>
      </c>
      <c r="D6" s="70" t="s">
        <v>337</v>
      </c>
      <c r="E6" s="70" t="s">
        <v>337</v>
      </c>
      <c r="F6" s="70" t="s">
        <v>337</v>
      </c>
      <c r="G6" s="69" t="s">
        <v>337</v>
      </c>
      <c r="H6" s="70" t="s">
        <v>337</v>
      </c>
      <c r="I6" s="70" t="s">
        <v>337</v>
      </c>
      <c r="J6" s="78" t="s">
        <v>337</v>
      </c>
      <c r="K6" s="79" t="s">
        <v>337</v>
      </c>
      <c r="L6" s="70" t="s">
        <v>337</v>
      </c>
      <c r="M6" s="70" t="s">
        <v>337</v>
      </c>
      <c r="N6" s="78" t="s">
        <v>337</v>
      </c>
      <c r="O6" s="69" t="s">
        <v>337</v>
      </c>
      <c r="P6" s="70" t="s">
        <v>337</v>
      </c>
      <c r="Q6" s="70" t="s">
        <v>337</v>
      </c>
      <c r="R6" s="78" t="s">
        <v>337</v>
      </c>
      <c r="S6" s="69" t="s">
        <v>337</v>
      </c>
      <c r="T6" s="70" t="s">
        <v>337</v>
      </c>
      <c r="U6" s="70" t="s">
        <v>337</v>
      </c>
      <c r="V6" s="78" t="s">
        <v>337</v>
      </c>
      <c r="W6" s="69" t="s">
        <v>337</v>
      </c>
      <c r="X6" s="70" t="s">
        <v>337</v>
      </c>
      <c r="Y6" s="70" t="s">
        <v>337</v>
      </c>
      <c r="Z6" s="78" t="s">
        <v>337</v>
      </c>
      <c r="AA6" s="69" t="s">
        <v>337</v>
      </c>
      <c r="AB6" s="70" t="s">
        <v>337</v>
      </c>
      <c r="AC6" s="70" t="s">
        <v>337</v>
      </c>
      <c r="AD6" s="78" t="s">
        <v>337</v>
      </c>
      <c r="AE6" s="69" t="s">
        <v>337</v>
      </c>
      <c r="AF6" s="70" t="s">
        <v>337</v>
      </c>
      <c r="AG6" s="70" t="s">
        <v>337</v>
      </c>
      <c r="AH6" s="78" t="s">
        <v>337</v>
      </c>
      <c r="AI6" s="69" t="s">
        <v>337</v>
      </c>
      <c r="AJ6" s="70" t="s">
        <v>337</v>
      </c>
      <c r="AK6" s="70" t="s">
        <v>337</v>
      </c>
      <c r="AL6" s="78" t="s">
        <v>337</v>
      </c>
      <c r="AM6" s="69" t="s">
        <v>337</v>
      </c>
      <c r="AN6" s="70" t="s">
        <v>337</v>
      </c>
      <c r="AO6" s="70" t="s">
        <v>337</v>
      </c>
      <c r="AP6" s="78" t="s">
        <v>337</v>
      </c>
      <c r="AQ6" s="69" t="s">
        <v>337</v>
      </c>
      <c r="AR6" s="70" t="s">
        <v>337</v>
      </c>
      <c r="AS6" s="70" t="s">
        <v>337</v>
      </c>
      <c r="AT6" s="80" t="s">
        <v>337</v>
      </c>
      <c r="AU6" s="69">
        <v>1096.8</v>
      </c>
      <c r="AV6" s="70">
        <v>1148.8</v>
      </c>
      <c r="AW6" s="70">
        <v>1193.4000000000001</v>
      </c>
      <c r="AX6" s="70">
        <v>1229.5</v>
      </c>
    </row>
    <row r="7" spans="1:50" s="16" customFormat="1">
      <c r="A7" s="28" t="s">
        <v>702</v>
      </c>
      <c r="B7" s="28" t="s">
        <v>551</v>
      </c>
      <c r="C7" s="69" t="s">
        <v>337</v>
      </c>
      <c r="D7" s="70" t="s">
        <v>337</v>
      </c>
      <c r="E7" s="70" t="s">
        <v>337</v>
      </c>
      <c r="F7" s="70" t="s">
        <v>337</v>
      </c>
      <c r="G7" s="69" t="s">
        <v>337</v>
      </c>
      <c r="H7" s="70" t="s">
        <v>337</v>
      </c>
      <c r="I7" s="70" t="s">
        <v>337</v>
      </c>
      <c r="J7" s="78" t="s">
        <v>337</v>
      </c>
      <c r="K7" s="79" t="s">
        <v>337</v>
      </c>
      <c r="L7" s="70" t="s">
        <v>337</v>
      </c>
      <c r="M7" s="70" t="s">
        <v>337</v>
      </c>
      <c r="N7" s="78" t="s">
        <v>337</v>
      </c>
      <c r="O7" s="69" t="s">
        <v>337</v>
      </c>
      <c r="P7" s="70" t="s">
        <v>337</v>
      </c>
      <c r="Q7" s="70" t="s">
        <v>337</v>
      </c>
      <c r="R7" s="78" t="s">
        <v>337</v>
      </c>
      <c r="S7" s="69" t="s">
        <v>337</v>
      </c>
      <c r="T7" s="70" t="s">
        <v>337</v>
      </c>
      <c r="U7" s="70" t="s">
        <v>337</v>
      </c>
      <c r="V7" s="78" t="s">
        <v>337</v>
      </c>
      <c r="W7" s="69" t="s">
        <v>337</v>
      </c>
      <c r="X7" s="70" t="s">
        <v>337</v>
      </c>
      <c r="Y7" s="70" t="s">
        <v>337</v>
      </c>
      <c r="Z7" s="78" t="s">
        <v>337</v>
      </c>
      <c r="AA7" s="69" t="s">
        <v>337</v>
      </c>
      <c r="AB7" s="70" t="s">
        <v>337</v>
      </c>
      <c r="AC7" s="70" t="s">
        <v>337</v>
      </c>
      <c r="AD7" s="78" t="s">
        <v>337</v>
      </c>
      <c r="AE7" s="69" t="s">
        <v>337</v>
      </c>
      <c r="AF7" s="70" t="s">
        <v>337</v>
      </c>
      <c r="AG7" s="70" t="s">
        <v>337</v>
      </c>
      <c r="AH7" s="78" t="s">
        <v>337</v>
      </c>
      <c r="AI7" s="69" t="s">
        <v>337</v>
      </c>
      <c r="AJ7" s="70" t="s">
        <v>337</v>
      </c>
      <c r="AK7" s="70" t="s">
        <v>337</v>
      </c>
      <c r="AL7" s="78" t="s">
        <v>337</v>
      </c>
      <c r="AM7" s="69" t="s">
        <v>337</v>
      </c>
      <c r="AN7" s="70" t="s">
        <v>337</v>
      </c>
      <c r="AO7" s="70" t="s">
        <v>337</v>
      </c>
      <c r="AP7" s="78" t="s">
        <v>337</v>
      </c>
      <c r="AQ7" s="69" t="s">
        <v>337</v>
      </c>
      <c r="AR7" s="70" t="s">
        <v>337</v>
      </c>
      <c r="AS7" s="70" t="s">
        <v>337</v>
      </c>
      <c r="AT7" s="78" t="s">
        <v>337</v>
      </c>
      <c r="AU7" s="69">
        <v>1.3</v>
      </c>
      <c r="AV7" s="70">
        <v>1.4</v>
      </c>
      <c r="AW7" s="70">
        <v>1.3</v>
      </c>
      <c r="AX7" s="70">
        <v>1.3</v>
      </c>
    </row>
    <row r="8" spans="1:50" s="16" customFormat="1">
      <c r="A8" s="32" t="s">
        <v>158</v>
      </c>
      <c r="B8" s="32" t="s">
        <v>0</v>
      </c>
      <c r="C8" s="69">
        <f>320.1-0.2</f>
        <v>319.90000000000003</v>
      </c>
      <c r="D8" s="70">
        <v>339.1</v>
      </c>
      <c r="E8" s="70">
        <v>363.7</v>
      </c>
      <c r="F8" s="70">
        <v>410.09999999999997</v>
      </c>
      <c r="G8" s="69">
        <v>467.1</v>
      </c>
      <c r="H8" s="70">
        <v>539.5</v>
      </c>
      <c r="I8" s="70">
        <v>589.20000000000005</v>
      </c>
      <c r="J8" s="78">
        <v>650.29999999999995</v>
      </c>
      <c r="K8" s="69">
        <v>549.70000000000005</v>
      </c>
      <c r="L8" s="70">
        <v>414.3</v>
      </c>
      <c r="M8" s="70">
        <v>354.1</v>
      </c>
      <c r="N8" s="78">
        <v>357.1</v>
      </c>
      <c r="O8" s="69">
        <v>336.4</v>
      </c>
      <c r="P8" s="70">
        <v>317.8</v>
      </c>
      <c r="Q8" s="70">
        <v>337.1</v>
      </c>
      <c r="R8" s="78">
        <v>329.8</v>
      </c>
      <c r="S8" s="69">
        <v>337.7</v>
      </c>
      <c r="T8" s="70">
        <v>374.1</v>
      </c>
      <c r="U8" s="70">
        <v>404.9</v>
      </c>
      <c r="V8" s="78">
        <v>417.3</v>
      </c>
      <c r="W8" s="69">
        <v>431.7</v>
      </c>
      <c r="X8" s="70">
        <v>431.1</v>
      </c>
      <c r="Y8" s="70">
        <v>447.70000000000005</v>
      </c>
      <c r="Z8" s="78">
        <v>472.1</v>
      </c>
      <c r="AA8" s="69">
        <v>449.3</v>
      </c>
      <c r="AB8" s="70">
        <v>407.5</v>
      </c>
      <c r="AC8" s="70">
        <v>369.29999999999995</v>
      </c>
      <c r="AD8" s="78">
        <v>346</v>
      </c>
      <c r="AE8" s="69">
        <v>335.9</v>
      </c>
      <c r="AF8" s="70">
        <v>350.4</v>
      </c>
      <c r="AG8" s="70">
        <v>365.3</v>
      </c>
      <c r="AH8" s="78">
        <v>342.7</v>
      </c>
      <c r="AI8" s="69">
        <v>318</v>
      </c>
      <c r="AJ8" s="70">
        <v>283.89999999999998</v>
      </c>
      <c r="AK8" s="70">
        <v>283.89999999999998</v>
      </c>
      <c r="AL8" s="78">
        <v>275.7</v>
      </c>
      <c r="AM8" s="69">
        <v>266.89999999999998</v>
      </c>
      <c r="AN8" s="70">
        <v>270.3</v>
      </c>
      <c r="AO8" s="70">
        <v>225.6</v>
      </c>
      <c r="AP8" s="78">
        <v>206.70000000000002</v>
      </c>
      <c r="AQ8" s="69">
        <v>209.49999999999997</v>
      </c>
      <c r="AR8" s="70">
        <v>210.1</v>
      </c>
      <c r="AS8" s="70">
        <v>212.7</v>
      </c>
      <c r="AT8" s="78">
        <v>215.79999999999998</v>
      </c>
      <c r="AU8" s="69">
        <v>215.1</v>
      </c>
      <c r="AV8" s="70">
        <v>230.2</v>
      </c>
      <c r="AW8" s="70">
        <v>233.5</v>
      </c>
      <c r="AX8" s="70">
        <v>235.70000000000002</v>
      </c>
    </row>
    <row r="9" spans="1:50" s="17" customFormat="1">
      <c r="A9" s="33" t="s">
        <v>159</v>
      </c>
      <c r="B9" s="33" t="s">
        <v>1</v>
      </c>
      <c r="C9" s="81">
        <f>C5-C8</f>
        <v>236.09999999999997</v>
      </c>
      <c r="D9" s="82">
        <f t="shared" ref="D9:X9" si="0">D5-D8</f>
        <v>246.90000000000009</v>
      </c>
      <c r="E9" s="82">
        <f t="shared" si="0"/>
        <v>254.59999999999997</v>
      </c>
      <c r="F9" s="82">
        <f t="shared" si="0"/>
        <v>263.2</v>
      </c>
      <c r="G9" s="81">
        <f t="shared" si="0"/>
        <v>283.39999999999998</v>
      </c>
      <c r="H9" s="82">
        <f t="shared" si="0"/>
        <v>315.79999999999995</v>
      </c>
      <c r="I9" s="82">
        <f t="shared" si="0"/>
        <v>320.89999999999998</v>
      </c>
      <c r="J9" s="83">
        <f t="shared" si="0"/>
        <v>332.5</v>
      </c>
      <c r="K9" s="81">
        <f t="shared" si="0"/>
        <v>311.09999999999991</v>
      </c>
      <c r="L9" s="82">
        <f t="shared" si="0"/>
        <v>358.99999999999994</v>
      </c>
      <c r="M9" s="82">
        <f t="shared" si="0"/>
        <v>378</v>
      </c>
      <c r="N9" s="83">
        <f t="shared" si="0"/>
        <v>354.4</v>
      </c>
      <c r="O9" s="81">
        <f t="shared" si="0"/>
        <v>390.4</v>
      </c>
      <c r="P9" s="82">
        <f t="shared" si="0"/>
        <v>405.3</v>
      </c>
      <c r="Q9" s="82">
        <f t="shared" si="0"/>
        <v>410.19999999999993</v>
      </c>
      <c r="R9" s="83">
        <f t="shared" si="0"/>
        <v>421.7</v>
      </c>
      <c r="S9" s="81">
        <f t="shared" si="0"/>
        <v>434.90000000000003</v>
      </c>
      <c r="T9" s="82">
        <f t="shared" si="0"/>
        <v>459.5</v>
      </c>
      <c r="U9" s="82">
        <f t="shared" si="0"/>
        <v>477.4</v>
      </c>
      <c r="V9" s="83">
        <f t="shared" si="0"/>
        <v>479.7</v>
      </c>
      <c r="W9" s="81">
        <f t="shared" si="0"/>
        <v>513.5</v>
      </c>
      <c r="X9" s="82">
        <f t="shared" si="0"/>
        <v>514.1</v>
      </c>
      <c r="Y9" s="82">
        <f t="shared" ref="Y9:AF9" si="1">Y5-Y8</f>
        <v>515.49999999999977</v>
      </c>
      <c r="Z9" s="83">
        <f t="shared" si="1"/>
        <v>505.79999999999995</v>
      </c>
      <c r="AA9" s="81">
        <f t="shared" si="1"/>
        <v>475.8</v>
      </c>
      <c r="AB9" s="82">
        <f t="shared" si="1"/>
        <v>495.29999999999995</v>
      </c>
      <c r="AC9" s="82">
        <f t="shared" si="1"/>
        <v>526.10000000000014</v>
      </c>
      <c r="AD9" s="83">
        <f t="shared" si="1"/>
        <v>545.4</v>
      </c>
      <c r="AE9" s="81">
        <f t="shared" si="1"/>
        <v>567.9</v>
      </c>
      <c r="AF9" s="82">
        <f t="shared" si="1"/>
        <v>582.20000000000005</v>
      </c>
      <c r="AG9" s="82">
        <f t="shared" ref="AG9:AL9" si="2">AG5-AG8</f>
        <v>596.90000000000009</v>
      </c>
      <c r="AH9" s="82">
        <f t="shared" si="2"/>
        <v>583.20000000000005</v>
      </c>
      <c r="AI9" s="81">
        <f t="shared" si="2"/>
        <v>569</v>
      </c>
      <c r="AJ9" s="82">
        <f t="shared" si="2"/>
        <v>594.1</v>
      </c>
      <c r="AK9" s="82">
        <f t="shared" si="2"/>
        <v>644.6</v>
      </c>
      <c r="AL9" s="82">
        <f t="shared" si="2"/>
        <v>659.40000000000009</v>
      </c>
      <c r="AM9" s="81">
        <f t="shared" ref="AM9:AU9" si="3">AM5-AM8</f>
        <v>668.1</v>
      </c>
      <c r="AN9" s="82">
        <f t="shared" si="3"/>
        <v>690.90000000000009</v>
      </c>
      <c r="AO9" s="82">
        <f t="shared" si="3"/>
        <v>784.9</v>
      </c>
      <c r="AP9" s="82">
        <f t="shared" si="3"/>
        <v>809.49999999999977</v>
      </c>
      <c r="AQ9" s="81">
        <f t="shared" si="3"/>
        <v>794.8</v>
      </c>
      <c r="AR9" s="82">
        <f t="shared" si="3"/>
        <v>830.50000000000011</v>
      </c>
      <c r="AS9" s="82">
        <f t="shared" si="3"/>
        <v>868.89999999999986</v>
      </c>
      <c r="AT9" s="82">
        <f t="shared" si="3"/>
        <v>895.2</v>
      </c>
      <c r="AU9" s="81">
        <f t="shared" si="3"/>
        <v>882.99999999999989</v>
      </c>
      <c r="AV9" s="82">
        <f>AV5-AV8</f>
        <v>920</v>
      </c>
      <c r="AW9" s="82">
        <f>AW5-AW8</f>
        <v>961.20000000000027</v>
      </c>
      <c r="AX9" s="82">
        <f>AX5-AX8</f>
        <v>995.09999999999991</v>
      </c>
    </row>
    <row r="10" spans="1:50" s="16" customFormat="1">
      <c r="A10" s="28" t="s">
        <v>160</v>
      </c>
      <c r="B10" s="28" t="s">
        <v>2</v>
      </c>
      <c r="C10" s="69">
        <v>239</v>
      </c>
      <c r="D10" s="70">
        <v>248.50000000000003</v>
      </c>
      <c r="E10" s="70">
        <f>251.9-0.1</f>
        <v>251.8</v>
      </c>
      <c r="F10" s="70">
        <v>241.49999999999997</v>
      </c>
      <c r="G10" s="69">
        <v>228.79999999999998</v>
      </c>
      <c r="H10" s="70">
        <v>235.70000000000002</v>
      </c>
      <c r="I10" s="70">
        <v>244.7</v>
      </c>
      <c r="J10" s="78">
        <v>268.5</v>
      </c>
      <c r="K10" s="69">
        <f>256.1-0.1</f>
        <v>256</v>
      </c>
      <c r="L10" s="70">
        <f>275.3-0.7</f>
        <v>274.60000000000002</v>
      </c>
      <c r="M10" s="70">
        <f>278</f>
        <v>278</v>
      </c>
      <c r="N10" s="78">
        <f>275.7-0.2</f>
        <v>275.5</v>
      </c>
      <c r="O10" s="69">
        <f>264.1-0.1</f>
        <v>264</v>
      </c>
      <c r="P10" s="70">
        <f>277.6-0.1</f>
        <v>277.5</v>
      </c>
      <c r="Q10" s="70">
        <f>287.2-0.4</f>
        <v>286.8</v>
      </c>
      <c r="R10" s="78">
        <f>288.2-0.4</f>
        <v>287.8</v>
      </c>
      <c r="S10" s="69">
        <f>285.9-0.3</f>
        <v>285.59999999999997</v>
      </c>
      <c r="T10" s="70">
        <f>295.7-0.7</f>
        <v>295</v>
      </c>
      <c r="U10" s="70">
        <f>297.7-0.5</f>
        <v>297.2</v>
      </c>
      <c r="V10" s="78">
        <f>290.8-0.9</f>
        <v>289.90000000000003</v>
      </c>
      <c r="W10" s="69">
        <f>280.7-0.7-0.3</f>
        <v>279.7</v>
      </c>
      <c r="X10" s="70">
        <f>285.4-0.8-0.3</f>
        <v>284.29999999999995</v>
      </c>
      <c r="Y10" s="70">
        <f>283.8-0.8-0.3</f>
        <v>282.7</v>
      </c>
      <c r="Z10" s="78">
        <f>292.6-1.6-0.3</f>
        <v>290.7</v>
      </c>
      <c r="AA10" s="69">
        <f>271.3-0.3-0.1-0.3</f>
        <v>270.59999999999997</v>
      </c>
      <c r="AB10" s="70">
        <f>294.2-0.5-10.3-0.2-0.1-0.3</f>
        <v>282.79999999999995</v>
      </c>
      <c r="AC10" s="70">
        <f>263.4-1.2+5.1-0.3-1-0.3</f>
        <v>265.7</v>
      </c>
      <c r="AD10" s="78">
        <f>292.2-0.5-1.8-0.3</f>
        <v>289.59999999999997</v>
      </c>
      <c r="AE10" s="69">
        <f>297.7-0.9-0.3</f>
        <v>296.5</v>
      </c>
      <c r="AF10" s="70">
        <f>305.8-0.2-0.3</f>
        <v>305.3</v>
      </c>
      <c r="AG10" s="70">
        <f>286.4-0.6-0.3</f>
        <v>285.49999999999994</v>
      </c>
      <c r="AH10" s="78">
        <f>280-0.3</f>
        <v>279.7</v>
      </c>
      <c r="AI10" s="69">
        <f>277-1.3</f>
        <v>275.7</v>
      </c>
      <c r="AJ10" s="70">
        <f>291.3-0.3</f>
        <v>291</v>
      </c>
      <c r="AK10" s="70">
        <f>279.8-0.3</f>
        <v>279.5</v>
      </c>
      <c r="AL10" s="78">
        <f>286.6-0.3</f>
        <v>286.3</v>
      </c>
      <c r="AM10" s="69">
        <f>285.6-1.7</f>
        <v>283.90000000000003</v>
      </c>
      <c r="AN10" s="70">
        <f>294.7-0.3</f>
        <v>294.39999999999998</v>
      </c>
      <c r="AO10" s="70">
        <f>303.1-0.3</f>
        <v>302.8</v>
      </c>
      <c r="AP10" s="78">
        <v>320.2</v>
      </c>
      <c r="AQ10" s="69">
        <v>323.2</v>
      </c>
      <c r="AR10" s="70">
        <v>327.60000000000002</v>
      </c>
      <c r="AS10" s="70">
        <v>343.29999999999995</v>
      </c>
      <c r="AT10" s="78">
        <v>349.00000000000011</v>
      </c>
      <c r="AU10" s="69">
        <v>350.80000000000007</v>
      </c>
      <c r="AV10" s="70">
        <v>381.5</v>
      </c>
      <c r="AW10" s="70">
        <v>355.30000000000007</v>
      </c>
      <c r="AX10" s="70">
        <v>372.60000000000008</v>
      </c>
    </row>
    <row r="11" spans="1:50" s="16" customFormat="1">
      <c r="A11" s="28" t="s">
        <v>161</v>
      </c>
      <c r="B11" s="28" t="s">
        <v>3</v>
      </c>
      <c r="C11" s="69">
        <f>16.7-1</f>
        <v>15.7</v>
      </c>
      <c r="D11" s="70">
        <f>15.2-1</f>
        <v>14.2</v>
      </c>
      <c r="E11" s="70">
        <f>21.1-1</f>
        <v>20.100000000000001</v>
      </c>
      <c r="F11" s="70">
        <f>29-1</f>
        <v>28</v>
      </c>
      <c r="G11" s="69">
        <f>22.1-1.2</f>
        <v>20.900000000000002</v>
      </c>
      <c r="H11" s="70">
        <f>19.9-1.2</f>
        <v>18.7</v>
      </c>
      <c r="I11" s="70">
        <f>16.4-1.2</f>
        <v>15.2</v>
      </c>
      <c r="J11" s="78">
        <f>29.6-1.2</f>
        <v>28.400000000000002</v>
      </c>
      <c r="K11" s="69">
        <f>22.1-4.1-0.1</f>
        <v>17.899999999999999</v>
      </c>
      <c r="L11" s="70">
        <f>25.4-4.1-0.7</f>
        <v>20.599999999999998</v>
      </c>
      <c r="M11" s="70">
        <f>25-4.1</f>
        <v>20.9</v>
      </c>
      <c r="N11" s="78">
        <f>48.2-4.1-0.2</f>
        <v>43.9</v>
      </c>
      <c r="O11" s="69">
        <f>35.6-3.9-0.1</f>
        <v>31.6</v>
      </c>
      <c r="P11" s="70">
        <f>30.7-3.9-0.1</f>
        <v>26.7</v>
      </c>
      <c r="Q11" s="70">
        <f>31.6-3.9-0.4</f>
        <v>27.300000000000004</v>
      </c>
      <c r="R11" s="78">
        <f>31.9-3.9-0.4</f>
        <v>27.6</v>
      </c>
      <c r="S11" s="69">
        <f>34.5-9.1-0.3</f>
        <v>25.099999999999998</v>
      </c>
      <c r="T11" s="70">
        <f>37.3-9.1-0.7</f>
        <v>27.499999999999996</v>
      </c>
      <c r="U11" s="70">
        <f>36.3-9.1-0.5</f>
        <v>26.699999999999996</v>
      </c>
      <c r="V11" s="78">
        <f>40.8-9.1-0.9</f>
        <v>30.799999999999997</v>
      </c>
      <c r="W11" s="69">
        <f>33.7-11-0.7-0.3</f>
        <v>21.700000000000003</v>
      </c>
      <c r="X11" s="70">
        <f>35-11-0.8-0.3</f>
        <v>22.9</v>
      </c>
      <c r="Y11" s="70">
        <f>32.6-11-0.8-0.3</f>
        <v>20.5</v>
      </c>
      <c r="Z11" s="78">
        <f>36.9-11-1.6-0.3</f>
        <v>23.999999999999996</v>
      </c>
      <c r="AA11" s="69">
        <f>31.5-11.3-0.3-0.1-0.3</f>
        <v>19.499999999999996</v>
      </c>
      <c r="AB11" s="70">
        <f>33.8-11.4-0.2-0.1-0.3</f>
        <v>21.799999999999997</v>
      </c>
      <c r="AC11" s="70">
        <f>33.6-11.3-0.3-1-0.3</f>
        <v>20.7</v>
      </c>
      <c r="AD11" s="78">
        <f>38.7-11.3-0.5-1.8-0.3</f>
        <v>24.8</v>
      </c>
      <c r="AE11" s="69">
        <f>21.6-0.9-0.3</f>
        <v>20.400000000000002</v>
      </c>
      <c r="AF11" s="70">
        <f>26.2-0.2-0.3</f>
        <v>25.7</v>
      </c>
      <c r="AG11" s="70">
        <f>28.1-0.6-0.3</f>
        <v>27.2</v>
      </c>
      <c r="AH11" s="78">
        <f>31.1-0.3</f>
        <v>30.8</v>
      </c>
      <c r="AI11" s="69">
        <f>27-1.3</f>
        <v>25.7</v>
      </c>
      <c r="AJ11" s="70">
        <f>27.8-0.3</f>
        <v>27.5</v>
      </c>
      <c r="AK11" s="70">
        <f>30.9-0.3</f>
        <v>30.599999999999998</v>
      </c>
      <c r="AL11" s="78">
        <f>31.8-0.3</f>
        <v>31.5</v>
      </c>
      <c r="AM11" s="69">
        <f>31.7-1.7</f>
        <v>30</v>
      </c>
      <c r="AN11" s="70">
        <f>36.6-0.3</f>
        <v>36.300000000000004</v>
      </c>
      <c r="AO11" s="70">
        <f>33.8-0.3</f>
        <v>33.5</v>
      </c>
      <c r="AP11" s="78">
        <v>36.700000000000003</v>
      </c>
      <c r="AQ11" s="69">
        <v>32.4</v>
      </c>
      <c r="AR11" s="70">
        <v>34.5</v>
      </c>
      <c r="AS11" s="70">
        <v>33.400000000000006</v>
      </c>
      <c r="AT11" s="78">
        <v>46.79999999999999</v>
      </c>
      <c r="AU11" s="69">
        <v>32.699999999999996</v>
      </c>
      <c r="AV11" s="70">
        <v>41.9</v>
      </c>
      <c r="AW11" s="70">
        <v>38.800000000000004</v>
      </c>
      <c r="AX11" s="70">
        <v>41.9</v>
      </c>
    </row>
    <row r="12" spans="1:50" s="14" customFormat="1">
      <c r="A12" s="33" t="s">
        <v>162</v>
      </c>
      <c r="B12" s="33" t="s">
        <v>4</v>
      </c>
      <c r="C12" s="81">
        <f>C10-C11</f>
        <v>223.3</v>
      </c>
      <c r="D12" s="82">
        <f t="shared" ref="D12:X12" si="4">D10-D11</f>
        <v>234.30000000000004</v>
      </c>
      <c r="E12" s="82">
        <f t="shared" si="4"/>
        <v>231.70000000000002</v>
      </c>
      <c r="F12" s="82">
        <f t="shared" si="4"/>
        <v>213.49999999999997</v>
      </c>
      <c r="G12" s="81">
        <f t="shared" si="4"/>
        <v>207.89999999999998</v>
      </c>
      <c r="H12" s="82">
        <f t="shared" si="4"/>
        <v>217.00000000000003</v>
      </c>
      <c r="I12" s="82">
        <f t="shared" si="4"/>
        <v>229.5</v>
      </c>
      <c r="J12" s="83">
        <f t="shared" si="4"/>
        <v>240.1</v>
      </c>
      <c r="K12" s="81">
        <f t="shared" si="4"/>
        <v>238.1</v>
      </c>
      <c r="L12" s="82">
        <f t="shared" si="4"/>
        <v>254.00000000000003</v>
      </c>
      <c r="M12" s="82">
        <f t="shared" si="4"/>
        <v>257.10000000000002</v>
      </c>
      <c r="N12" s="83">
        <f t="shared" si="4"/>
        <v>231.6</v>
      </c>
      <c r="O12" s="81">
        <f t="shared" si="4"/>
        <v>232.4</v>
      </c>
      <c r="P12" s="82">
        <f t="shared" si="4"/>
        <v>250.8</v>
      </c>
      <c r="Q12" s="82">
        <f t="shared" si="4"/>
        <v>259.5</v>
      </c>
      <c r="R12" s="83">
        <f t="shared" si="4"/>
        <v>260.2</v>
      </c>
      <c r="S12" s="81">
        <f t="shared" si="4"/>
        <v>260.49999999999994</v>
      </c>
      <c r="T12" s="82">
        <f t="shared" si="4"/>
        <v>267.5</v>
      </c>
      <c r="U12" s="82">
        <f t="shared" si="4"/>
        <v>270.5</v>
      </c>
      <c r="V12" s="83">
        <f t="shared" si="4"/>
        <v>259.10000000000002</v>
      </c>
      <c r="W12" s="81">
        <f t="shared" si="4"/>
        <v>258</v>
      </c>
      <c r="X12" s="82">
        <f t="shared" si="4"/>
        <v>261.39999999999998</v>
      </c>
      <c r="Y12" s="82">
        <f t="shared" ref="Y12:AF12" si="5">Y10-Y11</f>
        <v>262.2</v>
      </c>
      <c r="Z12" s="83">
        <f t="shared" si="5"/>
        <v>266.7</v>
      </c>
      <c r="AA12" s="81">
        <f t="shared" si="5"/>
        <v>251.09999999999997</v>
      </c>
      <c r="AB12" s="82">
        <f t="shared" si="5"/>
        <v>260.99999999999994</v>
      </c>
      <c r="AC12" s="82">
        <f t="shared" si="5"/>
        <v>245</v>
      </c>
      <c r="AD12" s="83">
        <f t="shared" si="5"/>
        <v>264.79999999999995</v>
      </c>
      <c r="AE12" s="81">
        <f t="shared" si="5"/>
        <v>276.10000000000002</v>
      </c>
      <c r="AF12" s="82">
        <f t="shared" si="5"/>
        <v>279.60000000000002</v>
      </c>
      <c r="AG12" s="82">
        <f t="shared" ref="AG12:AL12" si="6">AG10-AG11</f>
        <v>258.29999999999995</v>
      </c>
      <c r="AH12" s="82">
        <f t="shared" si="6"/>
        <v>248.89999999999998</v>
      </c>
      <c r="AI12" s="81">
        <f t="shared" si="6"/>
        <v>250</v>
      </c>
      <c r="AJ12" s="82">
        <f t="shared" si="6"/>
        <v>263.5</v>
      </c>
      <c r="AK12" s="82">
        <f t="shared" si="6"/>
        <v>248.9</v>
      </c>
      <c r="AL12" s="82">
        <f t="shared" si="6"/>
        <v>254.8</v>
      </c>
      <c r="AM12" s="81">
        <f t="shared" ref="AM12:AU12" si="7">AM10-AM11</f>
        <v>253.90000000000003</v>
      </c>
      <c r="AN12" s="82">
        <f t="shared" si="7"/>
        <v>258.09999999999997</v>
      </c>
      <c r="AO12" s="82">
        <f t="shared" si="7"/>
        <v>269.3</v>
      </c>
      <c r="AP12" s="82">
        <f t="shared" si="7"/>
        <v>283.5</v>
      </c>
      <c r="AQ12" s="81">
        <f t="shared" si="7"/>
        <v>290.8</v>
      </c>
      <c r="AR12" s="82">
        <f t="shared" si="7"/>
        <v>293.10000000000002</v>
      </c>
      <c r="AS12" s="82">
        <f t="shared" si="7"/>
        <v>309.89999999999998</v>
      </c>
      <c r="AT12" s="82">
        <f t="shared" si="7"/>
        <v>302.2000000000001</v>
      </c>
      <c r="AU12" s="81">
        <f t="shared" si="7"/>
        <v>318.10000000000008</v>
      </c>
      <c r="AV12" s="82">
        <f>AV10-AV11</f>
        <v>339.6</v>
      </c>
      <c r="AW12" s="82">
        <f>AW10-AW11</f>
        <v>316.50000000000006</v>
      </c>
      <c r="AX12" s="82">
        <f>AX10-AX11</f>
        <v>330.7000000000001</v>
      </c>
    </row>
    <row r="13" spans="1:50" s="17" customFormat="1" ht="22.5">
      <c r="A13" s="56" t="s">
        <v>697</v>
      </c>
      <c r="B13" s="37" t="s">
        <v>507</v>
      </c>
      <c r="C13" s="69">
        <v>37.799999999999997</v>
      </c>
      <c r="D13" s="70">
        <v>17.400000000000006</v>
      </c>
      <c r="E13" s="84">
        <v>36.299999999999997</v>
      </c>
      <c r="F13" s="70">
        <v>-8.4999999999999716</v>
      </c>
      <c r="G13" s="69">
        <v>72.5</v>
      </c>
      <c r="H13" s="70">
        <v>64.8</v>
      </c>
      <c r="I13" s="70">
        <v>53.4</v>
      </c>
      <c r="J13" s="78">
        <v>-307.89999999999998</v>
      </c>
      <c r="K13" s="69">
        <v>-24</v>
      </c>
      <c r="L13" s="70">
        <v>43.6</v>
      </c>
      <c r="M13" s="70">
        <v>58.8</v>
      </c>
      <c r="N13" s="78">
        <v>19.5</v>
      </c>
      <c r="O13" s="69">
        <v>28.5</v>
      </c>
      <c r="P13" s="70">
        <v>22.8</v>
      </c>
      <c r="Q13" s="70">
        <v>24.4</v>
      </c>
      <c r="R13" s="78">
        <v>1.8</v>
      </c>
      <c r="S13" s="69">
        <v>26.8</v>
      </c>
      <c r="T13" s="70">
        <f>11.5-0.1</f>
        <v>11.4</v>
      </c>
      <c r="U13" s="70">
        <v>-8.1</v>
      </c>
      <c r="V13" s="78">
        <v>-11.8</v>
      </c>
      <c r="W13" s="69">
        <v>53.7</v>
      </c>
      <c r="X13" s="70">
        <v>12.3</v>
      </c>
      <c r="Y13" s="70">
        <v>18.900000000000006</v>
      </c>
      <c r="Z13" s="78">
        <v>0.6</v>
      </c>
      <c r="AA13" s="69">
        <f>17.1-1</f>
        <v>16.100000000000001</v>
      </c>
      <c r="AB13" s="70">
        <f>24+10.3-5.2</f>
        <v>29.099999999999998</v>
      </c>
      <c r="AC13" s="70">
        <f>41.5-5.1-16.2</f>
        <v>20.2</v>
      </c>
      <c r="AD13" s="78">
        <v>10.1</v>
      </c>
      <c r="AE13" s="69">
        <f>25.3-0.4</f>
        <v>24.900000000000002</v>
      </c>
      <c r="AF13" s="70">
        <f>22.8</f>
        <v>22.8</v>
      </c>
      <c r="AG13" s="70">
        <v>23.6</v>
      </c>
      <c r="AH13" s="78">
        <v>23.1</v>
      </c>
      <c r="AI13" s="69">
        <v>15.2</v>
      </c>
      <c r="AJ13" s="70">
        <v>27.5</v>
      </c>
      <c r="AK13" s="70">
        <v>19.5</v>
      </c>
      <c r="AL13" s="78">
        <v>22.9</v>
      </c>
      <c r="AM13" s="69">
        <v>23</v>
      </c>
      <c r="AN13" s="70">
        <v>5.0999999999999996</v>
      </c>
      <c r="AO13" s="70">
        <v>16.399999999999999</v>
      </c>
      <c r="AP13" s="78">
        <v>12.7</v>
      </c>
      <c r="AQ13" s="69">
        <v>36.700000000000003</v>
      </c>
      <c r="AR13" s="70">
        <v>27.6</v>
      </c>
      <c r="AS13" s="70">
        <v>31.3</v>
      </c>
      <c r="AT13" s="78">
        <v>23.2</v>
      </c>
      <c r="AU13" s="69">
        <v>18</v>
      </c>
      <c r="AV13" s="70">
        <v>24.4</v>
      </c>
      <c r="AW13" s="70">
        <v>27.1</v>
      </c>
      <c r="AX13" s="70">
        <v>21.4</v>
      </c>
    </row>
    <row r="14" spans="1:50" s="17" customFormat="1" ht="13.5" customHeight="1">
      <c r="A14" s="37" t="s">
        <v>799</v>
      </c>
      <c r="B14" s="32" t="s">
        <v>798</v>
      </c>
      <c r="C14" s="69" t="s">
        <v>337</v>
      </c>
      <c r="D14" s="70" t="s">
        <v>337</v>
      </c>
      <c r="E14" s="70" t="s">
        <v>337</v>
      </c>
      <c r="F14" s="70" t="s">
        <v>337</v>
      </c>
      <c r="G14" s="69" t="s">
        <v>337</v>
      </c>
      <c r="H14" s="70" t="s">
        <v>337</v>
      </c>
      <c r="I14" s="70" t="s">
        <v>337</v>
      </c>
      <c r="J14" s="78" t="s">
        <v>337</v>
      </c>
      <c r="K14" s="79" t="s">
        <v>337</v>
      </c>
      <c r="L14" s="70" t="s">
        <v>337</v>
      </c>
      <c r="M14" s="70" t="s">
        <v>337</v>
      </c>
      <c r="N14" s="78" t="s">
        <v>337</v>
      </c>
      <c r="O14" s="69" t="s">
        <v>337</v>
      </c>
      <c r="P14" s="70" t="s">
        <v>337</v>
      </c>
      <c r="Q14" s="70" t="s">
        <v>337</v>
      </c>
      <c r="R14" s="78" t="s">
        <v>337</v>
      </c>
      <c r="S14" s="69" t="s">
        <v>337</v>
      </c>
      <c r="T14" s="70" t="s">
        <v>337</v>
      </c>
      <c r="U14" s="70" t="s">
        <v>337</v>
      </c>
      <c r="V14" s="78" t="s">
        <v>337</v>
      </c>
      <c r="W14" s="69" t="s">
        <v>337</v>
      </c>
      <c r="X14" s="70" t="s">
        <v>337</v>
      </c>
      <c r="Y14" s="70" t="s">
        <v>337</v>
      </c>
      <c r="Z14" s="78" t="s">
        <v>337</v>
      </c>
      <c r="AA14" s="69" t="s">
        <v>337</v>
      </c>
      <c r="AB14" s="70" t="s">
        <v>337</v>
      </c>
      <c r="AC14" s="70" t="s">
        <v>337</v>
      </c>
      <c r="AD14" s="78" t="s">
        <v>337</v>
      </c>
      <c r="AE14" s="69" t="s">
        <v>337</v>
      </c>
      <c r="AF14" s="70" t="s">
        <v>337</v>
      </c>
      <c r="AG14" s="70" t="s">
        <v>337</v>
      </c>
      <c r="AH14" s="78" t="s">
        <v>337</v>
      </c>
      <c r="AI14" s="69" t="s">
        <v>337</v>
      </c>
      <c r="AJ14" s="70" t="s">
        <v>337</v>
      </c>
      <c r="AK14" s="70" t="s">
        <v>337</v>
      </c>
      <c r="AL14" s="78" t="s">
        <v>337</v>
      </c>
      <c r="AM14" s="69" t="s">
        <v>337</v>
      </c>
      <c r="AN14" s="70" t="s">
        <v>337</v>
      </c>
      <c r="AO14" s="70" t="s">
        <v>337</v>
      </c>
      <c r="AP14" s="78" t="s">
        <v>337</v>
      </c>
      <c r="AQ14" s="69" t="s">
        <v>337</v>
      </c>
      <c r="AR14" s="70" t="s">
        <v>337</v>
      </c>
      <c r="AS14" s="70" t="s">
        <v>337</v>
      </c>
      <c r="AT14" s="80" t="s">
        <v>337</v>
      </c>
      <c r="AU14" s="70">
        <v>33.300000000000004</v>
      </c>
      <c r="AV14" s="70">
        <v>18.2</v>
      </c>
      <c r="AW14" s="70">
        <v>0</v>
      </c>
      <c r="AX14" s="70">
        <v>3.8</v>
      </c>
    </row>
    <row r="15" spans="1:50" s="17" customFormat="1">
      <c r="A15" s="32" t="s">
        <v>703</v>
      </c>
      <c r="B15" s="32" t="s">
        <v>338</v>
      </c>
      <c r="C15" s="69">
        <v>16.899999999999999</v>
      </c>
      <c r="D15" s="70">
        <v>6.1</v>
      </c>
      <c r="E15" s="70">
        <v>1.9</v>
      </c>
      <c r="F15" s="70">
        <v>0.1</v>
      </c>
      <c r="G15" s="69">
        <v>0.1</v>
      </c>
      <c r="H15" s="70">
        <v>24.1</v>
      </c>
      <c r="I15" s="70">
        <v>-0.3</v>
      </c>
      <c r="J15" s="78">
        <v>6.9</v>
      </c>
      <c r="K15" s="69">
        <v>0.3</v>
      </c>
      <c r="L15" s="70">
        <v>8.3000000000000007</v>
      </c>
      <c r="M15" s="70">
        <v>5.4</v>
      </c>
      <c r="N15" s="78">
        <v>-10.7</v>
      </c>
      <c r="O15" s="69">
        <v>4</v>
      </c>
      <c r="P15" s="70">
        <v>3</v>
      </c>
      <c r="Q15" s="70">
        <v>0.8</v>
      </c>
      <c r="R15" s="78">
        <v>-5.6</v>
      </c>
      <c r="S15" s="69">
        <v>18.2</v>
      </c>
      <c r="T15" s="70">
        <v>6.2</v>
      </c>
      <c r="U15" s="70">
        <v>7.7</v>
      </c>
      <c r="V15" s="78">
        <v>5.9</v>
      </c>
      <c r="W15" s="69">
        <v>19.100000000000001</v>
      </c>
      <c r="X15" s="70">
        <v>6.6</v>
      </c>
      <c r="Y15" s="70">
        <v>-0.89999999999999858</v>
      </c>
      <c r="Z15" s="78">
        <v>-0.2</v>
      </c>
      <c r="AA15" s="69">
        <f>120.4-20.9</f>
        <v>99.5</v>
      </c>
      <c r="AB15" s="70">
        <f>-0.3+6.8</f>
        <v>6.5</v>
      </c>
      <c r="AC15" s="70">
        <f>-11.7+3</f>
        <v>-8.6999999999999993</v>
      </c>
      <c r="AD15" s="78">
        <v>0.4</v>
      </c>
      <c r="AE15" s="69">
        <f>0.1+0.2</f>
        <v>0.30000000000000004</v>
      </c>
      <c r="AF15" s="70">
        <v>4.9000000000000004</v>
      </c>
      <c r="AG15" s="70">
        <v>5.2</v>
      </c>
      <c r="AH15" s="78">
        <v>5.4</v>
      </c>
      <c r="AI15" s="69">
        <f>51.5-0.6</f>
        <v>50.9</v>
      </c>
      <c r="AJ15" s="70">
        <v>90.6</v>
      </c>
      <c r="AK15" s="70">
        <v>23.2</v>
      </c>
      <c r="AL15" s="78">
        <v>0.3</v>
      </c>
      <c r="AM15" s="69">
        <v>28.7</v>
      </c>
      <c r="AN15" s="70">
        <v>196.6</v>
      </c>
      <c r="AO15" s="70">
        <v>4</v>
      </c>
      <c r="AP15" s="78">
        <v>3</v>
      </c>
      <c r="AQ15" s="69">
        <v>10.199999999999999</v>
      </c>
      <c r="AR15" s="70">
        <v>32.799999999999997</v>
      </c>
      <c r="AS15" s="70">
        <v>3.6</v>
      </c>
      <c r="AT15" s="78">
        <v>0</v>
      </c>
      <c r="AU15" s="452" t="s">
        <v>337</v>
      </c>
      <c r="AV15" s="453" t="s">
        <v>337</v>
      </c>
      <c r="AW15" s="453" t="s">
        <v>337</v>
      </c>
      <c r="AX15" s="453" t="s">
        <v>337</v>
      </c>
    </row>
    <row r="16" spans="1:50" s="17" customFormat="1">
      <c r="A16" s="37" t="s">
        <v>704</v>
      </c>
      <c r="B16" s="37" t="s">
        <v>339</v>
      </c>
      <c r="C16" s="69">
        <v>0</v>
      </c>
      <c r="D16" s="70">
        <v>-0.19999999999999996</v>
      </c>
      <c r="E16" s="70">
        <v>1.6</v>
      </c>
      <c r="F16" s="70">
        <v>-0.59999999999999964</v>
      </c>
      <c r="G16" s="69">
        <v>0.7</v>
      </c>
      <c r="H16" s="70">
        <v>-0.7</v>
      </c>
      <c r="I16" s="70">
        <v>2.7</v>
      </c>
      <c r="J16" s="78">
        <v>1.9</v>
      </c>
      <c r="K16" s="69">
        <v>17.899999999999999</v>
      </c>
      <c r="L16" s="70">
        <v>6</v>
      </c>
      <c r="M16" s="70">
        <v>-6.7</v>
      </c>
      <c r="N16" s="78">
        <v>2.9</v>
      </c>
      <c r="O16" s="69">
        <v>-6.9</v>
      </c>
      <c r="P16" s="70">
        <v>-15.3</v>
      </c>
      <c r="Q16" s="70">
        <v>-7.9</v>
      </c>
      <c r="R16" s="78">
        <v>18</v>
      </c>
      <c r="S16" s="69">
        <v>-16.3</v>
      </c>
      <c r="T16" s="70">
        <v>-3.2</v>
      </c>
      <c r="U16" s="70">
        <f>-23.6</f>
        <v>-23.6</v>
      </c>
      <c r="V16" s="78">
        <f>9.7</f>
        <v>9.6999999999999993</v>
      </c>
      <c r="W16" s="69">
        <v>1.7</v>
      </c>
      <c r="X16" s="70">
        <v>-5.2</v>
      </c>
      <c r="Y16" s="70">
        <v>-5.5</v>
      </c>
      <c r="Z16" s="78">
        <v>-4.3</v>
      </c>
      <c r="AA16" s="69">
        <f>-19+20.9+1</f>
        <v>2.8999999999999986</v>
      </c>
      <c r="AB16" s="70">
        <f>11.5-6.8+5.2</f>
        <v>9.9</v>
      </c>
      <c r="AC16" s="70">
        <f>2.3+16.2-3</f>
        <v>15.5</v>
      </c>
      <c r="AD16" s="78">
        <v>3.7</v>
      </c>
      <c r="AE16" s="69">
        <f>0.6+0.4-0.2</f>
        <v>0.8</v>
      </c>
      <c r="AF16" s="70">
        <v>3</v>
      </c>
      <c r="AG16" s="70">
        <v>7.2</v>
      </c>
      <c r="AH16" s="78">
        <v>-2.1</v>
      </c>
      <c r="AI16" s="69">
        <f>10.8+0.6</f>
        <v>11.4</v>
      </c>
      <c r="AJ16" s="70">
        <v>3.3</v>
      </c>
      <c r="AK16" s="70">
        <v>2.6</v>
      </c>
      <c r="AL16" s="78">
        <v>5.6</v>
      </c>
      <c r="AM16" s="69">
        <v>-2.6</v>
      </c>
      <c r="AN16" s="70">
        <v>0.5</v>
      </c>
      <c r="AO16" s="70">
        <v>0.2</v>
      </c>
      <c r="AP16" s="78">
        <v>-0.7</v>
      </c>
      <c r="AQ16" s="69">
        <v>2</v>
      </c>
      <c r="AR16" s="70">
        <v>8.3000000000000007</v>
      </c>
      <c r="AS16" s="70">
        <v>1.3</v>
      </c>
      <c r="AT16" s="78">
        <v>3.7</v>
      </c>
      <c r="AU16" s="69">
        <v>2.2000000000000002</v>
      </c>
      <c r="AV16" s="70">
        <v>2</v>
      </c>
      <c r="AW16" s="70">
        <v>-0.7</v>
      </c>
      <c r="AX16" s="70">
        <v>4.4000000000000004</v>
      </c>
    </row>
    <row r="17" spans="1:50" s="16" customFormat="1">
      <c r="A17" s="32" t="s">
        <v>705</v>
      </c>
      <c r="B17" s="32" t="s">
        <v>340</v>
      </c>
      <c r="C17" s="69">
        <v>12.7</v>
      </c>
      <c r="D17" s="70">
        <v>6.8</v>
      </c>
      <c r="E17" s="70">
        <v>6.6</v>
      </c>
      <c r="F17" s="70">
        <v>-5.2</v>
      </c>
      <c r="G17" s="69">
        <v>6.5</v>
      </c>
      <c r="H17" s="70">
        <v>-9.5</v>
      </c>
      <c r="I17" s="70">
        <v>1</v>
      </c>
      <c r="J17" s="78">
        <v>21</v>
      </c>
      <c r="K17" s="79">
        <v>7.9</v>
      </c>
      <c r="L17" s="70">
        <v>2.7</v>
      </c>
      <c r="M17" s="70">
        <v>5.4</v>
      </c>
      <c r="N17" s="78">
        <v>-24.1</v>
      </c>
      <c r="O17" s="69">
        <v>6.3</v>
      </c>
      <c r="P17" s="70">
        <v>5</v>
      </c>
      <c r="Q17" s="70">
        <v>6.5</v>
      </c>
      <c r="R17" s="78">
        <v>-9.9</v>
      </c>
      <c r="S17" s="69">
        <v>7.8</v>
      </c>
      <c r="T17" s="70">
        <v>4.9000000000000004</v>
      </c>
      <c r="U17" s="70">
        <v>2.7</v>
      </c>
      <c r="V17" s="78">
        <v>1.4</v>
      </c>
      <c r="W17" s="69">
        <v>4</v>
      </c>
      <c r="X17" s="70">
        <v>3.1</v>
      </c>
      <c r="Y17" s="70">
        <v>3.7000000000000011</v>
      </c>
      <c r="Z17" s="78">
        <v>4.5999999999999996</v>
      </c>
      <c r="AA17" s="69">
        <v>9.8000000000000007</v>
      </c>
      <c r="AB17" s="70">
        <v>4.5</v>
      </c>
      <c r="AC17" s="70">
        <v>3.6999999999999993</v>
      </c>
      <c r="AD17" s="78">
        <v>2.7</v>
      </c>
      <c r="AE17" s="69">
        <v>2.6</v>
      </c>
      <c r="AF17" s="70">
        <v>4.0999999999999996</v>
      </c>
      <c r="AG17" s="70">
        <v>6.1</v>
      </c>
      <c r="AH17" s="78">
        <v>7.5</v>
      </c>
      <c r="AI17" s="69">
        <v>9.5</v>
      </c>
      <c r="AJ17" s="70">
        <v>2.4</v>
      </c>
      <c r="AK17" s="70">
        <v>-1.7</v>
      </c>
      <c r="AL17" s="78">
        <v>10.6</v>
      </c>
      <c r="AM17" s="69">
        <v>4.5</v>
      </c>
      <c r="AN17" s="70">
        <v>1.2</v>
      </c>
      <c r="AO17" s="70">
        <v>-0.3</v>
      </c>
      <c r="AP17" s="78">
        <v>14</v>
      </c>
      <c r="AQ17" s="69">
        <v>0.8</v>
      </c>
      <c r="AR17" s="70">
        <v>-0.7</v>
      </c>
      <c r="AS17" s="70">
        <v>-0.1</v>
      </c>
      <c r="AT17" s="78">
        <v>3</v>
      </c>
      <c r="AU17" s="69">
        <v>2.2999999999999998</v>
      </c>
      <c r="AV17" s="70">
        <v>6.0000000000000009</v>
      </c>
      <c r="AW17" s="70">
        <v>2</v>
      </c>
      <c r="AX17" s="70">
        <v>4.0999999999999996</v>
      </c>
    </row>
    <row r="18" spans="1:50" s="17" customFormat="1">
      <c r="A18" s="33" t="s">
        <v>163</v>
      </c>
      <c r="B18" s="33" t="s">
        <v>5</v>
      </c>
      <c r="C18" s="81">
        <f t="shared" ref="C18:AT18" si="8">C9+C12+C13+C15+C16+C17</f>
        <v>526.80000000000007</v>
      </c>
      <c r="D18" s="82">
        <f t="shared" si="8"/>
        <v>511.30000000000018</v>
      </c>
      <c r="E18" s="82">
        <f t="shared" si="8"/>
        <v>532.69999999999993</v>
      </c>
      <c r="F18" s="82">
        <f t="shared" si="8"/>
        <v>462.49999999999994</v>
      </c>
      <c r="G18" s="81">
        <f t="shared" si="8"/>
        <v>571.1</v>
      </c>
      <c r="H18" s="82">
        <f t="shared" si="8"/>
        <v>611.49999999999989</v>
      </c>
      <c r="I18" s="82">
        <f t="shared" si="8"/>
        <v>607.20000000000005</v>
      </c>
      <c r="J18" s="83">
        <f t="shared" si="8"/>
        <v>294.5</v>
      </c>
      <c r="K18" s="81">
        <f t="shared" si="8"/>
        <v>551.29999999999984</v>
      </c>
      <c r="L18" s="82">
        <f t="shared" si="8"/>
        <v>673.6</v>
      </c>
      <c r="M18" s="82">
        <f t="shared" si="8"/>
        <v>697.99999999999989</v>
      </c>
      <c r="N18" s="83">
        <f t="shared" si="8"/>
        <v>573.59999999999991</v>
      </c>
      <c r="O18" s="81">
        <f t="shared" si="8"/>
        <v>654.69999999999993</v>
      </c>
      <c r="P18" s="82">
        <f t="shared" si="8"/>
        <v>671.6</v>
      </c>
      <c r="Q18" s="82">
        <f t="shared" si="8"/>
        <v>693.49999999999989</v>
      </c>
      <c r="R18" s="83">
        <f t="shared" si="8"/>
        <v>686.19999999999993</v>
      </c>
      <c r="S18" s="81">
        <f t="shared" si="8"/>
        <v>731.9</v>
      </c>
      <c r="T18" s="82">
        <f t="shared" si="8"/>
        <v>746.3</v>
      </c>
      <c r="U18" s="82">
        <f t="shared" si="8"/>
        <v>726.6</v>
      </c>
      <c r="V18" s="83">
        <f t="shared" si="8"/>
        <v>744</v>
      </c>
      <c r="W18" s="81">
        <f t="shared" si="8"/>
        <v>850.00000000000011</v>
      </c>
      <c r="X18" s="82">
        <f t="shared" si="8"/>
        <v>792.3</v>
      </c>
      <c r="Y18" s="82">
        <f t="shared" si="8"/>
        <v>793.89999999999986</v>
      </c>
      <c r="Z18" s="83">
        <f t="shared" si="8"/>
        <v>773.2</v>
      </c>
      <c r="AA18" s="81">
        <f t="shared" si="8"/>
        <v>855.19999999999993</v>
      </c>
      <c r="AB18" s="82">
        <f t="shared" si="8"/>
        <v>806.3</v>
      </c>
      <c r="AC18" s="82">
        <f t="shared" si="8"/>
        <v>801.80000000000018</v>
      </c>
      <c r="AD18" s="83">
        <f t="shared" si="8"/>
        <v>827.1</v>
      </c>
      <c r="AE18" s="81">
        <f t="shared" si="8"/>
        <v>872.59999999999991</v>
      </c>
      <c r="AF18" s="82">
        <f t="shared" si="8"/>
        <v>896.6</v>
      </c>
      <c r="AG18" s="82">
        <f t="shared" si="8"/>
        <v>897.30000000000018</v>
      </c>
      <c r="AH18" s="82">
        <f t="shared" si="8"/>
        <v>866</v>
      </c>
      <c r="AI18" s="81">
        <f t="shared" si="8"/>
        <v>906</v>
      </c>
      <c r="AJ18" s="82">
        <f t="shared" si="8"/>
        <v>981.4</v>
      </c>
      <c r="AK18" s="82">
        <f t="shared" si="8"/>
        <v>937.1</v>
      </c>
      <c r="AL18" s="82">
        <f t="shared" si="8"/>
        <v>953.6</v>
      </c>
      <c r="AM18" s="81">
        <f t="shared" si="8"/>
        <v>975.6</v>
      </c>
      <c r="AN18" s="82">
        <f t="shared" si="8"/>
        <v>1152.4000000000001</v>
      </c>
      <c r="AO18" s="82">
        <f t="shared" si="8"/>
        <v>1074.5000000000002</v>
      </c>
      <c r="AP18" s="82">
        <f t="shared" si="8"/>
        <v>1121.9999999999998</v>
      </c>
      <c r="AQ18" s="81">
        <f t="shared" si="8"/>
        <v>1135.3</v>
      </c>
      <c r="AR18" s="82">
        <f t="shared" si="8"/>
        <v>1191.5999999999999</v>
      </c>
      <c r="AS18" s="82">
        <f t="shared" si="8"/>
        <v>1214.8999999999996</v>
      </c>
      <c r="AT18" s="82">
        <f t="shared" si="8"/>
        <v>1227.3000000000002</v>
      </c>
      <c r="AU18" s="81">
        <f>AU9+AU12+AU13+AU16+AU17+AU14</f>
        <v>1256.8999999999999</v>
      </c>
      <c r="AV18" s="82">
        <f>AV9+AV12+AV13+AV16+AV17+AV14</f>
        <v>1310.2</v>
      </c>
      <c r="AW18" s="82">
        <f>AW9+AW12+AW13+AW16+AW17+AW14</f>
        <v>1306.1000000000001</v>
      </c>
      <c r="AX18" s="82">
        <f>AX9+AX12+AX13+AX16+AX17+AX14</f>
        <v>1359.5</v>
      </c>
    </row>
    <row r="19" spans="1:50" s="17" customFormat="1">
      <c r="A19" s="37" t="s">
        <v>164</v>
      </c>
      <c r="B19" s="37" t="s">
        <v>341</v>
      </c>
      <c r="C19" s="69">
        <v>336.1</v>
      </c>
      <c r="D19" s="70">
        <v>345</v>
      </c>
      <c r="E19" s="70">
        <v>356.9</v>
      </c>
      <c r="F19" s="70">
        <v>355.1</v>
      </c>
      <c r="G19" s="69">
        <v>367.69999999999993</v>
      </c>
      <c r="H19" s="70">
        <v>389.9</v>
      </c>
      <c r="I19" s="70">
        <v>407.7</v>
      </c>
      <c r="J19" s="78">
        <v>338.59999999999997</v>
      </c>
      <c r="K19" s="69">
        <v>366.79999999999995</v>
      </c>
      <c r="L19" s="70">
        <v>386.6</v>
      </c>
      <c r="M19" s="70">
        <v>397.29999999999995</v>
      </c>
      <c r="N19" s="78">
        <v>355.2</v>
      </c>
      <c r="O19" s="69">
        <v>394.4</v>
      </c>
      <c r="P19" s="70">
        <v>407.1</v>
      </c>
      <c r="Q19" s="70">
        <v>411.6</v>
      </c>
      <c r="R19" s="78">
        <v>396.4</v>
      </c>
      <c r="S19" s="69">
        <v>417.4</v>
      </c>
      <c r="T19" s="70">
        <v>431.8</v>
      </c>
      <c r="U19" s="70">
        <v>431.1</v>
      </c>
      <c r="V19" s="78">
        <v>419.7</v>
      </c>
      <c r="W19" s="69">
        <v>474.90000000000003</v>
      </c>
      <c r="X19" s="70">
        <v>465</v>
      </c>
      <c r="Y19" s="70">
        <v>466.2</v>
      </c>
      <c r="Z19" s="78">
        <v>460.1</v>
      </c>
      <c r="AA19" s="69">
        <v>482.2</v>
      </c>
      <c r="AB19" s="70">
        <v>477</v>
      </c>
      <c r="AC19" s="70">
        <v>458.79999999999995</v>
      </c>
      <c r="AD19" s="78">
        <v>450.40000000000003</v>
      </c>
      <c r="AE19" s="69">
        <v>471.20000000000005</v>
      </c>
      <c r="AF19" s="70">
        <v>480.5</v>
      </c>
      <c r="AG19" s="70">
        <v>489.5</v>
      </c>
      <c r="AH19" s="70">
        <v>488.5</v>
      </c>
      <c r="AI19" s="69">
        <v>495.6</v>
      </c>
      <c r="AJ19" s="70">
        <v>502.29999999999995</v>
      </c>
      <c r="AK19" s="70">
        <v>509.8</v>
      </c>
      <c r="AL19" s="70">
        <v>648</v>
      </c>
      <c r="AM19" s="69">
        <v>508.8</v>
      </c>
      <c r="AN19" s="70">
        <v>517.20000000000005</v>
      </c>
      <c r="AO19" s="70">
        <v>515.5</v>
      </c>
      <c r="AP19" s="70">
        <v>557.69999999999993</v>
      </c>
      <c r="AQ19" s="69">
        <v>565.6</v>
      </c>
      <c r="AR19" s="70">
        <v>512.1</v>
      </c>
      <c r="AS19" s="70">
        <v>529.6</v>
      </c>
      <c r="AT19" s="70">
        <v>528.5</v>
      </c>
      <c r="AU19" s="69">
        <v>628.30000000000007</v>
      </c>
      <c r="AV19" s="70">
        <v>554.99999999999989</v>
      </c>
      <c r="AW19" s="70">
        <v>577.20000000000005</v>
      </c>
      <c r="AX19" s="70">
        <v>566.29999999999995</v>
      </c>
    </row>
    <row r="20" spans="1:50" s="17" customFormat="1" ht="12.75" customHeight="1">
      <c r="A20" s="32" t="s">
        <v>538</v>
      </c>
      <c r="B20" s="38" t="s">
        <v>800</v>
      </c>
      <c r="C20" s="69">
        <v>0</v>
      </c>
      <c r="D20" s="70">
        <v>0</v>
      </c>
      <c r="E20" s="70">
        <v>0</v>
      </c>
      <c r="F20" s="70">
        <v>0</v>
      </c>
      <c r="G20" s="69">
        <v>0</v>
      </c>
      <c r="H20" s="70">
        <v>0</v>
      </c>
      <c r="I20" s="70">
        <v>0</v>
      </c>
      <c r="J20" s="78">
        <v>0</v>
      </c>
      <c r="K20" s="69">
        <v>0</v>
      </c>
      <c r="L20" s="70">
        <v>0</v>
      </c>
      <c r="M20" s="70">
        <v>0</v>
      </c>
      <c r="N20" s="78">
        <v>0</v>
      </c>
      <c r="O20" s="69">
        <v>0</v>
      </c>
      <c r="P20" s="70">
        <v>0</v>
      </c>
      <c r="Q20" s="70">
        <v>0</v>
      </c>
      <c r="R20" s="78">
        <v>0</v>
      </c>
      <c r="S20" s="69">
        <v>0</v>
      </c>
      <c r="T20" s="70">
        <v>0</v>
      </c>
      <c r="U20" s="70">
        <v>0</v>
      </c>
      <c r="V20" s="78">
        <v>0</v>
      </c>
      <c r="W20" s="69">
        <v>0</v>
      </c>
      <c r="X20" s="70">
        <v>0</v>
      </c>
      <c r="Y20" s="70">
        <v>0</v>
      </c>
      <c r="Z20" s="78">
        <v>0</v>
      </c>
      <c r="AA20" s="69">
        <v>0</v>
      </c>
      <c r="AB20" s="70">
        <v>0</v>
      </c>
      <c r="AC20" s="70">
        <v>0</v>
      </c>
      <c r="AD20" s="78">
        <v>0</v>
      </c>
      <c r="AE20" s="69">
        <v>0</v>
      </c>
      <c r="AF20" s="70">
        <v>0</v>
      </c>
      <c r="AG20" s="70">
        <v>0</v>
      </c>
      <c r="AH20" s="78">
        <v>0</v>
      </c>
      <c r="AI20" s="69">
        <v>0</v>
      </c>
      <c r="AJ20" s="70">
        <v>0</v>
      </c>
      <c r="AK20" s="70">
        <v>0</v>
      </c>
      <c r="AL20" s="78">
        <v>0</v>
      </c>
      <c r="AM20" s="69">
        <v>50.5</v>
      </c>
      <c r="AN20" s="70">
        <v>76.8</v>
      </c>
      <c r="AO20" s="70">
        <v>75.7</v>
      </c>
      <c r="AP20" s="70">
        <v>77.2</v>
      </c>
      <c r="AQ20" s="69">
        <v>79.400000000000006</v>
      </c>
      <c r="AR20" s="70">
        <v>80.400000000000006</v>
      </c>
      <c r="AS20" s="70">
        <v>84.1</v>
      </c>
      <c r="AT20" s="78">
        <v>86.2</v>
      </c>
      <c r="AU20" s="69">
        <v>87.5</v>
      </c>
      <c r="AV20" s="70">
        <v>91.1</v>
      </c>
      <c r="AW20" s="70">
        <v>94.2</v>
      </c>
      <c r="AX20" s="70">
        <v>98.9</v>
      </c>
    </row>
    <row r="21" spans="1:50" s="17" customFormat="1" ht="22.5">
      <c r="A21" s="32" t="s">
        <v>165</v>
      </c>
      <c r="B21" s="32" t="s">
        <v>695</v>
      </c>
      <c r="C21" s="69">
        <v>-6.3</v>
      </c>
      <c r="D21" s="70">
        <v>-26.7</v>
      </c>
      <c r="E21" s="70">
        <v>-64.400000000000006</v>
      </c>
      <c r="F21" s="70">
        <v>-5.8</v>
      </c>
      <c r="G21" s="69">
        <v>0.7</v>
      </c>
      <c r="H21" s="70">
        <v>-58.8</v>
      </c>
      <c r="I21" s="70">
        <v>7.2</v>
      </c>
      <c r="J21" s="78">
        <v>116.5</v>
      </c>
      <c r="K21" s="69">
        <v>91.7</v>
      </c>
      <c r="L21" s="70">
        <v>73.8</v>
      </c>
      <c r="M21" s="84">
        <v>54.1</v>
      </c>
      <c r="N21" s="85">
        <v>84.8</v>
      </c>
      <c r="O21" s="69">
        <v>48.1</v>
      </c>
      <c r="P21" s="84">
        <v>39.200000000000003</v>
      </c>
      <c r="Q21" s="70">
        <v>55.1</v>
      </c>
      <c r="R21" s="85">
        <v>61.2</v>
      </c>
      <c r="S21" s="69">
        <v>57.1</v>
      </c>
      <c r="T21" s="70">
        <v>37.700000000000003</v>
      </c>
      <c r="U21" s="70">
        <v>27.1</v>
      </c>
      <c r="V21" s="78">
        <v>50.5</v>
      </c>
      <c r="W21" s="69">
        <v>64.3</v>
      </c>
      <c r="X21" s="70">
        <v>131.19999999999999</v>
      </c>
      <c r="Y21" s="70">
        <v>82.600000000000023</v>
      </c>
      <c r="Z21" s="78">
        <v>84.7</v>
      </c>
      <c r="AA21" s="69">
        <v>58</v>
      </c>
      <c r="AB21" s="70">
        <f>64+5.1</f>
        <v>69.099999999999994</v>
      </c>
      <c r="AC21" s="70">
        <v>63.7</v>
      </c>
      <c r="AD21" s="78">
        <f>68+7.3+1.1</f>
        <v>76.399999999999991</v>
      </c>
      <c r="AE21" s="69">
        <v>84.1</v>
      </c>
      <c r="AF21" s="70">
        <v>33.299999999999997</v>
      </c>
      <c r="AG21" s="70">
        <v>65.2</v>
      </c>
      <c r="AH21" s="78">
        <v>85.1</v>
      </c>
      <c r="AI21" s="69">
        <v>84.3</v>
      </c>
      <c r="AJ21" s="70">
        <v>64.3</v>
      </c>
      <c r="AK21" s="70">
        <v>32</v>
      </c>
      <c r="AL21" s="78">
        <v>51.5</v>
      </c>
      <c r="AM21" s="69">
        <v>78.900000000000006</v>
      </c>
      <c r="AN21" s="70">
        <v>33.5</v>
      </c>
      <c r="AO21" s="70">
        <v>49.7</v>
      </c>
      <c r="AP21" s="70">
        <v>138.5</v>
      </c>
      <c r="AQ21" s="69">
        <v>76.400000000000006</v>
      </c>
      <c r="AR21" s="70">
        <v>123.1</v>
      </c>
      <c r="AS21" s="70">
        <v>109.1</v>
      </c>
      <c r="AT21" s="78">
        <v>112.6</v>
      </c>
      <c r="AU21" s="69" t="s">
        <v>337</v>
      </c>
      <c r="AV21" s="70" t="s">
        <v>337</v>
      </c>
      <c r="AW21" s="70" t="s">
        <v>337</v>
      </c>
      <c r="AX21" s="70" t="s">
        <v>337</v>
      </c>
    </row>
    <row r="22" spans="1:50" s="17" customFormat="1">
      <c r="A22" s="32" t="s">
        <v>706</v>
      </c>
      <c r="B22" s="32" t="s">
        <v>552</v>
      </c>
      <c r="C22" s="69" t="s">
        <v>337</v>
      </c>
      <c r="D22" s="70" t="s">
        <v>337</v>
      </c>
      <c r="E22" s="70" t="s">
        <v>337</v>
      </c>
      <c r="F22" s="70" t="s">
        <v>337</v>
      </c>
      <c r="G22" s="69" t="s">
        <v>337</v>
      </c>
      <c r="H22" s="70" t="s">
        <v>337</v>
      </c>
      <c r="I22" s="70" t="s">
        <v>337</v>
      </c>
      <c r="J22" s="78" t="s">
        <v>337</v>
      </c>
      <c r="K22" s="79" t="s">
        <v>337</v>
      </c>
      <c r="L22" s="70" t="s">
        <v>337</v>
      </c>
      <c r="M22" s="70" t="s">
        <v>337</v>
      </c>
      <c r="N22" s="78" t="s">
        <v>337</v>
      </c>
      <c r="O22" s="69" t="s">
        <v>337</v>
      </c>
      <c r="P22" s="70" t="s">
        <v>337</v>
      </c>
      <c r="Q22" s="70" t="s">
        <v>337</v>
      </c>
      <c r="R22" s="78" t="s">
        <v>337</v>
      </c>
      <c r="S22" s="69" t="s">
        <v>337</v>
      </c>
      <c r="T22" s="70" t="s">
        <v>337</v>
      </c>
      <c r="U22" s="70" t="s">
        <v>337</v>
      </c>
      <c r="V22" s="78" t="s">
        <v>337</v>
      </c>
      <c r="W22" s="69" t="s">
        <v>337</v>
      </c>
      <c r="X22" s="70" t="s">
        <v>337</v>
      </c>
      <c r="Y22" s="70" t="s">
        <v>337</v>
      </c>
      <c r="Z22" s="78" t="s">
        <v>337</v>
      </c>
      <c r="AA22" s="69" t="s">
        <v>337</v>
      </c>
      <c r="AB22" s="70" t="s">
        <v>337</v>
      </c>
      <c r="AC22" s="70" t="s">
        <v>337</v>
      </c>
      <c r="AD22" s="78" t="s">
        <v>337</v>
      </c>
      <c r="AE22" s="69" t="s">
        <v>337</v>
      </c>
      <c r="AF22" s="70" t="s">
        <v>337</v>
      </c>
      <c r="AG22" s="70" t="s">
        <v>337</v>
      </c>
      <c r="AH22" s="78" t="s">
        <v>337</v>
      </c>
      <c r="AI22" s="69" t="s">
        <v>337</v>
      </c>
      <c r="AJ22" s="70" t="s">
        <v>337</v>
      </c>
      <c r="AK22" s="70" t="s">
        <v>337</v>
      </c>
      <c r="AL22" s="78" t="s">
        <v>337</v>
      </c>
      <c r="AM22" s="69" t="s">
        <v>337</v>
      </c>
      <c r="AN22" s="70" t="s">
        <v>337</v>
      </c>
      <c r="AO22" s="70" t="s">
        <v>337</v>
      </c>
      <c r="AP22" s="78" t="s">
        <v>337</v>
      </c>
      <c r="AQ22" s="69" t="s">
        <v>337</v>
      </c>
      <c r="AR22" s="70" t="s">
        <v>337</v>
      </c>
      <c r="AS22" s="70" t="s">
        <v>337</v>
      </c>
      <c r="AT22" s="80" t="s">
        <v>337</v>
      </c>
      <c r="AU22" s="69">
        <v>94.8</v>
      </c>
      <c r="AV22" s="70">
        <v>173.7</v>
      </c>
      <c r="AW22" s="70">
        <v>133.9</v>
      </c>
      <c r="AX22" s="70">
        <v>98.5</v>
      </c>
    </row>
    <row r="23" spans="1:50" s="17" customFormat="1" ht="22.5">
      <c r="A23" s="32" t="s">
        <v>166</v>
      </c>
      <c r="B23" s="32" t="s">
        <v>508</v>
      </c>
      <c r="C23" s="69">
        <v>12.4</v>
      </c>
      <c r="D23" s="70">
        <v>10.9</v>
      </c>
      <c r="E23" s="70">
        <v>9.6</v>
      </c>
      <c r="F23" s="70">
        <v>10.7</v>
      </c>
      <c r="G23" s="69">
        <v>11.6</v>
      </c>
      <c r="H23" s="70">
        <v>14.2</v>
      </c>
      <c r="I23" s="70">
        <v>13</v>
      </c>
      <c r="J23" s="78">
        <f>9.3+0.1</f>
        <v>9.4</v>
      </c>
      <c r="K23" s="69">
        <v>10.1</v>
      </c>
      <c r="L23" s="70">
        <v>15.5</v>
      </c>
      <c r="M23" s="70">
        <v>10.4</v>
      </c>
      <c r="N23" s="78">
        <v>16.100000000000001</v>
      </c>
      <c r="O23" s="69">
        <v>7.3</v>
      </c>
      <c r="P23" s="70">
        <v>10.9</v>
      </c>
      <c r="Q23" s="70">
        <v>10.6</v>
      </c>
      <c r="R23" s="78">
        <v>12.4</v>
      </c>
      <c r="S23" s="69">
        <v>9.6999999999999993</v>
      </c>
      <c r="T23" s="70">
        <v>13.2</v>
      </c>
      <c r="U23" s="70">
        <v>8.1999999999999993</v>
      </c>
      <c r="V23" s="78">
        <v>10.1</v>
      </c>
      <c r="W23" s="69">
        <v>6.8</v>
      </c>
      <c r="X23" s="70">
        <v>11.2</v>
      </c>
      <c r="Y23" s="70">
        <v>7.6000000000000014</v>
      </c>
      <c r="Z23" s="78">
        <v>10.1</v>
      </c>
      <c r="AA23" s="69">
        <v>9</v>
      </c>
      <c r="AB23" s="70">
        <v>7.8</v>
      </c>
      <c r="AC23" s="70">
        <v>9.3000000000000007</v>
      </c>
      <c r="AD23" s="78">
        <v>12</v>
      </c>
      <c r="AE23" s="69">
        <v>11.2</v>
      </c>
      <c r="AF23" s="70">
        <v>1.1000000000000001</v>
      </c>
      <c r="AG23" s="70">
        <v>0</v>
      </c>
      <c r="AH23" s="78">
        <v>0</v>
      </c>
      <c r="AI23" s="69">
        <v>0</v>
      </c>
      <c r="AJ23" s="70">
        <v>0</v>
      </c>
      <c r="AK23" s="70">
        <v>0</v>
      </c>
      <c r="AL23" s="78">
        <v>0</v>
      </c>
      <c r="AM23" s="69">
        <v>0</v>
      </c>
      <c r="AN23" s="70">
        <v>0</v>
      </c>
      <c r="AO23" s="70">
        <v>0</v>
      </c>
      <c r="AP23" s="78">
        <v>0</v>
      </c>
      <c r="AQ23" s="69">
        <v>0</v>
      </c>
      <c r="AR23" s="70">
        <v>0</v>
      </c>
      <c r="AS23" s="70">
        <v>0</v>
      </c>
      <c r="AT23" s="78">
        <v>0</v>
      </c>
      <c r="AU23" s="69">
        <v>0</v>
      </c>
      <c r="AV23" s="70">
        <v>0</v>
      </c>
      <c r="AW23" s="70">
        <v>-0.2</v>
      </c>
      <c r="AX23" s="70">
        <v>-0.1</v>
      </c>
    </row>
    <row r="24" spans="1:50" s="17" customFormat="1">
      <c r="A24" s="33" t="s">
        <v>167</v>
      </c>
      <c r="B24" s="33" t="s">
        <v>6</v>
      </c>
      <c r="C24" s="81">
        <f t="shared" ref="C24:AL24" si="9">C18-C19-C21+C23</f>
        <v>209.40000000000006</v>
      </c>
      <c r="D24" s="82">
        <f t="shared" si="9"/>
        <v>203.90000000000018</v>
      </c>
      <c r="E24" s="82">
        <f t="shared" si="9"/>
        <v>249.79999999999995</v>
      </c>
      <c r="F24" s="82">
        <f t="shared" si="9"/>
        <v>123.89999999999992</v>
      </c>
      <c r="G24" s="81">
        <f t="shared" si="9"/>
        <v>214.3000000000001</v>
      </c>
      <c r="H24" s="82">
        <f t="shared" si="9"/>
        <v>294.59999999999991</v>
      </c>
      <c r="I24" s="82">
        <f t="shared" si="9"/>
        <v>205.30000000000007</v>
      </c>
      <c r="J24" s="83">
        <f t="shared" si="9"/>
        <v>-151.19999999999996</v>
      </c>
      <c r="K24" s="81">
        <f t="shared" si="9"/>
        <v>102.89999999999988</v>
      </c>
      <c r="L24" s="82">
        <f t="shared" si="9"/>
        <v>228.7</v>
      </c>
      <c r="M24" s="82">
        <f t="shared" si="9"/>
        <v>256.99999999999994</v>
      </c>
      <c r="N24" s="83">
        <f t="shared" si="9"/>
        <v>149.6999999999999</v>
      </c>
      <c r="O24" s="81">
        <f t="shared" si="9"/>
        <v>219.49999999999997</v>
      </c>
      <c r="P24" s="82">
        <f t="shared" si="9"/>
        <v>236.20000000000002</v>
      </c>
      <c r="Q24" s="82">
        <f t="shared" si="9"/>
        <v>237.39999999999986</v>
      </c>
      <c r="R24" s="83">
        <f t="shared" si="9"/>
        <v>240.99999999999997</v>
      </c>
      <c r="S24" s="81">
        <f t="shared" si="9"/>
        <v>267.09999999999997</v>
      </c>
      <c r="T24" s="82">
        <f t="shared" si="9"/>
        <v>289.99999999999994</v>
      </c>
      <c r="U24" s="82">
        <f t="shared" si="9"/>
        <v>276.59999999999997</v>
      </c>
      <c r="V24" s="83">
        <f t="shared" si="9"/>
        <v>283.90000000000003</v>
      </c>
      <c r="W24" s="81">
        <f t="shared" si="9"/>
        <v>317.60000000000008</v>
      </c>
      <c r="X24" s="82">
        <f t="shared" si="9"/>
        <v>207.29999999999995</v>
      </c>
      <c r="Y24" s="82">
        <f t="shared" si="9"/>
        <v>252.69999999999985</v>
      </c>
      <c r="Z24" s="83">
        <f t="shared" si="9"/>
        <v>238.50000000000003</v>
      </c>
      <c r="AA24" s="81">
        <f t="shared" si="9"/>
        <v>323.99999999999994</v>
      </c>
      <c r="AB24" s="82">
        <f t="shared" si="9"/>
        <v>267.99999999999994</v>
      </c>
      <c r="AC24" s="82">
        <f t="shared" si="9"/>
        <v>288.60000000000025</v>
      </c>
      <c r="AD24" s="83">
        <f t="shared" si="9"/>
        <v>312.3</v>
      </c>
      <c r="AE24" s="81">
        <f t="shared" si="9"/>
        <v>328.49999999999983</v>
      </c>
      <c r="AF24" s="82">
        <f t="shared" si="9"/>
        <v>383.90000000000003</v>
      </c>
      <c r="AG24" s="82">
        <f t="shared" si="9"/>
        <v>342.60000000000019</v>
      </c>
      <c r="AH24" s="82">
        <f t="shared" si="9"/>
        <v>292.39999999999998</v>
      </c>
      <c r="AI24" s="81">
        <f t="shared" si="9"/>
        <v>326.09999999999997</v>
      </c>
      <c r="AJ24" s="82">
        <f t="shared" si="9"/>
        <v>414.8</v>
      </c>
      <c r="AK24" s="82">
        <f t="shared" si="9"/>
        <v>395.3</v>
      </c>
      <c r="AL24" s="82">
        <f t="shared" si="9"/>
        <v>254.10000000000002</v>
      </c>
      <c r="AM24" s="81">
        <f t="shared" ref="AM24:AT24" si="10">AM18-AM19-AM21+AM23-AM20</f>
        <v>337.4</v>
      </c>
      <c r="AN24" s="82">
        <f t="shared" si="10"/>
        <v>524.90000000000009</v>
      </c>
      <c r="AO24" s="82">
        <f t="shared" si="10"/>
        <v>433.60000000000025</v>
      </c>
      <c r="AP24" s="82">
        <f t="shared" si="10"/>
        <v>348.59999999999985</v>
      </c>
      <c r="AQ24" s="81">
        <f t="shared" si="10"/>
        <v>413.9</v>
      </c>
      <c r="AR24" s="82">
        <f t="shared" si="10"/>
        <v>475.99999999999989</v>
      </c>
      <c r="AS24" s="82">
        <f t="shared" si="10"/>
        <v>492.09999999999957</v>
      </c>
      <c r="AT24" s="82">
        <f t="shared" si="10"/>
        <v>500.00000000000017</v>
      </c>
      <c r="AU24" s="81">
        <f>AU18-AU19+AU23-AU20-AU22</f>
        <v>446.29999999999978</v>
      </c>
      <c r="AV24" s="82">
        <f>AV18-AV19+AV23-AV20-AV22</f>
        <v>490.40000000000015</v>
      </c>
      <c r="AW24" s="82">
        <f>AW18-AW19+AW23-AW20-AW22</f>
        <v>500.6</v>
      </c>
      <c r="AX24" s="82">
        <f>AX18-AX19+AX23-AX20-AX22</f>
        <v>595.70000000000005</v>
      </c>
    </row>
    <row r="25" spans="1:50" s="17" customFormat="1">
      <c r="A25" s="39" t="s">
        <v>168</v>
      </c>
      <c r="B25" s="39" t="s">
        <v>7</v>
      </c>
      <c r="C25" s="69">
        <v>38.6</v>
      </c>
      <c r="D25" s="70">
        <v>34.4</v>
      </c>
      <c r="E25" s="70">
        <v>50.8</v>
      </c>
      <c r="F25" s="70">
        <v>26.4</v>
      </c>
      <c r="G25" s="69">
        <v>40.5</v>
      </c>
      <c r="H25" s="70">
        <v>60.9</v>
      </c>
      <c r="I25" s="70">
        <v>38.4</v>
      </c>
      <c r="J25" s="78">
        <v>-22.2</v>
      </c>
      <c r="K25" s="69">
        <v>22.1</v>
      </c>
      <c r="L25" s="70">
        <v>46</v>
      </c>
      <c r="M25" s="70">
        <v>46.2</v>
      </c>
      <c r="N25" s="78">
        <v>28.9</v>
      </c>
      <c r="O25" s="69">
        <v>42</v>
      </c>
      <c r="P25" s="70">
        <v>44.7</v>
      </c>
      <c r="Q25" s="70">
        <v>45</v>
      </c>
      <c r="R25" s="78">
        <v>49.3</v>
      </c>
      <c r="S25" s="69">
        <v>54.6</v>
      </c>
      <c r="T25" s="70">
        <v>56.1</v>
      </c>
      <c r="U25" s="70">
        <f>56.5</f>
        <v>56.5</v>
      </c>
      <c r="V25" s="78">
        <v>70.3</v>
      </c>
      <c r="W25" s="69">
        <v>46.1</v>
      </c>
      <c r="X25" s="70">
        <v>39.700000000000003</v>
      </c>
      <c r="Y25" s="70">
        <v>49.5</v>
      </c>
      <c r="Z25" s="78">
        <v>48.5</v>
      </c>
      <c r="AA25" s="69">
        <f>63.8+0.3+0.3-0.1</f>
        <v>64.3</v>
      </c>
      <c r="AB25" s="70">
        <f>52.2-0.1-1</f>
        <v>51.1</v>
      </c>
      <c r="AC25" s="70">
        <f>53.5+0.7</f>
        <v>54.2</v>
      </c>
      <c r="AD25" s="78">
        <f>63.4-1.4-0.2</f>
        <v>61.8</v>
      </c>
      <c r="AE25" s="69">
        <v>73.900000000000006</v>
      </c>
      <c r="AF25" s="70">
        <v>101.5</v>
      </c>
      <c r="AG25" s="70">
        <v>69.5</v>
      </c>
      <c r="AH25" s="78">
        <v>61.7</v>
      </c>
      <c r="AI25" s="69">
        <v>65.099999999999994</v>
      </c>
      <c r="AJ25" s="70">
        <v>70.099999999999994</v>
      </c>
      <c r="AK25" s="70">
        <v>79.599999999999994</v>
      </c>
      <c r="AL25" s="78">
        <v>48.4</v>
      </c>
      <c r="AM25" s="69">
        <v>78.2</v>
      </c>
      <c r="AN25" s="70">
        <v>118</v>
      </c>
      <c r="AO25" s="70">
        <v>101.6</v>
      </c>
      <c r="AP25" s="78">
        <v>93.6</v>
      </c>
      <c r="AQ25" s="69">
        <v>113.6</v>
      </c>
      <c r="AR25" s="70">
        <v>115.7</v>
      </c>
      <c r="AS25" s="70">
        <v>116.4</v>
      </c>
      <c r="AT25" s="78">
        <v>133.19999999999999</v>
      </c>
      <c r="AU25" s="69">
        <v>124.1</v>
      </c>
      <c r="AV25" s="70">
        <v>117.7</v>
      </c>
      <c r="AW25" s="70">
        <v>121.8</v>
      </c>
      <c r="AX25" s="70">
        <v>143.5</v>
      </c>
    </row>
    <row r="26" spans="1:50" s="17" customFormat="1">
      <c r="A26" s="40" t="s">
        <v>169</v>
      </c>
      <c r="B26" s="40" t="s">
        <v>8</v>
      </c>
      <c r="C26" s="81">
        <f>C24-C25</f>
        <v>170.80000000000007</v>
      </c>
      <c r="D26" s="82">
        <f t="shared" ref="D26:X26" si="11">D24-D25</f>
        <v>169.50000000000017</v>
      </c>
      <c r="E26" s="82">
        <f t="shared" si="11"/>
        <v>198.99999999999994</v>
      </c>
      <c r="F26" s="82">
        <f t="shared" si="11"/>
        <v>97.499999999999915</v>
      </c>
      <c r="G26" s="81">
        <f t="shared" si="11"/>
        <v>173.8000000000001</v>
      </c>
      <c r="H26" s="82">
        <f t="shared" si="11"/>
        <v>233.6999999999999</v>
      </c>
      <c r="I26" s="82">
        <f t="shared" si="11"/>
        <v>166.90000000000006</v>
      </c>
      <c r="J26" s="83">
        <f t="shared" si="11"/>
        <v>-128.99999999999997</v>
      </c>
      <c r="K26" s="81">
        <f t="shared" si="11"/>
        <v>80.799999999999869</v>
      </c>
      <c r="L26" s="82">
        <f t="shared" si="11"/>
        <v>182.7</v>
      </c>
      <c r="M26" s="82">
        <f t="shared" si="11"/>
        <v>210.79999999999995</v>
      </c>
      <c r="N26" s="83">
        <f t="shared" si="11"/>
        <v>120.7999999999999</v>
      </c>
      <c r="O26" s="81">
        <f t="shared" si="11"/>
        <v>177.49999999999997</v>
      </c>
      <c r="P26" s="82">
        <f t="shared" si="11"/>
        <v>191.5</v>
      </c>
      <c r="Q26" s="82">
        <f t="shared" si="11"/>
        <v>192.39999999999986</v>
      </c>
      <c r="R26" s="83">
        <f t="shared" si="11"/>
        <v>191.7</v>
      </c>
      <c r="S26" s="81">
        <f t="shared" si="11"/>
        <v>212.49999999999997</v>
      </c>
      <c r="T26" s="82">
        <f t="shared" si="11"/>
        <v>233.89999999999995</v>
      </c>
      <c r="U26" s="82">
        <f t="shared" si="11"/>
        <v>220.09999999999997</v>
      </c>
      <c r="V26" s="83">
        <f t="shared" si="11"/>
        <v>213.60000000000002</v>
      </c>
      <c r="W26" s="81">
        <f t="shared" si="11"/>
        <v>271.50000000000006</v>
      </c>
      <c r="X26" s="82">
        <f t="shared" si="11"/>
        <v>167.59999999999997</v>
      </c>
      <c r="Y26" s="82">
        <f t="shared" ref="Y26:AF26" si="12">Y24-Y25</f>
        <v>203.19999999999985</v>
      </c>
      <c r="Z26" s="83">
        <f t="shared" si="12"/>
        <v>190.00000000000003</v>
      </c>
      <c r="AA26" s="81">
        <f t="shared" si="12"/>
        <v>259.69999999999993</v>
      </c>
      <c r="AB26" s="82">
        <f t="shared" si="12"/>
        <v>216.89999999999995</v>
      </c>
      <c r="AC26" s="82">
        <f t="shared" si="12"/>
        <v>234.40000000000026</v>
      </c>
      <c r="AD26" s="83">
        <f t="shared" si="12"/>
        <v>250.5</v>
      </c>
      <c r="AE26" s="81">
        <f t="shared" si="12"/>
        <v>254.59999999999982</v>
      </c>
      <c r="AF26" s="82">
        <f t="shared" si="12"/>
        <v>282.40000000000003</v>
      </c>
      <c r="AG26" s="82">
        <f t="shared" ref="AG26:AL26" si="13">AG24-AG25</f>
        <v>273.10000000000019</v>
      </c>
      <c r="AH26" s="82">
        <f t="shared" si="13"/>
        <v>230.7</v>
      </c>
      <c r="AI26" s="81">
        <f t="shared" si="13"/>
        <v>261</v>
      </c>
      <c r="AJ26" s="82">
        <f t="shared" si="13"/>
        <v>344.70000000000005</v>
      </c>
      <c r="AK26" s="82">
        <f t="shared" si="13"/>
        <v>315.70000000000005</v>
      </c>
      <c r="AL26" s="82">
        <f t="shared" si="13"/>
        <v>205.70000000000002</v>
      </c>
      <c r="AM26" s="81">
        <f t="shared" ref="AM26:AU26" si="14">AM24-AM25</f>
        <v>259.2</v>
      </c>
      <c r="AN26" s="82">
        <f t="shared" si="14"/>
        <v>406.90000000000009</v>
      </c>
      <c r="AO26" s="82">
        <f t="shared" si="14"/>
        <v>332.00000000000023</v>
      </c>
      <c r="AP26" s="82">
        <f t="shared" si="14"/>
        <v>254.99999999999986</v>
      </c>
      <c r="AQ26" s="81">
        <f t="shared" si="14"/>
        <v>300.29999999999995</v>
      </c>
      <c r="AR26" s="82">
        <f t="shared" si="14"/>
        <v>360.2999999999999</v>
      </c>
      <c r="AS26" s="82">
        <f t="shared" si="14"/>
        <v>375.69999999999959</v>
      </c>
      <c r="AT26" s="82">
        <f>AT24-AT25</f>
        <v>366.80000000000018</v>
      </c>
      <c r="AU26" s="81">
        <f t="shared" si="14"/>
        <v>322.19999999999982</v>
      </c>
      <c r="AV26" s="82">
        <f>AV24-AV25</f>
        <v>372.70000000000016</v>
      </c>
      <c r="AW26" s="82">
        <f>AW24-AW25</f>
        <v>378.8</v>
      </c>
      <c r="AX26" s="82">
        <f>AX24-AX25</f>
        <v>452.20000000000005</v>
      </c>
    </row>
    <row r="27" spans="1:50" s="18" customFormat="1">
      <c r="A27" s="41" t="s">
        <v>696</v>
      </c>
      <c r="B27" s="41" t="s">
        <v>342</v>
      </c>
      <c r="C27" s="86">
        <f>C26-C28</f>
        <v>167.40000000000006</v>
      </c>
      <c r="D27" s="87">
        <f t="shared" ref="D27:V27" si="15">D26-D28</f>
        <v>167.80000000000018</v>
      </c>
      <c r="E27" s="87">
        <f t="shared" si="15"/>
        <v>197.99999999999994</v>
      </c>
      <c r="F27" s="87">
        <f t="shared" si="15"/>
        <v>97.499999999999915</v>
      </c>
      <c r="G27" s="86">
        <f t="shared" si="15"/>
        <v>173.8000000000001</v>
      </c>
      <c r="H27" s="87">
        <f t="shared" si="15"/>
        <v>233.6999999999999</v>
      </c>
      <c r="I27" s="87">
        <f t="shared" si="15"/>
        <v>166.90000000000006</v>
      </c>
      <c r="J27" s="88">
        <f t="shared" si="15"/>
        <v>-128.99999999999997</v>
      </c>
      <c r="K27" s="87">
        <f t="shared" si="15"/>
        <v>80.799999999999869</v>
      </c>
      <c r="L27" s="87">
        <f t="shared" si="15"/>
        <v>182.7</v>
      </c>
      <c r="M27" s="87">
        <f t="shared" si="15"/>
        <v>210.79999999999995</v>
      </c>
      <c r="N27" s="87">
        <f t="shared" si="15"/>
        <v>120.7999999999999</v>
      </c>
      <c r="O27" s="86">
        <f t="shared" si="15"/>
        <v>177.49999999999997</v>
      </c>
      <c r="P27" s="87">
        <f t="shared" si="15"/>
        <v>191.5</v>
      </c>
      <c r="Q27" s="87">
        <f t="shared" si="15"/>
        <v>192.39999999999986</v>
      </c>
      <c r="R27" s="88">
        <f t="shared" si="15"/>
        <v>191.7</v>
      </c>
      <c r="S27" s="86">
        <f t="shared" si="15"/>
        <v>212.49999999999997</v>
      </c>
      <c r="T27" s="87">
        <f t="shared" si="15"/>
        <v>233.89999999999995</v>
      </c>
      <c r="U27" s="87">
        <f t="shared" si="15"/>
        <v>220.09999999999997</v>
      </c>
      <c r="V27" s="88">
        <f t="shared" si="15"/>
        <v>213.60000000000002</v>
      </c>
      <c r="W27" s="86">
        <f t="shared" ref="W27:AB27" si="16">W26-W28</f>
        <v>271.50000000000006</v>
      </c>
      <c r="X27" s="87">
        <f t="shared" si="16"/>
        <v>167.59999999999997</v>
      </c>
      <c r="Y27" s="87">
        <f t="shared" si="16"/>
        <v>203.19999999999985</v>
      </c>
      <c r="Z27" s="88">
        <f t="shared" si="16"/>
        <v>190.00000000000003</v>
      </c>
      <c r="AA27" s="86">
        <f t="shared" si="16"/>
        <v>259.69999999999993</v>
      </c>
      <c r="AB27" s="87">
        <f t="shared" si="16"/>
        <v>216.89999999999995</v>
      </c>
      <c r="AC27" s="87">
        <f t="shared" ref="AC27:AI27" si="17">AC26-AC28</f>
        <v>234.40000000000026</v>
      </c>
      <c r="AD27" s="88">
        <f t="shared" si="17"/>
        <v>250.5</v>
      </c>
      <c r="AE27" s="86">
        <f t="shared" si="17"/>
        <v>254.59999999999982</v>
      </c>
      <c r="AF27" s="87">
        <f t="shared" si="17"/>
        <v>282.3</v>
      </c>
      <c r="AG27" s="87">
        <f t="shared" si="17"/>
        <v>273.00000000000017</v>
      </c>
      <c r="AH27" s="87">
        <f>AH26-AH28</f>
        <v>230.79999999999998</v>
      </c>
      <c r="AI27" s="86">
        <f t="shared" si="17"/>
        <v>261</v>
      </c>
      <c r="AJ27" s="87">
        <f t="shared" ref="AJ27:AV27" si="18">AJ26-AJ28</f>
        <v>344.6</v>
      </c>
      <c r="AK27" s="87">
        <f t="shared" si="18"/>
        <v>315.70000000000005</v>
      </c>
      <c r="AL27" s="87">
        <f t="shared" si="18"/>
        <v>205.70000000000002</v>
      </c>
      <c r="AM27" s="86">
        <f t="shared" si="18"/>
        <v>259.2</v>
      </c>
      <c r="AN27" s="87">
        <f t="shared" si="18"/>
        <v>406.90000000000009</v>
      </c>
      <c r="AO27" s="525">
        <f t="shared" si="18"/>
        <v>332.00000000000023</v>
      </c>
      <c r="AP27" s="525">
        <f t="shared" si="18"/>
        <v>254.89999999999986</v>
      </c>
      <c r="AQ27" s="526">
        <f t="shared" si="18"/>
        <v>300.29999999999995</v>
      </c>
      <c r="AR27" s="525">
        <f t="shared" si="18"/>
        <v>360.2999999999999</v>
      </c>
      <c r="AS27" s="525">
        <f t="shared" si="18"/>
        <v>375.69999999999959</v>
      </c>
      <c r="AT27" s="525">
        <f>AT26-AT28</f>
        <v>366.80000000000018</v>
      </c>
      <c r="AU27" s="526">
        <f t="shared" si="18"/>
        <v>322.19999999999982</v>
      </c>
      <c r="AV27" s="525">
        <f t="shared" si="18"/>
        <v>372.70000000000016</v>
      </c>
      <c r="AW27" s="525">
        <f t="shared" ref="AW27:AX27" si="19">AW26-AW28</f>
        <v>378.8</v>
      </c>
      <c r="AX27" s="525">
        <f t="shared" si="19"/>
        <v>452.20000000000005</v>
      </c>
    </row>
    <row r="28" spans="1:50">
      <c r="A28" s="37" t="s">
        <v>170</v>
      </c>
      <c r="B28" s="37" t="s">
        <v>9</v>
      </c>
      <c r="C28" s="69">
        <v>3.4</v>
      </c>
      <c r="D28" s="70">
        <v>1.7</v>
      </c>
      <c r="E28" s="70">
        <v>1</v>
      </c>
      <c r="F28" s="70">
        <v>0</v>
      </c>
      <c r="G28" s="69">
        <v>0</v>
      </c>
      <c r="H28" s="70">
        <v>0</v>
      </c>
      <c r="I28" s="70">
        <v>0</v>
      </c>
      <c r="J28" s="78">
        <v>0</v>
      </c>
      <c r="K28" s="69">
        <v>0</v>
      </c>
      <c r="L28" s="70">
        <v>0</v>
      </c>
      <c r="M28" s="70">
        <v>0</v>
      </c>
      <c r="N28" s="78">
        <v>0</v>
      </c>
      <c r="O28" s="69">
        <v>0</v>
      </c>
      <c r="P28" s="70">
        <v>0</v>
      </c>
      <c r="Q28" s="70">
        <v>0</v>
      </c>
      <c r="R28" s="78">
        <v>0</v>
      </c>
      <c r="S28" s="69">
        <v>0</v>
      </c>
      <c r="T28" s="70">
        <v>0</v>
      </c>
      <c r="U28" s="70">
        <v>0</v>
      </c>
      <c r="V28" s="78">
        <v>0</v>
      </c>
      <c r="W28" s="69">
        <v>0</v>
      </c>
      <c r="X28" s="70">
        <v>0</v>
      </c>
      <c r="Y28" s="70">
        <v>0</v>
      </c>
      <c r="Z28" s="78">
        <v>0</v>
      </c>
      <c r="AA28" s="69">
        <v>0</v>
      </c>
      <c r="AB28" s="70">
        <v>0</v>
      </c>
      <c r="AC28" s="70">
        <v>0</v>
      </c>
      <c r="AD28" s="78">
        <v>0</v>
      </c>
      <c r="AE28" s="69">
        <v>0</v>
      </c>
      <c r="AF28" s="70">
        <v>0.1</v>
      </c>
      <c r="AG28" s="70">
        <v>0.1</v>
      </c>
      <c r="AH28" s="78">
        <v>-0.1</v>
      </c>
      <c r="AI28" s="69">
        <v>0</v>
      </c>
      <c r="AJ28" s="70">
        <v>0.1</v>
      </c>
      <c r="AK28" s="70">
        <v>0</v>
      </c>
      <c r="AL28" s="78">
        <v>0</v>
      </c>
      <c r="AM28" s="69">
        <v>0</v>
      </c>
      <c r="AN28" s="70">
        <v>0</v>
      </c>
      <c r="AO28" s="70">
        <v>0</v>
      </c>
      <c r="AP28" s="78">
        <v>0.1</v>
      </c>
      <c r="AQ28" s="69">
        <v>0</v>
      </c>
      <c r="AR28" s="70">
        <v>0</v>
      </c>
      <c r="AS28" s="70">
        <v>0</v>
      </c>
      <c r="AT28" s="78">
        <v>0</v>
      </c>
      <c r="AU28" s="69">
        <v>0</v>
      </c>
      <c r="AV28" s="70">
        <v>0</v>
      </c>
      <c r="AW28" s="70">
        <v>0</v>
      </c>
      <c r="AX28" s="70">
        <v>0</v>
      </c>
    </row>
    <row r="29" spans="1:50">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89"/>
      <c r="AH29" s="89"/>
      <c r="AI29" s="89"/>
      <c r="AJ29" s="72"/>
      <c r="AK29" s="72"/>
      <c r="AL29" s="72"/>
      <c r="AM29" s="89"/>
      <c r="AN29" s="72"/>
      <c r="AO29" s="72"/>
      <c r="AP29" s="72"/>
      <c r="AQ29" s="72"/>
      <c r="AS29" s="72"/>
      <c r="AT29" s="72"/>
      <c r="AU29" s="89"/>
    </row>
    <row r="30" spans="1:50" s="19" customFormat="1" ht="11.25">
      <c r="A30" s="46"/>
      <c r="B30" s="46"/>
      <c r="C30" s="454"/>
      <c r="D30" s="454"/>
      <c r="E30" s="454"/>
      <c r="F30" s="454"/>
      <c r="G30" s="454"/>
      <c r="H30" s="454"/>
      <c r="I30" s="454"/>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4"/>
      <c r="AP30" s="454"/>
      <c r="AQ30" s="454"/>
      <c r="AR30" s="454"/>
      <c r="AS30" s="454"/>
      <c r="AT30" s="454"/>
      <c r="AU30" s="454"/>
      <c r="AV30" s="454"/>
      <c r="AW30" s="454"/>
      <c r="AX30" s="454"/>
    </row>
    <row r="31" spans="1:50" s="19" customFormat="1" ht="11.25">
      <c r="C31" s="91"/>
      <c r="D31" s="91"/>
      <c r="E31" s="91"/>
      <c r="F31" s="91"/>
      <c r="G31" s="91"/>
      <c r="H31" s="91"/>
      <c r="I31" s="91"/>
      <c r="J31" s="91"/>
      <c r="K31" s="91"/>
      <c r="L31" s="91"/>
      <c r="M31" s="91"/>
      <c r="N31" s="91"/>
      <c r="O31" s="91"/>
      <c r="P31" s="91"/>
      <c r="Q31" s="91"/>
      <c r="R31" s="91"/>
      <c r="S31" s="91"/>
      <c r="T31" s="91"/>
      <c r="U31" s="91"/>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row>
    <row r="32" spans="1:50" s="19" customFormat="1" ht="11.25">
      <c r="C32" s="90"/>
      <c r="D32" s="90"/>
      <c r="E32" s="90"/>
      <c r="F32" s="90"/>
      <c r="G32" s="90"/>
      <c r="H32" s="90"/>
      <c r="I32" s="90"/>
      <c r="J32" s="90"/>
      <c r="K32" s="90"/>
      <c r="L32" s="90"/>
      <c r="M32" s="90"/>
      <c r="N32" s="90"/>
      <c r="O32" s="90"/>
      <c r="P32" s="90"/>
      <c r="Q32" s="90"/>
      <c r="R32" s="90"/>
      <c r="S32" s="90"/>
      <c r="T32" s="90"/>
      <c r="U32" s="90"/>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row>
    <row r="33" spans="1:50">
      <c r="A33" s="13"/>
      <c r="B33" s="13"/>
      <c r="C33" s="72"/>
      <c r="D33" s="72"/>
      <c r="E33" s="72"/>
      <c r="F33" s="72"/>
      <c r="G33" s="72"/>
      <c r="H33" s="72"/>
      <c r="I33" s="72"/>
      <c r="J33" s="72"/>
      <c r="K33" s="72"/>
      <c r="L33" s="72"/>
      <c r="M33" s="72"/>
      <c r="N33" s="72"/>
      <c r="O33" s="72"/>
      <c r="P33" s="72"/>
      <c r="Q33" s="72"/>
      <c r="R33" s="72"/>
      <c r="S33" s="72"/>
      <c r="T33" s="72"/>
      <c r="U33" s="72"/>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row>
    <row r="34" spans="1:50">
      <c r="A34" s="13"/>
      <c r="B34" s="1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row>
    <row r="35" spans="1:50">
      <c r="A35" s="13"/>
      <c r="B35" s="13"/>
      <c r="C35" s="72"/>
      <c r="D35" s="72"/>
      <c r="E35" s="72"/>
      <c r="F35" s="72"/>
      <c r="G35" s="72"/>
      <c r="H35" s="72"/>
      <c r="I35" s="72"/>
      <c r="J35" s="72"/>
      <c r="K35" s="72"/>
      <c r="L35" s="72"/>
      <c r="M35" s="72"/>
      <c r="N35" s="72"/>
      <c r="O35" s="72"/>
      <c r="P35" s="72"/>
      <c r="Q35" s="72"/>
      <c r="R35" s="72"/>
      <c r="S35" s="72"/>
      <c r="T35" s="72"/>
      <c r="U35" s="72"/>
      <c r="V35" s="72"/>
      <c r="W35" s="72"/>
      <c r="X35" s="72"/>
      <c r="Y35" s="72"/>
      <c r="Z35" s="72"/>
      <c r="AA35" s="72"/>
      <c r="AB35" s="72"/>
      <c r="AC35" s="72"/>
      <c r="AD35" s="72"/>
      <c r="AG35" s="89"/>
      <c r="AH35" s="89"/>
      <c r="AI35" s="89"/>
      <c r="AM35" s="89"/>
      <c r="AU35" s="89"/>
    </row>
    <row r="36" spans="1:50">
      <c r="A36" s="13"/>
      <c r="B36" s="13"/>
      <c r="AG36" s="89"/>
      <c r="AH36" s="89"/>
      <c r="AI36" s="89"/>
      <c r="AM36" s="89"/>
      <c r="AU36" s="89"/>
    </row>
    <row r="37" spans="1:50" s="19" customFormat="1">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1"/>
      <c r="AF37" s="91"/>
      <c r="AG37" s="89"/>
      <c r="AH37" s="89"/>
      <c r="AI37" s="89"/>
      <c r="AJ37" s="91"/>
      <c r="AK37" s="91"/>
      <c r="AL37" s="91"/>
      <c r="AM37" s="89"/>
      <c r="AN37" s="91"/>
      <c r="AO37" s="91"/>
      <c r="AP37" s="91"/>
      <c r="AQ37" s="91"/>
      <c r="AR37" s="91"/>
      <c r="AS37" s="91"/>
      <c r="AT37" s="91"/>
      <c r="AU37" s="89"/>
      <c r="AV37" s="91"/>
      <c r="AW37" s="91"/>
      <c r="AX37" s="91"/>
    </row>
    <row r="38" spans="1:50" s="19" customFormat="1">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1"/>
      <c r="AF38" s="91"/>
      <c r="AG38" s="89"/>
      <c r="AH38" s="89"/>
      <c r="AI38" s="89"/>
      <c r="AJ38" s="91"/>
      <c r="AK38" s="91"/>
      <c r="AL38" s="91"/>
      <c r="AM38" s="89"/>
      <c r="AN38" s="91"/>
      <c r="AO38" s="91"/>
      <c r="AP38" s="91"/>
      <c r="AQ38" s="91"/>
      <c r="AR38" s="91"/>
      <c r="AS38" s="91"/>
      <c r="AT38" s="91"/>
      <c r="AU38" s="89"/>
      <c r="AV38" s="91"/>
      <c r="AW38" s="91"/>
      <c r="AX38" s="91"/>
    </row>
    <row r="39" spans="1:50" s="19" customFormat="1">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1"/>
      <c r="AF39" s="91"/>
      <c r="AG39" s="89"/>
      <c r="AH39" s="89"/>
      <c r="AI39" s="89"/>
      <c r="AJ39" s="91"/>
      <c r="AK39" s="91"/>
      <c r="AL39" s="91"/>
      <c r="AM39" s="89"/>
      <c r="AN39" s="91"/>
      <c r="AO39" s="91"/>
      <c r="AP39" s="91"/>
      <c r="AQ39" s="91"/>
      <c r="AR39" s="91"/>
      <c r="AS39" s="91"/>
      <c r="AT39" s="91"/>
      <c r="AU39" s="89"/>
      <c r="AV39" s="91"/>
      <c r="AW39" s="91"/>
      <c r="AX39" s="91"/>
    </row>
    <row r="40" spans="1:50">
      <c r="A40" s="13"/>
      <c r="B40" s="13"/>
      <c r="AG40" s="89"/>
      <c r="AH40" s="89"/>
      <c r="AI40" s="89"/>
      <c r="AM40" s="89"/>
      <c r="AU40" s="89"/>
    </row>
    <row r="41" spans="1:50" s="19" customFormat="1">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1"/>
      <c r="AF41" s="91"/>
      <c r="AG41" s="89"/>
      <c r="AH41" s="89"/>
      <c r="AI41" s="89"/>
      <c r="AJ41" s="91"/>
      <c r="AK41" s="91"/>
      <c r="AL41" s="91"/>
      <c r="AM41" s="89"/>
      <c r="AN41" s="91"/>
      <c r="AO41" s="91"/>
      <c r="AP41" s="91"/>
      <c r="AQ41" s="91"/>
      <c r="AR41" s="91"/>
      <c r="AS41" s="91"/>
      <c r="AT41" s="91"/>
      <c r="AU41" s="89"/>
      <c r="AV41" s="91"/>
      <c r="AW41" s="91"/>
      <c r="AX41" s="91"/>
    </row>
    <row r="42" spans="1:50" s="19" customFormat="1">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1"/>
      <c r="AF42" s="91"/>
      <c r="AG42" s="89"/>
      <c r="AH42" s="89"/>
      <c r="AI42" s="89"/>
      <c r="AJ42" s="91"/>
      <c r="AK42" s="91"/>
      <c r="AL42" s="91"/>
      <c r="AM42" s="89"/>
      <c r="AN42" s="91"/>
      <c r="AO42" s="91"/>
      <c r="AP42" s="91"/>
      <c r="AQ42" s="91"/>
      <c r="AR42" s="91"/>
      <c r="AS42" s="91"/>
      <c r="AT42" s="91"/>
      <c r="AU42" s="89"/>
      <c r="AV42" s="91"/>
      <c r="AW42" s="91"/>
      <c r="AX42" s="91"/>
    </row>
    <row r="43" spans="1:50">
      <c r="A43" s="13"/>
      <c r="B43" s="13"/>
      <c r="C43" s="72"/>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2"/>
      <c r="AD43" s="72"/>
      <c r="AG43" s="89"/>
      <c r="AH43" s="89"/>
      <c r="AI43" s="89"/>
      <c r="AM43" s="89"/>
      <c r="AU43" s="89"/>
    </row>
    <row r="44" spans="1:50">
      <c r="A44" s="13"/>
      <c r="B44" s="13"/>
      <c r="AG44" s="89"/>
      <c r="AH44" s="89"/>
      <c r="AI44" s="89"/>
      <c r="AM44" s="89"/>
      <c r="AU44" s="89"/>
    </row>
    <row r="45" spans="1:50">
      <c r="A45" s="13"/>
      <c r="B45" s="13"/>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G45" s="89"/>
      <c r="AH45" s="89"/>
      <c r="AI45" s="89"/>
      <c r="AM45" s="89"/>
      <c r="AU45" s="89"/>
    </row>
    <row r="46" spans="1:50">
      <c r="A46" s="13"/>
      <c r="B46" s="13"/>
      <c r="C46" s="72"/>
      <c r="D46" s="72"/>
      <c r="E46" s="72"/>
      <c r="F46" s="72"/>
      <c r="G46" s="72"/>
      <c r="H46" s="72"/>
      <c r="I46" s="72"/>
      <c r="J46" s="72"/>
      <c r="K46" s="72"/>
      <c r="L46" s="72"/>
      <c r="M46" s="72"/>
      <c r="N46" s="72"/>
      <c r="O46" s="72"/>
      <c r="P46" s="72"/>
      <c r="Q46" s="72"/>
      <c r="R46" s="72"/>
      <c r="S46" s="72"/>
      <c r="T46" s="72"/>
      <c r="U46" s="72"/>
      <c r="V46" s="72"/>
      <c r="W46" s="72"/>
      <c r="X46" s="72"/>
      <c r="Y46" s="72"/>
      <c r="Z46" s="72"/>
      <c r="AA46" s="72"/>
      <c r="AB46" s="72"/>
      <c r="AC46" s="72"/>
      <c r="AD46" s="72"/>
      <c r="AG46" s="89"/>
      <c r="AH46" s="89"/>
      <c r="AI46" s="89"/>
      <c r="AM46" s="89"/>
      <c r="AU46" s="89"/>
    </row>
    <row r="47" spans="1:50">
      <c r="A47" s="13"/>
      <c r="B47" s="13"/>
      <c r="AG47" s="89"/>
      <c r="AH47" s="89"/>
      <c r="AI47" s="89"/>
      <c r="AM47" s="89"/>
      <c r="AU47" s="89"/>
    </row>
    <row r="48" spans="1:50">
      <c r="A48" s="13"/>
      <c r="B48" s="13"/>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G48" s="89"/>
      <c r="AH48" s="89"/>
      <c r="AI48" s="89"/>
      <c r="AM48" s="89"/>
      <c r="AU48" s="89"/>
    </row>
    <row r="49" spans="1:47">
      <c r="A49" s="13"/>
      <c r="B49" s="13"/>
      <c r="AG49" s="89"/>
      <c r="AH49" s="89"/>
      <c r="AI49" s="89"/>
      <c r="AM49" s="89"/>
      <c r="AU49" s="89"/>
    </row>
    <row r="50" spans="1:47">
      <c r="A50" s="13"/>
      <c r="B50" s="13"/>
      <c r="AG50" s="89"/>
      <c r="AH50" s="89"/>
      <c r="AI50" s="89"/>
      <c r="AM50" s="89"/>
      <c r="AU50" s="89"/>
    </row>
    <row r="51" spans="1:47">
      <c r="A51" s="13"/>
      <c r="B51" s="19"/>
      <c r="C51" s="91"/>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G51" s="89"/>
      <c r="AH51" s="89"/>
      <c r="AI51" s="89"/>
      <c r="AM51" s="89"/>
      <c r="AU51" s="89"/>
    </row>
    <row r="52" spans="1:47">
      <c r="A52" s="13"/>
      <c r="B52" s="19"/>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G52" s="89"/>
      <c r="AH52" s="89"/>
      <c r="AI52" s="89"/>
      <c r="AM52" s="89"/>
      <c r="AU52" s="89"/>
    </row>
    <row r="53" spans="1:47">
      <c r="A53" s="13"/>
      <c r="B53" s="19"/>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G53" s="89"/>
      <c r="AH53" s="89"/>
      <c r="AI53" s="89"/>
      <c r="AM53" s="89"/>
      <c r="AU53" s="89"/>
    </row>
    <row r="54" spans="1:47">
      <c r="A54" s="13"/>
      <c r="B54" s="19"/>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G54" s="89"/>
      <c r="AH54" s="89"/>
      <c r="AI54" s="89"/>
      <c r="AM54" s="89"/>
      <c r="AU54" s="89"/>
    </row>
    <row r="55" spans="1:47">
      <c r="A55" s="13"/>
      <c r="B55" s="19"/>
      <c r="C55" s="91"/>
      <c r="D55" s="91"/>
      <c r="E55" s="91"/>
      <c r="F55" s="91"/>
      <c r="G55" s="91"/>
      <c r="H55" s="91"/>
      <c r="I55" s="91"/>
      <c r="J55" s="91"/>
      <c r="K55" s="91"/>
      <c r="L55" s="91"/>
      <c r="M55" s="91"/>
      <c r="N55" s="91"/>
      <c r="O55" s="91"/>
      <c r="P55" s="91"/>
      <c r="Q55" s="91"/>
      <c r="R55" s="91"/>
      <c r="S55" s="91"/>
      <c r="T55" s="91"/>
      <c r="U55" s="91"/>
      <c r="V55" s="91"/>
      <c r="W55" s="91"/>
      <c r="X55" s="91"/>
      <c r="Y55" s="91"/>
      <c r="Z55" s="91"/>
      <c r="AA55" s="91"/>
      <c r="AB55" s="91"/>
      <c r="AC55" s="91"/>
      <c r="AD55" s="91"/>
      <c r="AG55" s="89"/>
      <c r="AH55" s="89"/>
      <c r="AI55" s="89"/>
      <c r="AM55" s="89"/>
      <c r="AU55" s="89"/>
    </row>
    <row r="56" spans="1:47">
      <c r="A56" s="13"/>
      <c r="B56" s="19"/>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G56" s="89"/>
      <c r="AH56" s="89"/>
      <c r="AI56" s="89"/>
      <c r="AM56" s="89"/>
      <c r="AU56" s="89"/>
    </row>
    <row r="57" spans="1:47">
      <c r="A57" s="13"/>
      <c r="B57" s="19"/>
      <c r="C57" s="91"/>
      <c r="D57" s="91"/>
      <c r="E57" s="91"/>
      <c r="F57" s="91"/>
      <c r="G57" s="91"/>
      <c r="H57" s="91"/>
      <c r="I57" s="91"/>
      <c r="J57" s="91"/>
      <c r="K57" s="91"/>
      <c r="L57" s="91"/>
      <c r="M57" s="91"/>
      <c r="N57" s="91"/>
      <c r="O57" s="91"/>
      <c r="P57" s="91"/>
      <c r="Q57" s="91"/>
      <c r="R57" s="91"/>
      <c r="S57" s="91"/>
      <c r="T57" s="91"/>
      <c r="U57" s="91"/>
      <c r="V57" s="91"/>
      <c r="W57" s="91"/>
      <c r="X57" s="91"/>
      <c r="Y57" s="91"/>
      <c r="Z57" s="91"/>
      <c r="AA57" s="91"/>
      <c r="AB57" s="91"/>
      <c r="AC57" s="91"/>
      <c r="AD57" s="91"/>
      <c r="AG57" s="89"/>
      <c r="AH57" s="89"/>
      <c r="AI57" s="89"/>
      <c r="AM57" s="89"/>
      <c r="AU57" s="89"/>
    </row>
    <row r="58" spans="1:47">
      <c r="A58" s="13"/>
      <c r="B58" s="19"/>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G58" s="89"/>
      <c r="AH58" s="89"/>
      <c r="AI58" s="89"/>
      <c r="AM58" s="89"/>
      <c r="AU58" s="89"/>
    </row>
    <row r="59" spans="1:47">
      <c r="A59" s="13"/>
      <c r="B59" s="19"/>
      <c r="C59" s="91"/>
      <c r="D59" s="91"/>
      <c r="E59" s="91"/>
      <c r="F59" s="91"/>
      <c r="G59" s="91"/>
      <c r="H59" s="91"/>
      <c r="I59" s="91"/>
      <c r="J59" s="91"/>
      <c r="K59" s="91"/>
      <c r="L59" s="91"/>
      <c r="M59" s="91"/>
      <c r="N59" s="91"/>
      <c r="O59" s="91"/>
      <c r="P59" s="91"/>
      <c r="Q59" s="91"/>
      <c r="R59" s="91"/>
      <c r="S59" s="91"/>
      <c r="T59" s="91"/>
      <c r="U59" s="91"/>
      <c r="V59" s="91"/>
      <c r="W59" s="91"/>
      <c r="X59" s="91"/>
      <c r="Y59" s="91"/>
      <c r="Z59" s="91"/>
      <c r="AA59" s="91"/>
      <c r="AB59" s="91"/>
      <c r="AC59" s="91"/>
      <c r="AD59" s="91"/>
      <c r="AG59" s="89"/>
      <c r="AH59" s="89"/>
      <c r="AI59" s="89"/>
      <c r="AM59" s="89"/>
      <c r="AU59" s="89"/>
    </row>
    <row r="60" spans="1:47">
      <c r="A60" s="13"/>
      <c r="B60" s="19"/>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G60" s="89"/>
      <c r="AH60" s="89"/>
      <c r="AI60" s="89"/>
      <c r="AM60" s="89"/>
      <c r="AU60" s="89"/>
    </row>
    <row r="61" spans="1:47">
      <c r="A61" s="13"/>
      <c r="B61" s="19"/>
      <c r="C61" s="91"/>
      <c r="D61" s="91"/>
      <c r="E61" s="91"/>
      <c r="F61" s="91"/>
      <c r="G61" s="91"/>
      <c r="H61" s="91"/>
      <c r="I61" s="91"/>
      <c r="J61" s="91"/>
      <c r="K61" s="91"/>
      <c r="L61" s="91"/>
      <c r="M61" s="91"/>
      <c r="N61" s="91"/>
      <c r="O61" s="91"/>
      <c r="P61" s="91"/>
      <c r="Q61" s="91"/>
      <c r="R61" s="91"/>
      <c r="S61" s="91"/>
      <c r="T61" s="91"/>
      <c r="U61" s="91"/>
      <c r="V61" s="91"/>
      <c r="W61" s="91"/>
      <c r="X61" s="91"/>
      <c r="Y61" s="91"/>
      <c r="Z61" s="91"/>
      <c r="AA61" s="91"/>
      <c r="AB61" s="91"/>
      <c r="AC61" s="91"/>
      <c r="AD61" s="91"/>
      <c r="AG61" s="89"/>
      <c r="AH61" s="89"/>
      <c r="AI61" s="89"/>
      <c r="AM61" s="89"/>
      <c r="AU61" s="89"/>
    </row>
    <row r="62" spans="1:47">
      <c r="A62" s="13"/>
      <c r="B62" s="19"/>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G62" s="89"/>
      <c r="AH62" s="89"/>
      <c r="AI62" s="89"/>
      <c r="AM62" s="89"/>
      <c r="AU62" s="89"/>
    </row>
    <row r="63" spans="1:47">
      <c r="A63" s="13"/>
      <c r="B63" s="19"/>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G63" s="89"/>
      <c r="AH63" s="89"/>
      <c r="AI63" s="89"/>
      <c r="AM63" s="89"/>
      <c r="AU63" s="89"/>
    </row>
    <row r="64" spans="1:47">
      <c r="C64" s="72"/>
      <c r="D64" s="72"/>
      <c r="E64" s="72"/>
      <c r="F64" s="72"/>
      <c r="G64" s="72"/>
      <c r="H64" s="72"/>
      <c r="I64" s="72"/>
      <c r="J64" s="72"/>
      <c r="K64" s="72"/>
      <c r="L64" s="72"/>
      <c r="M64" s="72"/>
      <c r="N64" s="72"/>
      <c r="O64" s="72"/>
      <c r="P64" s="72"/>
      <c r="Q64" s="72"/>
      <c r="R64" s="72"/>
      <c r="S64" s="72"/>
      <c r="T64" s="72"/>
      <c r="U64" s="72"/>
      <c r="V64" s="72"/>
      <c r="W64" s="72"/>
      <c r="X64" s="72"/>
      <c r="Y64" s="72"/>
      <c r="Z64" s="72"/>
      <c r="AA64" s="72"/>
      <c r="AB64" s="72"/>
      <c r="AC64" s="72"/>
      <c r="AD64" s="72"/>
      <c r="AG64" s="89"/>
      <c r="AH64" s="89"/>
      <c r="AI64" s="89"/>
      <c r="AM64" s="89"/>
      <c r="AU64" s="89"/>
    </row>
    <row r="65" spans="1:50">
      <c r="AG65" s="89"/>
      <c r="AH65" s="89"/>
      <c r="AI65" s="89"/>
      <c r="AM65" s="89"/>
      <c r="AU65" s="89"/>
    </row>
    <row r="66" spans="1:50">
      <c r="AG66" s="89"/>
      <c r="AH66" s="89"/>
      <c r="AI66" s="89"/>
      <c r="AM66" s="89"/>
      <c r="AU66" s="89"/>
    </row>
    <row r="67" spans="1:50">
      <c r="A67" s="13"/>
      <c r="B67" s="19"/>
      <c r="C67" s="90"/>
      <c r="D67" s="90"/>
      <c r="E67" s="90"/>
      <c r="F67" s="90"/>
      <c r="G67" s="90"/>
      <c r="H67" s="90"/>
      <c r="I67" s="90"/>
      <c r="J67" s="90"/>
      <c r="K67" s="90"/>
      <c r="L67" s="90"/>
      <c r="M67" s="90"/>
      <c r="N67" s="90"/>
      <c r="O67" s="90"/>
      <c r="P67" s="90"/>
      <c r="Q67" s="90"/>
      <c r="R67" s="90"/>
      <c r="S67" s="90"/>
      <c r="T67" s="90"/>
      <c r="U67" s="90"/>
      <c r="V67" s="90"/>
      <c r="W67" s="90"/>
      <c r="X67" s="90"/>
      <c r="Y67" s="90"/>
      <c r="Z67" s="90"/>
      <c r="AA67" s="90"/>
      <c r="AB67" s="90"/>
      <c r="AC67" s="90"/>
      <c r="AD67" s="90"/>
      <c r="AG67" s="89"/>
      <c r="AH67" s="89"/>
      <c r="AI67" s="89"/>
      <c r="AM67" s="89"/>
      <c r="AU67" s="89"/>
    </row>
    <row r="68" spans="1:50">
      <c r="A68" s="13"/>
      <c r="B68" s="19"/>
      <c r="C68" s="91"/>
      <c r="D68" s="91"/>
      <c r="E68" s="91"/>
      <c r="F68" s="91"/>
      <c r="G68" s="91"/>
      <c r="H68" s="91"/>
      <c r="I68" s="91"/>
      <c r="J68" s="91"/>
      <c r="K68" s="91"/>
      <c r="L68" s="91"/>
      <c r="M68" s="91"/>
      <c r="N68" s="91"/>
      <c r="O68" s="91"/>
      <c r="P68" s="91"/>
      <c r="Q68" s="91"/>
      <c r="R68" s="91"/>
      <c r="S68" s="91"/>
      <c r="T68" s="91"/>
      <c r="U68" s="91"/>
      <c r="V68" s="91"/>
      <c r="W68" s="91"/>
      <c r="X68" s="91"/>
      <c r="Y68" s="91"/>
      <c r="Z68" s="91"/>
      <c r="AA68" s="91"/>
      <c r="AB68" s="91"/>
      <c r="AC68" s="91"/>
      <c r="AD68" s="91"/>
      <c r="AG68" s="89"/>
      <c r="AH68" s="89"/>
      <c r="AI68" s="89"/>
      <c r="AM68" s="89"/>
      <c r="AU68" s="89"/>
    </row>
    <row r="69" spans="1:50">
      <c r="AG69" s="89"/>
      <c r="AH69" s="89"/>
      <c r="AI69" s="89"/>
      <c r="AM69" s="89"/>
      <c r="AU69" s="89"/>
    </row>
    <row r="70" spans="1:50">
      <c r="A70" s="13"/>
      <c r="B70" s="19"/>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c r="AC70" s="90"/>
      <c r="AD70" s="90"/>
      <c r="AG70" s="89"/>
      <c r="AH70" s="89"/>
      <c r="AI70" s="89"/>
      <c r="AM70" s="89"/>
      <c r="AU70" s="89"/>
    </row>
    <row r="71" spans="1:50">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G71" s="89"/>
      <c r="AH71" s="89"/>
      <c r="AI71" s="89"/>
      <c r="AM71" s="89"/>
      <c r="AU71" s="89"/>
    </row>
    <row r="72" spans="1:50">
      <c r="AA72" s="72"/>
      <c r="AB72" s="72"/>
      <c r="AC72" s="72"/>
      <c r="AD72" s="72"/>
      <c r="AE72" s="72"/>
      <c r="AF72" s="72"/>
      <c r="AG72" s="72"/>
      <c r="AJ72" s="72"/>
      <c r="AK72" s="72"/>
      <c r="AL72" s="72"/>
      <c r="AN72" s="72"/>
      <c r="AO72" s="72"/>
      <c r="AP72" s="72"/>
      <c r="AQ72" s="72"/>
      <c r="AS72" s="72"/>
      <c r="AT72" s="72"/>
    </row>
    <row r="73" spans="1:50">
      <c r="AA73" s="90"/>
      <c r="AB73" s="90"/>
      <c r="AC73" s="90"/>
      <c r="AD73" s="90"/>
      <c r="AE73" s="90"/>
    </row>
    <row r="74" spans="1:50" s="19" customFormat="1" ht="11.25">
      <c r="A74" s="46"/>
      <c r="B74" s="46"/>
      <c r="C74" s="91"/>
      <c r="D74" s="91"/>
      <c r="E74" s="91"/>
      <c r="F74" s="91"/>
      <c r="G74" s="91"/>
      <c r="H74" s="91"/>
      <c r="I74" s="91"/>
      <c r="J74" s="91"/>
      <c r="K74" s="91"/>
      <c r="L74" s="91"/>
      <c r="M74" s="91"/>
      <c r="N74" s="91"/>
      <c r="O74" s="91"/>
      <c r="P74" s="91"/>
      <c r="Q74" s="91"/>
      <c r="R74" s="91"/>
      <c r="S74" s="91"/>
      <c r="T74" s="91"/>
      <c r="U74" s="91"/>
      <c r="V74" s="91"/>
      <c r="W74" s="91"/>
      <c r="X74" s="91"/>
      <c r="Y74" s="91"/>
      <c r="Z74" s="91"/>
      <c r="AA74" s="90"/>
      <c r="AB74" s="90"/>
      <c r="AC74" s="90"/>
      <c r="AD74" s="90"/>
      <c r="AE74" s="90"/>
      <c r="AF74" s="91"/>
      <c r="AG74" s="91"/>
      <c r="AH74" s="91"/>
      <c r="AI74" s="91"/>
      <c r="AJ74" s="91"/>
      <c r="AK74" s="91"/>
      <c r="AL74" s="91"/>
      <c r="AM74" s="91"/>
      <c r="AN74" s="91"/>
      <c r="AO74" s="91"/>
      <c r="AP74" s="91"/>
      <c r="AQ74" s="91"/>
      <c r="AR74" s="91"/>
      <c r="AS74" s="91"/>
      <c r="AT74" s="91"/>
      <c r="AU74" s="91"/>
      <c r="AV74" s="91"/>
      <c r="AW74" s="91"/>
      <c r="AX74" s="91"/>
    </row>
    <row r="75" spans="1:50" s="19" customFormat="1" ht="11.25">
      <c r="A75" s="46"/>
      <c r="B75" s="46"/>
      <c r="C75" s="91"/>
      <c r="D75" s="91"/>
      <c r="E75" s="91"/>
      <c r="F75" s="91"/>
      <c r="G75" s="91"/>
      <c r="H75" s="91"/>
      <c r="I75" s="91"/>
      <c r="J75" s="91"/>
      <c r="K75" s="91"/>
      <c r="L75" s="91"/>
      <c r="M75" s="91"/>
      <c r="N75" s="91"/>
      <c r="O75" s="91"/>
      <c r="P75" s="91"/>
      <c r="Q75" s="91"/>
      <c r="R75" s="91"/>
      <c r="S75" s="91"/>
      <c r="T75" s="91"/>
      <c r="U75" s="91"/>
      <c r="V75" s="91"/>
      <c r="W75" s="91"/>
      <c r="X75" s="91"/>
      <c r="Y75" s="91"/>
      <c r="Z75" s="91"/>
      <c r="AA75" s="90"/>
      <c r="AB75" s="90"/>
      <c r="AC75" s="90"/>
      <c r="AD75" s="90"/>
      <c r="AE75" s="90"/>
      <c r="AF75" s="90"/>
      <c r="AG75" s="90"/>
      <c r="AH75" s="91"/>
      <c r="AI75" s="91"/>
      <c r="AJ75" s="90"/>
      <c r="AK75" s="90"/>
      <c r="AL75" s="90"/>
      <c r="AM75" s="91"/>
      <c r="AN75" s="90"/>
      <c r="AO75" s="90"/>
      <c r="AP75" s="90"/>
      <c r="AQ75" s="90"/>
      <c r="AR75" s="91"/>
      <c r="AS75" s="90"/>
      <c r="AT75" s="90"/>
      <c r="AU75" s="91"/>
      <c r="AV75" s="91"/>
      <c r="AW75" s="91"/>
      <c r="AX75" s="91"/>
    </row>
    <row r="76" spans="1:50" s="19" customFormat="1" ht="11.25">
      <c r="A76" s="46"/>
      <c r="B76" s="46"/>
      <c r="C76" s="91"/>
      <c r="D76" s="91"/>
      <c r="E76" s="91"/>
      <c r="F76" s="91"/>
      <c r="G76" s="91"/>
      <c r="H76" s="91"/>
      <c r="I76" s="91"/>
      <c r="J76" s="91"/>
      <c r="K76" s="91"/>
      <c r="L76" s="91"/>
      <c r="M76" s="91"/>
      <c r="N76" s="91"/>
      <c r="O76" s="91"/>
      <c r="P76" s="91"/>
      <c r="Q76" s="91"/>
      <c r="R76" s="91"/>
      <c r="S76" s="91"/>
      <c r="T76" s="91"/>
      <c r="U76" s="91"/>
      <c r="V76" s="91"/>
      <c r="W76" s="91"/>
      <c r="X76" s="91"/>
      <c r="Y76" s="91"/>
      <c r="Z76" s="91"/>
      <c r="AA76" s="90"/>
      <c r="AB76" s="90"/>
      <c r="AC76" s="90"/>
      <c r="AD76" s="90"/>
      <c r="AE76" s="90"/>
      <c r="AF76" s="91"/>
      <c r="AG76" s="91"/>
      <c r="AH76" s="91"/>
      <c r="AI76" s="91"/>
      <c r="AJ76" s="91"/>
      <c r="AK76" s="91"/>
      <c r="AL76" s="91"/>
      <c r="AM76" s="91"/>
      <c r="AN76" s="91"/>
      <c r="AO76" s="91"/>
      <c r="AP76" s="91"/>
      <c r="AQ76" s="91"/>
      <c r="AR76" s="91"/>
      <c r="AS76" s="91"/>
      <c r="AT76" s="91"/>
      <c r="AU76" s="91"/>
      <c r="AV76" s="91"/>
      <c r="AW76" s="91"/>
      <c r="AX76" s="91"/>
    </row>
    <row r="77" spans="1:50" s="19" customFormat="1" ht="11.25">
      <c r="A77" s="46"/>
      <c r="B77" s="46"/>
      <c r="C77" s="91"/>
      <c r="D77" s="91"/>
      <c r="E77" s="91"/>
      <c r="F77" s="91"/>
      <c r="G77" s="91"/>
      <c r="H77" s="91"/>
      <c r="I77" s="91"/>
      <c r="J77" s="91"/>
      <c r="K77" s="91"/>
      <c r="L77" s="91"/>
      <c r="M77" s="91"/>
      <c r="N77" s="91"/>
      <c r="O77" s="91"/>
      <c r="P77" s="91"/>
      <c r="Q77" s="91"/>
      <c r="R77" s="91"/>
      <c r="S77" s="91"/>
      <c r="T77" s="91"/>
      <c r="U77" s="91"/>
      <c r="V77" s="91"/>
      <c r="W77" s="91"/>
      <c r="X77" s="91"/>
      <c r="Y77" s="91"/>
      <c r="Z77" s="91"/>
      <c r="AA77" s="90"/>
      <c r="AB77" s="90"/>
      <c r="AC77" s="90"/>
      <c r="AD77" s="90"/>
      <c r="AE77" s="90"/>
      <c r="AF77" s="91"/>
      <c r="AG77" s="91"/>
      <c r="AH77" s="91"/>
      <c r="AI77" s="91"/>
      <c r="AJ77" s="91"/>
      <c r="AK77" s="91"/>
      <c r="AL77" s="91"/>
      <c r="AM77" s="91"/>
      <c r="AN77" s="91"/>
      <c r="AO77" s="91"/>
      <c r="AP77" s="91"/>
      <c r="AQ77" s="91"/>
      <c r="AR77" s="91"/>
      <c r="AS77" s="91"/>
      <c r="AT77" s="91"/>
      <c r="AU77" s="91"/>
      <c r="AV77" s="91"/>
      <c r="AW77" s="91"/>
      <c r="AX77" s="91"/>
    </row>
    <row r="78" spans="1:50">
      <c r="AA78" s="72"/>
      <c r="AB78" s="72"/>
      <c r="AC78" s="72"/>
      <c r="AD78" s="72"/>
      <c r="AE78" s="72"/>
      <c r="AF78" s="72"/>
      <c r="AG78" s="72"/>
      <c r="AH78" s="72"/>
      <c r="AI78" s="72"/>
      <c r="AJ78" s="72"/>
      <c r="AK78" s="72"/>
      <c r="AL78" s="72"/>
      <c r="AM78" s="72"/>
      <c r="AN78" s="72"/>
      <c r="AO78" s="72"/>
      <c r="AP78" s="72"/>
      <c r="AQ78" s="72"/>
      <c r="AS78" s="72"/>
      <c r="AT78" s="72"/>
      <c r="AU78" s="72"/>
    </row>
    <row r="79" spans="1:50">
      <c r="AA79" s="72"/>
      <c r="AB79" s="72"/>
      <c r="AC79" s="72"/>
      <c r="AD79" s="72"/>
      <c r="AE79" s="72"/>
      <c r="AF79" s="72"/>
      <c r="AG79" s="72"/>
      <c r="AH79" s="72"/>
      <c r="AI79" s="72"/>
      <c r="AJ79" s="72"/>
      <c r="AK79" s="72"/>
      <c r="AL79" s="72"/>
      <c r="AM79" s="72"/>
      <c r="AN79" s="72"/>
      <c r="AO79" s="72"/>
      <c r="AP79" s="72"/>
      <c r="AQ79" s="72"/>
      <c r="AS79" s="72"/>
      <c r="AT79" s="72"/>
      <c r="AU79" s="72"/>
    </row>
    <row r="80" spans="1:50">
      <c r="AA80" s="72"/>
      <c r="AB80" s="72"/>
      <c r="AC80" s="72"/>
      <c r="AD80" s="72"/>
      <c r="AE80" s="72"/>
      <c r="AF80" s="72"/>
      <c r="AG80" s="72"/>
      <c r="AH80" s="72"/>
      <c r="AI80" s="72"/>
      <c r="AJ80" s="72"/>
      <c r="AK80" s="72"/>
      <c r="AL80" s="72"/>
      <c r="AM80" s="72"/>
      <c r="AN80" s="72"/>
      <c r="AO80" s="72"/>
      <c r="AP80" s="72"/>
      <c r="AQ80" s="72"/>
      <c r="AS80" s="72"/>
      <c r="AT80" s="72"/>
      <c r="AU80" s="72"/>
    </row>
  </sheetData>
  <mergeCells count="14">
    <mergeCell ref="AU2:AX2"/>
    <mergeCell ref="A2:A3"/>
    <mergeCell ref="B2:B3"/>
    <mergeCell ref="C2:F2"/>
    <mergeCell ref="G2:J2"/>
    <mergeCell ref="K2:N2"/>
    <mergeCell ref="O2:R2"/>
    <mergeCell ref="AQ2:AT2"/>
    <mergeCell ref="AE2:AH2"/>
    <mergeCell ref="AA2:AD2"/>
    <mergeCell ref="W2:Z2"/>
    <mergeCell ref="AI2:AL2"/>
    <mergeCell ref="S2:V2"/>
    <mergeCell ref="AM2:AP2"/>
  </mergeCell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20"/>
  <sheetViews>
    <sheetView showGridLines="0" view="pageBreakPreview" zoomScaleNormal="100" zoomScaleSheetLayoutView="100" zoomScalePageLayoutView="80" workbookViewId="0">
      <pane xSplit="2" ySplit="4" topLeftCell="AM5" activePane="bottomRight" state="frozen"/>
      <selection activeCell="B1" sqref="B1"/>
      <selection pane="topRight" activeCell="C1" sqref="C1"/>
      <selection pane="bottomLeft" activeCell="B5" sqref="B5"/>
      <selection pane="bottomRight" activeCell="A2" sqref="A2:A3"/>
    </sheetView>
  </sheetViews>
  <sheetFormatPr defaultColWidth="8.85546875" defaultRowHeight="13.5" outlineLevelCol="1"/>
  <cols>
    <col min="1" max="1" width="50.42578125" style="58" customWidth="1" outlineLevel="1"/>
    <col min="2" max="2" width="53.140625" style="58" customWidth="1"/>
    <col min="3" max="50" width="6.140625" style="13" customWidth="1"/>
    <col min="51" max="16384" width="8.85546875" style="13"/>
  </cols>
  <sheetData>
    <row r="1" spans="1:50">
      <c r="A1" s="20" t="s">
        <v>545</v>
      </c>
      <c r="B1" s="20" t="s">
        <v>431</v>
      </c>
    </row>
    <row r="2" spans="1:50">
      <c r="A2" s="481" t="s">
        <v>392</v>
      </c>
      <c r="B2" s="481" t="s">
        <v>39</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5"/>
      <c r="AI2" s="477">
        <v>2015</v>
      </c>
      <c r="AJ2" s="475"/>
      <c r="AK2" s="475"/>
      <c r="AL2" s="475"/>
      <c r="AM2" s="477">
        <v>2016</v>
      </c>
      <c r="AN2" s="475"/>
      <c r="AO2" s="475"/>
      <c r="AP2" s="475"/>
      <c r="AQ2" s="477">
        <v>2017</v>
      </c>
      <c r="AR2" s="475"/>
      <c r="AS2" s="475"/>
      <c r="AT2" s="475">
        <v>2017</v>
      </c>
      <c r="AU2" s="477">
        <v>2018</v>
      </c>
      <c r="AV2" s="479"/>
      <c r="AW2" s="479"/>
      <c r="AX2" s="484"/>
    </row>
    <row r="3" spans="1:50" s="14" customFormat="1" ht="26.25" customHeigh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2" t="s">
        <v>151</v>
      </c>
      <c r="AB3" s="23" t="s">
        <v>152</v>
      </c>
      <c r="AC3" s="23" t="s">
        <v>153</v>
      </c>
      <c r="AD3" s="48" t="s">
        <v>154</v>
      </c>
      <c r="AE3" s="23" t="s">
        <v>151</v>
      </c>
      <c r="AF3" s="23" t="s">
        <v>152</v>
      </c>
      <c r="AG3" s="23" t="s">
        <v>153</v>
      </c>
      <c r="AH3" s="23" t="s">
        <v>154</v>
      </c>
      <c r="AI3" s="22" t="s">
        <v>151</v>
      </c>
      <c r="AJ3" s="23" t="s">
        <v>152</v>
      </c>
      <c r="AK3" s="23" t="s">
        <v>153</v>
      </c>
      <c r="AL3" s="23" t="s">
        <v>154</v>
      </c>
      <c r="AM3" s="22" t="s">
        <v>151</v>
      </c>
      <c r="AN3" s="23" t="s">
        <v>152</v>
      </c>
      <c r="AO3" s="23" t="s">
        <v>153</v>
      </c>
      <c r="AP3" s="23" t="s">
        <v>154</v>
      </c>
      <c r="AQ3" s="22" t="s">
        <v>151</v>
      </c>
      <c r="AR3" s="23" t="s">
        <v>152</v>
      </c>
      <c r="AS3" s="23" t="s">
        <v>153</v>
      </c>
      <c r="AT3" s="23" t="s">
        <v>154</v>
      </c>
      <c r="AU3" s="22" t="s">
        <v>151</v>
      </c>
      <c r="AV3" s="23" t="s">
        <v>152</v>
      </c>
      <c r="AW3" s="23" t="s">
        <v>153</v>
      </c>
      <c r="AX3" s="23" t="s">
        <v>154</v>
      </c>
    </row>
    <row r="4" spans="1:50" s="14" customFormat="1" ht="12.75" customHeight="1">
      <c r="A4" s="24" t="s">
        <v>156</v>
      </c>
      <c r="B4" s="24" t="s">
        <v>11</v>
      </c>
      <c r="C4" s="25"/>
      <c r="D4" s="26"/>
      <c r="E4" s="26"/>
      <c r="F4" s="26"/>
      <c r="G4" s="25"/>
      <c r="H4" s="26"/>
      <c r="I4" s="26"/>
      <c r="J4" s="27"/>
      <c r="K4" s="25"/>
      <c r="L4" s="26"/>
      <c r="M4" s="26"/>
      <c r="N4" s="27"/>
      <c r="O4" s="25"/>
      <c r="P4" s="26"/>
      <c r="Q4" s="26"/>
      <c r="R4" s="27"/>
      <c r="S4" s="25"/>
      <c r="T4" s="26"/>
      <c r="U4" s="26"/>
      <c r="V4" s="27"/>
      <c r="W4" s="25"/>
      <c r="X4" s="26"/>
      <c r="Y4" s="26"/>
      <c r="Z4" s="27"/>
      <c r="AA4" s="25"/>
      <c r="AB4" s="26"/>
      <c r="AC4" s="26"/>
      <c r="AD4" s="27"/>
      <c r="AE4" s="26"/>
      <c r="AF4" s="26"/>
      <c r="AG4" s="26"/>
      <c r="AH4" s="26"/>
      <c r="AI4" s="25"/>
      <c r="AJ4" s="26"/>
      <c r="AK4" s="26"/>
      <c r="AL4" s="26"/>
      <c r="AM4" s="25"/>
      <c r="AN4" s="26"/>
      <c r="AO4" s="26"/>
      <c r="AP4" s="26"/>
      <c r="AQ4" s="25"/>
      <c r="AR4" s="26"/>
      <c r="AS4" s="26"/>
      <c r="AT4" s="26"/>
      <c r="AU4" s="25"/>
      <c r="AV4" s="26"/>
      <c r="AW4" s="26"/>
      <c r="AX4" s="26"/>
    </row>
    <row r="5" spans="1:50" s="16" customFormat="1">
      <c r="A5" s="50" t="s">
        <v>172</v>
      </c>
      <c r="B5" s="50" t="s">
        <v>36</v>
      </c>
      <c r="C5" s="34">
        <f t="shared" ref="C5:X5" si="0">SUM(C6:C9)</f>
        <v>219.23446177487298</v>
      </c>
      <c r="D5" s="35">
        <f t="shared" si="0"/>
        <v>212.83446177487298</v>
      </c>
      <c r="E5" s="35">
        <f t="shared" si="0"/>
        <v>221.73446177487301</v>
      </c>
      <c r="F5" s="35">
        <f t="shared" si="0"/>
        <v>192.53446177487299</v>
      </c>
      <c r="G5" s="34">
        <f t="shared" si="0"/>
        <v>285.24199121427245</v>
      </c>
      <c r="H5" s="35">
        <f t="shared" si="0"/>
        <v>273.34199121427247</v>
      </c>
      <c r="I5" s="35">
        <f t="shared" si="0"/>
        <v>277.34199121427247</v>
      </c>
      <c r="J5" s="36">
        <f t="shared" si="0"/>
        <v>34.441991214272434</v>
      </c>
      <c r="K5" s="34">
        <f t="shared" si="0"/>
        <v>263.01495819501633</v>
      </c>
      <c r="L5" s="35">
        <f t="shared" si="0"/>
        <v>335.11495819501636</v>
      </c>
      <c r="M5" s="35">
        <f t="shared" si="0"/>
        <v>367.21495819501638</v>
      </c>
      <c r="N5" s="36">
        <f t="shared" si="0"/>
        <v>282.81495819501635</v>
      </c>
      <c r="O5" s="34">
        <f t="shared" si="0"/>
        <v>353.23382920852202</v>
      </c>
      <c r="P5" s="35">
        <f t="shared" si="0"/>
        <v>321.43382920852201</v>
      </c>
      <c r="Q5" s="35">
        <f t="shared" si="0"/>
        <v>333.53382920852204</v>
      </c>
      <c r="R5" s="36">
        <f t="shared" si="0"/>
        <v>311.93382920852207</v>
      </c>
      <c r="S5" s="34">
        <f t="shared" si="0"/>
        <v>352.35273582985053</v>
      </c>
      <c r="T5" s="35">
        <f t="shared" si="0"/>
        <v>357.9527358298505</v>
      </c>
      <c r="U5" s="35">
        <f t="shared" si="0"/>
        <v>358.4527358298505</v>
      </c>
      <c r="V5" s="36">
        <f t="shared" si="0"/>
        <v>376.4527358298505</v>
      </c>
      <c r="W5" s="34">
        <f t="shared" si="0"/>
        <v>429.07316013128394</v>
      </c>
      <c r="X5" s="35">
        <f t="shared" si="0"/>
        <v>381.47316013128398</v>
      </c>
      <c r="Y5" s="257">
        <f t="shared" ref="Y5:AP5" si="1">SUM(Y6:Y9)</f>
        <v>376.87316013128395</v>
      </c>
      <c r="Z5" s="258">
        <f t="shared" si="1"/>
        <v>376.97316013128392</v>
      </c>
      <c r="AA5" s="34">
        <f t="shared" si="1"/>
        <v>415.33072898459631</v>
      </c>
      <c r="AB5" s="35">
        <f t="shared" si="1"/>
        <v>393.14739771935047</v>
      </c>
      <c r="AC5" s="35">
        <f t="shared" si="1"/>
        <v>382.87190215539556</v>
      </c>
      <c r="AD5" s="36">
        <f>SUM(AD6:AD9)</f>
        <v>383.94748555135504</v>
      </c>
      <c r="AE5" s="35">
        <f>SUM(AE6:AE9)</f>
        <v>398.59999999999997</v>
      </c>
      <c r="AF5" s="257">
        <f>SUM(AF6:AF9)</f>
        <v>400.9</v>
      </c>
      <c r="AG5" s="257">
        <f t="shared" si="1"/>
        <v>404.2</v>
      </c>
      <c r="AH5" s="257">
        <f t="shared" si="1"/>
        <v>397.70000000000005</v>
      </c>
      <c r="AI5" s="34">
        <f t="shared" si="1"/>
        <v>426.40000000000003</v>
      </c>
      <c r="AJ5" s="257">
        <f t="shared" si="1"/>
        <v>411.8</v>
      </c>
      <c r="AK5" s="257">
        <f t="shared" si="1"/>
        <v>406.5</v>
      </c>
      <c r="AL5" s="257">
        <f t="shared" si="1"/>
        <v>445.10000000000008</v>
      </c>
      <c r="AM5" s="34">
        <f t="shared" si="1"/>
        <v>448.20000000000005</v>
      </c>
      <c r="AN5" s="257">
        <f t="shared" si="1"/>
        <v>436.9</v>
      </c>
      <c r="AO5" s="257">
        <f t="shared" si="1"/>
        <v>466.50000000000006</v>
      </c>
      <c r="AP5" s="257">
        <f t="shared" si="1"/>
        <v>500.8</v>
      </c>
      <c r="AQ5" s="34">
        <f t="shared" ref="AQ5:AV5" si="2">SUM(AQ6:AQ9)</f>
        <v>499.80000000000007</v>
      </c>
      <c r="AR5" s="35">
        <f t="shared" si="2"/>
        <v>514.6</v>
      </c>
      <c r="AS5" s="35">
        <f t="shared" si="2"/>
        <v>536.1</v>
      </c>
      <c r="AT5" s="35">
        <f>SUM(AT6:AT9)</f>
        <v>540</v>
      </c>
      <c r="AU5" s="34">
        <f t="shared" si="2"/>
        <v>549.1</v>
      </c>
      <c r="AV5" s="35">
        <f t="shared" si="2"/>
        <v>555.5</v>
      </c>
      <c r="AW5" s="35">
        <f t="shared" ref="AW5:AX5" si="3">SUM(AW6:AW9)</f>
        <v>561</v>
      </c>
      <c r="AX5" s="35">
        <f t="shared" si="3"/>
        <v>587.19999999999993</v>
      </c>
    </row>
    <row r="6" spans="1:50" s="14" customFormat="1">
      <c r="A6" s="32" t="s">
        <v>707</v>
      </c>
      <c r="B6" s="32" t="s">
        <v>711</v>
      </c>
      <c r="C6" s="29">
        <v>98.1</v>
      </c>
      <c r="D6" s="30">
        <v>102.6</v>
      </c>
      <c r="E6" s="30">
        <v>105.8</v>
      </c>
      <c r="F6" s="30">
        <v>109.4</v>
      </c>
      <c r="G6" s="29">
        <v>129.1</v>
      </c>
      <c r="H6" s="30">
        <v>169.8</v>
      </c>
      <c r="I6" s="30">
        <v>150.30000000000001</v>
      </c>
      <c r="J6" s="31">
        <v>220.5</v>
      </c>
      <c r="K6" s="29">
        <v>188.1</v>
      </c>
      <c r="L6" s="30">
        <v>146</v>
      </c>
      <c r="M6" s="30">
        <v>224.9</v>
      </c>
      <c r="N6" s="31">
        <v>201.4</v>
      </c>
      <c r="O6" s="29">
        <v>212.4</v>
      </c>
      <c r="P6" s="30">
        <v>203.1</v>
      </c>
      <c r="Q6" s="30">
        <v>211.1</v>
      </c>
      <c r="R6" s="31">
        <v>185.2</v>
      </c>
      <c r="S6" s="29">
        <v>196.6</v>
      </c>
      <c r="T6" s="30">
        <v>213.7</v>
      </c>
      <c r="U6" s="30">
        <v>243.5</v>
      </c>
      <c r="V6" s="31">
        <v>242.8</v>
      </c>
      <c r="W6" s="29">
        <v>258.72617616226887</v>
      </c>
      <c r="X6" s="30">
        <v>248.32617616226889</v>
      </c>
      <c r="Y6" s="259">
        <v>239.32617616226889</v>
      </c>
      <c r="Z6" s="260">
        <v>256.32617616226889</v>
      </c>
      <c r="AA6" s="29">
        <v>233.6196325650003</v>
      </c>
      <c r="AB6" s="30">
        <v>235.29098005006938</v>
      </c>
      <c r="AC6" s="30">
        <v>244.47208093057918</v>
      </c>
      <c r="AD6" s="31">
        <v>248.55785797052508</v>
      </c>
      <c r="AE6" s="30">
        <v>250.5</v>
      </c>
      <c r="AF6" s="259">
        <v>235.5</v>
      </c>
      <c r="AG6" s="259">
        <v>234.6</v>
      </c>
      <c r="AH6" s="259">
        <v>241.7</v>
      </c>
      <c r="AI6" s="29">
        <v>224.6</v>
      </c>
      <c r="AJ6" s="259">
        <v>220.9</v>
      </c>
      <c r="AK6" s="259">
        <v>239.8</v>
      </c>
      <c r="AL6" s="259">
        <f>265.3-0.4</f>
        <v>264.90000000000003</v>
      </c>
      <c r="AM6" s="29">
        <v>265.3</v>
      </c>
      <c r="AN6" s="259">
        <f>261.3-0.1</f>
        <v>261.2</v>
      </c>
      <c r="AO6" s="259">
        <f>278+0.1</f>
        <v>278.10000000000002</v>
      </c>
      <c r="AP6" s="259">
        <v>286.2</v>
      </c>
      <c r="AQ6" s="29">
        <v>286.60000000000002</v>
      </c>
      <c r="AR6" s="30">
        <v>313.8</v>
      </c>
      <c r="AS6" s="30">
        <v>325.2</v>
      </c>
      <c r="AT6" s="30">
        <v>330.5</v>
      </c>
      <c r="AU6" s="29">
        <v>330</v>
      </c>
      <c r="AV6" s="30">
        <v>325.5</v>
      </c>
      <c r="AW6" s="30">
        <v>348.3</v>
      </c>
      <c r="AX6" s="30">
        <v>371.7</v>
      </c>
    </row>
    <row r="7" spans="1:50" s="16" customFormat="1">
      <c r="A7" s="32" t="s">
        <v>708</v>
      </c>
      <c r="B7" s="32" t="s">
        <v>712</v>
      </c>
      <c r="C7" s="29">
        <v>93.134461774872989</v>
      </c>
      <c r="D7" s="30">
        <v>97.734461774872983</v>
      </c>
      <c r="E7" s="30">
        <v>96.634461774872989</v>
      </c>
      <c r="F7" s="30">
        <v>89.03446177487298</v>
      </c>
      <c r="G7" s="29">
        <v>83.641991214272437</v>
      </c>
      <c r="H7" s="30">
        <v>70.84199121427244</v>
      </c>
      <c r="I7" s="30">
        <v>88.741991214272446</v>
      </c>
      <c r="J7" s="31">
        <v>50.741991214272446</v>
      </c>
      <c r="K7" s="29">
        <v>91.314958195016345</v>
      </c>
      <c r="L7" s="30">
        <v>104.41495819501634</v>
      </c>
      <c r="M7" s="30">
        <v>97.314958195016345</v>
      </c>
      <c r="N7" s="31">
        <v>143.21495819501635</v>
      </c>
      <c r="O7" s="29">
        <v>115.13382920852204</v>
      </c>
      <c r="P7" s="30">
        <v>91.633829208522044</v>
      </c>
      <c r="Q7" s="30">
        <v>98.633829208522044</v>
      </c>
      <c r="R7" s="31">
        <v>163.73382920852205</v>
      </c>
      <c r="S7" s="29">
        <v>129.65273582985051</v>
      </c>
      <c r="T7" s="30">
        <v>140.05273582985052</v>
      </c>
      <c r="U7" s="30">
        <v>148.15273582985051</v>
      </c>
      <c r="V7" s="31">
        <v>135.75273582985051</v>
      </c>
      <c r="W7" s="29">
        <v>140.82925246575303</v>
      </c>
      <c r="X7" s="30">
        <v>145.92925246575302</v>
      </c>
      <c r="Y7" s="259">
        <v>144.62925246575304</v>
      </c>
      <c r="Z7" s="260">
        <v>146.52925246575302</v>
      </c>
      <c r="AA7" s="29">
        <v>144.23266832407612</v>
      </c>
      <c r="AB7" s="30">
        <v>147.46675124953669</v>
      </c>
      <c r="AC7" s="30">
        <v>147.56570154594971</v>
      </c>
      <c r="AD7" s="31">
        <v>145.40456913211457</v>
      </c>
      <c r="AE7" s="30">
        <v>154.19999999999999</v>
      </c>
      <c r="AF7" s="259">
        <v>156.5</v>
      </c>
      <c r="AG7" s="259">
        <v>160.4</v>
      </c>
      <c r="AH7" s="259">
        <v>155.4</v>
      </c>
      <c r="AI7" s="29">
        <v>160.5</v>
      </c>
      <c r="AJ7" s="259">
        <v>168.7</v>
      </c>
      <c r="AK7" s="259">
        <v>157.1</v>
      </c>
      <c r="AL7" s="259">
        <f>167.8+0.1</f>
        <v>167.9</v>
      </c>
      <c r="AM7" s="29">
        <v>163.80000000000001</v>
      </c>
      <c r="AN7" s="259">
        <f>165.9+0.1</f>
        <v>166</v>
      </c>
      <c r="AO7" s="259">
        <f>170.9-0.1</f>
        <v>170.8</v>
      </c>
      <c r="AP7" s="259">
        <v>183.5</v>
      </c>
      <c r="AQ7" s="29">
        <v>186.1</v>
      </c>
      <c r="AR7" s="30">
        <v>182.1</v>
      </c>
      <c r="AS7" s="30">
        <v>201.9</v>
      </c>
      <c r="AT7" s="30">
        <v>199</v>
      </c>
      <c r="AU7" s="29">
        <v>209.4</v>
      </c>
      <c r="AV7" s="30">
        <v>212.4</v>
      </c>
      <c r="AW7" s="30">
        <v>204.9</v>
      </c>
      <c r="AX7" s="30">
        <v>223.1</v>
      </c>
    </row>
    <row r="8" spans="1:50" s="16" customFormat="1">
      <c r="A8" s="28" t="s">
        <v>709</v>
      </c>
      <c r="B8" s="28" t="s">
        <v>713</v>
      </c>
      <c r="C8" s="29">
        <v>28</v>
      </c>
      <c r="D8" s="30">
        <v>12.5</v>
      </c>
      <c r="E8" s="30">
        <v>19.3</v>
      </c>
      <c r="F8" s="30">
        <v>-5.9</v>
      </c>
      <c r="G8" s="29">
        <v>72.5</v>
      </c>
      <c r="H8" s="30">
        <v>32.700000000000003</v>
      </c>
      <c r="I8" s="30">
        <v>38.299999999999997</v>
      </c>
      <c r="J8" s="31">
        <v>-236.8</v>
      </c>
      <c r="K8" s="29">
        <v>-16.399999999999999</v>
      </c>
      <c r="L8" s="30">
        <v>84.7</v>
      </c>
      <c r="M8" s="30">
        <v>45</v>
      </c>
      <c r="N8" s="31">
        <v>-61.8</v>
      </c>
      <c r="O8" s="29">
        <v>25.7</v>
      </c>
      <c r="P8" s="30">
        <v>26.7</v>
      </c>
      <c r="Q8" s="30">
        <v>23.8</v>
      </c>
      <c r="R8" s="31">
        <v>-37</v>
      </c>
      <c r="S8" s="29">
        <v>26.1</v>
      </c>
      <c r="T8" s="30">
        <f>4.2</f>
        <v>4.2</v>
      </c>
      <c r="U8" s="30">
        <v>-33.200000000000003</v>
      </c>
      <c r="V8" s="31">
        <v>-2.1</v>
      </c>
      <c r="W8" s="29">
        <v>29.51773150326202</v>
      </c>
      <c r="X8" s="30">
        <v>-12.782268496737979</v>
      </c>
      <c r="Y8" s="259">
        <v>-7.0822684967379779</v>
      </c>
      <c r="Z8" s="260">
        <v>-25.882268496737979</v>
      </c>
      <c r="AA8" s="29">
        <v>37.478428095519881</v>
      </c>
      <c r="AB8" s="30">
        <v>10.389666419744405</v>
      </c>
      <c r="AC8" s="30">
        <v>-9.165880321133324</v>
      </c>
      <c r="AD8" s="31">
        <v>-10.01494155128459</v>
      </c>
      <c r="AE8" s="30">
        <v>-6.1</v>
      </c>
      <c r="AF8" s="259">
        <v>8.9</v>
      </c>
      <c r="AG8" s="259">
        <v>9.1999999999999993</v>
      </c>
      <c r="AH8" s="259">
        <v>0.6</v>
      </c>
      <c r="AI8" s="29">
        <v>41.3</v>
      </c>
      <c r="AJ8" s="259">
        <v>22.2</v>
      </c>
      <c r="AK8" s="259">
        <v>9.6</v>
      </c>
      <c r="AL8" s="259">
        <f>12.4-0.1</f>
        <v>12.3</v>
      </c>
      <c r="AM8" s="29">
        <v>19.100000000000001</v>
      </c>
      <c r="AN8" s="259">
        <v>9.6999999999999993</v>
      </c>
      <c r="AO8" s="259">
        <f>17.7-0.1</f>
        <v>17.599999999999998</v>
      </c>
      <c r="AP8" s="259">
        <v>31.1</v>
      </c>
      <c r="AQ8" s="29">
        <v>27.1</v>
      </c>
      <c r="AR8" s="30">
        <v>18.7</v>
      </c>
      <c r="AS8" s="30">
        <v>9</v>
      </c>
      <c r="AT8" s="30">
        <v>10.5</v>
      </c>
      <c r="AU8" s="29">
        <v>9.6999999999999993</v>
      </c>
      <c r="AV8" s="30">
        <v>17.600000000000001</v>
      </c>
      <c r="AW8" s="30">
        <v>8</v>
      </c>
      <c r="AX8" s="30">
        <v>-7.5</v>
      </c>
    </row>
    <row r="9" spans="1:50" s="14" customFormat="1" ht="22.5" customHeight="1">
      <c r="A9" s="32" t="s">
        <v>173</v>
      </c>
      <c r="B9" s="32" t="s">
        <v>343</v>
      </c>
      <c r="C9" s="29">
        <v>0</v>
      </c>
      <c r="D9" s="30">
        <v>0</v>
      </c>
      <c r="E9" s="30">
        <v>0</v>
      </c>
      <c r="F9" s="30">
        <v>0</v>
      </c>
      <c r="G9" s="29">
        <v>0</v>
      </c>
      <c r="H9" s="30">
        <v>0</v>
      </c>
      <c r="I9" s="30">
        <v>0</v>
      </c>
      <c r="J9" s="31">
        <v>0</v>
      </c>
      <c r="K9" s="29">
        <v>0</v>
      </c>
      <c r="L9" s="30">
        <v>0</v>
      </c>
      <c r="M9" s="30">
        <v>0</v>
      </c>
      <c r="N9" s="31">
        <v>0</v>
      </c>
      <c r="O9" s="29">
        <v>0</v>
      </c>
      <c r="P9" s="30">
        <v>0</v>
      </c>
      <c r="Q9" s="30">
        <v>0</v>
      </c>
      <c r="R9" s="31">
        <v>0</v>
      </c>
      <c r="S9" s="29">
        <v>0</v>
      </c>
      <c r="T9" s="30">
        <v>0</v>
      </c>
      <c r="U9" s="30">
        <v>0</v>
      </c>
      <c r="V9" s="31">
        <v>0</v>
      </c>
      <c r="W9" s="29">
        <v>0</v>
      </c>
      <c r="X9" s="30">
        <v>0</v>
      </c>
      <c r="Y9" s="259">
        <v>0</v>
      </c>
      <c r="Z9" s="260">
        <v>0</v>
      </c>
      <c r="AA9" s="29">
        <v>0</v>
      </c>
      <c r="AB9" s="30">
        <v>0</v>
      </c>
      <c r="AC9" s="30">
        <v>0</v>
      </c>
      <c r="AD9" s="31">
        <v>0</v>
      </c>
      <c r="AE9" s="30">
        <v>0</v>
      </c>
      <c r="AF9" s="259">
        <v>0</v>
      </c>
      <c r="AG9" s="259">
        <v>0</v>
      </c>
      <c r="AH9" s="259">
        <v>0</v>
      </c>
      <c r="AI9" s="29">
        <v>0</v>
      </c>
      <c r="AJ9" s="259">
        <v>0</v>
      </c>
      <c r="AK9" s="259">
        <v>0</v>
      </c>
      <c r="AL9" s="259">
        <v>0</v>
      </c>
      <c r="AM9" s="29">
        <v>0</v>
      </c>
      <c r="AN9" s="259">
        <v>0</v>
      </c>
      <c r="AO9" s="259">
        <v>0</v>
      </c>
      <c r="AP9" s="259">
        <v>0</v>
      </c>
      <c r="AQ9" s="29">
        <v>0</v>
      </c>
      <c r="AR9" s="30">
        <v>0</v>
      </c>
      <c r="AS9" s="30">
        <v>0</v>
      </c>
      <c r="AT9" s="30">
        <v>0</v>
      </c>
      <c r="AU9" s="29">
        <v>0</v>
      </c>
      <c r="AV9" s="30">
        <v>0</v>
      </c>
      <c r="AW9" s="30">
        <v>-0.2</v>
      </c>
      <c r="AX9" s="30">
        <v>-9.9999999999999978E-2</v>
      </c>
    </row>
    <row r="10" spans="1:50" s="17" customFormat="1">
      <c r="A10" s="55" t="s">
        <v>174</v>
      </c>
      <c r="B10" s="55" t="s">
        <v>37</v>
      </c>
      <c r="C10" s="34">
        <f t="shared" ref="C10:AO10" si="4">SUM(C11:C13)</f>
        <v>122.83446177487298</v>
      </c>
      <c r="D10" s="35">
        <f t="shared" si="4"/>
        <v>126.33446177487298</v>
      </c>
      <c r="E10" s="35">
        <f t="shared" si="4"/>
        <v>130.53446177487297</v>
      </c>
      <c r="F10" s="35">
        <f t="shared" si="4"/>
        <v>130.33446177487298</v>
      </c>
      <c r="G10" s="34">
        <f t="shared" si="4"/>
        <v>133.34199121427244</v>
      </c>
      <c r="H10" s="35">
        <f t="shared" si="4"/>
        <v>138.34199121427244</v>
      </c>
      <c r="I10" s="35">
        <f t="shared" si="4"/>
        <v>157.24199121427245</v>
      </c>
      <c r="J10" s="36">
        <f t="shared" si="4"/>
        <v>110.04199121427244</v>
      </c>
      <c r="K10" s="34">
        <f t="shared" si="4"/>
        <v>136.51495819501636</v>
      </c>
      <c r="L10" s="35">
        <f t="shared" si="4"/>
        <v>137.41495819501634</v>
      </c>
      <c r="M10" s="35">
        <f t="shared" si="4"/>
        <v>143.91495819501637</v>
      </c>
      <c r="N10" s="36">
        <f t="shared" si="4"/>
        <v>121.01495819501636</v>
      </c>
      <c r="O10" s="34">
        <f t="shared" si="4"/>
        <v>144.93382920852207</v>
      </c>
      <c r="P10" s="35">
        <f t="shared" si="4"/>
        <v>149.33382920852205</v>
      </c>
      <c r="Q10" s="35">
        <f t="shared" si="4"/>
        <v>146.73382920852205</v>
      </c>
      <c r="R10" s="36">
        <f t="shared" si="4"/>
        <v>143.43382920852204</v>
      </c>
      <c r="S10" s="34">
        <f t="shared" si="4"/>
        <v>162.85273582985053</v>
      </c>
      <c r="T10" s="35">
        <f t="shared" si="4"/>
        <v>176.55273582985052</v>
      </c>
      <c r="U10" s="35">
        <f t="shared" si="4"/>
        <v>167.85273582985053</v>
      </c>
      <c r="V10" s="36">
        <f t="shared" si="4"/>
        <v>170.65273582985054</v>
      </c>
      <c r="W10" s="34">
        <f t="shared" si="4"/>
        <v>187.69942504974131</v>
      </c>
      <c r="X10" s="35">
        <f t="shared" si="4"/>
        <v>180.49566684775795</v>
      </c>
      <c r="Y10" s="257">
        <f t="shared" si="4"/>
        <v>185.80008070761249</v>
      </c>
      <c r="Z10" s="258">
        <f t="shared" si="4"/>
        <v>187.38694549964663</v>
      </c>
      <c r="AA10" s="34">
        <f>SUM(AA11:AA13)</f>
        <v>180.39009594402339</v>
      </c>
      <c r="AB10" s="35">
        <f t="shared" si="4"/>
        <v>180.1690196030097</v>
      </c>
      <c r="AC10" s="35">
        <f t="shared" si="4"/>
        <v>177.1955593384593</v>
      </c>
      <c r="AD10" s="36">
        <f>SUM(AD11:AD13)</f>
        <v>176.39177659892943</v>
      </c>
      <c r="AE10" s="35">
        <f>SUM(AE11:AE13)</f>
        <v>187</v>
      </c>
      <c r="AF10" s="257">
        <f>SUM(AF11:AF13)</f>
        <v>191.3</v>
      </c>
      <c r="AG10" s="257">
        <f t="shared" si="4"/>
        <v>203</v>
      </c>
      <c r="AH10" s="257">
        <f t="shared" si="4"/>
        <v>196.2</v>
      </c>
      <c r="AI10" s="34">
        <f t="shared" si="4"/>
        <v>184</v>
      </c>
      <c r="AJ10" s="257">
        <f t="shared" si="4"/>
        <v>199.10000000000002</v>
      </c>
      <c r="AK10" s="257">
        <f t="shared" si="4"/>
        <v>197.2</v>
      </c>
      <c r="AL10" s="257">
        <f t="shared" si="4"/>
        <v>258</v>
      </c>
      <c r="AM10" s="34">
        <f t="shared" si="4"/>
        <v>204.3</v>
      </c>
      <c r="AN10" s="257">
        <f t="shared" si="4"/>
        <v>215.2</v>
      </c>
      <c r="AO10" s="257">
        <f t="shared" si="4"/>
        <v>198.10000000000002</v>
      </c>
      <c r="AP10" s="257">
        <f t="shared" ref="AP10:AU10" si="5">SUM(AP11:AP13)</f>
        <v>246</v>
      </c>
      <c r="AQ10" s="34">
        <f t="shared" si="5"/>
        <v>220</v>
      </c>
      <c r="AR10" s="35">
        <f t="shared" si="5"/>
        <v>204.9</v>
      </c>
      <c r="AS10" s="35">
        <f t="shared" si="5"/>
        <v>212.10000000000002</v>
      </c>
      <c r="AT10" s="35">
        <f t="shared" si="5"/>
        <v>226.1</v>
      </c>
      <c r="AU10" s="34">
        <f t="shared" si="5"/>
        <v>255.7</v>
      </c>
      <c r="AV10" s="35">
        <f t="shared" ref="AV10:AW10" si="6">SUM(AV11:AV13)</f>
        <v>223.8</v>
      </c>
      <c r="AW10" s="35">
        <f t="shared" si="6"/>
        <v>233.29999999999998</v>
      </c>
      <c r="AX10" s="35">
        <f t="shared" ref="AX10" si="7">SUM(AX11:AX13)</f>
        <v>228.8</v>
      </c>
    </row>
    <row r="11" spans="1:50" s="17" customFormat="1">
      <c r="A11" s="37" t="s">
        <v>323</v>
      </c>
      <c r="B11" s="37" t="s">
        <v>698</v>
      </c>
      <c r="C11" s="29">
        <v>56.3</v>
      </c>
      <c r="D11" s="30">
        <v>61.3</v>
      </c>
      <c r="E11" s="30">
        <v>63.6</v>
      </c>
      <c r="F11" s="30">
        <v>70.8</v>
      </c>
      <c r="G11" s="29">
        <v>68.900000000000006</v>
      </c>
      <c r="H11" s="30">
        <v>69.7</v>
      </c>
      <c r="I11" s="30">
        <v>79.5</v>
      </c>
      <c r="J11" s="31">
        <v>78.5</v>
      </c>
      <c r="K11" s="29">
        <v>54.6</v>
      </c>
      <c r="L11" s="30">
        <v>72.099999999999994</v>
      </c>
      <c r="M11" s="30">
        <v>68.2</v>
      </c>
      <c r="N11" s="31">
        <v>83.4</v>
      </c>
      <c r="O11" s="29">
        <v>68.900000000000006</v>
      </c>
      <c r="P11" s="30">
        <v>71.599999999999994</v>
      </c>
      <c r="Q11" s="30">
        <v>75.3</v>
      </c>
      <c r="R11" s="31">
        <v>97.2</v>
      </c>
      <c r="S11" s="29">
        <v>78.3</v>
      </c>
      <c r="T11" s="30">
        <v>91.7</v>
      </c>
      <c r="U11" s="30">
        <v>88.8</v>
      </c>
      <c r="V11" s="31">
        <v>89.6</v>
      </c>
      <c r="W11" s="29">
        <v>98.371881631303836</v>
      </c>
      <c r="X11" s="30">
        <v>85.770249158076766</v>
      </c>
      <c r="Y11" s="259">
        <v>93.128728820597274</v>
      </c>
      <c r="Z11" s="260">
        <v>108.2230231998161</v>
      </c>
      <c r="AA11" s="29">
        <v>97.831768072691887</v>
      </c>
      <c r="AB11" s="30">
        <v>96.99018514326211</v>
      </c>
      <c r="AC11" s="30">
        <v>99.186030789632824</v>
      </c>
      <c r="AD11" s="31">
        <v>88.889015199013357</v>
      </c>
      <c r="AE11" s="30">
        <v>98.9</v>
      </c>
      <c r="AF11" s="259">
        <v>103</v>
      </c>
      <c r="AG11" s="259">
        <v>104.6</v>
      </c>
      <c r="AH11" s="259">
        <v>98.5</v>
      </c>
      <c r="AI11" s="29">
        <v>103.5</v>
      </c>
      <c r="AJ11" s="259">
        <v>101.9</v>
      </c>
      <c r="AK11" s="259">
        <v>105.7</v>
      </c>
      <c r="AL11" s="259">
        <v>106.1</v>
      </c>
      <c r="AM11" s="29">
        <v>107.5</v>
      </c>
      <c r="AN11" s="259">
        <v>106.4</v>
      </c>
      <c r="AO11" s="259">
        <v>108.4</v>
      </c>
      <c r="AP11" s="259">
        <v>117.9</v>
      </c>
      <c r="AQ11" s="29">
        <v>106.4</v>
      </c>
      <c r="AR11" s="30">
        <v>107.4</v>
      </c>
      <c r="AS11" s="30">
        <v>107.5</v>
      </c>
      <c r="AT11" s="30">
        <v>107.3</v>
      </c>
      <c r="AU11" s="29">
        <v>113</v>
      </c>
      <c r="AV11" s="30">
        <v>117.7</v>
      </c>
      <c r="AW11" s="30">
        <v>116.6</v>
      </c>
      <c r="AX11" s="30">
        <v>98.4</v>
      </c>
    </row>
    <row r="12" spans="1:50" s="16" customFormat="1">
      <c r="A12" s="32" t="s">
        <v>324</v>
      </c>
      <c r="B12" s="32" t="s">
        <v>699</v>
      </c>
      <c r="C12" s="29">
        <v>12.6</v>
      </c>
      <c r="D12" s="30">
        <v>13.2</v>
      </c>
      <c r="E12" s="30">
        <v>12.7</v>
      </c>
      <c r="F12" s="30">
        <v>17.8</v>
      </c>
      <c r="G12" s="29">
        <v>8.3000000000000007</v>
      </c>
      <c r="H12" s="30">
        <v>8</v>
      </c>
      <c r="I12" s="30">
        <v>9.4</v>
      </c>
      <c r="J12" s="31">
        <v>8.6</v>
      </c>
      <c r="K12" s="29">
        <v>7.7</v>
      </c>
      <c r="L12" s="30">
        <v>7.7</v>
      </c>
      <c r="M12" s="30">
        <v>6.1</v>
      </c>
      <c r="N12" s="31">
        <v>7.9</v>
      </c>
      <c r="O12" s="29">
        <v>7.5</v>
      </c>
      <c r="P12" s="30">
        <v>7.5</v>
      </c>
      <c r="Q12" s="30">
        <v>7.9</v>
      </c>
      <c r="R12" s="31">
        <v>8.5</v>
      </c>
      <c r="S12" s="29">
        <v>8.6999999999999993</v>
      </c>
      <c r="T12" s="30">
        <v>9.8000000000000007</v>
      </c>
      <c r="U12" s="30">
        <v>9.5</v>
      </c>
      <c r="V12" s="31">
        <v>11.2</v>
      </c>
      <c r="W12" s="29">
        <v>9.3981721755394911</v>
      </c>
      <c r="X12" s="30">
        <v>9.6978171793116132</v>
      </c>
      <c r="Y12" s="259">
        <v>9.5887882023330384</v>
      </c>
      <c r="Z12" s="260">
        <v>14.187547462931358</v>
      </c>
      <c r="AA12" s="29">
        <v>11.06296645295906</v>
      </c>
      <c r="AB12" s="30">
        <v>11.910295494393718</v>
      </c>
      <c r="AC12" s="30">
        <v>11.679973207596605</v>
      </c>
      <c r="AD12" s="31">
        <v>12.561587206955135</v>
      </c>
      <c r="AE12" s="30">
        <v>11.6</v>
      </c>
      <c r="AF12" s="259">
        <v>11.8</v>
      </c>
      <c r="AG12" s="259">
        <v>12.5</v>
      </c>
      <c r="AH12" s="259">
        <v>16.899999999999999</v>
      </c>
      <c r="AI12" s="29">
        <v>12.3</v>
      </c>
      <c r="AJ12" s="259">
        <v>10.8</v>
      </c>
      <c r="AK12" s="259">
        <v>14.6</v>
      </c>
      <c r="AL12" s="259">
        <v>10.7</v>
      </c>
      <c r="AM12" s="29">
        <v>9.6999999999999993</v>
      </c>
      <c r="AN12" s="259">
        <v>10.8</v>
      </c>
      <c r="AO12" s="259">
        <v>10.1</v>
      </c>
      <c r="AP12" s="259">
        <v>24.1</v>
      </c>
      <c r="AQ12" s="29">
        <v>10.7</v>
      </c>
      <c r="AR12" s="30">
        <v>9.3000000000000007</v>
      </c>
      <c r="AS12" s="30">
        <v>9.6999999999999993</v>
      </c>
      <c r="AT12" s="30">
        <v>10.3</v>
      </c>
      <c r="AU12" s="29">
        <v>11</v>
      </c>
      <c r="AV12" s="30">
        <v>9.3000000000000007</v>
      </c>
      <c r="AW12" s="30">
        <v>11.1</v>
      </c>
      <c r="AX12" s="30">
        <v>20.8</v>
      </c>
    </row>
    <row r="13" spans="1:50" s="17" customFormat="1">
      <c r="A13" s="32" t="s">
        <v>325</v>
      </c>
      <c r="B13" s="32" t="s">
        <v>700</v>
      </c>
      <c r="C13" s="29">
        <v>53.934461774872986</v>
      </c>
      <c r="D13" s="30">
        <v>51.834461774872985</v>
      </c>
      <c r="E13" s="30">
        <v>54.234461774872983</v>
      </c>
      <c r="F13" s="30">
        <v>41.734461774872983</v>
      </c>
      <c r="G13" s="29">
        <v>56.141991214272444</v>
      </c>
      <c r="H13" s="30">
        <v>60.641991214272444</v>
      </c>
      <c r="I13" s="30">
        <v>68.34199121427244</v>
      </c>
      <c r="J13" s="31">
        <v>22.941991214272445</v>
      </c>
      <c r="K13" s="29">
        <v>74.214958195016351</v>
      </c>
      <c r="L13" s="30">
        <v>57.614958195016349</v>
      </c>
      <c r="M13" s="30">
        <v>69.614958195016357</v>
      </c>
      <c r="N13" s="31">
        <v>29.714958195016351</v>
      </c>
      <c r="O13" s="29">
        <v>68.53382920852205</v>
      </c>
      <c r="P13" s="30">
        <v>70.233829208522053</v>
      </c>
      <c r="Q13" s="30">
        <v>63.53382920852205</v>
      </c>
      <c r="R13" s="31">
        <v>37.733829208522046</v>
      </c>
      <c r="S13" s="29">
        <v>75.852735829850516</v>
      </c>
      <c r="T13" s="30">
        <v>75.052735829850533</v>
      </c>
      <c r="U13" s="30">
        <v>69.552735829850519</v>
      </c>
      <c r="V13" s="31">
        <v>69.852735829850531</v>
      </c>
      <c r="W13" s="29">
        <v>79.929371242897986</v>
      </c>
      <c r="X13" s="30">
        <v>85.027600510369552</v>
      </c>
      <c r="Y13" s="259">
        <v>83.082563684682185</v>
      </c>
      <c r="Z13" s="260">
        <v>64.976374836899154</v>
      </c>
      <c r="AA13" s="29">
        <v>71.49536141837244</v>
      </c>
      <c r="AB13" s="30">
        <v>71.268538965353855</v>
      </c>
      <c r="AC13" s="30">
        <v>66.329555341229863</v>
      </c>
      <c r="AD13" s="31">
        <v>74.941174192960943</v>
      </c>
      <c r="AE13" s="30">
        <v>76.5</v>
      </c>
      <c r="AF13" s="259">
        <v>76.5</v>
      </c>
      <c r="AG13" s="259">
        <v>85.9</v>
      </c>
      <c r="AH13" s="259">
        <v>80.8</v>
      </c>
      <c r="AI13" s="29">
        <v>68.2</v>
      </c>
      <c r="AJ13" s="259">
        <v>86.4</v>
      </c>
      <c r="AK13" s="259">
        <v>76.900000000000006</v>
      </c>
      <c r="AL13" s="259">
        <v>141.19999999999999</v>
      </c>
      <c r="AM13" s="29">
        <v>87.1</v>
      </c>
      <c r="AN13" s="259">
        <v>98</v>
      </c>
      <c r="AO13" s="259">
        <f>79.7-0.1</f>
        <v>79.600000000000009</v>
      </c>
      <c r="AP13" s="259">
        <v>104</v>
      </c>
      <c r="AQ13" s="29">
        <v>102.9</v>
      </c>
      <c r="AR13" s="30">
        <v>88.2</v>
      </c>
      <c r="AS13" s="30">
        <v>94.9</v>
      </c>
      <c r="AT13" s="30">
        <v>108.5</v>
      </c>
      <c r="AU13" s="29">
        <v>131.69999999999999</v>
      </c>
      <c r="AV13" s="30">
        <v>96.8</v>
      </c>
      <c r="AW13" s="30">
        <v>105.6</v>
      </c>
      <c r="AX13" s="30">
        <v>109.6</v>
      </c>
    </row>
    <row r="14" spans="1:50" s="17" customFormat="1">
      <c r="A14" s="33" t="s">
        <v>320</v>
      </c>
      <c r="B14" s="33" t="s">
        <v>344</v>
      </c>
      <c r="C14" s="34">
        <f>C5-C10</f>
        <v>96.4</v>
      </c>
      <c r="D14" s="35">
        <f t="shared" ref="D14:AV14" si="8">D5-D10</f>
        <v>86.5</v>
      </c>
      <c r="E14" s="35">
        <f t="shared" si="8"/>
        <v>91.200000000000045</v>
      </c>
      <c r="F14" s="35">
        <f t="shared" si="8"/>
        <v>62.200000000000017</v>
      </c>
      <c r="G14" s="34">
        <f t="shared" si="8"/>
        <v>151.9</v>
      </c>
      <c r="H14" s="35">
        <f t="shared" si="8"/>
        <v>135.00000000000003</v>
      </c>
      <c r="I14" s="35">
        <f t="shared" si="8"/>
        <v>120.10000000000002</v>
      </c>
      <c r="J14" s="36">
        <f t="shared" si="8"/>
        <v>-75.600000000000009</v>
      </c>
      <c r="K14" s="34">
        <f t="shared" si="8"/>
        <v>126.49999999999997</v>
      </c>
      <c r="L14" s="35">
        <f t="shared" si="8"/>
        <v>197.70000000000002</v>
      </c>
      <c r="M14" s="35">
        <f t="shared" si="8"/>
        <v>223.3</v>
      </c>
      <c r="N14" s="36">
        <f t="shared" si="8"/>
        <v>161.79999999999998</v>
      </c>
      <c r="O14" s="34">
        <f t="shared" si="8"/>
        <v>208.29999999999995</v>
      </c>
      <c r="P14" s="35">
        <f t="shared" si="8"/>
        <v>172.09999999999997</v>
      </c>
      <c r="Q14" s="35">
        <f t="shared" si="8"/>
        <v>186.79999999999998</v>
      </c>
      <c r="R14" s="36">
        <f t="shared" si="8"/>
        <v>168.50000000000003</v>
      </c>
      <c r="S14" s="34">
        <f t="shared" si="8"/>
        <v>189.5</v>
      </c>
      <c r="T14" s="35">
        <f t="shared" si="8"/>
        <v>181.39999999999998</v>
      </c>
      <c r="U14" s="35">
        <f t="shared" si="8"/>
        <v>190.59999999999997</v>
      </c>
      <c r="V14" s="36">
        <f t="shared" si="8"/>
        <v>205.79999999999995</v>
      </c>
      <c r="W14" s="34">
        <f t="shared" si="8"/>
        <v>241.37373508154263</v>
      </c>
      <c r="X14" s="35">
        <f t="shared" si="8"/>
        <v>200.97749328352603</v>
      </c>
      <c r="Y14" s="257">
        <f t="shared" si="8"/>
        <v>191.07307942367146</v>
      </c>
      <c r="Z14" s="258">
        <f t="shared" si="8"/>
        <v>189.58621463163729</v>
      </c>
      <c r="AA14" s="34">
        <f t="shared" si="8"/>
        <v>234.94063304057292</v>
      </c>
      <c r="AB14" s="35">
        <f t="shared" si="8"/>
        <v>212.97837811634076</v>
      </c>
      <c r="AC14" s="35">
        <f>AC5-AC10</f>
        <v>205.67634281693626</v>
      </c>
      <c r="AD14" s="36">
        <f>AD5-AD10</f>
        <v>207.55570895242562</v>
      </c>
      <c r="AE14" s="35">
        <f>AE5-AE10</f>
        <v>211.59999999999997</v>
      </c>
      <c r="AF14" s="257">
        <f>AF5-AF10</f>
        <v>209.59999999999997</v>
      </c>
      <c r="AG14" s="257">
        <f t="shared" si="8"/>
        <v>201.2</v>
      </c>
      <c r="AH14" s="257">
        <f t="shared" si="8"/>
        <v>201.50000000000006</v>
      </c>
      <c r="AI14" s="34">
        <f t="shared" si="8"/>
        <v>242.40000000000003</v>
      </c>
      <c r="AJ14" s="257">
        <f t="shared" si="8"/>
        <v>212.7</v>
      </c>
      <c r="AK14" s="257">
        <f t="shared" si="8"/>
        <v>209.3</v>
      </c>
      <c r="AL14" s="257">
        <f t="shared" si="8"/>
        <v>187.10000000000008</v>
      </c>
      <c r="AM14" s="34">
        <f t="shared" si="8"/>
        <v>243.90000000000003</v>
      </c>
      <c r="AN14" s="257">
        <f t="shared" si="8"/>
        <v>221.7</v>
      </c>
      <c r="AO14" s="257">
        <f t="shared" si="8"/>
        <v>268.40000000000003</v>
      </c>
      <c r="AP14" s="257">
        <f t="shared" ref="AP14:AU14" si="9">AP5-AP10</f>
        <v>254.8</v>
      </c>
      <c r="AQ14" s="34">
        <f t="shared" si="9"/>
        <v>279.80000000000007</v>
      </c>
      <c r="AR14" s="35">
        <f t="shared" si="9"/>
        <v>309.70000000000005</v>
      </c>
      <c r="AS14" s="35">
        <f t="shared" si="9"/>
        <v>324</v>
      </c>
      <c r="AT14" s="35">
        <f t="shared" si="9"/>
        <v>313.89999999999998</v>
      </c>
      <c r="AU14" s="34">
        <f t="shared" si="9"/>
        <v>293.40000000000003</v>
      </c>
      <c r="AV14" s="35">
        <f t="shared" si="8"/>
        <v>331.7</v>
      </c>
      <c r="AW14" s="35">
        <f t="shared" ref="AW14:AX14" si="10">AW5-AW10</f>
        <v>327.70000000000005</v>
      </c>
      <c r="AX14" s="35">
        <f t="shared" si="10"/>
        <v>358.39999999999992</v>
      </c>
    </row>
    <row r="15" spans="1:50" s="17" customFormat="1">
      <c r="A15" s="37" t="s">
        <v>175</v>
      </c>
      <c r="B15" s="37" t="s">
        <v>345</v>
      </c>
      <c r="C15" s="29">
        <v>-3.9</v>
      </c>
      <c r="D15" s="30">
        <v>-16.3</v>
      </c>
      <c r="E15" s="30">
        <v>-39.4</v>
      </c>
      <c r="F15" s="30">
        <v>-3.6</v>
      </c>
      <c r="G15" s="29">
        <v>3.3</v>
      </c>
      <c r="H15" s="30">
        <v>-64.8</v>
      </c>
      <c r="I15" s="30">
        <v>2.2999999999999998</v>
      </c>
      <c r="J15" s="31">
        <v>96.4</v>
      </c>
      <c r="K15" s="29">
        <v>78.900000000000006</v>
      </c>
      <c r="L15" s="30">
        <v>67</v>
      </c>
      <c r="M15" s="30">
        <v>32.700000000000003</v>
      </c>
      <c r="N15" s="31">
        <v>62</v>
      </c>
      <c r="O15" s="29">
        <v>26.9</v>
      </c>
      <c r="P15" s="30">
        <v>26.2</v>
      </c>
      <c r="Q15" s="30">
        <v>33.799999999999997</v>
      </c>
      <c r="R15" s="31">
        <v>35.6</v>
      </c>
      <c r="S15" s="29">
        <v>23.2</v>
      </c>
      <c r="T15" s="30">
        <v>16.5</v>
      </c>
      <c r="U15" s="30">
        <v>6.1</v>
      </c>
      <c r="V15" s="31">
        <v>36.4</v>
      </c>
      <c r="W15" s="29">
        <v>45.1</v>
      </c>
      <c r="X15" s="30">
        <v>106</v>
      </c>
      <c r="Y15" s="259">
        <v>61.1</v>
      </c>
      <c r="Z15" s="260">
        <v>60.5</v>
      </c>
      <c r="AA15" s="29">
        <v>20.01907912384285</v>
      </c>
      <c r="AB15" s="30">
        <v>28.671281901578119</v>
      </c>
      <c r="AC15" s="30">
        <v>30.68972161345657</v>
      </c>
      <c r="AD15" s="31">
        <v>59.384944169852147</v>
      </c>
      <c r="AE15" s="30">
        <v>47.4</v>
      </c>
      <c r="AF15" s="259">
        <v>22.7</v>
      </c>
      <c r="AG15" s="259">
        <v>52</v>
      </c>
      <c r="AH15" s="259">
        <v>66.900000000000006</v>
      </c>
      <c r="AI15" s="29">
        <v>50.5</v>
      </c>
      <c r="AJ15" s="259">
        <v>40.700000000000003</v>
      </c>
      <c r="AK15" s="259">
        <v>24.2</v>
      </c>
      <c r="AL15" s="259">
        <f>46.9+0.1-0.1</f>
        <v>46.9</v>
      </c>
      <c r="AM15" s="29">
        <v>62.5</v>
      </c>
      <c r="AN15" s="259">
        <v>12.9</v>
      </c>
      <c r="AO15" s="259">
        <f>28.2-3.9</f>
        <v>24.3</v>
      </c>
      <c r="AP15" s="259">
        <v>63.4</v>
      </c>
      <c r="AQ15" s="29">
        <v>33.6</v>
      </c>
      <c r="AR15" s="30">
        <v>79.3</v>
      </c>
      <c r="AS15" s="30">
        <v>69.3</v>
      </c>
      <c r="AT15" s="30">
        <v>78.7</v>
      </c>
      <c r="AU15" s="29">
        <v>57.3</v>
      </c>
      <c r="AV15" s="30">
        <v>70.400000000000006</v>
      </c>
      <c r="AW15" s="30">
        <v>92.2</v>
      </c>
      <c r="AX15" s="30">
        <v>10</v>
      </c>
    </row>
    <row r="16" spans="1:50" s="17" customFormat="1">
      <c r="A16" s="37" t="s">
        <v>539</v>
      </c>
      <c r="B16" s="37" t="s">
        <v>536</v>
      </c>
      <c r="C16" s="29">
        <v>0</v>
      </c>
      <c r="D16" s="30">
        <v>0</v>
      </c>
      <c r="E16" s="30">
        <v>0</v>
      </c>
      <c r="F16" s="30">
        <v>0</v>
      </c>
      <c r="G16" s="29">
        <v>0</v>
      </c>
      <c r="H16" s="30">
        <v>0</v>
      </c>
      <c r="I16" s="30">
        <v>0</v>
      </c>
      <c r="J16" s="30">
        <v>0</v>
      </c>
      <c r="K16" s="29">
        <v>0</v>
      </c>
      <c r="L16" s="30">
        <v>0</v>
      </c>
      <c r="M16" s="30">
        <v>0</v>
      </c>
      <c r="N16" s="30">
        <v>0</v>
      </c>
      <c r="O16" s="29">
        <v>0</v>
      </c>
      <c r="P16" s="30">
        <v>0</v>
      </c>
      <c r="Q16" s="30">
        <v>0</v>
      </c>
      <c r="R16" s="30">
        <v>0</v>
      </c>
      <c r="S16" s="29">
        <v>0</v>
      </c>
      <c r="T16" s="30">
        <v>0</v>
      </c>
      <c r="U16" s="30">
        <v>0</v>
      </c>
      <c r="V16" s="30">
        <v>0</v>
      </c>
      <c r="W16" s="29">
        <v>0</v>
      </c>
      <c r="X16" s="30">
        <v>0</v>
      </c>
      <c r="Y16" s="259">
        <v>0</v>
      </c>
      <c r="Z16" s="260">
        <v>0</v>
      </c>
      <c r="AA16" s="29">
        <v>0</v>
      </c>
      <c r="AB16" s="30">
        <v>0</v>
      </c>
      <c r="AC16" s="30">
        <v>0</v>
      </c>
      <c r="AD16" s="31">
        <v>0</v>
      </c>
      <c r="AE16" s="30">
        <v>0</v>
      </c>
      <c r="AF16" s="259">
        <v>0</v>
      </c>
      <c r="AG16" s="259">
        <v>0</v>
      </c>
      <c r="AH16" s="259">
        <v>0</v>
      </c>
      <c r="AI16" s="29">
        <v>0</v>
      </c>
      <c r="AJ16" s="259">
        <v>0</v>
      </c>
      <c r="AK16" s="259">
        <v>0</v>
      </c>
      <c r="AL16" s="259">
        <v>0</v>
      </c>
      <c r="AM16" s="29">
        <v>32.799999999999997</v>
      </c>
      <c r="AN16" s="259">
        <f>49</f>
        <v>49</v>
      </c>
      <c r="AO16" s="259">
        <f>48.1+0.1</f>
        <v>48.2</v>
      </c>
      <c r="AP16" s="259">
        <v>48.5</v>
      </c>
      <c r="AQ16" s="29">
        <v>47.5</v>
      </c>
      <c r="AR16" s="30">
        <v>52</v>
      </c>
      <c r="AS16" s="30">
        <v>51.7</v>
      </c>
      <c r="AT16" s="30">
        <v>52.4</v>
      </c>
      <c r="AU16" s="29">
        <v>51.8</v>
      </c>
      <c r="AV16" s="30">
        <v>53.1</v>
      </c>
      <c r="AW16" s="30">
        <v>54.7</v>
      </c>
      <c r="AX16" s="30">
        <v>57.2</v>
      </c>
    </row>
    <row r="17" spans="1:50" s="17" customFormat="1" ht="29.45" customHeight="1">
      <c r="A17" s="57" t="s">
        <v>321</v>
      </c>
      <c r="B17" s="57" t="s">
        <v>346</v>
      </c>
      <c r="C17" s="42">
        <f>C14-C15</f>
        <v>100.30000000000001</v>
      </c>
      <c r="D17" s="43">
        <f t="shared" ref="D17:AG17" si="11">D14-D15</f>
        <v>102.8</v>
      </c>
      <c r="E17" s="43">
        <f t="shared" si="11"/>
        <v>130.60000000000005</v>
      </c>
      <c r="F17" s="43">
        <f t="shared" si="11"/>
        <v>65.800000000000011</v>
      </c>
      <c r="G17" s="42">
        <f t="shared" si="11"/>
        <v>148.6</v>
      </c>
      <c r="H17" s="43">
        <f t="shared" si="11"/>
        <v>199.8</v>
      </c>
      <c r="I17" s="43">
        <f t="shared" si="11"/>
        <v>117.80000000000003</v>
      </c>
      <c r="J17" s="43">
        <f t="shared" si="11"/>
        <v>-172</v>
      </c>
      <c r="K17" s="42">
        <f t="shared" si="11"/>
        <v>47.599999999999966</v>
      </c>
      <c r="L17" s="43">
        <f t="shared" si="11"/>
        <v>130.70000000000002</v>
      </c>
      <c r="M17" s="43">
        <f t="shared" si="11"/>
        <v>190.60000000000002</v>
      </c>
      <c r="N17" s="43">
        <f t="shared" si="11"/>
        <v>99.799999999999983</v>
      </c>
      <c r="O17" s="42">
        <f t="shared" si="11"/>
        <v>181.39999999999995</v>
      </c>
      <c r="P17" s="43">
        <f t="shared" si="11"/>
        <v>145.89999999999998</v>
      </c>
      <c r="Q17" s="43">
        <f t="shared" si="11"/>
        <v>153</v>
      </c>
      <c r="R17" s="43">
        <f t="shared" si="11"/>
        <v>132.90000000000003</v>
      </c>
      <c r="S17" s="42">
        <f t="shared" si="11"/>
        <v>166.3</v>
      </c>
      <c r="T17" s="43">
        <f t="shared" si="11"/>
        <v>164.89999999999998</v>
      </c>
      <c r="U17" s="43">
        <f t="shared" si="11"/>
        <v>184.49999999999997</v>
      </c>
      <c r="V17" s="43">
        <f t="shared" si="11"/>
        <v>169.39999999999995</v>
      </c>
      <c r="W17" s="42">
        <f t="shared" si="11"/>
        <v>196.27373508154264</v>
      </c>
      <c r="X17" s="43">
        <f t="shared" si="11"/>
        <v>94.97749328352603</v>
      </c>
      <c r="Y17" s="43">
        <f t="shared" si="11"/>
        <v>129.97307942367146</v>
      </c>
      <c r="Z17" s="44">
        <f t="shared" si="11"/>
        <v>129.08621463163729</v>
      </c>
      <c r="AA17" s="42">
        <f t="shared" si="11"/>
        <v>214.92155391673006</v>
      </c>
      <c r="AB17" s="43">
        <f t="shared" si="11"/>
        <v>184.30709621476265</v>
      </c>
      <c r="AC17" s="43">
        <f t="shared" si="11"/>
        <v>174.98662120347967</v>
      </c>
      <c r="AD17" s="44">
        <f>AD14-AD15</f>
        <v>148.17076478257349</v>
      </c>
      <c r="AE17" s="43">
        <f>AE14-AE15</f>
        <v>164.19999999999996</v>
      </c>
      <c r="AF17" s="43">
        <f>AF14-AF15</f>
        <v>186.89999999999998</v>
      </c>
      <c r="AG17" s="43">
        <f t="shared" si="11"/>
        <v>149.19999999999999</v>
      </c>
      <c r="AH17" s="43">
        <f>AH14-AH15</f>
        <v>134.60000000000005</v>
      </c>
      <c r="AI17" s="42">
        <f>AI14-AI15</f>
        <v>191.90000000000003</v>
      </c>
      <c r="AJ17" s="43">
        <f>AJ14-AJ15</f>
        <v>172</v>
      </c>
      <c r="AK17" s="43">
        <f>AK14-AK15</f>
        <v>185.10000000000002</v>
      </c>
      <c r="AL17" s="43">
        <f>AL14-AL15</f>
        <v>140.20000000000007</v>
      </c>
      <c r="AM17" s="42">
        <f t="shared" ref="AM17:AV17" si="12">AM14-AM15-AM16</f>
        <v>148.60000000000002</v>
      </c>
      <c r="AN17" s="43">
        <f t="shared" si="12"/>
        <v>159.79999999999998</v>
      </c>
      <c r="AO17" s="43">
        <f t="shared" si="12"/>
        <v>195.90000000000003</v>
      </c>
      <c r="AP17" s="43">
        <f t="shared" si="12"/>
        <v>142.9</v>
      </c>
      <c r="AQ17" s="42">
        <f t="shared" si="12"/>
        <v>198.70000000000007</v>
      </c>
      <c r="AR17" s="43">
        <f>AR14-AR15-AR16</f>
        <v>178.40000000000003</v>
      </c>
      <c r="AS17" s="43">
        <f>AS14-AS15-AS16</f>
        <v>203</v>
      </c>
      <c r="AT17" s="43">
        <f t="shared" si="12"/>
        <v>182.79999999999998</v>
      </c>
      <c r="AU17" s="42">
        <f t="shared" si="12"/>
        <v>184.3</v>
      </c>
      <c r="AV17" s="43">
        <f t="shared" si="12"/>
        <v>208.19999999999996</v>
      </c>
      <c r="AW17" s="43">
        <f t="shared" ref="AW17:AX17" si="13">AW14-AW15-AW16</f>
        <v>180.80000000000007</v>
      </c>
      <c r="AX17" s="43">
        <f t="shared" si="13"/>
        <v>291.19999999999993</v>
      </c>
    </row>
    <row r="18" spans="1:50" ht="18" customHeight="1">
      <c r="A18" s="261"/>
      <c r="B18" s="261"/>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62"/>
      <c r="AR18" s="262"/>
      <c r="AS18" s="262"/>
      <c r="AT18" s="262"/>
      <c r="AU18" s="262"/>
      <c r="AV18" s="262"/>
      <c r="AW18" s="262"/>
      <c r="AX18" s="262"/>
    </row>
    <row r="19" spans="1:50">
      <c r="A19" s="485" t="s">
        <v>176</v>
      </c>
      <c r="B19" s="485" t="s">
        <v>38</v>
      </c>
      <c r="C19" s="263"/>
      <c r="D19" s="263"/>
      <c r="E19" s="263"/>
      <c r="F19" s="263"/>
      <c r="G19" s="263"/>
      <c r="H19" s="263"/>
      <c r="I19" s="263"/>
      <c r="J19" s="263"/>
      <c r="K19" s="263"/>
      <c r="L19" s="263"/>
      <c r="M19" s="263"/>
      <c r="N19" s="263"/>
      <c r="O19" s="263"/>
      <c r="P19" s="263"/>
      <c r="Q19" s="263"/>
      <c r="R19" s="263"/>
      <c r="S19" s="263"/>
      <c r="T19" s="263"/>
      <c r="U19" s="263"/>
      <c r="V19" s="263"/>
      <c r="W19" s="263"/>
      <c r="X19" s="263"/>
      <c r="Y19" s="263"/>
      <c r="Z19" s="263"/>
      <c r="AA19" s="263"/>
      <c r="AB19" s="263"/>
      <c r="AC19" s="263"/>
      <c r="AD19" s="263"/>
      <c r="AE19" s="263"/>
      <c r="AF19" s="263"/>
      <c r="AG19" s="263"/>
      <c r="AH19" s="263"/>
      <c r="AI19" s="263"/>
      <c r="AJ19" s="263"/>
      <c r="AK19" s="263"/>
      <c r="AL19" s="263"/>
      <c r="AM19" s="263"/>
      <c r="AN19" s="263"/>
      <c r="AO19" s="263"/>
      <c r="AP19" s="263"/>
      <c r="AQ19" s="263"/>
      <c r="AR19" s="263"/>
      <c r="AS19" s="263"/>
      <c r="AT19" s="263"/>
      <c r="AU19" s="263"/>
      <c r="AV19" s="263"/>
      <c r="AW19" s="263"/>
      <c r="AX19" s="263"/>
    </row>
    <row r="20" spans="1:50">
      <c r="A20" s="486"/>
      <c r="B20" s="486"/>
    </row>
  </sheetData>
  <mergeCells count="16">
    <mergeCell ref="AU2:AX2"/>
    <mergeCell ref="A19:A20"/>
    <mergeCell ref="B19:B20"/>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pageSetUpPr fitToPage="1"/>
  </sheetPr>
  <dimension ref="A1:AZ42"/>
  <sheetViews>
    <sheetView showGridLines="0" view="pageBreakPreview" zoomScaleNormal="100" zoomScaleSheetLayoutView="100" zoomScalePageLayoutView="80" workbookViewId="0">
      <pane xSplit="2" ySplit="4" topLeftCell="AO5" activePane="bottomRight" state="frozen"/>
      <selection pane="topRight" activeCell="C1" sqref="C1"/>
      <selection pane="bottomLeft" activeCell="A5" sqref="A5"/>
      <selection pane="bottomRight" activeCell="A2" sqref="A2:A3"/>
    </sheetView>
  </sheetViews>
  <sheetFormatPr defaultColWidth="8.85546875" defaultRowHeight="13.5" outlineLevelCol="1"/>
  <cols>
    <col min="1" max="1" width="48.42578125" style="58" customWidth="1" outlineLevel="1"/>
    <col min="2" max="2" width="53" style="58" customWidth="1"/>
    <col min="3" max="47" width="6" style="13" customWidth="1"/>
    <col min="48" max="48" width="6.140625" style="13" customWidth="1"/>
    <col min="49" max="50" width="6" style="13" customWidth="1"/>
    <col min="51" max="16384" width="8.85546875" style="13"/>
  </cols>
  <sheetData>
    <row r="1" spans="1:52" ht="12.75" customHeight="1">
      <c r="A1" s="20" t="s">
        <v>544</v>
      </c>
      <c r="B1" s="20" t="s">
        <v>431</v>
      </c>
    </row>
    <row r="2" spans="1:52">
      <c r="A2" s="481" t="s">
        <v>171</v>
      </c>
      <c r="B2" s="481" t="s">
        <v>35</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5"/>
      <c r="AI2" s="477">
        <v>2015</v>
      </c>
      <c r="AJ2" s="475"/>
      <c r="AK2" s="475"/>
      <c r="AL2" s="478"/>
      <c r="AM2" s="477">
        <v>2016</v>
      </c>
      <c r="AN2" s="475"/>
      <c r="AO2" s="475"/>
      <c r="AP2" s="478"/>
      <c r="AQ2" s="477">
        <v>2017</v>
      </c>
      <c r="AR2" s="475"/>
      <c r="AS2" s="475"/>
      <c r="AT2" s="475">
        <v>2017</v>
      </c>
      <c r="AU2" s="477">
        <v>2018</v>
      </c>
      <c r="AV2" s="479"/>
      <c r="AW2" s="479"/>
      <c r="AX2" s="484"/>
    </row>
    <row r="3" spans="1:52" s="14" customFormat="1" ht="27" customHeigh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2" t="s">
        <v>151</v>
      </c>
      <c r="AB3" s="23" t="s">
        <v>152</v>
      </c>
      <c r="AC3" s="23" t="s">
        <v>153</v>
      </c>
      <c r="AD3" s="48" t="s">
        <v>154</v>
      </c>
      <c r="AE3" s="23" t="s">
        <v>151</v>
      </c>
      <c r="AF3" s="23" t="s">
        <v>152</v>
      </c>
      <c r="AG3" s="23" t="s">
        <v>153</v>
      </c>
      <c r="AH3" s="23" t="s">
        <v>154</v>
      </c>
      <c r="AI3" s="22" t="s">
        <v>151</v>
      </c>
      <c r="AJ3" s="23" t="s">
        <v>152</v>
      </c>
      <c r="AK3" s="23" t="s">
        <v>153</v>
      </c>
      <c r="AL3" s="23" t="s">
        <v>154</v>
      </c>
      <c r="AM3" s="22" t="s">
        <v>151</v>
      </c>
      <c r="AN3" s="23" t="s">
        <v>152</v>
      </c>
      <c r="AO3" s="23" t="s">
        <v>153</v>
      </c>
      <c r="AP3" s="23" t="s">
        <v>154</v>
      </c>
      <c r="AQ3" s="22" t="s">
        <v>151</v>
      </c>
      <c r="AR3" s="23" t="s">
        <v>152</v>
      </c>
      <c r="AS3" s="23" t="s">
        <v>153</v>
      </c>
      <c r="AT3" s="23" t="s">
        <v>154</v>
      </c>
      <c r="AU3" s="22" t="s">
        <v>151</v>
      </c>
      <c r="AV3" s="23" t="s">
        <v>152</v>
      </c>
      <c r="AW3" s="23" t="s">
        <v>153</v>
      </c>
      <c r="AX3" s="23" t="s">
        <v>154</v>
      </c>
    </row>
    <row r="4" spans="1:52" s="14" customFormat="1">
      <c r="A4" s="24" t="s">
        <v>156</v>
      </c>
      <c r="B4" s="24" t="s">
        <v>11</v>
      </c>
      <c r="C4" s="25"/>
      <c r="D4" s="26"/>
      <c r="E4" s="26"/>
      <c r="F4" s="26"/>
      <c r="G4" s="25"/>
      <c r="H4" s="26"/>
      <c r="I4" s="26"/>
      <c r="J4" s="27"/>
      <c r="K4" s="25"/>
      <c r="L4" s="26"/>
      <c r="M4" s="26"/>
      <c r="N4" s="27"/>
      <c r="O4" s="25"/>
      <c r="P4" s="26"/>
      <c r="Q4" s="26"/>
      <c r="R4" s="27"/>
      <c r="S4" s="25"/>
      <c r="T4" s="26"/>
      <c r="U4" s="26"/>
      <c r="V4" s="27"/>
      <c r="W4" s="25"/>
      <c r="X4" s="26"/>
      <c r="Y4" s="26"/>
      <c r="Z4" s="27"/>
      <c r="AA4" s="25"/>
      <c r="AB4" s="26"/>
      <c r="AC4" s="26"/>
      <c r="AD4" s="27"/>
      <c r="AE4" s="26"/>
      <c r="AF4" s="26"/>
      <c r="AG4" s="26"/>
      <c r="AH4" s="26"/>
      <c r="AI4" s="25"/>
      <c r="AJ4" s="26"/>
      <c r="AK4" s="26"/>
      <c r="AL4" s="26"/>
      <c r="AM4" s="25"/>
      <c r="AN4" s="26"/>
      <c r="AO4" s="26"/>
      <c r="AP4" s="26"/>
      <c r="AQ4" s="25"/>
      <c r="AR4" s="26"/>
      <c r="AS4" s="26"/>
      <c r="AT4" s="26"/>
      <c r="AU4" s="25"/>
      <c r="AV4" s="26"/>
      <c r="AW4" s="26"/>
      <c r="AX4" s="26"/>
    </row>
    <row r="5" spans="1:52" s="16" customFormat="1">
      <c r="A5" s="50" t="s">
        <v>172</v>
      </c>
      <c r="B5" s="50" t="s">
        <v>36</v>
      </c>
      <c r="C5" s="34">
        <f>SUM(C6:C9)</f>
        <v>319.96553822512698</v>
      </c>
      <c r="D5" s="35">
        <f t="shared" ref="D5:AG5" si="0">SUM(D6:D9)</f>
        <v>309.36553822512701</v>
      </c>
      <c r="E5" s="35">
        <f t="shared" si="0"/>
        <v>320.56553822512706</v>
      </c>
      <c r="F5" s="35">
        <f t="shared" si="0"/>
        <v>280.66553822512702</v>
      </c>
      <c r="G5" s="34">
        <f t="shared" si="0"/>
        <v>297.4580087857276</v>
      </c>
      <c r="H5" s="35">
        <f t="shared" si="0"/>
        <v>352.35800878572758</v>
      </c>
      <c r="I5" s="35">
        <f t="shared" si="0"/>
        <v>342.85800878572752</v>
      </c>
      <c r="J5" s="36">
        <f t="shared" si="0"/>
        <v>269.45800878572749</v>
      </c>
      <c r="K5" s="34">
        <f t="shared" si="0"/>
        <v>298.38504180498364</v>
      </c>
      <c r="L5" s="35">
        <f t="shared" si="0"/>
        <v>353.98504180498361</v>
      </c>
      <c r="M5" s="35">
        <f t="shared" si="0"/>
        <v>341.1850418049836</v>
      </c>
      <c r="N5" s="36">
        <f t="shared" si="0"/>
        <v>306.88504180498364</v>
      </c>
      <c r="O5" s="34">
        <f t="shared" si="0"/>
        <v>308.76617079147798</v>
      </c>
      <c r="P5" s="35">
        <f t="shared" si="0"/>
        <v>361.06617079147793</v>
      </c>
      <c r="Q5" s="35">
        <f>SUM(Q6:Q9)</f>
        <v>370.56617079147799</v>
      </c>
      <c r="R5" s="36">
        <f t="shared" si="0"/>
        <v>386.66617079147795</v>
      </c>
      <c r="S5" s="34">
        <f t="shared" si="0"/>
        <v>389.24726417014944</v>
      </c>
      <c r="T5" s="35">
        <f t="shared" si="0"/>
        <v>401.5472641701495</v>
      </c>
      <c r="U5" s="35">
        <f t="shared" si="0"/>
        <v>376.34726417014946</v>
      </c>
      <c r="V5" s="36">
        <f t="shared" si="0"/>
        <v>377.64726417014953</v>
      </c>
      <c r="W5" s="34">
        <f t="shared" si="0"/>
        <v>427.72683986871607</v>
      </c>
      <c r="X5" s="35">
        <f t="shared" si="0"/>
        <v>422.02683986871602</v>
      </c>
      <c r="Y5" s="257">
        <f t="shared" si="0"/>
        <v>424.6268398687161</v>
      </c>
      <c r="Z5" s="258">
        <f t="shared" si="0"/>
        <v>406.32683986871609</v>
      </c>
      <c r="AA5" s="34">
        <f t="shared" si="0"/>
        <v>448.86927101575867</v>
      </c>
      <c r="AB5" s="35">
        <f t="shared" si="0"/>
        <v>420.95260226839201</v>
      </c>
      <c r="AC5" s="35">
        <f t="shared" si="0"/>
        <v>428.22809784460458</v>
      </c>
      <c r="AD5" s="36">
        <f t="shared" si="0"/>
        <v>455.15251444864481</v>
      </c>
      <c r="AE5" s="35">
        <f>SUM(AE6:AE9)</f>
        <v>485.19999999999993</v>
      </c>
      <c r="AF5" s="35">
        <f>SUM(AF6:AF9)</f>
        <v>496.79999999999995</v>
      </c>
      <c r="AG5" s="257">
        <f t="shared" si="0"/>
        <v>493.1</v>
      </c>
      <c r="AH5" s="257">
        <f>SUM(AH6:AH9)</f>
        <v>468.3</v>
      </c>
      <c r="AI5" s="34">
        <f>SUM(AI6:AI9)</f>
        <v>479.59999999999997</v>
      </c>
      <c r="AJ5" s="35">
        <f>SUM(AJ6:AJ9)</f>
        <v>569.6</v>
      </c>
      <c r="AK5" s="35">
        <f>SUM(AK6:AK9)</f>
        <v>530.6</v>
      </c>
      <c r="AL5" s="35">
        <f>SUM(AL6:AL9)</f>
        <v>508.5</v>
      </c>
      <c r="AM5" s="34">
        <f t="shared" ref="AM5:AP5" si="1">SUM(AM6:AM9)</f>
        <v>527.4</v>
      </c>
      <c r="AN5" s="35">
        <f t="shared" si="1"/>
        <v>715.5</v>
      </c>
      <c r="AO5" s="35">
        <f t="shared" si="1"/>
        <v>608</v>
      </c>
      <c r="AP5" s="35">
        <f t="shared" si="1"/>
        <v>621.19999999999993</v>
      </c>
      <c r="AQ5" s="34">
        <f t="shared" ref="AQ5:AV5" si="2">SUM(AQ6:AQ9)</f>
        <v>635.5</v>
      </c>
      <c r="AR5" s="35">
        <f t="shared" si="2"/>
        <v>677</v>
      </c>
      <c r="AS5" s="35">
        <f t="shared" si="2"/>
        <v>678.90000000000009</v>
      </c>
      <c r="AT5" s="35">
        <f>SUM(AT6:AT9)</f>
        <v>687.19999999999993</v>
      </c>
      <c r="AU5" s="34">
        <f t="shared" si="2"/>
        <v>707.8</v>
      </c>
      <c r="AV5" s="35">
        <f t="shared" si="2"/>
        <v>754.7</v>
      </c>
      <c r="AW5" s="35">
        <f t="shared" ref="AW5:AX5" si="3">SUM(AW6:AW9)</f>
        <v>744.9</v>
      </c>
      <c r="AX5" s="35">
        <f t="shared" si="3"/>
        <v>772.2</v>
      </c>
      <c r="AY5" s="15"/>
    </row>
    <row r="6" spans="1:52" s="14" customFormat="1">
      <c r="A6" s="32" t="s">
        <v>707</v>
      </c>
      <c r="B6" s="32" t="s">
        <v>711</v>
      </c>
      <c r="C6" s="29">
        <v>138</v>
      </c>
      <c r="D6" s="30">
        <v>144.30000000000001</v>
      </c>
      <c r="E6" s="30">
        <v>148.80000000000001</v>
      </c>
      <c r="F6" s="30">
        <v>153.80000000000001</v>
      </c>
      <c r="G6" s="29">
        <v>154.30000000000001</v>
      </c>
      <c r="H6" s="30">
        <v>146</v>
      </c>
      <c r="I6" s="30">
        <v>170.6</v>
      </c>
      <c r="J6" s="31">
        <v>112</v>
      </c>
      <c r="K6" s="29">
        <v>123</v>
      </c>
      <c r="L6" s="30">
        <v>213</v>
      </c>
      <c r="M6" s="30">
        <v>153.1</v>
      </c>
      <c r="N6" s="31">
        <v>153</v>
      </c>
      <c r="O6" s="29">
        <v>178</v>
      </c>
      <c r="P6" s="30">
        <v>202.2</v>
      </c>
      <c r="Q6" s="30">
        <v>199.1</v>
      </c>
      <c r="R6" s="31">
        <v>236.5</v>
      </c>
      <c r="S6" s="29">
        <v>238.3</v>
      </c>
      <c r="T6" s="30">
        <v>245.8</v>
      </c>
      <c r="U6" s="30">
        <v>233.9</v>
      </c>
      <c r="V6" s="31">
        <v>236.9</v>
      </c>
      <c r="W6" s="29">
        <v>254.7738238377311</v>
      </c>
      <c r="X6" s="30">
        <v>265.77382383773107</v>
      </c>
      <c r="Y6" s="259">
        <v>276.17382383773111</v>
      </c>
      <c r="Z6" s="260">
        <v>249.47382383773112</v>
      </c>
      <c r="AA6" s="29">
        <v>242.18036743499977</v>
      </c>
      <c r="AB6" s="30">
        <v>260.00901994993075</v>
      </c>
      <c r="AC6" s="30">
        <v>281.6279190694209</v>
      </c>
      <c r="AD6" s="31">
        <v>296.84214202947464</v>
      </c>
      <c r="AE6" s="30">
        <v>317.39999999999998</v>
      </c>
      <c r="AF6" s="30">
        <v>346.7</v>
      </c>
      <c r="AG6" s="259">
        <v>362.3</v>
      </c>
      <c r="AH6" s="259">
        <v>341.5</v>
      </c>
      <c r="AI6" s="29">
        <v>344.4</v>
      </c>
      <c r="AJ6" s="30">
        <v>373.2</v>
      </c>
      <c r="AK6" s="30">
        <v>404.8</v>
      </c>
      <c r="AL6" s="30">
        <f>394.1+0.4</f>
        <v>394.5</v>
      </c>
      <c r="AM6" s="29">
        <v>402.8</v>
      </c>
      <c r="AN6" s="30">
        <f>429.6+0.1</f>
        <v>429.70000000000005</v>
      </c>
      <c r="AO6" s="30">
        <f>506.9-0.1</f>
        <v>506.79999999999995</v>
      </c>
      <c r="AP6" s="30">
        <v>523.29999999999995</v>
      </c>
      <c r="AQ6" s="29">
        <v>508.2</v>
      </c>
      <c r="AR6" s="30">
        <v>516.70000000000005</v>
      </c>
      <c r="AS6" s="30">
        <v>543.80000000000007</v>
      </c>
      <c r="AT6" s="30">
        <v>564.6</v>
      </c>
      <c r="AU6" s="29">
        <v>553.29999999999995</v>
      </c>
      <c r="AV6" s="30">
        <v>594.5</v>
      </c>
      <c r="AW6" s="30">
        <v>612.9</v>
      </c>
      <c r="AX6" s="30">
        <v>623.1</v>
      </c>
      <c r="AY6" s="15"/>
      <c r="AZ6" s="16"/>
    </row>
    <row r="7" spans="1:52" s="16" customFormat="1">
      <c r="A7" s="32" t="s">
        <v>708</v>
      </c>
      <c r="B7" s="32" t="s">
        <v>712</v>
      </c>
      <c r="C7" s="29">
        <v>130.16553822512702</v>
      </c>
      <c r="D7" s="30">
        <v>136.56553822512703</v>
      </c>
      <c r="E7" s="30">
        <v>135.06553822512703</v>
      </c>
      <c r="F7" s="30">
        <v>124.46553822512702</v>
      </c>
      <c r="G7" s="29">
        <v>124.25800878572755</v>
      </c>
      <c r="H7" s="30">
        <v>146.15800878572756</v>
      </c>
      <c r="I7" s="30">
        <v>140.75800878572755</v>
      </c>
      <c r="J7" s="31">
        <v>189.35800878572755</v>
      </c>
      <c r="K7" s="29">
        <v>146.78504180498365</v>
      </c>
      <c r="L7" s="30">
        <v>149.58504180498363</v>
      </c>
      <c r="M7" s="30">
        <v>159.78504180498365</v>
      </c>
      <c r="N7" s="31">
        <v>88.385041804983658</v>
      </c>
      <c r="O7" s="29">
        <v>117.26617079147796</v>
      </c>
      <c r="P7" s="30">
        <v>159.16617079147795</v>
      </c>
      <c r="Q7" s="30">
        <v>160.86617079147797</v>
      </c>
      <c r="R7" s="31">
        <v>96.466170791477964</v>
      </c>
      <c r="S7" s="29">
        <v>130.84726417014949</v>
      </c>
      <c r="T7" s="30">
        <v>127.44726417014948</v>
      </c>
      <c r="U7" s="30">
        <v>122.34726417014949</v>
      </c>
      <c r="V7" s="31">
        <v>123.34726417014949</v>
      </c>
      <c r="W7" s="29">
        <v>117.17074753424698</v>
      </c>
      <c r="X7" s="30">
        <v>115.47074753424698</v>
      </c>
      <c r="Y7" s="259">
        <v>117.57074753424699</v>
      </c>
      <c r="Z7" s="260">
        <v>120.17074753424698</v>
      </c>
      <c r="AA7" s="29">
        <v>106.86733167592386</v>
      </c>
      <c r="AB7" s="30">
        <v>113.53324875046341</v>
      </c>
      <c r="AC7" s="30">
        <v>97.43429845405025</v>
      </c>
      <c r="AD7" s="31">
        <v>119.39543086788544</v>
      </c>
      <c r="AE7" s="30">
        <v>121.9</v>
      </c>
      <c r="AF7" s="30">
        <v>123.1</v>
      </c>
      <c r="AG7" s="259">
        <v>97.9</v>
      </c>
      <c r="AH7" s="259">
        <v>93.5</v>
      </c>
      <c r="AI7" s="29">
        <v>89.5</v>
      </c>
      <c r="AJ7" s="30">
        <v>94.8</v>
      </c>
      <c r="AK7" s="30">
        <v>91.8</v>
      </c>
      <c r="AL7" s="30">
        <f>87-0.1</f>
        <v>86.9</v>
      </c>
      <c r="AM7" s="29">
        <v>90.1</v>
      </c>
      <c r="AN7" s="30">
        <f>92.2-0.1</f>
        <v>92.100000000000009</v>
      </c>
      <c r="AO7" s="30">
        <f>98.4+0.1</f>
        <v>98.5</v>
      </c>
      <c r="AP7" s="30">
        <v>100</v>
      </c>
      <c r="AQ7" s="29">
        <v>104.7</v>
      </c>
      <c r="AR7" s="30">
        <v>111</v>
      </c>
      <c r="AS7" s="30">
        <v>108</v>
      </c>
      <c r="AT7" s="30">
        <v>103.19999999999999</v>
      </c>
      <c r="AU7" s="29">
        <v>108.7</v>
      </c>
      <c r="AV7" s="30">
        <v>127.2</v>
      </c>
      <c r="AW7" s="30">
        <v>111.6</v>
      </c>
      <c r="AX7" s="30">
        <v>107.6</v>
      </c>
      <c r="AY7" s="15"/>
    </row>
    <row r="8" spans="1:52" s="16" customFormat="1">
      <c r="A8" s="28" t="s">
        <v>709</v>
      </c>
      <c r="B8" s="28" t="s">
        <v>713</v>
      </c>
      <c r="C8" s="29">
        <v>39.4</v>
      </c>
      <c r="D8" s="30">
        <v>17.600000000000001</v>
      </c>
      <c r="E8" s="30">
        <v>27.1</v>
      </c>
      <c r="F8" s="30">
        <v>-8.3000000000000007</v>
      </c>
      <c r="G8" s="29">
        <v>7.3</v>
      </c>
      <c r="H8" s="30">
        <v>46</v>
      </c>
      <c r="I8" s="30">
        <v>18.5</v>
      </c>
      <c r="J8" s="31">
        <v>-41.3</v>
      </c>
      <c r="K8" s="29">
        <v>18.5</v>
      </c>
      <c r="L8" s="30">
        <v>-24.1</v>
      </c>
      <c r="M8" s="30">
        <v>17.899999999999999</v>
      </c>
      <c r="N8" s="31">
        <v>49.4</v>
      </c>
      <c r="O8" s="29">
        <v>6.2</v>
      </c>
      <c r="P8" s="30">
        <v>-11.2</v>
      </c>
      <c r="Q8" s="30">
        <v>0</v>
      </c>
      <c r="R8" s="31">
        <v>41.3</v>
      </c>
      <c r="S8" s="29">
        <v>10.4</v>
      </c>
      <c r="T8" s="30">
        <f>15.1</f>
        <v>15.1</v>
      </c>
      <c r="U8" s="30">
        <v>11.9</v>
      </c>
      <c r="V8" s="31">
        <v>7.3</v>
      </c>
      <c r="W8" s="29">
        <v>48.98226849673798</v>
      </c>
      <c r="X8" s="30">
        <v>29.582268496737978</v>
      </c>
      <c r="Y8" s="259">
        <v>23.282268496737977</v>
      </c>
      <c r="Z8" s="260">
        <v>26.582268496737978</v>
      </c>
      <c r="AA8" s="29">
        <v>90.821571904835039</v>
      </c>
      <c r="AB8" s="30">
        <v>39.610333567997856</v>
      </c>
      <c r="AC8" s="30">
        <v>39.865880321133432</v>
      </c>
      <c r="AD8" s="31">
        <v>26.914941551284713</v>
      </c>
      <c r="AE8" s="30">
        <v>34.700000000000003</v>
      </c>
      <c r="AF8" s="30">
        <v>25.9</v>
      </c>
      <c r="AG8" s="259">
        <v>32.9</v>
      </c>
      <c r="AH8" s="259">
        <v>33.299999999999997</v>
      </c>
      <c r="AI8" s="29">
        <v>45.7</v>
      </c>
      <c r="AJ8" s="30">
        <v>101.6</v>
      </c>
      <c r="AK8" s="30">
        <v>34</v>
      </c>
      <c r="AL8" s="30">
        <f>27+0.1</f>
        <v>27.1</v>
      </c>
      <c r="AM8" s="29">
        <v>34.5</v>
      </c>
      <c r="AN8" s="30">
        <v>193.7</v>
      </c>
      <c r="AO8" s="30">
        <f>2.6+0.1</f>
        <v>2.7</v>
      </c>
      <c r="AP8" s="30">
        <v>-2.1</v>
      </c>
      <c r="AQ8" s="29">
        <v>22.6</v>
      </c>
      <c r="AR8" s="30">
        <v>49.3</v>
      </c>
      <c r="AS8" s="30">
        <v>27.1</v>
      </c>
      <c r="AT8" s="30">
        <v>19.400000000000002</v>
      </c>
      <c r="AU8" s="29">
        <v>45.8</v>
      </c>
      <c r="AV8" s="30">
        <v>33</v>
      </c>
      <c r="AW8" s="30">
        <v>20.399999999999999</v>
      </c>
      <c r="AX8" s="30">
        <v>41.5</v>
      </c>
      <c r="AY8" s="15"/>
    </row>
    <row r="9" spans="1:52" s="14" customFormat="1" ht="22.5">
      <c r="A9" s="32" t="s">
        <v>710</v>
      </c>
      <c r="B9" s="32" t="s">
        <v>714</v>
      </c>
      <c r="C9" s="29">
        <v>12.4</v>
      </c>
      <c r="D9" s="30">
        <v>10.9</v>
      </c>
      <c r="E9" s="30">
        <v>9.6</v>
      </c>
      <c r="F9" s="30">
        <v>10.7</v>
      </c>
      <c r="G9" s="29">
        <v>11.6</v>
      </c>
      <c r="H9" s="30">
        <v>14.2</v>
      </c>
      <c r="I9" s="30">
        <v>13</v>
      </c>
      <c r="J9" s="31">
        <v>9.4</v>
      </c>
      <c r="K9" s="29">
        <v>10.1</v>
      </c>
      <c r="L9" s="30">
        <v>15.5</v>
      </c>
      <c r="M9" s="30">
        <v>10.4</v>
      </c>
      <c r="N9" s="31">
        <v>16.100000000000001</v>
      </c>
      <c r="O9" s="29">
        <v>7.3</v>
      </c>
      <c r="P9" s="30">
        <v>10.9</v>
      </c>
      <c r="Q9" s="30">
        <v>10.6</v>
      </c>
      <c r="R9" s="31">
        <v>12.4</v>
      </c>
      <c r="S9" s="29">
        <v>9.6999999999999993</v>
      </c>
      <c r="T9" s="30">
        <v>13.2</v>
      </c>
      <c r="U9" s="30">
        <v>8.1999999999999993</v>
      </c>
      <c r="V9" s="31">
        <v>10.1</v>
      </c>
      <c r="W9" s="29">
        <v>6.8</v>
      </c>
      <c r="X9" s="30">
        <v>11.2</v>
      </c>
      <c r="Y9" s="259">
        <v>7.6</v>
      </c>
      <c r="Z9" s="260">
        <v>10.1</v>
      </c>
      <c r="AA9" s="29">
        <v>9</v>
      </c>
      <c r="AB9" s="30">
        <v>7.8000000000000007</v>
      </c>
      <c r="AC9" s="30">
        <v>9.3000000000000007</v>
      </c>
      <c r="AD9" s="31">
        <v>12</v>
      </c>
      <c r="AE9" s="30">
        <v>11.2</v>
      </c>
      <c r="AF9" s="30">
        <v>1.1000000000000001</v>
      </c>
      <c r="AG9" s="259">
        <v>0</v>
      </c>
      <c r="AH9" s="259">
        <v>0</v>
      </c>
      <c r="AI9" s="29">
        <v>0</v>
      </c>
      <c r="AJ9" s="30">
        <v>0</v>
      </c>
      <c r="AK9" s="30">
        <v>0</v>
      </c>
      <c r="AL9" s="30">
        <v>0</v>
      </c>
      <c r="AM9" s="29">
        <v>0</v>
      </c>
      <c r="AN9" s="30">
        <v>0</v>
      </c>
      <c r="AO9" s="30">
        <v>0</v>
      </c>
      <c r="AP9" s="30">
        <v>0</v>
      </c>
      <c r="AQ9" s="29">
        <v>0</v>
      </c>
      <c r="AR9" s="30">
        <v>0</v>
      </c>
      <c r="AS9" s="30">
        <v>0</v>
      </c>
      <c r="AT9" s="30">
        <v>0</v>
      </c>
      <c r="AU9" s="29">
        <v>0</v>
      </c>
      <c r="AV9" s="30">
        <v>0</v>
      </c>
      <c r="AW9" s="30">
        <v>0</v>
      </c>
      <c r="AX9" s="30">
        <v>0</v>
      </c>
      <c r="AY9" s="15"/>
      <c r="AZ9" s="16"/>
    </row>
    <row r="10" spans="1:52" s="17" customFormat="1">
      <c r="A10" s="55" t="s">
        <v>174</v>
      </c>
      <c r="B10" s="55" t="s">
        <v>37</v>
      </c>
      <c r="C10" s="34">
        <f>SUM(C11:C13)</f>
        <v>213.26553822512702</v>
      </c>
      <c r="D10" s="35">
        <f t="shared" ref="D10:AG10" si="4">SUM(D11:D13)</f>
        <v>218.66553822512702</v>
      </c>
      <c r="E10" s="35">
        <f t="shared" si="4"/>
        <v>226.36553822512704</v>
      </c>
      <c r="F10" s="35">
        <f t="shared" si="4"/>
        <v>224.76553822512699</v>
      </c>
      <c r="G10" s="34">
        <f t="shared" si="4"/>
        <v>234.35800878572752</v>
      </c>
      <c r="H10" s="35">
        <f t="shared" si="4"/>
        <v>251.55800878572754</v>
      </c>
      <c r="I10" s="35">
        <f t="shared" si="4"/>
        <v>250.45800878572754</v>
      </c>
      <c r="J10" s="36">
        <f t="shared" si="4"/>
        <v>228.55800878572757</v>
      </c>
      <c r="K10" s="34">
        <f t="shared" si="4"/>
        <v>230.28504180498365</v>
      </c>
      <c r="L10" s="35">
        <f t="shared" si="4"/>
        <v>249.18504180498365</v>
      </c>
      <c r="M10" s="35">
        <f t="shared" si="4"/>
        <v>253.38504180498364</v>
      </c>
      <c r="N10" s="36">
        <f t="shared" si="4"/>
        <v>234.18504180498365</v>
      </c>
      <c r="O10" s="34">
        <f t="shared" si="4"/>
        <v>249.46617079147796</v>
      </c>
      <c r="P10" s="35">
        <f t="shared" si="4"/>
        <v>257.76617079147798</v>
      </c>
      <c r="Q10" s="35">
        <f t="shared" si="4"/>
        <v>264.86617079147794</v>
      </c>
      <c r="R10" s="36">
        <f t="shared" si="4"/>
        <v>252.96617079147796</v>
      </c>
      <c r="S10" s="34">
        <f t="shared" si="4"/>
        <v>254.5472641701495</v>
      </c>
      <c r="T10" s="35">
        <f t="shared" si="4"/>
        <v>255.24726417014949</v>
      </c>
      <c r="U10" s="35">
        <f t="shared" si="4"/>
        <v>263.24726417014949</v>
      </c>
      <c r="V10" s="36">
        <f t="shared" si="4"/>
        <v>249.04726417014948</v>
      </c>
      <c r="W10" s="34">
        <f t="shared" si="4"/>
        <v>287.20057495025867</v>
      </c>
      <c r="X10" s="35">
        <f t="shared" si="4"/>
        <v>284.50433315224205</v>
      </c>
      <c r="Y10" s="257">
        <f t="shared" si="4"/>
        <v>280.39991929238749</v>
      </c>
      <c r="Z10" s="258">
        <f t="shared" si="4"/>
        <v>272.71305450035339</v>
      </c>
      <c r="AA10" s="34">
        <f t="shared" si="4"/>
        <v>301.80990405597663</v>
      </c>
      <c r="AB10" s="35">
        <f t="shared" si="4"/>
        <v>296.8309803969903</v>
      </c>
      <c r="AC10" s="35">
        <f t="shared" si="4"/>
        <v>281.60444066154071</v>
      </c>
      <c r="AD10" s="36">
        <f t="shared" si="4"/>
        <v>274.00822340107061</v>
      </c>
      <c r="AE10" s="35">
        <f>SUM(AE11:AE13)</f>
        <v>284.2</v>
      </c>
      <c r="AF10" s="35">
        <f>SUM(AF11:AF13)</f>
        <v>289.1539052279694</v>
      </c>
      <c r="AG10" s="257">
        <f t="shared" si="4"/>
        <v>286.5</v>
      </c>
      <c r="AH10" s="257">
        <f>SUM(AH11:AH13)</f>
        <v>292.3</v>
      </c>
      <c r="AI10" s="34">
        <f>SUM(AI11:AI13)</f>
        <v>311.60000000000002</v>
      </c>
      <c r="AJ10" s="35">
        <f>SUM(AJ11:AJ13)</f>
        <v>303.20000000000005</v>
      </c>
      <c r="AK10" s="35">
        <f>SUM(AK11:AK13)</f>
        <v>312.60000000000002</v>
      </c>
      <c r="AL10" s="35">
        <f>SUM(AL11:AL13)</f>
        <v>390</v>
      </c>
      <c r="AM10" s="34">
        <f t="shared" ref="AM10:AU10" si="5">SUM(AM11:AM13)</f>
        <v>304.5</v>
      </c>
      <c r="AN10" s="35">
        <f t="shared" si="5"/>
        <v>302</v>
      </c>
      <c r="AO10" s="35">
        <f t="shared" si="5"/>
        <v>317.39999999999998</v>
      </c>
      <c r="AP10" s="35">
        <f t="shared" si="5"/>
        <v>311.7</v>
      </c>
      <c r="AQ10" s="34">
        <f t="shared" si="5"/>
        <v>345.59999999999997</v>
      </c>
      <c r="AR10" s="35">
        <f t="shared" si="5"/>
        <v>307.2</v>
      </c>
      <c r="AS10" s="35">
        <f t="shared" si="5"/>
        <v>317.5</v>
      </c>
      <c r="AT10" s="35">
        <f t="shared" si="5"/>
        <v>302.39999999999998</v>
      </c>
      <c r="AU10" s="34">
        <f t="shared" si="5"/>
        <v>372.6</v>
      </c>
      <c r="AV10" s="35">
        <f t="shared" ref="AV10:AW10" si="6">SUM(AV11:AV13)</f>
        <v>331.20000000000005</v>
      </c>
      <c r="AW10" s="35">
        <f t="shared" si="6"/>
        <v>343.9</v>
      </c>
      <c r="AX10" s="35">
        <f t="shared" ref="AX10" si="7">SUM(AX11:AX13)</f>
        <v>337.5</v>
      </c>
      <c r="AY10" s="15"/>
      <c r="AZ10" s="16"/>
    </row>
    <row r="11" spans="1:52" s="17" customFormat="1">
      <c r="A11" s="37" t="s">
        <v>323</v>
      </c>
      <c r="B11" s="37" t="s">
        <v>698</v>
      </c>
      <c r="C11" s="29">
        <v>98.3</v>
      </c>
      <c r="D11" s="30">
        <v>106.9</v>
      </c>
      <c r="E11" s="30">
        <v>110.9</v>
      </c>
      <c r="F11" s="30">
        <v>123.5</v>
      </c>
      <c r="G11" s="29">
        <v>111.2</v>
      </c>
      <c r="H11" s="30">
        <v>112.5</v>
      </c>
      <c r="I11" s="30">
        <v>129</v>
      </c>
      <c r="J11" s="31">
        <v>122.2</v>
      </c>
      <c r="K11" s="29">
        <v>98.4</v>
      </c>
      <c r="L11" s="30">
        <v>108.8</v>
      </c>
      <c r="M11" s="30">
        <v>110.5</v>
      </c>
      <c r="N11" s="31">
        <v>121.1</v>
      </c>
      <c r="O11" s="29">
        <v>109.7</v>
      </c>
      <c r="P11" s="30">
        <v>113.8</v>
      </c>
      <c r="Q11" s="30">
        <v>123.4</v>
      </c>
      <c r="R11" s="31">
        <v>151.19999999999999</v>
      </c>
      <c r="S11" s="29">
        <v>121</v>
      </c>
      <c r="T11" s="30">
        <v>117.2</v>
      </c>
      <c r="U11" s="30">
        <v>122</v>
      </c>
      <c r="V11" s="31">
        <v>124.7</v>
      </c>
      <c r="W11" s="29">
        <v>129.62811836869614</v>
      </c>
      <c r="X11" s="30">
        <v>127.32975084192324</v>
      </c>
      <c r="Y11" s="259">
        <v>125.97127117940272</v>
      </c>
      <c r="Z11" s="260">
        <v>132.37697680018391</v>
      </c>
      <c r="AA11" s="29">
        <v>128.8682319273081</v>
      </c>
      <c r="AB11" s="30">
        <v>129.30981485673789</v>
      </c>
      <c r="AC11" s="30">
        <v>130.91396921036718</v>
      </c>
      <c r="AD11" s="31">
        <v>154.61098480098664</v>
      </c>
      <c r="AE11" s="30">
        <v>131.6</v>
      </c>
      <c r="AF11" s="30">
        <v>138.4</v>
      </c>
      <c r="AG11" s="259">
        <v>132.69999999999999</v>
      </c>
      <c r="AH11" s="259">
        <v>139.80000000000001</v>
      </c>
      <c r="AI11" s="29">
        <v>135.30000000000001</v>
      </c>
      <c r="AJ11" s="30">
        <v>135.1</v>
      </c>
      <c r="AK11" s="30">
        <v>138.1</v>
      </c>
      <c r="AL11" s="30">
        <v>146.30000000000001</v>
      </c>
      <c r="AM11" s="29">
        <v>144</v>
      </c>
      <c r="AN11" s="30">
        <v>144.80000000000001</v>
      </c>
      <c r="AO11" s="30">
        <v>151.5</v>
      </c>
      <c r="AP11" s="30">
        <v>158.80000000000001</v>
      </c>
      <c r="AQ11" s="29">
        <v>144.6</v>
      </c>
      <c r="AR11" s="30">
        <v>153.1</v>
      </c>
      <c r="AS11" s="30">
        <v>153.30000000000001</v>
      </c>
      <c r="AT11" s="30">
        <v>156.1</v>
      </c>
      <c r="AU11" s="29">
        <v>162.4</v>
      </c>
      <c r="AV11" s="30">
        <v>168.3</v>
      </c>
      <c r="AW11" s="30">
        <v>167.7</v>
      </c>
      <c r="AX11" s="30">
        <v>160.6</v>
      </c>
      <c r="AY11" s="15"/>
      <c r="AZ11" s="16"/>
    </row>
    <row r="12" spans="1:52" s="16" customFormat="1">
      <c r="A12" s="32" t="s">
        <v>324</v>
      </c>
      <c r="B12" s="32" t="s">
        <v>699</v>
      </c>
      <c r="C12" s="29">
        <v>22</v>
      </c>
      <c r="D12" s="30">
        <v>23</v>
      </c>
      <c r="E12" s="30">
        <v>22.3</v>
      </c>
      <c r="F12" s="30">
        <v>31.2</v>
      </c>
      <c r="G12" s="29">
        <v>25</v>
      </c>
      <c r="H12" s="30">
        <v>25.6</v>
      </c>
      <c r="I12" s="30">
        <v>24.8</v>
      </c>
      <c r="J12" s="31">
        <v>24.1</v>
      </c>
      <c r="K12" s="29">
        <v>23.3</v>
      </c>
      <c r="L12" s="30">
        <v>24.3</v>
      </c>
      <c r="M12" s="30">
        <v>23.4</v>
      </c>
      <c r="N12" s="31">
        <v>23.5</v>
      </c>
      <c r="O12" s="29">
        <v>21.6</v>
      </c>
      <c r="P12" s="30">
        <v>22</v>
      </c>
      <c r="Q12" s="30">
        <v>22.2</v>
      </c>
      <c r="R12" s="31">
        <v>23.8</v>
      </c>
      <c r="S12" s="29">
        <v>21.8</v>
      </c>
      <c r="T12" s="30">
        <v>22.1</v>
      </c>
      <c r="U12" s="30">
        <v>24.5</v>
      </c>
      <c r="V12" s="31">
        <v>25</v>
      </c>
      <c r="W12" s="29">
        <v>24.201827824460509</v>
      </c>
      <c r="X12" s="30">
        <v>25.002182820688386</v>
      </c>
      <c r="Y12" s="259">
        <v>25.511211797666959</v>
      </c>
      <c r="Z12" s="260">
        <v>30.512452537068643</v>
      </c>
      <c r="AA12" s="29">
        <v>28.837033547040939</v>
      </c>
      <c r="AB12" s="30">
        <v>28.789704505606281</v>
      </c>
      <c r="AC12" s="30">
        <v>27.620026792403394</v>
      </c>
      <c r="AD12" s="31">
        <v>31.538412793044863</v>
      </c>
      <c r="AE12" s="30">
        <v>26.3</v>
      </c>
      <c r="AF12" s="30">
        <v>26.753905227969401</v>
      </c>
      <c r="AG12" s="259">
        <v>27.1</v>
      </c>
      <c r="AH12" s="259">
        <v>42.1</v>
      </c>
      <c r="AI12" s="29">
        <v>29.4</v>
      </c>
      <c r="AJ12" s="30">
        <v>32.700000000000003</v>
      </c>
      <c r="AK12" s="30">
        <v>32.200000000000003</v>
      </c>
      <c r="AL12" s="30">
        <v>46.5</v>
      </c>
      <c r="AM12" s="29">
        <v>32.5</v>
      </c>
      <c r="AN12" s="30">
        <v>34.799999999999997</v>
      </c>
      <c r="AO12" s="30">
        <v>36</v>
      </c>
      <c r="AP12" s="30">
        <v>52.6</v>
      </c>
      <c r="AQ12" s="29">
        <v>35.299999999999997</v>
      </c>
      <c r="AR12" s="30">
        <v>35.6</v>
      </c>
      <c r="AS12" s="30">
        <v>34.9</v>
      </c>
      <c r="AT12" s="30">
        <v>36.5</v>
      </c>
      <c r="AU12" s="29">
        <v>36.9</v>
      </c>
      <c r="AV12" s="30">
        <v>31.3</v>
      </c>
      <c r="AW12" s="30">
        <v>34.5</v>
      </c>
      <c r="AX12" s="30">
        <v>38.6</v>
      </c>
      <c r="AY12" s="15"/>
    </row>
    <row r="13" spans="1:52" s="17" customFormat="1">
      <c r="A13" s="32" t="s">
        <v>325</v>
      </c>
      <c r="B13" s="32" t="s">
        <v>700</v>
      </c>
      <c r="C13" s="29">
        <v>92.96553822512702</v>
      </c>
      <c r="D13" s="30">
        <v>88.765538225127017</v>
      </c>
      <c r="E13" s="30">
        <v>93.165538225127023</v>
      </c>
      <c r="F13" s="30">
        <v>70.065538225127014</v>
      </c>
      <c r="G13" s="29">
        <v>98.158008785727546</v>
      </c>
      <c r="H13" s="30">
        <v>113.45800878572754</v>
      </c>
      <c r="I13" s="30">
        <v>96.658008785727546</v>
      </c>
      <c r="J13" s="31">
        <v>82.258008785727554</v>
      </c>
      <c r="K13" s="29">
        <v>108.58504180498365</v>
      </c>
      <c r="L13" s="30">
        <v>116.08504180498365</v>
      </c>
      <c r="M13" s="30">
        <v>119.48504180498365</v>
      </c>
      <c r="N13" s="31">
        <v>89.585041804983646</v>
      </c>
      <c r="O13" s="29">
        <v>118.16617079147795</v>
      </c>
      <c r="P13" s="30">
        <v>121.96617079147796</v>
      </c>
      <c r="Q13" s="30">
        <v>119.26617079147796</v>
      </c>
      <c r="R13" s="31">
        <v>77.966170791477964</v>
      </c>
      <c r="S13" s="29">
        <v>111.74726417014949</v>
      </c>
      <c r="T13" s="30">
        <v>115.94726417014948</v>
      </c>
      <c r="U13" s="30">
        <v>116.74726417014948</v>
      </c>
      <c r="V13" s="31">
        <v>99.347264170149487</v>
      </c>
      <c r="W13" s="29">
        <v>133.370628757102</v>
      </c>
      <c r="X13" s="30">
        <v>132.17239948963044</v>
      </c>
      <c r="Y13" s="259">
        <v>128.91743631531781</v>
      </c>
      <c r="Z13" s="260">
        <v>109.82362516310086</v>
      </c>
      <c r="AA13" s="29">
        <v>144.10463858162757</v>
      </c>
      <c r="AB13" s="30">
        <v>138.73146103464614</v>
      </c>
      <c r="AC13" s="30">
        <v>123.07044465877014</v>
      </c>
      <c r="AD13" s="31">
        <v>87.858825807039068</v>
      </c>
      <c r="AE13" s="30">
        <v>126.3</v>
      </c>
      <c r="AF13" s="30">
        <v>124</v>
      </c>
      <c r="AG13" s="259">
        <v>126.7</v>
      </c>
      <c r="AH13" s="259">
        <v>110.4</v>
      </c>
      <c r="AI13" s="29">
        <v>146.9</v>
      </c>
      <c r="AJ13" s="30">
        <v>135.4</v>
      </c>
      <c r="AK13" s="30">
        <v>142.30000000000001</v>
      </c>
      <c r="AL13" s="30">
        <v>197.2</v>
      </c>
      <c r="AM13" s="29">
        <v>128</v>
      </c>
      <c r="AN13" s="30">
        <v>122.4</v>
      </c>
      <c r="AO13" s="30">
        <v>129.9</v>
      </c>
      <c r="AP13" s="30">
        <v>100.3</v>
      </c>
      <c r="AQ13" s="29">
        <v>165.7</v>
      </c>
      <c r="AR13" s="30">
        <v>118.5</v>
      </c>
      <c r="AS13" s="30">
        <v>129.30000000000001</v>
      </c>
      <c r="AT13" s="30">
        <v>109.8</v>
      </c>
      <c r="AU13" s="29">
        <v>173.3</v>
      </c>
      <c r="AV13" s="30">
        <v>131.6</v>
      </c>
      <c r="AW13" s="30">
        <v>141.69999999999999</v>
      </c>
      <c r="AX13" s="30">
        <v>138.30000000000001</v>
      </c>
      <c r="AY13" s="15"/>
      <c r="AZ13" s="16"/>
    </row>
    <row r="14" spans="1:52" s="17" customFormat="1">
      <c r="A14" s="33" t="s">
        <v>320</v>
      </c>
      <c r="B14" s="33" t="s">
        <v>344</v>
      </c>
      <c r="C14" s="34">
        <f>C5-C10</f>
        <v>106.69999999999996</v>
      </c>
      <c r="D14" s="35">
        <f t="shared" ref="D14:AG14" si="8">D5-D10</f>
        <v>90.699999999999989</v>
      </c>
      <c r="E14" s="35">
        <f t="shared" si="8"/>
        <v>94.200000000000017</v>
      </c>
      <c r="F14" s="35">
        <f t="shared" si="8"/>
        <v>55.900000000000034</v>
      </c>
      <c r="G14" s="34">
        <f t="shared" si="8"/>
        <v>63.10000000000008</v>
      </c>
      <c r="H14" s="35">
        <f t="shared" si="8"/>
        <v>100.80000000000004</v>
      </c>
      <c r="I14" s="35">
        <f t="shared" si="8"/>
        <v>92.399999999999977</v>
      </c>
      <c r="J14" s="36">
        <f t="shared" si="8"/>
        <v>40.89999999999992</v>
      </c>
      <c r="K14" s="34">
        <f t="shared" si="8"/>
        <v>68.099999999999994</v>
      </c>
      <c r="L14" s="35">
        <f t="shared" si="8"/>
        <v>104.79999999999995</v>
      </c>
      <c r="M14" s="35">
        <f t="shared" si="8"/>
        <v>87.799999999999955</v>
      </c>
      <c r="N14" s="36">
        <f t="shared" si="8"/>
        <v>72.699999999999989</v>
      </c>
      <c r="O14" s="34">
        <f t="shared" si="8"/>
        <v>59.300000000000011</v>
      </c>
      <c r="P14" s="35">
        <f t="shared" si="8"/>
        <v>103.29999999999995</v>
      </c>
      <c r="Q14" s="35">
        <f t="shared" si="8"/>
        <v>105.70000000000005</v>
      </c>
      <c r="R14" s="36">
        <f t="shared" si="8"/>
        <v>133.69999999999999</v>
      </c>
      <c r="S14" s="34">
        <f t="shared" si="8"/>
        <v>134.69999999999993</v>
      </c>
      <c r="T14" s="35">
        <f t="shared" si="8"/>
        <v>146.30000000000001</v>
      </c>
      <c r="U14" s="35">
        <f t="shared" si="8"/>
        <v>113.09999999999997</v>
      </c>
      <c r="V14" s="36">
        <f t="shared" si="8"/>
        <v>128.60000000000005</v>
      </c>
      <c r="W14" s="34">
        <f t="shared" si="8"/>
        <v>140.5262649184574</v>
      </c>
      <c r="X14" s="35">
        <f t="shared" si="8"/>
        <v>137.52250671647397</v>
      </c>
      <c r="Y14" s="257">
        <f t="shared" si="8"/>
        <v>144.22692057632861</v>
      </c>
      <c r="Z14" s="258">
        <f t="shared" si="8"/>
        <v>133.6137853683627</v>
      </c>
      <c r="AA14" s="34">
        <f t="shared" si="8"/>
        <v>147.05936695978204</v>
      </c>
      <c r="AB14" s="35">
        <f t="shared" si="8"/>
        <v>124.12162187140171</v>
      </c>
      <c r="AC14" s="35">
        <f t="shared" si="8"/>
        <v>146.62365718306387</v>
      </c>
      <c r="AD14" s="36">
        <f t="shared" si="8"/>
        <v>181.1442910475742</v>
      </c>
      <c r="AE14" s="35">
        <f>AE5-AE10</f>
        <v>200.99999999999994</v>
      </c>
      <c r="AF14" s="35">
        <f>AF5-AF10</f>
        <v>207.64609477203055</v>
      </c>
      <c r="AG14" s="257">
        <f t="shared" si="8"/>
        <v>206.60000000000002</v>
      </c>
      <c r="AH14" s="257">
        <f>AH5-AH10</f>
        <v>176</v>
      </c>
      <c r="AI14" s="34">
        <f>AI5-AI10</f>
        <v>167.99999999999994</v>
      </c>
      <c r="AJ14" s="35">
        <f>AJ5-AJ10</f>
        <v>266.39999999999998</v>
      </c>
      <c r="AK14" s="35">
        <f>AK5-AK10</f>
        <v>218</v>
      </c>
      <c r="AL14" s="35">
        <f>AL5-AL10</f>
        <v>118.5</v>
      </c>
      <c r="AM14" s="34">
        <f t="shared" ref="AM14:AV14" si="9">AM5-AM10</f>
        <v>222.89999999999998</v>
      </c>
      <c r="AN14" s="35">
        <f t="shared" si="9"/>
        <v>413.5</v>
      </c>
      <c r="AO14" s="35">
        <f t="shared" si="9"/>
        <v>290.60000000000002</v>
      </c>
      <c r="AP14" s="35">
        <f t="shared" ref="AP14:AU14" si="10">AP5-AP10</f>
        <v>309.49999999999994</v>
      </c>
      <c r="AQ14" s="34">
        <f t="shared" si="10"/>
        <v>289.90000000000003</v>
      </c>
      <c r="AR14" s="35">
        <f t="shared" si="10"/>
        <v>369.8</v>
      </c>
      <c r="AS14" s="35">
        <f t="shared" si="10"/>
        <v>361.40000000000009</v>
      </c>
      <c r="AT14" s="35">
        <f t="shared" si="10"/>
        <v>384.79999999999995</v>
      </c>
      <c r="AU14" s="34">
        <f t="shared" si="10"/>
        <v>335.19999999999993</v>
      </c>
      <c r="AV14" s="35">
        <f t="shared" si="9"/>
        <v>423.5</v>
      </c>
      <c r="AW14" s="35">
        <f t="shared" ref="AW14:AX14" si="11">AW5-AW10</f>
        <v>401</v>
      </c>
      <c r="AX14" s="35">
        <f t="shared" si="11"/>
        <v>434.70000000000005</v>
      </c>
      <c r="AY14" s="15"/>
      <c r="AZ14" s="16"/>
    </row>
    <row r="15" spans="1:52" s="17" customFormat="1">
      <c r="A15" s="37" t="s">
        <v>175</v>
      </c>
      <c r="B15" s="37" t="s">
        <v>345</v>
      </c>
      <c r="C15" s="29">
        <v>-2.4</v>
      </c>
      <c r="D15" s="30">
        <v>-10.4</v>
      </c>
      <c r="E15" s="30">
        <v>-25</v>
      </c>
      <c r="F15" s="30">
        <v>-2.2000000000000002</v>
      </c>
      <c r="G15" s="29">
        <v>-2.6</v>
      </c>
      <c r="H15" s="30">
        <v>6</v>
      </c>
      <c r="I15" s="30">
        <v>4.9000000000000004</v>
      </c>
      <c r="J15" s="31">
        <v>20.100000000000001</v>
      </c>
      <c r="K15" s="29">
        <v>12.8</v>
      </c>
      <c r="L15" s="30">
        <v>6.8</v>
      </c>
      <c r="M15" s="30">
        <v>21.4</v>
      </c>
      <c r="N15" s="31">
        <v>22.8</v>
      </c>
      <c r="O15" s="29">
        <v>21.2</v>
      </c>
      <c r="P15" s="30">
        <v>13</v>
      </c>
      <c r="Q15" s="30">
        <v>21.3</v>
      </c>
      <c r="R15" s="31">
        <v>25.6</v>
      </c>
      <c r="S15" s="29">
        <v>33.9</v>
      </c>
      <c r="T15" s="30">
        <v>21.2</v>
      </c>
      <c r="U15" s="30">
        <v>21</v>
      </c>
      <c r="V15" s="31">
        <v>14.1</v>
      </c>
      <c r="W15" s="29">
        <v>19.2</v>
      </c>
      <c r="X15" s="30">
        <v>25.2</v>
      </c>
      <c r="Y15" s="259">
        <v>21.5</v>
      </c>
      <c r="Z15" s="260">
        <v>24.2</v>
      </c>
      <c r="AA15" s="29">
        <v>37.98092087615715</v>
      </c>
      <c r="AB15" s="30">
        <v>40.428718098421875</v>
      </c>
      <c r="AC15" s="30">
        <v>33.010278386543447</v>
      </c>
      <c r="AD15" s="31">
        <v>17.01505583014783</v>
      </c>
      <c r="AE15" s="29">
        <v>36.700000000000003</v>
      </c>
      <c r="AF15" s="30">
        <v>10.6</v>
      </c>
      <c r="AG15" s="259">
        <v>13.2</v>
      </c>
      <c r="AH15" s="260">
        <v>18.2</v>
      </c>
      <c r="AI15" s="29">
        <v>33.799999999999997</v>
      </c>
      <c r="AJ15" s="30">
        <v>23.6</v>
      </c>
      <c r="AK15" s="259">
        <v>7.8</v>
      </c>
      <c r="AL15" s="260">
        <f>4.6</f>
        <v>4.5999999999999996</v>
      </c>
      <c r="AM15" s="29">
        <v>16.399999999999999</v>
      </c>
      <c r="AN15" s="30">
        <v>20.6</v>
      </c>
      <c r="AO15" s="259">
        <f>21.5+3.9</f>
        <v>25.4</v>
      </c>
      <c r="AP15" s="260">
        <v>75.099999999999994</v>
      </c>
      <c r="AQ15" s="29">
        <v>42.8</v>
      </c>
      <c r="AR15" s="30">
        <v>43.8</v>
      </c>
      <c r="AS15" s="30">
        <v>39.799999999999997</v>
      </c>
      <c r="AT15" s="30">
        <v>33.9</v>
      </c>
      <c r="AU15" s="29">
        <v>37.5</v>
      </c>
      <c r="AV15" s="30">
        <v>103.3</v>
      </c>
      <c r="AW15" s="30">
        <v>41.7</v>
      </c>
      <c r="AX15" s="30">
        <v>88.5</v>
      </c>
      <c r="AY15" s="15"/>
      <c r="AZ15" s="16"/>
    </row>
    <row r="16" spans="1:52" s="17" customFormat="1">
      <c r="A16" s="37" t="s">
        <v>539</v>
      </c>
      <c r="B16" s="37" t="s">
        <v>536</v>
      </c>
      <c r="C16" s="29">
        <v>0</v>
      </c>
      <c r="D16" s="30">
        <v>0</v>
      </c>
      <c r="E16" s="30">
        <v>0</v>
      </c>
      <c r="F16" s="30">
        <v>0</v>
      </c>
      <c r="G16" s="29">
        <v>0</v>
      </c>
      <c r="H16" s="30">
        <v>0</v>
      </c>
      <c r="I16" s="30">
        <v>0</v>
      </c>
      <c r="J16" s="30">
        <v>0</v>
      </c>
      <c r="K16" s="29">
        <v>0</v>
      </c>
      <c r="L16" s="30">
        <v>0</v>
      </c>
      <c r="M16" s="30">
        <v>0</v>
      </c>
      <c r="N16" s="30">
        <v>0</v>
      </c>
      <c r="O16" s="29">
        <v>0</v>
      </c>
      <c r="P16" s="30">
        <v>0</v>
      </c>
      <c r="Q16" s="30">
        <v>0</v>
      </c>
      <c r="R16" s="30">
        <v>0</v>
      </c>
      <c r="S16" s="29">
        <v>0</v>
      </c>
      <c r="T16" s="30">
        <v>0</v>
      </c>
      <c r="U16" s="30">
        <v>0</v>
      </c>
      <c r="V16" s="30">
        <v>0</v>
      </c>
      <c r="W16" s="29">
        <v>0</v>
      </c>
      <c r="X16" s="30">
        <v>0</v>
      </c>
      <c r="Y16" s="259">
        <v>0</v>
      </c>
      <c r="Z16" s="260">
        <v>0</v>
      </c>
      <c r="AA16" s="30">
        <v>0</v>
      </c>
      <c r="AB16" s="30">
        <v>0</v>
      </c>
      <c r="AC16" s="30">
        <v>0</v>
      </c>
      <c r="AD16" s="30">
        <v>0</v>
      </c>
      <c r="AE16" s="29">
        <v>0</v>
      </c>
      <c r="AF16" s="30">
        <v>0</v>
      </c>
      <c r="AG16" s="259">
        <v>0</v>
      </c>
      <c r="AH16" s="260">
        <v>0</v>
      </c>
      <c r="AI16" s="29">
        <v>0</v>
      </c>
      <c r="AJ16" s="30">
        <v>0</v>
      </c>
      <c r="AK16" s="259">
        <v>0</v>
      </c>
      <c r="AL16" s="260">
        <v>0</v>
      </c>
      <c r="AM16" s="29">
        <v>17.7</v>
      </c>
      <c r="AN16" s="30">
        <f>27.7+0.1</f>
        <v>27.8</v>
      </c>
      <c r="AO16" s="259">
        <f>27.6-0.1</f>
        <v>27.5</v>
      </c>
      <c r="AP16" s="260">
        <v>28.7</v>
      </c>
      <c r="AQ16" s="29">
        <v>31.9</v>
      </c>
      <c r="AR16" s="30">
        <v>28.4</v>
      </c>
      <c r="AS16" s="30">
        <v>32.5</v>
      </c>
      <c r="AT16" s="30">
        <v>33.699999999999996</v>
      </c>
      <c r="AU16" s="29">
        <v>35.700000000000003</v>
      </c>
      <c r="AV16" s="30">
        <v>38</v>
      </c>
      <c r="AW16" s="30">
        <v>39.5</v>
      </c>
      <c r="AX16" s="30">
        <v>41.7</v>
      </c>
      <c r="AY16" s="15"/>
      <c r="AZ16" s="16"/>
    </row>
    <row r="17" spans="1:52" s="17" customFormat="1" ht="24.6" customHeight="1">
      <c r="A17" s="57" t="s">
        <v>321</v>
      </c>
      <c r="B17" s="57" t="s">
        <v>346</v>
      </c>
      <c r="C17" s="42">
        <f>C14-C15</f>
        <v>109.09999999999997</v>
      </c>
      <c r="D17" s="43">
        <f t="shared" ref="D17:AG17" si="12">D14-D15</f>
        <v>101.1</v>
      </c>
      <c r="E17" s="43">
        <f t="shared" si="12"/>
        <v>119.20000000000002</v>
      </c>
      <c r="F17" s="43">
        <f t="shared" si="12"/>
        <v>58.100000000000037</v>
      </c>
      <c r="G17" s="42">
        <f t="shared" si="12"/>
        <v>65.700000000000074</v>
      </c>
      <c r="H17" s="43">
        <f t="shared" si="12"/>
        <v>94.80000000000004</v>
      </c>
      <c r="I17" s="43">
        <f t="shared" si="12"/>
        <v>87.499999999999972</v>
      </c>
      <c r="J17" s="43">
        <f t="shared" si="12"/>
        <v>20.799999999999919</v>
      </c>
      <c r="K17" s="42">
        <f t="shared" si="12"/>
        <v>55.3</v>
      </c>
      <c r="L17" s="43">
        <f t="shared" si="12"/>
        <v>97.999999999999957</v>
      </c>
      <c r="M17" s="43">
        <f t="shared" si="12"/>
        <v>66.399999999999949</v>
      </c>
      <c r="N17" s="43">
        <f t="shared" si="12"/>
        <v>49.899999999999991</v>
      </c>
      <c r="O17" s="42">
        <f t="shared" si="12"/>
        <v>38.100000000000009</v>
      </c>
      <c r="P17" s="43">
        <f t="shared" si="12"/>
        <v>90.299999999999955</v>
      </c>
      <c r="Q17" s="43">
        <f t="shared" si="12"/>
        <v>84.400000000000048</v>
      </c>
      <c r="R17" s="43">
        <f t="shared" si="12"/>
        <v>108.1</v>
      </c>
      <c r="S17" s="42">
        <f t="shared" si="12"/>
        <v>100.79999999999993</v>
      </c>
      <c r="T17" s="43">
        <f t="shared" si="12"/>
        <v>125.10000000000001</v>
      </c>
      <c r="U17" s="43">
        <f t="shared" si="12"/>
        <v>92.099999999999966</v>
      </c>
      <c r="V17" s="43">
        <f t="shared" si="12"/>
        <v>114.50000000000006</v>
      </c>
      <c r="W17" s="42">
        <f t="shared" si="12"/>
        <v>121.3262649184574</v>
      </c>
      <c r="X17" s="43">
        <f t="shared" si="12"/>
        <v>112.32250671647397</v>
      </c>
      <c r="Y17" s="43">
        <f t="shared" si="12"/>
        <v>122.72692057632861</v>
      </c>
      <c r="Z17" s="44">
        <f t="shared" si="12"/>
        <v>109.4137853683627</v>
      </c>
      <c r="AA17" s="43">
        <f t="shared" si="12"/>
        <v>109.0784460836249</v>
      </c>
      <c r="AB17" s="43">
        <f t="shared" si="12"/>
        <v>83.692903772979832</v>
      </c>
      <c r="AC17" s="43">
        <f t="shared" si="12"/>
        <v>113.61337879652042</v>
      </c>
      <c r="AD17" s="43">
        <f t="shared" si="12"/>
        <v>164.12923521742636</v>
      </c>
      <c r="AE17" s="42">
        <f>AE14-AE15</f>
        <v>164.29999999999995</v>
      </c>
      <c r="AF17" s="43">
        <f>AF14-AF15</f>
        <v>197.04609477203056</v>
      </c>
      <c r="AG17" s="43">
        <f t="shared" si="12"/>
        <v>193.40000000000003</v>
      </c>
      <c r="AH17" s="44">
        <f>AH14-AH15</f>
        <v>157.80000000000001</v>
      </c>
      <c r="AI17" s="42">
        <f>AI14-AI15</f>
        <v>134.19999999999993</v>
      </c>
      <c r="AJ17" s="43">
        <f>AJ14-AJ15</f>
        <v>242.79999999999998</v>
      </c>
      <c r="AK17" s="43">
        <f>AK14-AK15</f>
        <v>210.2</v>
      </c>
      <c r="AL17" s="44">
        <f>AL14-AL15</f>
        <v>113.9</v>
      </c>
      <c r="AM17" s="42">
        <f t="shared" ref="AM17:AV17" si="13">AM14-AM15-AM16</f>
        <v>188.79999999999998</v>
      </c>
      <c r="AN17" s="43">
        <f t="shared" si="13"/>
        <v>365.09999999999997</v>
      </c>
      <c r="AO17" s="43">
        <f t="shared" si="13"/>
        <v>237.70000000000005</v>
      </c>
      <c r="AP17" s="44">
        <f t="shared" ref="AP17:AU17" si="14">AP14-AP15-AP16</f>
        <v>205.69999999999996</v>
      </c>
      <c r="AQ17" s="42">
        <f t="shared" si="14"/>
        <v>215.20000000000002</v>
      </c>
      <c r="AR17" s="43">
        <f t="shared" si="14"/>
        <v>297.60000000000002</v>
      </c>
      <c r="AS17" s="43">
        <f t="shared" si="14"/>
        <v>289.10000000000008</v>
      </c>
      <c r="AT17" s="43">
        <f t="shared" si="14"/>
        <v>317.2</v>
      </c>
      <c r="AU17" s="42">
        <f t="shared" si="14"/>
        <v>261.99999999999994</v>
      </c>
      <c r="AV17" s="43">
        <f t="shared" si="13"/>
        <v>282.2</v>
      </c>
      <c r="AW17" s="43">
        <f t="shared" ref="AW17:AX17" si="15">AW14-AW15-AW16</f>
        <v>319.8</v>
      </c>
      <c r="AX17" s="43">
        <f t="shared" si="15"/>
        <v>304.50000000000006</v>
      </c>
      <c r="AY17" s="15"/>
      <c r="AZ17" s="16"/>
    </row>
    <row r="18" spans="1:52">
      <c r="A18" s="261"/>
      <c r="B18" s="261"/>
      <c r="C18" s="262"/>
      <c r="D18" s="262"/>
      <c r="E18" s="262"/>
      <c r="F18" s="262"/>
      <c r="G18" s="262"/>
      <c r="H18" s="262"/>
      <c r="I18" s="262"/>
      <c r="J18" s="262"/>
      <c r="K18" s="262"/>
      <c r="L18" s="262"/>
      <c r="M18" s="262"/>
      <c r="N18" s="262"/>
      <c r="O18" s="262"/>
      <c r="P18" s="262"/>
      <c r="Q18" s="262"/>
      <c r="R18" s="262"/>
      <c r="S18" s="262"/>
      <c r="T18" s="262"/>
      <c r="U18" s="262"/>
      <c r="V18" s="262"/>
      <c r="W18" s="264"/>
      <c r="X18" s="264"/>
      <c r="Y18" s="264"/>
      <c r="Z18" s="264"/>
      <c r="AA18" s="264"/>
      <c r="AB18" s="264"/>
      <c r="AC18" s="264"/>
      <c r="AD18" s="264"/>
      <c r="AE18" s="264"/>
      <c r="AF18" s="264"/>
      <c r="AG18" s="264"/>
      <c r="AH18" s="264"/>
      <c r="AI18" s="264"/>
      <c r="AJ18" s="264"/>
      <c r="AK18" s="264"/>
      <c r="AL18" s="264"/>
      <c r="AM18" s="264"/>
      <c r="AN18" s="264"/>
      <c r="AO18" s="264"/>
      <c r="AP18" s="264"/>
      <c r="AQ18" s="264"/>
      <c r="AR18" s="264"/>
      <c r="AS18" s="264"/>
      <c r="AT18" s="264"/>
      <c r="AU18" s="264"/>
      <c r="AV18" s="262"/>
      <c r="AW18" s="264"/>
      <c r="AX18" s="264"/>
    </row>
    <row r="19" spans="1:52">
      <c r="A19" s="485" t="s">
        <v>176</v>
      </c>
      <c r="B19" s="485" t="s">
        <v>38</v>
      </c>
      <c r="C19" s="263"/>
      <c r="D19" s="263"/>
      <c r="E19" s="263"/>
      <c r="F19" s="263"/>
      <c r="G19" s="263"/>
      <c r="H19" s="263"/>
      <c r="I19" s="263"/>
      <c r="J19" s="263"/>
      <c r="K19" s="263"/>
      <c r="L19" s="263"/>
      <c r="M19" s="263"/>
      <c r="N19" s="263"/>
      <c r="O19" s="263"/>
      <c r="P19" s="263"/>
      <c r="Q19" s="263"/>
      <c r="R19" s="263"/>
      <c r="S19" s="263"/>
      <c r="T19" s="263"/>
      <c r="U19" s="263"/>
      <c r="V19" s="263"/>
      <c r="W19" s="265"/>
      <c r="X19" s="265"/>
      <c r="Y19" s="265"/>
      <c r="Z19" s="265"/>
      <c r="AA19" s="265"/>
      <c r="AB19" s="265"/>
      <c r="AC19" s="265"/>
      <c r="AD19" s="265"/>
      <c r="AE19" s="265"/>
      <c r="AF19" s="265"/>
      <c r="AG19" s="265"/>
      <c r="AH19" s="265"/>
      <c r="AI19" s="265"/>
      <c r="AJ19" s="265"/>
      <c r="AK19" s="265"/>
      <c r="AL19" s="265"/>
      <c r="AM19" s="265"/>
      <c r="AN19" s="265"/>
      <c r="AO19" s="265"/>
      <c r="AP19" s="265"/>
      <c r="AQ19" s="265"/>
      <c r="AR19" s="265"/>
      <c r="AS19" s="265"/>
      <c r="AT19" s="265"/>
      <c r="AU19" s="265"/>
      <c r="AV19" s="263"/>
      <c r="AW19" s="265"/>
    </row>
    <row r="20" spans="1:52">
      <c r="A20" s="486"/>
      <c r="B20" s="486"/>
    </row>
    <row r="21" spans="1:52">
      <c r="A21" s="13"/>
      <c r="B21" s="13"/>
      <c r="AT21" s="266"/>
    </row>
    <row r="22" spans="1:52">
      <c r="A22" s="13"/>
      <c r="B22" s="13"/>
      <c r="AQ22" s="21"/>
      <c r="AR22" s="21"/>
      <c r="AS22" s="21"/>
      <c r="AT22" s="21"/>
      <c r="AW22" s="21"/>
    </row>
    <row r="23" spans="1:52">
      <c r="A23" s="13"/>
      <c r="B23" s="13"/>
    </row>
    <row r="24" spans="1:52">
      <c r="A24" s="13"/>
      <c r="B24" s="13"/>
    </row>
    <row r="25" spans="1:52">
      <c r="A25" s="13"/>
      <c r="B25" s="13"/>
    </row>
    <row r="26" spans="1:52">
      <c r="A26" s="13"/>
      <c r="B26" s="13"/>
    </row>
    <row r="27" spans="1:52">
      <c r="A27" s="13"/>
      <c r="B27" s="13"/>
    </row>
    <row r="28" spans="1:52">
      <c r="A28" s="13"/>
      <c r="B28" s="13"/>
    </row>
    <row r="29" spans="1:52">
      <c r="A29" s="13"/>
      <c r="B29" s="13"/>
    </row>
    <row r="30" spans="1:52">
      <c r="A30" s="13"/>
      <c r="B30" s="13"/>
    </row>
    <row r="31" spans="1:52">
      <c r="A31" s="13"/>
      <c r="B31" s="13"/>
    </row>
    <row r="32" spans="1:52">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sheetData>
  <mergeCells count="16">
    <mergeCell ref="AU2:AX2"/>
    <mergeCell ref="A19:A20"/>
    <mergeCell ref="B19:B20"/>
    <mergeCell ref="A2:A3"/>
    <mergeCell ref="B2:B3"/>
    <mergeCell ref="C2:F2"/>
    <mergeCell ref="G2:J2"/>
    <mergeCell ref="K2:N2"/>
    <mergeCell ref="AQ2:AT2"/>
    <mergeCell ref="AM2:AP2"/>
    <mergeCell ref="O2:R2"/>
    <mergeCell ref="AI2:AL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pageSetUpPr fitToPage="1"/>
  </sheetPr>
  <dimension ref="A1:AY57"/>
  <sheetViews>
    <sheetView showGridLines="0" view="pageBreakPreview" zoomScaleNormal="100" zoomScaleSheetLayoutView="100" zoomScalePageLayoutView="80" workbookViewId="0">
      <pane xSplit="2" ySplit="4" topLeftCell="AL5" activePane="bottomRight" state="frozen"/>
      <selection activeCell="B1" sqref="B1"/>
      <selection pane="topRight" activeCell="C1" sqref="C1"/>
      <selection pane="bottomLeft" activeCell="B5" sqref="B5"/>
      <selection pane="bottomRight" activeCell="A2" sqref="A2:A3"/>
    </sheetView>
  </sheetViews>
  <sheetFormatPr defaultColWidth="8.85546875" defaultRowHeight="13.5"/>
  <cols>
    <col min="1" max="2" width="49.85546875" style="58" bestFit="1" customWidth="1"/>
    <col min="3" max="49" width="6" style="71" customWidth="1"/>
    <col min="50" max="50" width="6" style="13" customWidth="1"/>
    <col min="51" max="16384" width="8.85546875" style="13"/>
  </cols>
  <sheetData>
    <row r="1" spans="1:51" s="14" customFormat="1" ht="12.75" customHeight="1">
      <c r="A1" s="20" t="s">
        <v>549</v>
      </c>
      <c r="B1" s="20" t="s">
        <v>543</v>
      </c>
      <c r="C1" s="77"/>
      <c r="D1" s="77"/>
      <c r="E1" s="77"/>
      <c r="F1" s="77"/>
      <c r="G1" s="77"/>
      <c r="H1" s="95"/>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row>
    <row r="2" spans="1:51" ht="13.5" customHeight="1">
      <c r="A2" s="481" t="s">
        <v>159</v>
      </c>
      <c r="B2" s="481" t="s">
        <v>1</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8"/>
      <c r="AI2" s="477">
        <v>2015</v>
      </c>
      <c r="AJ2" s="475"/>
      <c r="AK2" s="475"/>
      <c r="AL2" s="475"/>
      <c r="AM2" s="477">
        <v>2016</v>
      </c>
      <c r="AN2" s="475"/>
      <c r="AO2" s="475"/>
      <c r="AP2" s="475"/>
      <c r="AQ2" s="474">
        <v>2017</v>
      </c>
      <c r="AR2" s="475"/>
      <c r="AS2" s="475"/>
      <c r="AT2" s="475"/>
      <c r="AU2" s="474">
        <v>2018</v>
      </c>
      <c r="AV2" s="475"/>
      <c r="AW2" s="484"/>
      <c r="AX2" s="484"/>
    </row>
    <row r="3" spans="1:51" s="14" customFormat="1" ht="13.5" customHeigh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2" t="s">
        <v>151</v>
      </c>
      <c r="AB3" s="23" t="s">
        <v>152</v>
      </c>
      <c r="AC3" s="23" t="s">
        <v>153</v>
      </c>
      <c r="AD3" s="48" t="s">
        <v>154</v>
      </c>
      <c r="AE3" s="22" t="s">
        <v>151</v>
      </c>
      <c r="AF3" s="23" t="s">
        <v>152</v>
      </c>
      <c r="AG3" s="23" t="s">
        <v>153</v>
      </c>
      <c r="AH3" s="23" t="s">
        <v>154</v>
      </c>
      <c r="AI3" s="22" t="s">
        <v>151</v>
      </c>
      <c r="AJ3" s="23" t="s">
        <v>152</v>
      </c>
      <c r="AK3" s="23" t="s">
        <v>153</v>
      </c>
      <c r="AL3" s="23" t="s">
        <v>154</v>
      </c>
      <c r="AM3" s="22" t="s">
        <v>151</v>
      </c>
      <c r="AN3" s="23" t="s">
        <v>152</v>
      </c>
      <c r="AO3" s="23" t="s">
        <v>153</v>
      </c>
      <c r="AP3" s="23" t="s">
        <v>154</v>
      </c>
      <c r="AQ3" s="22" t="s">
        <v>151</v>
      </c>
      <c r="AR3" s="23" t="s">
        <v>152</v>
      </c>
      <c r="AS3" s="23" t="s">
        <v>153</v>
      </c>
      <c r="AT3" s="23" t="s">
        <v>154</v>
      </c>
      <c r="AU3" s="22" t="s">
        <v>151</v>
      </c>
      <c r="AV3" s="23" t="s">
        <v>152</v>
      </c>
      <c r="AW3" s="23" t="s">
        <v>153</v>
      </c>
      <c r="AX3" s="23" t="s">
        <v>154</v>
      </c>
    </row>
    <row r="4" spans="1:51" s="267" customFormat="1" ht="12.75" customHeight="1">
      <c r="A4" s="24" t="s">
        <v>156</v>
      </c>
      <c r="B4" s="24" t="s">
        <v>11</v>
      </c>
      <c r="C4" s="131"/>
      <c r="D4" s="132"/>
      <c r="E4" s="24"/>
      <c r="F4" s="132"/>
      <c r="G4" s="131"/>
      <c r="H4" s="132"/>
      <c r="I4" s="24"/>
      <c r="J4" s="133"/>
      <c r="K4" s="131"/>
      <c r="L4" s="132"/>
      <c r="M4" s="24"/>
      <c r="N4" s="133"/>
      <c r="O4" s="131"/>
      <c r="P4" s="132"/>
      <c r="Q4" s="24"/>
      <c r="R4" s="133"/>
      <c r="S4" s="131"/>
      <c r="T4" s="132"/>
      <c r="U4" s="24"/>
      <c r="V4" s="133"/>
      <c r="W4" s="131"/>
      <c r="X4" s="24"/>
      <c r="Y4" s="24"/>
      <c r="Z4" s="134"/>
      <c r="AA4" s="131"/>
      <c r="AB4" s="24"/>
      <c r="AC4" s="24"/>
      <c r="AD4" s="134"/>
      <c r="AE4" s="131"/>
      <c r="AF4" s="24"/>
      <c r="AG4" s="24"/>
      <c r="AH4" s="24"/>
      <c r="AI4" s="131"/>
      <c r="AJ4" s="24"/>
      <c r="AK4" s="24"/>
      <c r="AL4" s="24"/>
      <c r="AM4" s="131"/>
      <c r="AN4" s="24"/>
      <c r="AO4" s="24"/>
      <c r="AP4" s="24"/>
      <c r="AQ4" s="131"/>
      <c r="AR4" s="24"/>
      <c r="AS4" s="24"/>
      <c r="AT4" s="24"/>
      <c r="AU4" s="131"/>
      <c r="AV4" s="24"/>
      <c r="AW4" s="24"/>
      <c r="AX4" s="24"/>
    </row>
    <row r="5" spans="1:51" s="268" customFormat="1" ht="22.5">
      <c r="A5" s="50" t="s">
        <v>719</v>
      </c>
      <c r="B5" s="50" t="s">
        <v>553</v>
      </c>
      <c r="C5" s="69"/>
      <c r="D5" s="70"/>
      <c r="E5" s="70"/>
      <c r="F5" s="70"/>
      <c r="G5" s="69"/>
      <c r="H5" s="70"/>
      <c r="I5" s="70"/>
      <c r="J5" s="78"/>
      <c r="K5" s="69"/>
      <c r="L5" s="70"/>
      <c r="M5" s="70"/>
      <c r="N5" s="78"/>
      <c r="O5" s="69"/>
      <c r="P5" s="70"/>
      <c r="Q5" s="70"/>
      <c r="R5" s="78"/>
      <c r="S5" s="69"/>
      <c r="T5" s="70"/>
      <c r="U5" s="70"/>
      <c r="V5" s="78"/>
      <c r="W5" s="69"/>
      <c r="X5" s="70"/>
      <c r="Y5" s="70"/>
      <c r="Z5" s="78"/>
      <c r="AA5" s="69"/>
      <c r="AB5" s="70"/>
      <c r="AC5" s="70"/>
      <c r="AD5" s="78"/>
      <c r="AE5" s="69"/>
      <c r="AF5" s="70"/>
      <c r="AG5" s="70"/>
      <c r="AH5" s="70"/>
      <c r="AI5" s="69"/>
      <c r="AJ5" s="70"/>
      <c r="AK5" s="70"/>
      <c r="AL5" s="70"/>
      <c r="AM5" s="69"/>
      <c r="AN5" s="70"/>
      <c r="AO5" s="70"/>
      <c r="AP5" s="70"/>
      <c r="AQ5" s="81"/>
      <c r="AR5" s="82"/>
      <c r="AS5" s="82"/>
      <c r="AT5" s="82"/>
      <c r="AU5" s="81">
        <f>SUM(AU6:AU9)</f>
        <v>1096.8</v>
      </c>
      <c r="AV5" s="82">
        <f>SUM(AV6:AV9)</f>
        <v>1148.8</v>
      </c>
      <c r="AW5" s="82">
        <f>SUM(AW6:AW9)</f>
        <v>1193.4000000000001</v>
      </c>
      <c r="AX5" s="82">
        <f>SUM(AX6:AX9)</f>
        <v>1229.5</v>
      </c>
      <c r="AY5" s="269"/>
    </row>
    <row r="6" spans="1:51" s="268" customFormat="1" ht="22.5">
      <c r="A6" s="32" t="s">
        <v>716</v>
      </c>
      <c r="B6" s="32" t="s">
        <v>554</v>
      </c>
      <c r="C6" s="69">
        <v>196.4</v>
      </c>
      <c r="D6" s="70">
        <v>219.2</v>
      </c>
      <c r="E6" s="70">
        <v>237</v>
      </c>
      <c r="F6" s="70">
        <v>220.2</v>
      </c>
      <c r="G6" s="69">
        <v>214.6</v>
      </c>
      <c r="H6" s="70">
        <v>176.10000000000002</v>
      </c>
      <c r="I6" s="70">
        <v>143</v>
      </c>
      <c r="J6" s="78">
        <v>139.19999999999999</v>
      </c>
      <c r="K6" s="69">
        <v>66.599999999999994</v>
      </c>
      <c r="L6" s="70">
        <v>39</v>
      </c>
      <c r="M6" s="70">
        <v>31.2</v>
      </c>
      <c r="N6" s="78">
        <v>32.200000000000003</v>
      </c>
      <c r="O6" s="69">
        <v>24.2</v>
      </c>
      <c r="P6" s="70">
        <v>29.9</v>
      </c>
      <c r="Q6" s="70">
        <v>21.7</v>
      </c>
      <c r="R6" s="78">
        <v>23.5</v>
      </c>
      <c r="S6" s="69">
        <v>26.3</v>
      </c>
      <c r="T6" s="70">
        <v>29.8</v>
      </c>
      <c r="U6" s="70">
        <v>30.2</v>
      </c>
      <c r="V6" s="78">
        <v>41.9</v>
      </c>
      <c r="W6" s="69">
        <f>26.8-26.8+26.9</f>
        <v>26.9</v>
      </c>
      <c r="X6" s="70">
        <f>30.4-30.4+31</f>
        <v>31</v>
      </c>
      <c r="Y6" s="70">
        <v>37.4</v>
      </c>
      <c r="Z6" s="78">
        <v>40.5</v>
      </c>
      <c r="AA6" s="69">
        <v>27.8</v>
      </c>
      <c r="AB6" s="70">
        <v>25.3</v>
      </c>
      <c r="AC6" s="70">
        <v>23.8</v>
      </c>
      <c r="AD6" s="78">
        <v>28.5</v>
      </c>
      <c r="AE6" s="69">
        <v>28.7</v>
      </c>
      <c r="AF6" s="70">
        <v>23.8</v>
      </c>
      <c r="AG6" s="70">
        <v>22.3</v>
      </c>
      <c r="AH6" s="70">
        <v>17.8</v>
      </c>
      <c r="AI6" s="69">
        <v>15.9</v>
      </c>
      <c r="AJ6" s="70">
        <v>15.4</v>
      </c>
      <c r="AK6" s="70">
        <v>17.100000000000001</v>
      </c>
      <c r="AL6" s="70">
        <v>14.4</v>
      </c>
      <c r="AM6" s="69">
        <v>12.3</v>
      </c>
      <c r="AN6" s="70">
        <v>13.9</v>
      </c>
      <c r="AO6" s="70">
        <v>12.7</v>
      </c>
      <c r="AP6" s="70">
        <v>12.3</v>
      </c>
      <c r="AQ6" s="69">
        <v>12.5</v>
      </c>
      <c r="AR6" s="70">
        <v>13.7</v>
      </c>
      <c r="AS6" s="70">
        <v>13.9</v>
      </c>
      <c r="AT6" s="70">
        <v>16.100000000000001</v>
      </c>
      <c r="AU6" s="69">
        <v>9.5</v>
      </c>
      <c r="AV6" s="70">
        <v>7.9</v>
      </c>
      <c r="AW6" s="70">
        <v>10.1</v>
      </c>
      <c r="AX6" s="70">
        <v>8.9</v>
      </c>
      <c r="AY6" s="269"/>
    </row>
    <row r="7" spans="1:51" s="268" customFormat="1" ht="22.5">
      <c r="A7" s="32" t="s">
        <v>717</v>
      </c>
      <c r="B7" s="32" t="s">
        <v>815</v>
      </c>
      <c r="C7" s="69">
        <v>193.10000000000002</v>
      </c>
      <c r="D7" s="70">
        <v>216.6</v>
      </c>
      <c r="E7" s="70">
        <v>237.50000000000003</v>
      </c>
      <c r="F7" s="70">
        <v>277.39999999999998</v>
      </c>
      <c r="G7" s="69">
        <v>305.2</v>
      </c>
      <c r="H7" s="70">
        <v>353.2</v>
      </c>
      <c r="I7" s="70">
        <v>404.20000000000005</v>
      </c>
      <c r="J7" s="78">
        <v>438.7</v>
      </c>
      <c r="K7" s="69">
        <v>423.4</v>
      </c>
      <c r="L7" s="70">
        <v>419.3</v>
      </c>
      <c r="M7" s="70">
        <v>412.00000000000006</v>
      </c>
      <c r="N7" s="78">
        <v>404.7</v>
      </c>
      <c r="O7" s="69">
        <v>424.2</v>
      </c>
      <c r="P7" s="70">
        <v>431.40000000000003</v>
      </c>
      <c r="Q7" s="70">
        <v>461.7</v>
      </c>
      <c r="R7" s="78">
        <v>479.2</v>
      </c>
      <c r="S7" s="69">
        <v>497.1</v>
      </c>
      <c r="T7" s="70">
        <v>546.6</v>
      </c>
      <c r="U7" s="70">
        <v>608.29999999999995</v>
      </c>
      <c r="V7" s="78">
        <v>635.1</v>
      </c>
      <c r="W7" s="69">
        <v>707.7</v>
      </c>
      <c r="X7" s="70">
        <v>732.99999999999989</v>
      </c>
      <c r="Y7" s="70">
        <v>742.2</v>
      </c>
      <c r="Z7" s="78">
        <v>736.2</v>
      </c>
      <c r="AA7" s="69">
        <v>685.3</v>
      </c>
      <c r="AB7" s="70">
        <v>677.5</v>
      </c>
      <c r="AC7" s="70">
        <v>668.09999999999991</v>
      </c>
      <c r="AD7" s="78">
        <v>674.30000000000007</v>
      </c>
      <c r="AE7" s="69">
        <v>678.1</v>
      </c>
      <c r="AF7" s="70">
        <v>703.3</v>
      </c>
      <c r="AG7" s="70">
        <v>731.8</v>
      </c>
      <c r="AH7" s="70">
        <v>709.1</v>
      </c>
      <c r="AI7" s="69">
        <v>687.7</v>
      </c>
      <c r="AJ7" s="70">
        <v>691.1</v>
      </c>
      <c r="AK7" s="70">
        <v>738</v>
      </c>
      <c r="AL7" s="70">
        <v>750.40000000000009</v>
      </c>
      <c r="AM7" s="69">
        <v>746.59999999999991</v>
      </c>
      <c r="AN7" s="70">
        <v>764.7</v>
      </c>
      <c r="AO7" s="70">
        <v>802.5</v>
      </c>
      <c r="AP7" s="70">
        <v>821.09999999999991</v>
      </c>
      <c r="AQ7" s="69">
        <v>826.3</v>
      </c>
      <c r="AR7" s="70">
        <v>866.5</v>
      </c>
      <c r="AS7" s="70">
        <v>908.6</v>
      </c>
      <c r="AT7" s="70">
        <v>935.7</v>
      </c>
      <c r="AU7" s="69">
        <v>918.5</v>
      </c>
      <c r="AV7" s="70">
        <v>966.7</v>
      </c>
      <c r="AW7" s="70">
        <v>1010.6</v>
      </c>
      <c r="AX7" s="70">
        <v>1059.9000000000001</v>
      </c>
      <c r="AY7" s="269"/>
    </row>
    <row r="8" spans="1:51" s="267" customFormat="1" ht="22.5">
      <c r="A8" s="28" t="s">
        <v>718</v>
      </c>
      <c r="B8" s="28" t="s">
        <v>555</v>
      </c>
      <c r="C8" s="103" t="s">
        <v>337</v>
      </c>
      <c r="D8" s="99" t="s">
        <v>337</v>
      </c>
      <c r="E8" s="99" t="s">
        <v>337</v>
      </c>
      <c r="F8" s="99" t="s">
        <v>337</v>
      </c>
      <c r="G8" s="69" t="s">
        <v>337</v>
      </c>
      <c r="H8" s="70" t="s">
        <v>337</v>
      </c>
      <c r="I8" s="70" t="s">
        <v>337</v>
      </c>
      <c r="J8" s="78" t="s">
        <v>337</v>
      </c>
      <c r="K8" s="69" t="s">
        <v>337</v>
      </c>
      <c r="L8" s="70" t="s">
        <v>337</v>
      </c>
      <c r="M8" s="70" t="s">
        <v>337</v>
      </c>
      <c r="N8" s="78" t="s">
        <v>337</v>
      </c>
      <c r="O8" s="69" t="s">
        <v>337</v>
      </c>
      <c r="P8" s="70" t="s">
        <v>337</v>
      </c>
      <c r="Q8" s="70" t="s">
        <v>337</v>
      </c>
      <c r="R8" s="78" t="s">
        <v>337</v>
      </c>
      <c r="S8" s="69" t="s">
        <v>337</v>
      </c>
      <c r="T8" s="70" t="s">
        <v>337</v>
      </c>
      <c r="U8" s="70" t="s">
        <v>337</v>
      </c>
      <c r="V8" s="78" t="s">
        <v>337</v>
      </c>
      <c r="W8" s="69" t="s">
        <v>337</v>
      </c>
      <c r="X8" s="70" t="s">
        <v>337</v>
      </c>
      <c r="Y8" s="70" t="s">
        <v>337</v>
      </c>
      <c r="Z8" s="78" t="s">
        <v>337</v>
      </c>
      <c r="AA8" s="69" t="s">
        <v>337</v>
      </c>
      <c r="AB8" s="70" t="s">
        <v>337</v>
      </c>
      <c r="AC8" s="70" t="s">
        <v>337</v>
      </c>
      <c r="AD8" s="78" t="s">
        <v>337</v>
      </c>
      <c r="AE8" s="69" t="s">
        <v>337</v>
      </c>
      <c r="AF8" s="70" t="s">
        <v>337</v>
      </c>
      <c r="AG8" s="70" t="s">
        <v>337</v>
      </c>
      <c r="AH8" s="70" t="s">
        <v>337</v>
      </c>
      <c r="AI8" s="69" t="s">
        <v>337</v>
      </c>
      <c r="AJ8" s="70" t="s">
        <v>337</v>
      </c>
      <c r="AK8" s="70" t="s">
        <v>337</v>
      </c>
      <c r="AL8" s="70" t="s">
        <v>337</v>
      </c>
      <c r="AM8" s="69" t="s">
        <v>337</v>
      </c>
      <c r="AN8" s="70" t="s">
        <v>337</v>
      </c>
      <c r="AO8" s="70" t="s">
        <v>337</v>
      </c>
      <c r="AP8" s="70" t="s">
        <v>337</v>
      </c>
      <c r="AQ8" s="69" t="s">
        <v>337</v>
      </c>
      <c r="AR8" s="70" t="s">
        <v>337</v>
      </c>
      <c r="AS8" s="70" t="s">
        <v>337</v>
      </c>
      <c r="AT8" s="70" t="s">
        <v>337</v>
      </c>
      <c r="AU8" s="69">
        <v>69.600000000000009</v>
      </c>
      <c r="AV8" s="70">
        <v>74.7</v>
      </c>
      <c r="AW8" s="70">
        <v>75.7</v>
      </c>
      <c r="AX8" s="70">
        <v>60.6</v>
      </c>
      <c r="AY8" s="269"/>
    </row>
    <row r="9" spans="1:51" s="267" customFormat="1" ht="22.5">
      <c r="A9" s="28" t="s">
        <v>722</v>
      </c>
      <c r="B9" s="28" t="s">
        <v>557</v>
      </c>
      <c r="C9" s="103" t="s">
        <v>337</v>
      </c>
      <c r="D9" s="99" t="s">
        <v>337</v>
      </c>
      <c r="E9" s="99" t="s">
        <v>337</v>
      </c>
      <c r="F9" s="99" t="s">
        <v>337</v>
      </c>
      <c r="G9" s="69" t="s">
        <v>337</v>
      </c>
      <c r="H9" s="70" t="s">
        <v>337</v>
      </c>
      <c r="I9" s="70" t="s">
        <v>337</v>
      </c>
      <c r="J9" s="78" t="s">
        <v>337</v>
      </c>
      <c r="K9" s="69" t="s">
        <v>337</v>
      </c>
      <c r="L9" s="70" t="s">
        <v>337</v>
      </c>
      <c r="M9" s="70" t="s">
        <v>337</v>
      </c>
      <c r="N9" s="78" t="s">
        <v>337</v>
      </c>
      <c r="O9" s="69" t="s">
        <v>337</v>
      </c>
      <c r="P9" s="70" t="s">
        <v>337</v>
      </c>
      <c r="Q9" s="70" t="s">
        <v>337</v>
      </c>
      <c r="R9" s="78" t="s">
        <v>337</v>
      </c>
      <c r="S9" s="69" t="s">
        <v>337</v>
      </c>
      <c r="T9" s="70" t="s">
        <v>337</v>
      </c>
      <c r="U9" s="70" t="s">
        <v>337</v>
      </c>
      <c r="V9" s="78" t="s">
        <v>337</v>
      </c>
      <c r="W9" s="69" t="s">
        <v>337</v>
      </c>
      <c r="X9" s="70" t="s">
        <v>337</v>
      </c>
      <c r="Y9" s="70" t="s">
        <v>337</v>
      </c>
      <c r="Z9" s="78" t="s">
        <v>337</v>
      </c>
      <c r="AA9" s="69" t="s">
        <v>337</v>
      </c>
      <c r="AB9" s="70" t="s">
        <v>337</v>
      </c>
      <c r="AC9" s="70" t="s">
        <v>337</v>
      </c>
      <c r="AD9" s="78" t="s">
        <v>337</v>
      </c>
      <c r="AE9" s="69" t="s">
        <v>337</v>
      </c>
      <c r="AF9" s="70" t="s">
        <v>337</v>
      </c>
      <c r="AG9" s="70" t="s">
        <v>337</v>
      </c>
      <c r="AH9" s="78" t="s">
        <v>337</v>
      </c>
      <c r="AI9" s="69" t="s">
        <v>337</v>
      </c>
      <c r="AJ9" s="70" t="s">
        <v>337</v>
      </c>
      <c r="AK9" s="70" t="s">
        <v>337</v>
      </c>
      <c r="AL9" s="70" t="s">
        <v>337</v>
      </c>
      <c r="AM9" s="69" t="s">
        <v>337</v>
      </c>
      <c r="AN9" s="70" t="s">
        <v>337</v>
      </c>
      <c r="AO9" s="70" t="s">
        <v>337</v>
      </c>
      <c r="AP9" s="70" t="s">
        <v>337</v>
      </c>
      <c r="AQ9" s="81" t="s">
        <v>337</v>
      </c>
      <c r="AR9" s="82" t="s">
        <v>337</v>
      </c>
      <c r="AS9" s="82" t="s">
        <v>337</v>
      </c>
      <c r="AT9" s="82" t="s">
        <v>337</v>
      </c>
      <c r="AU9" s="69">
        <v>99.2</v>
      </c>
      <c r="AV9" s="70">
        <v>99.5</v>
      </c>
      <c r="AW9" s="70">
        <v>97</v>
      </c>
      <c r="AX9" s="70">
        <v>100.1</v>
      </c>
      <c r="AY9" s="269"/>
    </row>
    <row r="10" spans="1:51" s="267" customFormat="1" ht="11.25">
      <c r="A10" s="50" t="s">
        <v>720</v>
      </c>
      <c r="B10" s="50" t="s">
        <v>560</v>
      </c>
      <c r="C10" s="103"/>
      <c r="D10" s="99"/>
      <c r="E10" s="99"/>
      <c r="F10" s="99"/>
      <c r="G10" s="69"/>
      <c r="H10" s="70"/>
      <c r="I10" s="70"/>
      <c r="J10" s="78"/>
      <c r="K10" s="69"/>
      <c r="L10" s="70"/>
      <c r="M10" s="70"/>
      <c r="N10" s="78"/>
      <c r="O10" s="69"/>
      <c r="P10" s="70"/>
      <c r="Q10" s="70"/>
      <c r="R10" s="78"/>
      <c r="S10" s="69"/>
      <c r="T10" s="70"/>
      <c r="U10" s="70"/>
      <c r="V10" s="78"/>
      <c r="W10" s="69"/>
      <c r="X10" s="70"/>
      <c r="Y10" s="70"/>
      <c r="Z10" s="78"/>
      <c r="AA10" s="69"/>
      <c r="AB10" s="70"/>
      <c r="AC10" s="70"/>
      <c r="AD10" s="78"/>
      <c r="AE10" s="69"/>
      <c r="AF10" s="70"/>
      <c r="AG10" s="70"/>
      <c r="AH10" s="78"/>
      <c r="AI10" s="69"/>
      <c r="AJ10" s="70"/>
      <c r="AK10" s="70"/>
      <c r="AL10" s="70"/>
      <c r="AM10" s="69"/>
      <c r="AN10" s="70"/>
      <c r="AO10" s="70"/>
      <c r="AP10" s="70"/>
      <c r="AQ10" s="81"/>
      <c r="AR10" s="82"/>
      <c r="AS10" s="82"/>
      <c r="AT10" s="82"/>
      <c r="AU10" s="81">
        <f>SUM(AU12:AU13,AU15,AU16,AU17,AU11,AU14)</f>
        <v>1.3</v>
      </c>
      <c r="AV10" s="82">
        <f>SUM(AV11:AV17)</f>
        <v>1.4</v>
      </c>
      <c r="AW10" s="82">
        <f>SUM(AW11:AW17)</f>
        <v>1.3</v>
      </c>
      <c r="AX10" s="82">
        <f>SUM(AX11:AX17)</f>
        <v>1.3</v>
      </c>
      <c r="AY10" s="269"/>
    </row>
    <row r="11" spans="1:51" s="267" customFormat="1" ht="22.5">
      <c r="A11" s="28" t="s">
        <v>721</v>
      </c>
      <c r="B11" s="28" t="s">
        <v>556</v>
      </c>
      <c r="C11" s="100" t="s">
        <v>337</v>
      </c>
      <c r="D11" s="101" t="s">
        <v>337</v>
      </c>
      <c r="E11" s="99" t="s">
        <v>337</v>
      </c>
      <c r="F11" s="99" t="s">
        <v>337</v>
      </c>
      <c r="G11" s="69" t="s">
        <v>337</v>
      </c>
      <c r="H11" s="70" t="s">
        <v>337</v>
      </c>
      <c r="I11" s="70" t="s">
        <v>337</v>
      </c>
      <c r="J11" s="78" t="s">
        <v>337</v>
      </c>
      <c r="K11" s="69" t="s">
        <v>337</v>
      </c>
      <c r="L11" s="70" t="s">
        <v>337</v>
      </c>
      <c r="M11" s="70" t="s">
        <v>337</v>
      </c>
      <c r="N11" s="78" t="s">
        <v>337</v>
      </c>
      <c r="O11" s="69" t="s">
        <v>337</v>
      </c>
      <c r="P11" s="70" t="s">
        <v>337</v>
      </c>
      <c r="Q11" s="70" t="s">
        <v>337</v>
      </c>
      <c r="R11" s="78" t="s">
        <v>337</v>
      </c>
      <c r="S11" s="69" t="s">
        <v>337</v>
      </c>
      <c r="T11" s="70" t="s">
        <v>337</v>
      </c>
      <c r="U11" s="70" t="s">
        <v>337</v>
      </c>
      <c r="V11" s="78" t="s">
        <v>337</v>
      </c>
      <c r="W11" s="69" t="s">
        <v>337</v>
      </c>
      <c r="X11" s="70" t="s">
        <v>337</v>
      </c>
      <c r="Y11" s="70" t="s">
        <v>337</v>
      </c>
      <c r="Z11" s="78" t="s">
        <v>337</v>
      </c>
      <c r="AA11" s="69" t="s">
        <v>337</v>
      </c>
      <c r="AB11" s="70" t="s">
        <v>337</v>
      </c>
      <c r="AC11" s="70" t="s">
        <v>337</v>
      </c>
      <c r="AD11" s="78" t="s">
        <v>337</v>
      </c>
      <c r="AE11" s="69" t="s">
        <v>337</v>
      </c>
      <c r="AF11" s="70" t="s">
        <v>337</v>
      </c>
      <c r="AG11" s="70" t="s">
        <v>337</v>
      </c>
      <c r="AH11" s="78" t="s">
        <v>337</v>
      </c>
      <c r="AI11" s="69" t="s">
        <v>337</v>
      </c>
      <c r="AJ11" s="70" t="s">
        <v>337</v>
      </c>
      <c r="AK11" s="70" t="s">
        <v>337</v>
      </c>
      <c r="AL11" s="70" t="s">
        <v>337</v>
      </c>
      <c r="AM11" s="69" t="s">
        <v>337</v>
      </c>
      <c r="AN11" s="70" t="s">
        <v>337</v>
      </c>
      <c r="AO11" s="70" t="s">
        <v>337</v>
      </c>
      <c r="AP11" s="70" t="s">
        <v>337</v>
      </c>
      <c r="AQ11" s="81" t="s">
        <v>337</v>
      </c>
      <c r="AR11" s="82" t="s">
        <v>337</v>
      </c>
      <c r="AS11" s="82" t="s">
        <v>337</v>
      </c>
      <c r="AT11" s="82" t="s">
        <v>337</v>
      </c>
      <c r="AU11" s="69">
        <v>1.3</v>
      </c>
      <c r="AV11" s="70">
        <v>1.4</v>
      </c>
      <c r="AW11" s="70">
        <v>1.3</v>
      </c>
      <c r="AX11" s="70">
        <v>1.3</v>
      </c>
    </row>
    <row r="12" spans="1:51" s="268" customFormat="1" ht="11.25">
      <c r="A12" s="28" t="s">
        <v>723</v>
      </c>
      <c r="B12" s="28" t="s">
        <v>419</v>
      </c>
      <c r="C12" s="487">
        <v>191.5</v>
      </c>
      <c r="D12" s="487">
        <v>161.30000000000001</v>
      </c>
      <c r="E12" s="487">
        <v>150.5</v>
      </c>
      <c r="F12" s="487">
        <v>179.4</v>
      </c>
      <c r="G12" s="69">
        <v>99.01</v>
      </c>
      <c r="H12" s="70">
        <v>121.18999999999998</v>
      </c>
      <c r="I12" s="70">
        <v>193.3</v>
      </c>
      <c r="J12" s="78">
        <v>187.06600000000003</v>
      </c>
      <c r="K12" s="69">
        <v>140.60000000000002</v>
      </c>
      <c r="L12" s="70">
        <v>131.19999999999999</v>
      </c>
      <c r="M12" s="70">
        <v>64.600000000000009</v>
      </c>
      <c r="N12" s="78">
        <v>81.400000000000006</v>
      </c>
      <c r="O12" s="69">
        <v>85.6</v>
      </c>
      <c r="P12" s="70">
        <f>169.2-12.6</f>
        <v>156.6</v>
      </c>
      <c r="Q12" s="70">
        <v>135</v>
      </c>
      <c r="R12" s="78">
        <v>145.30000000000001</v>
      </c>
      <c r="S12" s="69">
        <v>171.9</v>
      </c>
      <c r="T12" s="70">
        <v>184.1</v>
      </c>
      <c r="U12" s="70">
        <v>170.60000000000002</v>
      </c>
      <c r="V12" s="78">
        <v>127.29999999999995</v>
      </c>
      <c r="W12" s="69">
        <v>118.5</v>
      </c>
      <c r="X12" s="70">
        <v>116.4</v>
      </c>
      <c r="Y12" s="70">
        <f>126.1+0.1</f>
        <v>126.19999999999999</v>
      </c>
      <c r="Z12" s="78">
        <v>180.9</v>
      </c>
      <c r="AA12" s="69">
        <v>191</v>
      </c>
      <c r="AB12" s="70">
        <v>190.5</v>
      </c>
      <c r="AC12" s="70">
        <v>182.8</v>
      </c>
      <c r="AD12" s="78">
        <v>171.9</v>
      </c>
      <c r="AE12" s="69">
        <v>178.4</v>
      </c>
      <c r="AF12" s="70">
        <v>188.7</v>
      </c>
      <c r="AG12" s="70">
        <v>193.7</v>
      </c>
      <c r="AH12" s="78">
        <v>187.9</v>
      </c>
      <c r="AI12" s="69">
        <v>157.69999999999999</v>
      </c>
      <c r="AJ12" s="70">
        <v>140.5</v>
      </c>
      <c r="AK12" s="70">
        <v>138.6</v>
      </c>
      <c r="AL12" s="70">
        <v>125.9</v>
      </c>
      <c r="AM12" s="69">
        <v>124.2</v>
      </c>
      <c r="AN12" s="70">
        <v>124.4</v>
      </c>
      <c r="AO12" s="70">
        <v>134.69999999999999</v>
      </c>
      <c r="AP12" s="70">
        <v>127.1</v>
      </c>
      <c r="AQ12" s="69">
        <v>121.2</v>
      </c>
      <c r="AR12" s="70">
        <v>108.3</v>
      </c>
      <c r="AS12" s="70">
        <v>103.4</v>
      </c>
      <c r="AT12" s="70">
        <v>103.8</v>
      </c>
      <c r="AU12" s="69" t="s">
        <v>715</v>
      </c>
      <c r="AV12" s="70" t="s">
        <v>337</v>
      </c>
      <c r="AW12" s="70" t="s">
        <v>337</v>
      </c>
      <c r="AX12" s="70" t="s">
        <v>337</v>
      </c>
    </row>
    <row r="13" spans="1:51" s="268" customFormat="1" ht="11.25">
      <c r="A13" s="28" t="s">
        <v>724</v>
      </c>
      <c r="B13" s="28" t="s">
        <v>420</v>
      </c>
      <c r="C13" s="488"/>
      <c r="D13" s="488"/>
      <c r="E13" s="488"/>
      <c r="F13" s="488"/>
      <c r="G13" s="69">
        <v>53.020022580000003</v>
      </c>
      <c r="H13" s="70">
        <v>57.328109420000004</v>
      </c>
      <c r="I13" s="70">
        <v>59.351867999999982</v>
      </c>
      <c r="J13" s="78">
        <v>61.206000000000017</v>
      </c>
      <c r="K13" s="69">
        <f>96-0.1</f>
        <v>95.9</v>
      </c>
      <c r="L13" s="70">
        <v>73.8</v>
      </c>
      <c r="M13" s="70">
        <v>97.2</v>
      </c>
      <c r="N13" s="78">
        <v>65.900000000000006</v>
      </c>
      <c r="O13" s="69">
        <v>59.8</v>
      </c>
      <c r="P13" s="70">
        <v>-9</v>
      </c>
      <c r="Q13" s="70">
        <v>11.2</v>
      </c>
      <c r="R13" s="78">
        <v>12.6</v>
      </c>
      <c r="S13" s="69">
        <v>3.8000000000000007</v>
      </c>
      <c r="T13" s="70">
        <v>6.6999999999999993</v>
      </c>
      <c r="U13" s="70">
        <v>3.4000000000000004</v>
      </c>
      <c r="V13" s="78">
        <v>4.4999999999999982</v>
      </c>
      <c r="W13" s="69">
        <v>4.5999999999999996</v>
      </c>
      <c r="X13" s="70">
        <v>3.1</v>
      </c>
      <c r="Y13" s="70">
        <f>3.8-0.2</f>
        <v>3.5999999999999996</v>
      </c>
      <c r="Z13" s="78">
        <v>2.7</v>
      </c>
      <c r="AA13" s="69">
        <v>5.4</v>
      </c>
      <c r="AB13" s="70">
        <v>7.1</v>
      </c>
      <c r="AC13" s="70">
        <v>7.9</v>
      </c>
      <c r="AD13" s="78">
        <v>6.4</v>
      </c>
      <c r="AE13" s="69">
        <v>9</v>
      </c>
      <c r="AF13" s="70">
        <v>7.8</v>
      </c>
      <c r="AG13" s="70">
        <v>3.2</v>
      </c>
      <c r="AH13" s="78">
        <v>3.2</v>
      </c>
      <c r="AI13" s="69">
        <v>6.7</v>
      </c>
      <c r="AJ13" s="70">
        <v>7.6</v>
      </c>
      <c r="AK13" s="70">
        <v>6.1</v>
      </c>
      <c r="AL13" s="70">
        <v>4.9000000000000004</v>
      </c>
      <c r="AM13" s="69">
        <v>4.2</v>
      </c>
      <c r="AN13" s="70">
        <v>4.2</v>
      </c>
      <c r="AO13" s="70">
        <v>4</v>
      </c>
      <c r="AP13" s="70">
        <v>5.0999999999999996</v>
      </c>
      <c r="AQ13" s="69">
        <v>0</v>
      </c>
      <c r="AR13" s="70">
        <v>0</v>
      </c>
      <c r="AS13" s="70">
        <v>0</v>
      </c>
      <c r="AT13" s="70">
        <v>0</v>
      </c>
      <c r="AU13" s="69" t="s">
        <v>337</v>
      </c>
      <c r="AV13" s="70" t="s">
        <v>337</v>
      </c>
      <c r="AW13" s="70" t="s">
        <v>337</v>
      </c>
      <c r="AX13" s="70" t="s">
        <v>337</v>
      </c>
    </row>
    <row r="14" spans="1:51" s="268" customFormat="1" ht="22.5">
      <c r="A14" s="28" t="s">
        <v>725</v>
      </c>
      <c r="B14" s="28" t="s">
        <v>421</v>
      </c>
      <c r="C14" s="488"/>
      <c r="D14" s="488"/>
      <c r="E14" s="488"/>
      <c r="F14" s="488"/>
      <c r="G14" s="69">
        <v>21.783115200000001</v>
      </c>
      <c r="H14" s="70">
        <v>86.900599490000005</v>
      </c>
      <c r="I14" s="70">
        <v>103.23416106000001</v>
      </c>
      <c r="J14" s="78">
        <v>108.94612424999997</v>
      </c>
      <c r="K14" s="69">
        <v>108</v>
      </c>
      <c r="L14" s="70">
        <v>108.3</v>
      </c>
      <c r="M14" s="70">
        <v>109.3</v>
      </c>
      <c r="N14" s="78">
        <v>109.3</v>
      </c>
      <c r="O14" s="69">
        <v>106.9</v>
      </c>
      <c r="P14" s="70">
        <v>99.2</v>
      </c>
      <c r="Q14" s="70">
        <v>95.7</v>
      </c>
      <c r="R14" s="78">
        <v>94.1</v>
      </c>
      <c r="S14" s="69">
        <v>89.3</v>
      </c>
      <c r="T14" s="70">
        <v>78.899999999999991</v>
      </c>
      <c r="U14" s="70">
        <v>71.700000000000017</v>
      </c>
      <c r="V14" s="78">
        <v>72.999999999999972</v>
      </c>
      <c r="W14" s="69">
        <v>72.599999999999994</v>
      </c>
      <c r="X14" s="70">
        <v>56.8</v>
      </c>
      <c r="Y14" s="70">
        <v>35.099999999999994</v>
      </c>
      <c r="Z14" s="78">
        <v>0</v>
      </c>
      <c r="AA14" s="69">
        <v>0</v>
      </c>
      <c r="AB14" s="70">
        <v>0</v>
      </c>
      <c r="AC14" s="70">
        <v>0</v>
      </c>
      <c r="AD14" s="78">
        <v>0</v>
      </c>
      <c r="AE14" s="69">
        <v>0</v>
      </c>
      <c r="AF14" s="70">
        <v>0</v>
      </c>
      <c r="AG14" s="70">
        <v>0</v>
      </c>
      <c r="AH14" s="78">
        <v>0</v>
      </c>
      <c r="AI14" s="69">
        <v>11</v>
      </c>
      <c r="AJ14" s="70">
        <v>20.399999999999999</v>
      </c>
      <c r="AK14" s="70">
        <v>21.4</v>
      </c>
      <c r="AL14" s="70">
        <v>25.5</v>
      </c>
      <c r="AM14" s="69">
        <v>27.6</v>
      </c>
      <c r="AN14" s="70">
        <v>29.8</v>
      </c>
      <c r="AO14" s="70">
        <v>37.6</v>
      </c>
      <c r="AP14" s="70">
        <v>38.299999999999997</v>
      </c>
      <c r="AQ14" s="69">
        <v>44.3</v>
      </c>
      <c r="AR14" s="70">
        <v>52.1</v>
      </c>
      <c r="AS14" s="70">
        <v>55.7</v>
      </c>
      <c r="AT14" s="70">
        <v>55.400000000000006</v>
      </c>
      <c r="AU14" s="69" t="s">
        <v>715</v>
      </c>
      <c r="AV14" s="70" t="s">
        <v>337</v>
      </c>
      <c r="AW14" s="70" t="s">
        <v>337</v>
      </c>
      <c r="AX14" s="70" t="s">
        <v>337</v>
      </c>
    </row>
    <row r="15" spans="1:51" s="268" customFormat="1" ht="22.5">
      <c r="A15" s="28" t="s">
        <v>726</v>
      </c>
      <c r="B15" s="28" t="s">
        <v>422</v>
      </c>
      <c r="C15" s="489"/>
      <c r="D15" s="489"/>
      <c r="E15" s="489"/>
      <c r="F15" s="489"/>
      <c r="G15" s="69">
        <v>36.089889790000001</v>
      </c>
      <c r="H15" s="70">
        <v>33.973921469999993</v>
      </c>
      <c r="I15" s="70">
        <v>-13.281362729999991</v>
      </c>
      <c r="J15" s="78">
        <v>21.481551469999992</v>
      </c>
      <c r="K15" s="69">
        <v>6.6</v>
      </c>
      <c r="L15" s="70">
        <v>3.2</v>
      </c>
      <c r="M15" s="70">
        <v>3.2</v>
      </c>
      <c r="N15" s="78">
        <v>3.2</v>
      </c>
      <c r="O15" s="69">
        <v>3.1</v>
      </c>
      <c r="P15" s="70">
        <v>3.1</v>
      </c>
      <c r="Q15" s="70">
        <v>3.2</v>
      </c>
      <c r="R15" s="78">
        <v>2.2000000000000002</v>
      </c>
      <c r="S15" s="69">
        <v>0.8</v>
      </c>
      <c r="T15" s="70">
        <v>0.89999999999999991</v>
      </c>
      <c r="U15" s="70">
        <v>0</v>
      </c>
      <c r="V15" s="78">
        <v>0</v>
      </c>
      <c r="W15" s="69">
        <v>3.6</v>
      </c>
      <c r="X15" s="70">
        <v>2.7</v>
      </c>
      <c r="Y15" s="70">
        <v>0</v>
      </c>
      <c r="Z15" s="78">
        <v>0</v>
      </c>
      <c r="AA15" s="69">
        <v>0</v>
      </c>
      <c r="AB15" s="70">
        <v>0</v>
      </c>
      <c r="AC15" s="70">
        <v>0</v>
      </c>
      <c r="AD15" s="78">
        <v>0</v>
      </c>
      <c r="AE15" s="69">
        <v>0</v>
      </c>
      <c r="AF15" s="70">
        <v>0</v>
      </c>
      <c r="AG15" s="70">
        <v>0</v>
      </c>
      <c r="AH15" s="78">
        <v>0</v>
      </c>
      <c r="AI15" s="69">
        <v>0</v>
      </c>
      <c r="AJ15" s="70">
        <v>0</v>
      </c>
      <c r="AK15" s="70">
        <v>0</v>
      </c>
      <c r="AL15" s="70">
        <v>0</v>
      </c>
      <c r="AM15" s="69">
        <v>0</v>
      </c>
      <c r="AN15" s="70">
        <v>0</v>
      </c>
      <c r="AO15" s="70">
        <v>0</v>
      </c>
      <c r="AP15" s="70">
        <v>0</v>
      </c>
      <c r="AQ15" s="69">
        <v>0</v>
      </c>
      <c r="AR15" s="70">
        <v>0</v>
      </c>
      <c r="AS15" s="70">
        <v>0</v>
      </c>
      <c r="AT15" s="70">
        <v>0</v>
      </c>
      <c r="AU15" s="69" t="s">
        <v>337</v>
      </c>
      <c r="AV15" s="70" t="s">
        <v>337</v>
      </c>
      <c r="AW15" s="70" t="s">
        <v>337</v>
      </c>
      <c r="AX15" s="70" t="s">
        <v>337</v>
      </c>
    </row>
    <row r="16" spans="1:51" s="270" customFormat="1" ht="11.25">
      <c r="A16" s="37" t="s">
        <v>727</v>
      </c>
      <c r="B16" s="37" t="s">
        <v>41</v>
      </c>
      <c r="C16" s="69">
        <v>-25</v>
      </c>
      <c r="D16" s="70">
        <v>-11.1</v>
      </c>
      <c r="E16" s="70">
        <v>-6.7</v>
      </c>
      <c r="F16" s="70">
        <v>-3.7</v>
      </c>
      <c r="G16" s="69">
        <v>20.8</v>
      </c>
      <c r="H16" s="70">
        <v>26.6</v>
      </c>
      <c r="I16" s="70">
        <v>20.3</v>
      </c>
      <c r="J16" s="78">
        <v>26.2</v>
      </c>
      <c r="K16" s="69">
        <v>19.7</v>
      </c>
      <c r="L16" s="70">
        <v>-1.5</v>
      </c>
      <c r="M16" s="70">
        <v>14.6</v>
      </c>
      <c r="N16" s="78">
        <v>14.8</v>
      </c>
      <c r="O16" s="69">
        <v>23</v>
      </c>
      <c r="P16" s="70">
        <v>11.9</v>
      </c>
      <c r="Q16" s="70">
        <v>18.8</v>
      </c>
      <c r="R16" s="78">
        <v>-5.4</v>
      </c>
      <c r="S16" s="69">
        <v>-16.600000000000001</v>
      </c>
      <c r="T16" s="70">
        <v>-13.4</v>
      </c>
      <c r="U16" s="70">
        <v>-1.9</v>
      </c>
      <c r="V16" s="78">
        <v>15.2</v>
      </c>
      <c r="W16" s="69">
        <v>11.3</v>
      </c>
      <c r="X16" s="70">
        <v>2.2000000000000002</v>
      </c>
      <c r="Y16" s="70">
        <v>18.7</v>
      </c>
      <c r="Z16" s="78">
        <v>17.600000000000001</v>
      </c>
      <c r="AA16" s="69">
        <v>15.6</v>
      </c>
      <c r="AB16" s="70">
        <v>2.4</v>
      </c>
      <c r="AC16" s="70">
        <v>12.8</v>
      </c>
      <c r="AD16" s="78">
        <v>10.3</v>
      </c>
      <c r="AE16" s="69">
        <v>9.6</v>
      </c>
      <c r="AF16" s="70">
        <v>9</v>
      </c>
      <c r="AG16" s="70">
        <v>11.2</v>
      </c>
      <c r="AH16" s="78">
        <v>7.9</v>
      </c>
      <c r="AI16" s="69">
        <v>8</v>
      </c>
      <c r="AJ16" s="70">
        <v>3</v>
      </c>
      <c r="AK16" s="70">
        <v>7.3</v>
      </c>
      <c r="AL16" s="70">
        <v>14</v>
      </c>
      <c r="AM16" s="69">
        <v>20.100000000000001</v>
      </c>
      <c r="AN16" s="70">
        <v>24.2</v>
      </c>
      <c r="AO16" s="70">
        <v>19</v>
      </c>
      <c r="AP16" s="70">
        <v>12.3</v>
      </c>
      <c r="AQ16" s="69">
        <v>0</v>
      </c>
      <c r="AR16" s="70">
        <v>0</v>
      </c>
      <c r="AS16" s="70">
        <v>0</v>
      </c>
      <c r="AT16" s="70">
        <v>0</v>
      </c>
      <c r="AU16" s="69" t="s">
        <v>337</v>
      </c>
      <c r="AV16" s="70" t="s">
        <v>337</v>
      </c>
      <c r="AW16" s="70" t="s">
        <v>337</v>
      </c>
      <c r="AX16" s="70" t="s">
        <v>337</v>
      </c>
    </row>
    <row r="17" spans="1:51" s="270" customFormat="1" ht="11.25">
      <c r="A17" s="32" t="s">
        <v>458</v>
      </c>
      <c r="B17" s="32" t="s">
        <v>42</v>
      </c>
      <c r="C17" s="69">
        <f>-0.1+0.1</f>
        <v>0</v>
      </c>
      <c r="D17" s="70">
        <f>0.2-0.2</f>
        <v>0</v>
      </c>
      <c r="E17" s="70">
        <f>-0.6+0.6</f>
        <v>0</v>
      </c>
      <c r="F17" s="70">
        <v>0</v>
      </c>
      <c r="G17" s="69">
        <f>0.5-0.5</f>
        <v>0</v>
      </c>
      <c r="H17" s="70">
        <f>0.4-0.4</f>
        <v>0</v>
      </c>
      <c r="I17" s="70">
        <f>0.3-0.3</f>
        <v>0</v>
      </c>
      <c r="J17" s="78">
        <f>0.4-0.4</f>
        <v>0</v>
      </c>
      <c r="K17" s="69">
        <f>0.1-0.1</f>
        <v>0</v>
      </c>
      <c r="L17" s="70">
        <f>0.1-0.1</f>
        <v>0</v>
      </c>
      <c r="M17" s="70">
        <f>0.1-0.1</f>
        <v>0</v>
      </c>
      <c r="N17" s="78">
        <v>0</v>
      </c>
      <c r="O17" s="69">
        <f>0.1-0.1</f>
        <v>0</v>
      </c>
      <c r="P17" s="70">
        <f>0.1-0.1</f>
        <v>0</v>
      </c>
      <c r="Q17" s="70">
        <v>0</v>
      </c>
      <c r="R17" s="78">
        <f>0.1-0.1</f>
        <v>0</v>
      </c>
      <c r="S17" s="69">
        <f>0.2-0.2</f>
        <v>0</v>
      </c>
      <c r="T17" s="70">
        <f>0.1-0.1</f>
        <v>0</v>
      </c>
      <c r="U17" s="70">
        <f>0.1-0.1</f>
        <v>0</v>
      </c>
      <c r="V17" s="78">
        <f>0.1-0.1</f>
        <v>0</v>
      </c>
      <c r="W17" s="69">
        <f>0.4-0.4</f>
        <v>0</v>
      </c>
      <c r="X17" s="70">
        <f>1.1-1.1</f>
        <v>0</v>
      </c>
      <c r="Y17" s="70">
        <v>0</v>
      </c>
      <c r="Z17" s="78">
        <v>0</v>
      </c>
      <c r="AA17" s="69">
        <v>0</v>
      </c>
      <c r="AB17" s="70">
        <v>0</v>
      </c>
      <c r="AC17" s="70">
        <v>0</v>
      </c>
      <c r="AD17" s="78">
        <v>0</v>
      </c>
      <c r="AE17" s="69">
        <v>0</v>
      </c>
      <c r="AF17" s="70">
        <v>0</v>
      </c>
      <c r="AG17" s="70">
        <v>0</v>
      </c>
      <c r="AH17" s="78">
        <v>0</v>
      </c>
      <c r="AI17" s="69">
        <v>0</v>
      </c>
      <c r="AJ17" s="70">
        <v>0</v>
      </c>
      <c r="AK17" s="70">
        <v>0</v>
      </c>
      <c r="AL17" s="70">
        <v>0</v>
      </c>
      <c r="AM17" s="69">
        <v>0</v>
      </c>
      <c r="AN17" s="70">
        <v>0</v>
      </c>
      <c r="AO17" s="70">
        <v>0</v>
      </c>
      <c r="AP17" s="70">
        <v>0</v>
      </c>
      <c r="AQ17" s="69">
        <v>0</v>
      </c>
      <c r="AR17" s="70">
        <v>0</v>
      </c>
      <c r="AS17" s="70">
        <v>0</v>
      </c>
      <c r="AT17" s="70">
        <v>0</v>
      </c>
      <c r="AU17" s="69" t="s">
        <v>337</v>
      </c>
      <c r="AV17" s="70" t="s">
        <v>337</v>
      </c>
      <c r="AW17" s="70" t="s">
        <v>337</v>
      </c>
      <c r="AX17" s="70" t="s">
        <v>337</v>
      </c>
    </row>
    <row r="18" spans="1:51" s="270" customFormat="1" ht="11.25">
      <c r="A18" s="55" t="s">
        <v>212</v>
      </c>
      <c r="B18" s="55" t="s">
        <v>40</v>
      </c>
      <c r="C18" s="82">
        <f t="shared" ref="C18:AS18" si="0">SUM(C6:C7,C12:C17)</f>
        <v>556</v>
      </c>
      <c r="D18" s="82">
        <f t="shared" si="0"/>
        <v>585.99999999999989</v>
      </c>
      <c r="E18" s="82">
        <f t="shared" si="0"/>
        <v>618.29999999999995</v>
      </c>
      <c r="F18" s="82">
        <f t="shared" si="0"/>
        <v>673.3</v>
      </c>
      <c r="G18" s="81">
        <f t="shared" si="0"/>
        <v>750.50302756999997</v>
      </c>
      <c r="H18" s="82">
        <f t="shared" si="0"/>
        <v>855.29263037999988</v>
      </c>
      <c r="I18" s="82">
        <f t="shared" si="0"/>
        <v>910.10466632999999</v>
      </c>
      <c r="J18" s="82">
        <f t="shared" si="0"/>
        <v>982.79967571999998</v>
      </c>
      <c r="K18" s="81">
        <f t="shared" si="0"/>
        <v>860.80000000000007</v>
      </c>
      <c r="L18" s="82">
        <f t="shared" si="0"/>
        <v>773.3</v>
      </c>
      <c r="M18" s="82">
        <f t="shared" si="0"/>
        <v>732.10000000000014</v>
      </c>
      <c r="N18" s="82">
        <f t="shared" si="0"/>
        <v>711.49999999999989</v>
      </c>
      <c r="O18" s="81">
        <f t="shared" si="0"/>
        <v>726.8</v>
      </c>
      <c r="P18" s="82">
        <f t="shared" si="0"/>
        <v>723.1</v>
      </c>
      <c r="Q18" s="82">
        <f t="shared" si="0"/>
        <v>747.30000000000007</v>
      </c>
      <c r="R18" s="82">
        <f t="shared" si="0"/>
        <v>751.50000000000011</v>
      </c>
      <c r="S18" s="81">
        <f t="shared" si="0"/>
        <v>772.5999999999998</v>
      </c>
      <c r="T18" s="82">
        <f t="shared" si="0"/>
        <v>833.6</v>
      </c>
      <c r="U18" s="82">
        <f t="shared" si="0"/>
        <v>882.30000000000007</v>
      </c>
      <c r="V18" s="82">
        <f t="shared" si="0"/>
        <v>897</v>
      </c>
      <c r="W18" s="81">
        <f t="shared" si="0"/>
        <v>945.2</v>
      </c>
      <c r="X18" s="82">
        <f t="shared" si="0"/>
        <v>945.19999999999993</v>
      </c>
      <c r="Y18" s="82">
        <f t="shared" si="0"/>
        <v>963.2</v>
      </c>
      <c r="Z18" s="82">
        <f t="shared" si="0"/>
        <v>977.90000000000009</v>
      </c>
      <c r="AA18" s="81">
        <f t="shared" si="0"/>
        <v>925.09999999999991</v>
      </c>
      <c r="AB18" s="82">
        <f t="shared" si="0"/>
        <v>902.8</v>
      </c>
      <c r="AC18" s="82">
        <f t="shared" si="0"/>
        <v>895.39999999999975</v>
      </c>
      <c r="AD18" s="82">
        <f t="shared" si="0"/>
        <v>891.4</v>
      </c>
      <c r="AE18" s="81">
        <f t="shared" si="0"/>
        <v>903.80000000000007</v>
      </c>
      <c r="AF18" s="82">
        <f t="shared" si="0"/>
        <v>932.59999999999991</v>
      </c>
      <c r="AG18" s="82">
        <f t="shared" si="0"/>
        <v>962.2</v>
      </c>
      <c r="AH18" s="82">
        <f t="shared" si="0"/>
        <v>925.9</v>
      </c>
      <c r="AI18" s="81">
        <f t="shared" si="0"/>
        <v>887</v>
      </c>
      <c r="AJ18" s="82">
        <f t="shared" si="0"/>
        <v>878</v>
      </c>
      <c r="AK18" s="82">
        <f t="shared" si="0"/>
        <v>928.5</v>
      </c>
      <c r="AL18" s="82">
        <f t="shared" si="0"/>
        <v>935.1</v>
      </c>
      <c r="AM18" s="81">
        <f t="shared" si="0"/>
        <v>935</v>
      </c>
      <c r="AN18" s="82">
        <f t="shared" si="0"/>
        <v>961.2</v>
      </c>
      <c r="AO18" s="82">
        <f t="shared" si="0"/>
        <v>1010.5000000000001</v>
      </c>
      <c r="AP18" s="82">
        <f t="shared" si="0"/>
        <v>1016.1999999999998</v>
      </c>
      <c r="AQ18" s="81">
        <f t="shared" si="0"/>
        <v>1004.3</v>
      </c>
      <c r="AR18" s="82">
        <f t="shared" si="0"/>
        <v>1040.5999999999999</v>
      </c>
      <c r="AS18" s="82">
        <f t="shared" si="0"/>
        <v>1081.6000000000001</v>
      </c>
      <c r="AT18" s="82">
        <f>SUM(AT6:AT7,AT12:AT17)</f>
        <v>1111.0000000000002</v>
      </c>
      <c r="AU18" s="81">
        <f>SUM(AU5,AU10)</f>
        <v>1098.0999999999999</v>
      </c>
      <c r="AV18" s="82">
        <f>SUM(AV5,AV10)</f>
        <v>1150.2</v>
      </c>
      <c r="AW18" s="82">
        <f>SUM(AW5,AW10)</f>
        <v>1194.7</v>
      </c>
      <c r="AX18" s="82">
        <f>SUM(AX5,AX10)</f>
        <v>1230.8</v>
      </c>
      <c r="AY18" s="269"/>
    </row>
    <row r="19" spans="1:51" s="270" customFormat="1" ht="11.25">
      <c r="A19" s="50"/>
      <c r="B19" s="50"/>
      <c r="C19" s="69"/>
      <c r="D19" s="70"/>
      <c r="E19" s="70"/>
      <c r="F19" s="70"/>
      <c r="G19" s="69"/>
      <c r="H19" s="70"/>
      <c r="I19" s="70"/>
      <c r="J19" s="78"/>
      <c r="K19" s="69"/>
      <c r="L19" s="70"/>
      <c r="M19" s="70"/>
      <c r="N19" s="78"/>
      <c r="O19" s="69"/>
      <c r="P19" s="70"/>
      <c r="Q19" s="70"/>
      <c r="R19" s="78"/>
      <c r="S19" s="69"/>
      <c r="T19" s="70"/>
      <c r="U19" s="70"/>
      <c r="V19" s="78"/>
      <c r="W19" s="69"/>
      <c r="X19" s="70"/>
      <c r="Y19" s="70"/>
      <c r="Z19" s="78"/>
      <c r="AA19" s="69"/>
      <c r="AB19" s="70"/>
      <c r="AC19" s="70"/>
      <c r="AD19" s="78"/>
      <c r="AE19" s="69"/>
      <c r="AF19" s="70"/>
      <c r="AG19" s="70"/>
      <c r="AH19" s="78"/>
      <c r="AI19" s="69"/>
      <c r="AJ19" s="70"/>
      <c r="AK19" s="70"/>
      <c r="AL19" s="70"/>
      <c r="AM19" s="69"/>
      <c r="AN19" s="70"/>
      <c r="AO19" s="70"/>
      <c r="AP19" s="70"/>
      <c r="AQ19" s="69"/>
      <c r="AR19" s="70"/>
      <c r="AS19" s="70"/>
      <c r="AT19" s="70"/>
      <c r="AU19" s="69"/>
      <c r="AV19" s="70"/>
      <c r="AW19" s="70"/>
      <c r="AX19" s="70"/>
    </row>
    <row r="20" spans="1:51" s="270" customFormat="1" ht="11.25">
      <c r="A20" s="33" t="s">
        <v>213</v>
      </c>
      <c r="B20" s="33" t="s">
        <v>43</v>
      </c>
      <c r="C20" s="69"/>
      <c r="D20" s="70"/>
      <c r="E20" s="70"/>
      <c r="F20" s="70"/>
      <c r="G20" s="69"/>
      <c r="H20" s="70"/>
      <c r="I20" s="70"/>
      <c r="J20" s="78"/>
      <c r="K20" s="69"/>
      <c r="L20" s="70"/>
      <c r="M20" s="70"/>
      <c r="N20" s="78"/>
      <c r="O20" s="69"/>
      <c r="P20" s="70"/>
      <c r="Q20" s="70"/>
      <c r="R20" s="78"/>
      <c r="S20" s="69"/>
      <c r="T20" s="70"/>
      <c r="U20" s="70"/>
      <c r="V20" s="78"/>
      <c r="W20" s="69"/>
      <c r="X20" s="70"/>
      <c r="Y20" s="70"/>
      <c r="Z20" s="78"/>
      <c r="AA20" s="69"/>
      <c r="AB20" s="70"/>
      <c r="AC20" s="70"/>
      <c r="AD20" s="78"/>
      <c r="AE20" s="69"/>
      <c r="AF20" s="70"/>
      <c r="AG20" s="70"/>
      <c r="AH20" s="78"/>
      <c r="AI20" s="69"/>
      <c r="AJ20" s="70"/>
      <c r="AK20" s="70"/>
      <c r="AL20" s="70"/>
      <c r="AM20" s="69"/>
      <c r="AN20" s="70"/>
      <c r="AO20" s="70"/>
      <c r="AP20" s="70"/>
      <c r="AQ20" s="69"/>
      <c r="AR20" s="70"/>
      <c r="AS20" s="70"/>
      <c r="AT20" s="70"/>
      <c r="AU20" s="69"/>
      <c r="AV20" s="70"/>
      <c r="AW20" s="70"/>
      <c r="AX20" s="70"/>
    </row>
    <row r="21" spans="1:51" s="270" customFormat="1" ht="11.25">
      <c r="A21" s="32" t="s">
        <v>728</v>
      </c>
      <c r="B21" s="32" t="s">
        <v>44</v>
      </c>
      <c r="C21" s="69">
        <v>26.7</v>
      </c>
      <c r="D21" s="70">
        <v>25.7</v>
      </c>
      <c r="E21" s="70">
        <v>30.7</v>
      </c>
      <c r="F21" s="70">
        <v>35.4</v>
      </c>
      <c r="G21" s="69">
        <f>38.9-0.4</f>
        <v>38.5</v>
      </c>
      <c r="H21" s="70">
        <f>55-1.2</f>
        <v>53.8</v>
      </c>
      <c r="I21" s="70">
        <f>61.9-0.5</f>
        <v>61.4</v>
      </c>
      <c r="J21" s="78">
        <f>90.5-0.5</f>
        <v>90</v>
      </c>
      <c r="K21" s="69">
        <f>97.7-0.8</f>
        <v>96.9</v>
      </c>
      <c r="L21" s="70">
        <f>52.3-0.9</f>
        <v>51.4</v>
      </c>
      <c r="M21" s="70">
        <f>18.4-0.5</f>
        <v>17.899999999999999</v>
      </c>
      <c r="N21" s="78">
        <f>16.6-0.2</f>
        <v>16.400000000000002</v>
      </c>
      <c r="O21" s="69">
        <v>18.600000000000001</v>
      </c>
      <c r="P21" s="70">
        <v>18.600000000000001</v>
      </c>
      <c r="Q21" s="70">
        <v>19.3</v>
      </c>
      <c r="R21" s="78">
        <v>34.700000000000003</v>
      </c>
      <c r="S21" s="69">
        <v>42</v>
      </c>
      <c r="T21" s="70">
        <v>48.9</v>
      </c>
      <c r="U21" s="70">
        <v>44.3</v>
      </c>
      <c r="V21" s="78">
        <v>27.7</v>
      </c>
      <c r="W21" s="69">
        <f>39.8-0.2</f>
        <v>39.599999999999994</v>
      </c>
      <c r="X21" s="70">
        <f>31.4-0.1</f>
        <v>31.299999999999997</v>
      </c>
      <c r="Y21" s="70">
        <f>24.2-0.3</f>
        <v>23.9</v>
      </c>
      <c r="Z21" s="78">
        <f>32.3-0.3</f>
        <v>31.999999999999996</v>
      </c>
      <c r="AA21" s="69">
        <f>26.3-0.4</f>
        <v>25.900000000000002</v>
      </c>
      <c r="AB21" s="70">
        <f>24.5-1.9</f>
        <v>22.6</v>
      </c>
      <c r="AC21" s="70">
        <f>17.3-1.3</f>
        <v>16</v>
      </c>
      <c r="AD21" s="78">
        <f>16.9-1</f>
        <v>15.899999999999999</v>
      </c>
      <c r="AE21" s="69">
        <v>24.2</v>
      </c>
      <c r="AF21" s="70">
        <v>28.799999999999997</v>
      </c>
      <c r="AG21" s="70">
        <v>19.399999999999999</v>
      </c>
      <c r="AH21" s="78">
        <v>17.899999999999999</v>
      </c>
      <c r="AI21" s="69">
        <v>14.9</v>
      </c>
      <c r="AJ21" s="70">
        <v>16.5</v>
      </c>
      <c r="AK21" s="70">
        <v>19.5</v>
      </c>
      <c r="AL21" s="70">
        <v>14.3</v>
      </c>
      <c r="AM21" s="69">
        <v>8.6</v>
      </c>
      <c r="AN21" s="70">
        <v>7.8</v>
      </c>
      <c r="AO21" s="70">
        <v>15.2</v>
      </c>
      <c r="AP21" s="70">
        <v>13</v>
      </c>
      <c r="AQ21" s="69">
        <v>16.899999999999999</v>
      </c>
      <c r="AR21" s="70">
        <v>16.3</v>
      </c>
      <c r="AS21" s="70">
        <v>15.5</v>
      </c>
      <c r="AT21" s="70">
        <v>12.2</v>
      </c>
      <c r="AU21" s="69">
        <v>10.199999999999999</v>
      </c>
      <c r="AV21" s="70">
        <v>14.5</v>
      </c>
      <c r="AW21" s="70">
        <v>19.5</v>
      </c>
      <c r="AX21" s="70">
        <v>14.1</v>
      </c>
      <c r="AY21" s="269"/>
    </row>
    <row r="22" spans="1:51" s="270" customFormat="1" ht="11.25">
      <c r="A22" s="37" t="s">
        <v>729</v>
      </c>
      <c r="B22" s="37" t="s">
        <v>45</v>
      </c>
      <c r="C22" s="69">
        <v>293.2</v>
      </c>
      <c r="D22" s="70">
        <v>313.40000000000003</v>
      </c>
      <c r="E22" s="70">
        <v>333</v>
      </c>
      <c r="F22" s="70">
        <v>374.7</v>
      </c>
      <c r="G22" s="69">
        <v>428.59999999999997</v>
      </c>
      <c r="H22" s="70">
        <v>485.7</v>
      </c>
      <c r="I22" s="70">
        <v>527.79999999999995</v>
      </c>
      <c r="J22" s="78">
        <v>560.29999999999995</v>
      </c>
      <c r="K22" s="69">
        <v>452.8</v>
      </c>
      <c r="L22" s="70">
        <v>362.9</v>
      </c>
      <c r="M22" s="70">
        <v>336.2</v>
      </c>
      <c r="N22" s="78">
        <v>340.7</v>
      </c>
      <c r="O22" s="69">
        <v>317.8</v>
      </c>
      <c r="P22" s="70">
        <v>299.2</v>
      </c>
      <c r="Q22" s="70">
        <v>317.8</v>
      </c>
      <c r="R22" s="78">
        <v>295.10000000000002</v>
      </c>
      <c r="S22" s="69">
        <v>295.7</v>
      </c>
      <c r="T22" s="70">
        <v>325.2</v>
      </c>
      <c r="U22" s="70">
        <v>360.6</v>
      </c>
      <c r="V22" s="78">
        <v>389.6</v>
      </c>
      <c r="W22" s="69">
        <v>392.09999999999997</v>
      </c>
      <c r="X22" s="70">
        <v>399.8</v>
      </c>
      <c r="Y22" s="70">
        <v>423.8</v>
      </c>
      <c r="Z22" s="78">
        <v>438.1</v>
      </c>
      <c r="AA22" s="69">
        <v>416</v>
      </c>
      <c r="AB22" s="70">
        <v>377.59999999999997</v>
      </c>
      <c r="AC22" s="70">
        <v>346.90000000000003</v>
      </c>
      <c r="AD22" s="78">
        <v>323.7</v>
      </c>
      <c r="AE22" s="69">
        <v>305.79999999999995</v>
      </c>
      <c r="AF22" s="70">
        <v>316.10000000000002</v>
      </c>
      <c r="AG22" s="70">
        <v>340.3</v>
      </c>
      <c r="AH22" s="78">
        <v>319.20000000000005</v>
      </c>
      <c r="AI22" s="69">
        <v>296.60000000000002</v>
      </c>
      <c r="AJ22" s="70">
        <v>260.60000000000002</v>
      </c>
      <c r="AK22" s="70">
        <v>258.5</v>
      </c>
      <c r="AL22" s="70">
        <v>255.6</v>
      </c>
      <c r="AM22" s="69">
        <v>251.1</v>
      </c>
      <c r="AN22" s="70">
        <v>253.3</v>
      </c>
      <c r="AO22" s="70">
        <v>201.2</v>
      </c>
      <c r="AP22" s="70">
        <v>184.4</v>
      </c>
      <c r="AQ22" s="69">
        <v>183.79999999999998</v>
      </c>
      <c r="AR22" s="70">
        <v>185</v>
      </c>
      <c r="AS22" s="70">
        <v>188.29999999999998</v>
      </c>
      <c r="AT22" s="70">
        <v>195.70000000000002</v>
      </c>
      <c r="AU22" s="69">
        <v>200.1</v>
      </c>
      <c r="AV22" s="70">
        <v>210.6</v>
      </c>
      <c r="AW22" s="70">
        <v>209</v>
      </c>
      <c r="AX22" s="70">
        <v>215.8</v>
      </c>
      <c r="AY22" s="269"/>
    </row>
    <row r="23" spans="1:51" s="270" customFormat="1" ht="11.25">
      <c r="A23" s="37" t="s">
        <v>730</v>
      </c>
      <c r="B23" s="37" t="s">
        <v>403</v>
      </c>
      <c r="C23" s="69">
        <v>0</v>
      </c>
      <c r="D23" s="70">
        <v>0</v>
      </c>
      <c r="E23" s="70">
        <v>0</v>
      </c>
      <c r="F23" s="70">
        <v>0</v>
      </c>
      <c r="G23" s="69">
        <v>0</v>
      </c>
      <c r="H23" s="70">
        <v>0</v>
      </c>
      <c r="I23" s="70">
        <v>0</v>
      </c>
      <c r="J23" s="78">
        <v>0</v>
      </c>
      <c r="K23" s="69">
        <v>0</v>
      </c>
      <c r="L23" s="70">
        <v>0</v>
      </c>
      <c r="M23" s="70">
        <v>0</v>
      </c>
      <c r="N23" s="78">
        <v>0</v>
      </c>
      <c r="O23" s="69">
        <v>0</v>
      </c>
      <c r="P23" s="70">
        <v>0</v>
      </c>
      <c r="Q23" s="70">
        <v>0</v>
      </c>
      <c r="R23" s="78">
        <v>0</v>
      </c>
      <c r="S23" s="69">
        <v>0</v>
      </c>
      <c r="T23" s="70">
        <v>0</v>
      </c>
      <c r="U23" s="70">
        <v>0</v>
      </c>
      <c r="V23" s="78">
        <v>0</v>
      </c>
      <c r="W23" s="69">
        <v>0</v>
      </c>
      <c r="X23" s="70">
        <v>0</v>
      </c>
      <c r="Y23" s="70">
        <v>0</v>
      </c>
      <c r="Z23" s="78">
        <v>2</v>
      </c>
      <c r="AA23" s="69">
        <v>7.4</v>
      </c>
      <c r="AB23" s="70">
        <v>6.8</v>
      </c>
      <c r="AC23" s="70">
        <v>5.0999999999999996</v>
      </c>
      <c r="AD23" s="78">
        <v>5.0999999999999996</v>
      </c>
      <c r="AE23" s="69">
        <v>5</v>
      </c>
      <c r="AF23" s="70">
        <v>5.0999999999999996</v>
      </c>
      <c r="AG23" s="70">
        <v>5.0999999999999996</v>
      </c>
      <c r="AH23" s="78">
        <v>5.3</v>
      </c>
      <c r="AI23" s="69">
        <v>6.1</v>
      </c>
      <c r="AJ23" s="70">
        <v>6.2</v>
      </c>
      <c r="AK23" s="70">
        <v>5.7</v>
      </c>
      <c r="AL23" s="70">
        <v>5.7</v>
      </c>
      <c r="AM23" s="69">
        <v>5.7</v>
      </c>
      <c r="AN23" s="70">
        <v>5.6</v>
      </c>
      <c r="AO23" s="70">
        <v>5.6</v>
      </c>
      <c r="AP23" s="70">
        <v>5.8</v>
      </c>
      <c r="AQ23" s="69">
        <v>5.7</v>
      </c>
      <c r="AR23" s="70">
        <v>5.7</v>
      </c>
      <c r="AS23" s="70">
        <v>5.8</v>
      </c>
      <c r="AT23" s="70">
        <v>4.6999999999999993</v>
      </c>
      <c r="AU23" s="69">
        <v>1.9</v>
      </c>
      <c r="AV23" s="70">
        <v>1.9</v>
      </c>
      <c r="AW23" s="70">
        <v>1.9</v>
      </c>
      <c r="AX23" s="70">
        <v>1.9</v>
      </c>
      <c r="AY23" s="269"/>
    </row>
    <row r="24" spans="1:51" s="270" customFormat="1" ht="11.25">
      <c r="A24" s="56" t="s">
        <v>732</v>
      </c>
      <c r="B24" s="56" t="s">
        <v>535</v>
      </c>
      <c r="C24" s="69">
        <v>0</v>
      </c>
      <c r="D24" s="70">
        <v>0</v>
      </c>
      <c r="E24" s="70">
        <v>0</v>
      </c>
      <c r="F24" s="70">
        <v>0</v>
      </c>
      <c r="G24" s="69">
        <v>0</v>
      </c>
      <c r="H24" s="70">
        <v>0</v>
      </c>
      <c r="I24" s="70">
        <v>0</v>
      </c>
      <c r="J24" s="78">
        <v>0</v>
      </c>
      <c r="K24" s="69">
        <v>0</v>
      </c>
      <c r="L24" s="70">
        <v>0</v>
      </c>
      <c r="M24" s="70">
        <v>0</v>
      </c>
      <c r="N24" s="78">
        <v>0</v>
      </c>
      <c r="O24" s="69">
        <v>0</v>
      </c>
      <c r="P24" s="70">
        <v>0</v>
      </c>
      <c r="Q24" s="70">
        <v>0</v>
      </c>
      <c r="R24" s="78">
        <v>0</v>
      </c>
      <c r="S24" s="69">
        <v>0</v>
      </c>
      <c r="T24" s="70">
        <v>0</v>
      </c>
      <c r="U24" s="70">
        <v>0</v>
      </c>
      <c r="V24" s="78">
        <v>0</v>
      </c>
      <c r="W24" s="69">
        <v>0</v>
      </c>
      <c r="X24" s="70">
        <v>0</v>
      </c>
      <c r="Y24" s="70">
        <v>0</v>
      </c>
      <c r="Z24" s="78">
        <v>0</v>
      </c>
      <c r="AA24" s="69">
        <v>0</v>
      </c>
      <c r="AB24" s="70">
        <v>0</v>
      </c>
      <c r="AC24" s="70">
        <v>0</v>
      </c>
      <c r="AD24" s="70">
        <v>0</v>
      </c>
      <c r="AE24" s="69">
        <v>0</v>
      </c>
      <c r="AF24" s="70">
        <v>0</v>
      </c>
      <c r="AG24" s="70">
        <v>0</v>
      </c>
      <c r="AH24" s="70">
        <v>0</v>
      </c>
      <c r="AI24" s="69">
        <v>0</v>
      </c>
      <c r="AJ24" s="70">
        <v>0</v>
      </c>
      <c r="AK24" s="70">
        <v>0</v>
      </c>
      <c r="AL24" s="70">
        <v>0</v>
      </c>
      <c r="AM24" s="69">
        <v>1.3</v>
      </c>
      <c r="AN24" s="70">
        <v>3.4</v>
      </c>
      <c r="AO24" s="70">
        <v>3.3</v>
      </c>
      <c r="AP24" s="70">
        <v>3.2</v>
      </c>
      <c r="AQ24" s="69">
        <v>3.1</v>
      </c>
      <c r="AR24" s="70">
        <v>3.1</v>
      </c>
      <c r="AS24" s="70">
        <v>3.1</v>
      </c>
      <c r="AT24" s="70">
        <v>3.1999999999999993</v>
      </c>
      <c r="AU24" s="69">
        <v>2.9</v>
      </c>
      <c r="AV24" s="70">
        <v>3.2</v>
      </c>
      <c r="AW24" s="70">
        <v>3.1</v>
      </c>
      <c r="AX24" s="70">
        <v>3.9</v>
      </c>
      <c r="AY24" s="269"/>
    </row>
    <row r="25" spans="1:51" s="270" customFormat="1" ht="11.25">
      <c r="A25" s="37" t="s">
        <v>731</v>
      </c>
      <c r="B25" s="37" t="s">
        <v>410</v>
      </c>
      <c r="C25" s="69">
        <v>0</v>
      </c>
      <c r="D25" s="70">
        <v>0</v>
      </c>
      <c r="E25" s="70">
        <v>0</v>
      </c>
      <c r="F25" s="70">
        <v>0</v>
      </c>
      <c r="G25" s="69">
        <v>0</v>
      </c>
      <c r="H25" s="70">
        <v>0</v>
      </c>
      <c r="I25" s="70">
        <v>0</v>
      </c>
      <c r="J25" s="78">
        <v>0</v>
      </c>
      <c r="K25" s="69">
        <v>0</v>
      </c>
      <c r="L25" s="70">
        <v>0</v>
      </c>
      <c r="M25" s="70">
        <v>0</v>
      </c>
      <c r="N25" s="78">
        <v>0</v>
      </c>
      <c r="O25" s="69">
        <v>0</v>
      </c>
      <c r="P25" s="70">
        <v>0</v>
      </c>
      <c r="Q25" s="70">
        <v>0</v>
      </c>
      <c r="R25" s="78">
        <v>0</v>
      </c>
      <c r="S25" s="69">
        <v>0</v>
      </c>
      <c r="T25" s="70">
        <v>0</v>
      </c>
      <c r="U25" s="70">
        <v>0</v>
      </c>
      <c r="V25" s="78">
        <v>0</v>
      </c>
      <c r="W25" s="69">
        <v>0</v>
      </c>
      <c r="X25" s="70">
        <v>0</v>
      </c>
      <c r="Y25" s="70">
        <v>0</v>
      </c>
      <c r="Z25" s="78">
        <v>0</v>
      </c>
      <c r="AA25" s="69">
        <v>0</v>
      </c>
      <c r="AB25" s="70">
        <v>0.5</v>
      </c>
      <c r="AC25" s="70">
        <v>1.3</v>
      </c>
      <c r="AD25" s="78">
        <v>1.3</v>
      </c>
      <c r="AE25" s="69">
        <v>0.9</v>
      </c>
      <c r="AF25" s="70">
        <v>0.4</v>
      </c>
      <c r="AG25" s="70">
        <v>0.5</v>
      </c>
      <c r="AH25" s="78">
        <v>0.3</v>
      </c>
      <c r="AI25" s="69">
        <v>0.4</v>
      </c>
      <c r="AJ25" s="70">
        <v>0.6</v>
      </c>
      <c r="AK25" s="70">
        <v>0.2</v>
      </c>
      <c r="AL25" s="70">
        <v>0.1</v>
      </c>
      <c r="AM25" s="69">
        <v>0.2</v>
      </c>
      <c r="AN25" s="70">
        <v>0.2</v>
      </c>
      <c r="AO25" s="70">
        <v>0.3</v>
      </c>
      <c r="AP25" s="70">
        <v>0.3</v>
      </c>
      <c r="AQ25" s="69">
        <v>0</v>
      </c>
      <c r="AR25" s="70">
        <v>0</v>
      </c>
      <c r="AS25" s="70">
        <v>0</v>
      </c>
      <c r="AT25" s="70">
        <v>0</v>
      </c>
      <c r="AU25" s="452" t="s">
        <v>337</v>
      </c>
      <c r="AV25" s="453" t="s">
        <v>337</v>
      </c>
      <c r="AW25" s="453" t="s">
        <v>337</v>
      </c>
      <c r="AX25" s="453" t="s">
        <v>337</v>
      </c>
    </row>
    <row r="26" spans="1:51" s="270" customFormat="1" ht="11.25">
      <c r="A26" s="55" t="s">
        <v>214</v>
      </c>
      <c r="B26" s="55" t="s">
        <v>46</v>
      </c>
      <c r="C26" s="82">
        <f t="shared" ref="C26:Z26" si="1">SUM(C21:C23)</f>
        <v>319.89999999999998</v>
      </c>
      <c r="D26" s="82">
        <f t="shared" si="1"/>
        <v>339.1</v>
      </c>
      <c r="E26" s="82">
        <f t="shared" si="1"/>
        <v>363.7</v>
      </c>
      <c r="F26" s="82">
        <f t="shared" si="1"/>
        <v>410.09999999999997</v>
      </c>
      <c r="G26" s="81">
        <f t="shared" si="1"/>
        <v>467.09999999999997</v>
      </c>
      <c r="H26" s="82">
        <f t="shared" si="1"/>
        <v>539.5</v>
      </c>
      <c r="I26" s="82">
        <f t="shared" si="1"/>
        <v>589.19999999999993</v>
      </c>
      <c r="J26" s="82">
        <f t="shared" si="1"/>
        <v>650.29999999999995</v>
      </c>
      <c r="K26" s="81">
        <f t="shared" si="1"/>
        <v>549.70000000000005</v>
      </c>
      <c r="L26" s="82">
        <f t="shared" si="1"/>
        <v>414.29999999999995</v>
      </c>
      <c r="M26" s="82">
        <f t="shared" si="1"/>
        <v>354.09999999999997</v>
      </c>
      <c r="N26" s="82">
        <f t="shared" si="1"/>
        <v>357.09999999999997</v>
      </c>
      <c r="O26" s="81">
        <f t="shared" si="1"/>
        <v>336.40000000000003</v>
      </c>
      <c r="P26" s="82">
        <f t="shared" si="1"/>
        <v>317.8</v>
      </c>
      <c r="Q26" s="82">
        <f t="shared" si="1"/>
        <v>337.1</v>
      </c>
      <c r="R26" s="82">
        <f t="shared" si="1"/>
        <v>329.8</v>
      </c>
      <c r="S26" s="81">
        <f t="shared" si="1"/>
        <v>337.7</v>
      </c>
      <c r="T26" s="82">
        <f t="shared" si="1"/>
        <v>374.09999999999997</v>
      </c>
      <c r="U26" s="82">
        <f t="shared" si="1"/>
        <v>404.90000000000003</v>
      </c>
      <c r="V26" s="82">
        <f t="shared" si="1"/>
        <v>417.3</v>
      </c>
      <c r="W26" s="81">
        <f t="shared" si="1"/>
        <v>431.69999999999993</v>
      </c>
      <c r="X26" s="82">
        <f t="shared" si="1"/>
        <v>431.1</v>
      </c>
      <c r="Y26" s="82">
        <f t="shared" si="1"/>
        <v>447.7</v>
      </c>
      <c r="Z26" s="82">
        <f t="shared" si="1"/>
        <v>472.1</v>
      </c>
      <c r="AA26" s="81">
        <f t="shared" ref="AA26:AV26" si="2">SUM(AA21:AA25)</f>
        <v>449.29999999999995</v>
      </c>
      <c r="AB26" s="82">
        <f t="shared" si="2"/>
        <v>407.5</v>
      </c>
      <c r="AC26" s="82">
        <f t="shared" si="2"/>
        <v>369.30000000000007</v>
      </c>
      <c r="AD26" s="82">
        <f t="shared" si="2"/>
        <v>346</v>
      </c>
      <c r="AE26" s="81">
        <f t="shared" si="2"/>
        <v>335.89999999999992</v>
      </c>
      <c r="AF26" s="82">
        <f t="shared" si="2"/>
        <v>350.40000000000003</v>
      </c>
      <c r="AG26" s="82">
        <f t="shared" si="2"/>
        <v>365.3</v>
      </c>
      <c r="AH26" s="82">
        <f t="shared" si="2"/>
        <v>342.70000000000005</v>
      </c>
      <c r="AI26" s="81">
        <f t="shared" si="2"/>
        <v>318</v>
      </c>
      <c r="AJ26" s="82">
        <f t="shared" si="2"/>
        <v>283.90000000000003</v>
      </c>
      <c r="AK26" s="82">
        <f t="shared" si="2"/>
        <v>283.89999999999998</v>
      </c>
      <c r="AL26" s="82">
        <f t="shared" si="2"/>
        <v>275.7</v>
      </c>
      <c r="AM26" s="81">
        <f t="shared" si="2"/>
        <v>266.89999999999998</v>
      </c>
      <c r="AN26" s="82">
        <f t="shared" si="2"/>
        <v>270.3</v>
      </c>
      <c r="AO26" s="82">
        <f t="shared" si="2"/>
        <v>225.6</v>
      </c>
      <c r="AP26" s="82">
        <f t="shared" si="2"/>
        <v>206.70000000000002</v>
      </c>
      <c r="AQ26" s="81">
        <f t="shared" si="2"/>
        <v>209.49999999999997</v>
      </c>
      <c r="AR26" s="82">
        <f t="shared" si="2"/>
        <v>210.1</v>
      </c>
      <c r="AS26" s="82">
        <f t="shared" si="2"/>
        <v>212.7</v>
      </c>
      <c r="AT26" s="82">
        <f t="shared" si="2"/>
        <v>215.79999999999998</v>
      </c>
      <c r="AU26" s="81">
        <f t="shared" si="2"/>
        <v>215.1</v>
      </c>
      <c r="AV26" s="82">
        <f t="shared" si="2"/>
        <v>230.2</v>
      </c>
      <c r="AW26" s="82">
        <f t="shared" ref="AW26:AX26" si="3">SUM(AW21:AW25)</f>
        <v>233.5</v>
      </c>
      <c r="AX26" s="82">
        <f t="shared" si="3"/>
        <v>235.70000000000002</v>
      </c>
      <c r="AY26" s="269"/>
    </row>
    <row r="27" spans="1:51" s="270" customFormat="1" ht="11.25">
      <c r="A27" s="50"/>
      <c r="B27" s="50"/>
      <c r="C27" s="69"/>
      <c r="D27" s="70"/>
      <c r="E27" s="70"/>
      <c r="F27" s="70"/>
      <c r="G27" s="69"/>
      <c r="H27" s="70"/>
      <c r="I27" s="70"/>
      <c r="J27" s="78"/>
      <c r="K27" s="69"/>
      <c r="L27" s="70"/>
      <c r="M27" s="70"/>
      <c r="N27" s="78"/>
      <c r="O27" s="69"/>
      <c r="P27" s="70"/>
      <c r="Q27" s="70"/>
      <c r="R27" s="78"/>
      <c r="S27" s="69"/>
      <c r="T27" s="70"/>
      <c r="U27" s="70"/>
      <c r="V27" s="78"/>
      <c r="W27" s="69"/>
      <c r="X27" s="70"/>
      <c r="Y27" s="70"/>
      <c r="Z27" s="78"/>
      <c r="AA27" s="69"/>
      <c r="AB27" s="70"/>
      <c r="AC27" s="70"/>
      <c r="AD27" s="78"/>
      <c r="AE27" s="69"/>
      <c r="AF27" s="70"/>
      <c r="AG27" s="70"/>
      <c r="AH27" s="78"/>
      <c r="AI27" s="69"/>
      <c r="AJ27" s="70"/>
      <c r="AK27" s="70"/>
      <c r="AL27" s="70"/>
      <c r="AM27" s="69"/>
      <c r="AN27" s="70"/>
      <c r="AO27" s="70"/>
      <c r="AP27" s="70"/>
      <c r="AQ27" s="69"/>
      <c r="AR27" s="70"/>
      <c r="AS27" s="70"/>
      <c r="AT27" s="70"/>
      <c r="AU27" s="69"/>
      <c r="AV27" s="70"/>
      <c r="AW27" s="70"/>
      <c r="AX27" s="70"/>
    </row>
    <row r="28" spans="1:51" s="271" customFormat="1" ht="11.25">
      <c r="A28" s="57" t="s">
        <v>159</v>
      </c>
      <c r="B28" s="57" t="s">
        <v>1</v>
      </c>
      <c r="C28" s="86">
        <f t="shared" ref="C28:AV28" si="4">C18-C26</f>
        <v>236.10000000000002</v>
      </c>
      <c r="D28" s="87">
        <f t="shared" si="4"/>
        <v>246.89999999999986</v>
      </c>
      <c r="E28" s="87">
        <f t="shared" si="4"/>
        <v>254.59999999999997</v>
      </c>
      <c r="F28" s="87">
        <f t="shared" si="4"/>
        <v>263.2</v>
      </c>
      <c r="G28" s="86">
        <f t="shared" si="4"/>
        <v>283.40302757000001</v>
      </c>
      <c r="H28" s="87">
        <f t="shared" si="4"/>
        <v>315.79263037999988</v>
      </c>
      <c r="I28" s="87">
        <f t="shared" si="4"/>
        <v>320.90466633000005</v>
      </c>
      <c r="J28" s="88">
        <f t="shared" si="4"/>
        <v>332.49967572000003</v>
      </c>
      <c r="K28" s="86">
        <f t="shared" si="4"/>
        <v>311.10000000000002</v>
      </c>
      <c r="L28" s="87">
        <f t="shared" si="4"/>
        <v>359</v>
      </c>
      <c r="M28" s="87">
        <f t="shared" si="4"/>
        <v>378.00000000000017</v>
      </c>
      <c r="N28" s="88">
        <f t="shared" si="4"/>
        <v>354.39999999999992</v>
      </c>
      <c r="O28" s="86">
        <f t="shared" si="4"/>
        <v>390.39999999999992</v>
      </c>
      <c r="P28" s="87">
        <f t="shared" si="4"/>
        <v>405.3</v>
      </c>
      <c r="Q28" s="87">
        <f t="shared" si="4"/>
        <v>410.20000000000005</v>
      </c>
      <c r="R28" s="88">
        <f t="shared" si="4"/>
        <v>421.7000000000001</v>
      </c>
      <c r="S28" s="86">
        <f t="shared" si="4"/>
        <v>434.89999999999981</v>
      </c>
      <c r="T28" s="87">
        <f t="shared" si="4"/>
        <v>459.50000000000006</v>
      </c>
      <c r="U28" s="87">
        <f t="shared" si="4"/>
        <v>477.40000000000003</v>
      </c>
      <c r="V28" s="88">
        <f t="shared" si="4"/>
        <v>479.7</v>
      </c>
      <c r="W28" s="86">
        <f t="shared" si="4"/>
        <v>513.50000000000011</v>
      </c>
      <c r="X28" s="87">
        <f t="shared" si="4"/>
        <v>514.09999999999991</v>
      </c>
      <c r="Y28" s="87">
        <f t="shared" si="4"/>
        <v>515.5</v>
      </c>
      <c r="Z28" s="88">
        <f t="shared" si="4"/>
        <v>505.80000000000007</v>
      </c>
      <c r="AA28" s="86">
        <f t="shared" si="4"/>
        <v>475.79999999999995</v>
      </c>
      <c r="AB28" s="87">
        <f t="shared" si="4"/>
        <v>495.29999999999995</v>
      </c>
      <c r="AC28" s="87">
        <f t="shared" si="4"/>
        <v>526.09999999999968</v>
      </c>
      <c r="AD28" s="88">
        <f t="shared" si="4"/>
        <v>545.4</v>
      </c>
      <c r="AE28" s="86">
        <f t="shared" si="4"/>
        <v>567.90000000000009</v>
      </c>
      <c r="AF28" s="87">
        <f t="shared" si="4"/>
        <v>582.19999999999982</v>
      </c>
      <c r="AG28" s="87">
        <f t="shared" si="4"/>
        <v>596.90000000000009</v>
      </c>
      <c r="AH28" s="88">
        <f t="shared" si="4"/>
        <v>583.19999999999993</v>
      </c>
      <c r="AI28" s="86">
        <f t="shared" si="4"/>
        <v>569</v>
      </c>
      <c r="AJ28" s="87">
        <f t="shared" si="4"/>
        <v>594.09999999999991</v>
      </c>
      <c r="AK28" s="87">
        <f t="shared" si="4"/>
        <v>644.6</v>
      </c>
      <c r="AL28" s="87">
        <f t="shared" si="4"/>
        <v>659.40000000000009</v>
      </c>
      <c r="AM28" s="86">
        <f t="shared" si="4"/>
        <v>668.1</v>
      </c>
      <c r="AN28" s="87">
        <f t="shared" si="4"/>
        <v>690.90000000000009</v>
      </c>
      <c r="AO28" s="87">
        <f t="shared" si="4"/>
        <v>784.90000000000009</v>
      </c>
      <c r="AP28" s="87">
        <f t="shared" si="4"/>
        <v>809.49999999999977</v>
      </c>
      <c r="AQ28" s="86">
        <f t="shared" si="4"/>
        <v>794.8</v>
      </c>
      <c r="AR28" s="87">
        <f t="shared" si="4"/>
        <v>830.49999999999989</v>
      </c>
      <c r="AS28" s="87">
        <f t="shared" si="4"/>
        <v>868.90000000000009</v>
      </c>
      <c r="AT28" s="87">
        <f t="shared" si="4"/>
        <v>895.20000000000027</v>
      </c>
      <c r="AU28" s="86">
        <f t="shared" si="4"/>
        <v>882.99999999999989</v>
      </c>
      <c r="AV28" s="87">
        <f t="shared" si="4"/>
        <v>920</v>
      </c>
      <c r="AW28" s="87">
        <f t="shared" ref="AW28:AX28" si="5">AW18-AW26</f>
        <v>961.2</v>
      </c>
      <c r="AX28" s="87">
        <f t="shared" si="5"/>
        <v>995.09999999999991</v>
      </c>
    </row>
    <row r="29" spans="1:51">
      <c r="A29" s="13"/>
      <c r="B29" s="13"/>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J29" s="72"/>
      <c r="AX29" s="71"/>
    </row>
    <row r="30" spans="1:51">
      <c r="A30" s="13"/>
      <c r="B30" s="13"/>
    </row>
    <row r="31" spans="1:51">
      <c r="A31" s="13"/>
      <c r="B31" s="13"/>
    </row>
    <row r="32" spans="1:51">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row r="45" spans="1:2">
      <c r="A45" s="13"/>
      <c r="B45" s="13"/>
    </row>
    <row r="46" spans="1:2">
      <c r="A46" s="13"/>
      <c r="B46" s="13"/>
    </row>
    <row r="47" spans="1:2">
      <c r="A47" s="13"/>
      <c r="B47" s="13"/>
    </row>
    <row r="48" spans="1:2">
      <c r="A48" s="13"/>
      <c r="B48" s="13"/>
    </row>
    <row r="49" spans="1:2">
      <c r="A49" s="13"/>
      <c r="B49" s="13"/>
    </row>
    <row r="50" spans="1:2">
      <c r="A50" s="13"/>
      <c r="B50" s="13"/>
    </row>
    <row r="51" spans="1:2">
      <c r="A51" s="13"/>
      <c r="B51" s="13"/>
    </row>
    <row r="52" spans="1:2">
      <c r="A52" s="13"/>
      <c r="B52" s="13"/>
    </row>
    <row r="53" spans="1:2">
      <c r="A53" s="13"/>
      <c r="B53" s="13"/>
    </row>
    <row r="54" spans="1:2">
      <c r="A54" s="13"/>
      <c r="B54" s="13"/>
    </row>
    <row r="55" spans="1:2">
      <c r="A55" s="13"/>
      <c r="B55" s="13"/>
    </row>
    <row r="56" spans="1:2">
      <c r="A56" s="13"/>
      <c r="B56" s="13"/>
    </row>
    <row r="57" spans="1:2">
      <c r="A57" s="13"/>
      <c r="B57" s="13"/>
    </row>
  </sheetData>
  <mergeCells count="18">
    <mergeCell ref="AU2:AX2"/>
    <mergeCell ref="AQ2:AT2"/>
    <mergeCell ref="AM2:AP2"/>
    <mergeCell ref="AI2:AL2"/>
    <mergeCell ref="AE2:AH2"/>
    <mergeCell ref="AA2:AD2"/>
    <mergeCell ref="C12:C15"/>
    <mergeCell ref="D12:D15"/>
    <mergeCell ref="E12:E15"/>
    <mergeCell ref="F12:F15"/>
    <mergeCell ref="W2:Z2"/>
    <mergeCell ref="S2:V2"/>
    <mergeCell ref="O2:R2"/>
    <mergeCell ref="A2:A3"/>
    <mergeCell ref="B2:B3"/>
    <mergeCell ref="C2:F2"/>
    <mergeCell ref="G2:J2"/>
    <mergeCell ref="K2:N2"/>
  </mergeCells>
  <printOptions horizontalCentered="1"/>
  <pageMargins left="0.23622047244094491" right="0.23622047244094491" top="0.74803149606299213" bottom="0.74803149606299213" header="0.31496062992125984" footer="0.31496062992125984"/>
  <pageSetup paperSize="9" scale="37" fitToHeight="0" orientation="landscape" r:id="rId1"/>
  <headerFooter alignWithMargins="0">
    <oddHeader xml:space="preserve">&amp;C&amp;"Times New Roman,Kursywa"&amp;12
</oddHeader>
  </headerFooter>
  <ignoredErrors>
    <ignoredError sqref="C26:Z26" formulaRange="1"/>
    <ignoredError sqref="I17 S1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AX36"/>
  <sheetViews>
    <sheetView showGridLines="0" view="pageBreakPreview" zoomScaleNormal="100" zoomScaleSheetLayoutView="100" zoomScalePageLayoutView="80" workbookViewId="0">
      <pane xSplit="2" ySplit="4" topLeftCell="AI5" activePane="bottomRight" state="frozen"/>
      <selection pane="topRight" activeCell="C1" sqref="C1"/>
      <selection pane="bottomLeft" activeCell="A5" sqref="A5"/>
      <selection pane="bottomRight" activeCell="A2" sqref="A2:A3"/>
    </sheetView>
  </sheetViews>
  <sheetFormatPr defaultColWidth="8.85546875" defaultRowHeight="13.5" outlineLevelCol="1"/>
  <cols>
    <col min="1" max="1" width="44" style="58" customWidth="1" outlineLevel="1"/>
    <col min="2" max="2" width="39.42578125" style="58" bestFit="1" customWidth="1"/>
    <col min="3" max="50" width="6" style="13" customWidth="1"/>
    <col min="51" max="16384" width="8.85546875" style="13"/>
  </cols>
  <sheetData>
    <row r="1" spans="1:50">
      <c r="A1" s="59" t="s">
        <v>430</v>
      </c>
      <c r="B1" s="59" t="s">
        <v>431</v>
      </c>
    </row>
    <row r="2" spans="1:50">
      <c r="A2" s="481" t="s">
        <v>393</v>
      </c>
      <c r="B2" s="481" t="s">
        <v>4</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8"/>
      <c r="AI2" s="477">
        <v>2015</v>
      </c>
      <c r="AJ2" s="475"/>
      <c r="AK2" s="475"/>
      <c r="AL2" s="478"/>
      <c r="AM2" s="477">
        <v>2016</v>
      </c>
      <c r="AN2" s="475"/>
      <c r="AO2" s="475"/>
      <c r="AP2" s="478"/>
      <c r="AQ2" s="477">
        <v>2017</v>
      </c>
      <c r="AR2" s="479"/>
      <c r="AS2" s="479"/>
      <c r="AT2" s="483"/>
      <c r="AU2" s="477">
        <v>2018</v>
      </c>
      <c r="AV2" s="479"/>
      <c r="AW2" s="479"/>
      <c r="AX2" s="480"/>
    </row>
    <row r="3" spans="1:50"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2" t="s">
        <v>151</v>
      </c>
      <c r="AB3" s="23" t="s">
        <v>152</v>
      </c>
      <c r="AC3" s="23" t="s">
        <v>153</v>
      </c>
      <c r="AD3" s="48" t="s">
        <v>154</v>
      </c>
      <c r="AE3" s="22" t="s">
        <v>151</v>
      </c>
      <c r="AF3" s="23" t="s">
        <v>152</v>
      </c>
      <c r="AG3" s="23" t="s">
        <v>153</v>
      </c>
      <c r="AH3" s="48" t="s">
        <v>154</v>
      </c>
      <c r="AI3" s="22" t="s">
        <v>151</v>
      </c>
      <c r="AJ3" s="23" t="s">
        <v>152</v>
      </c>
      <c r="AK3" s="23" t="s">
        <v>153</v>
      </c>
      <c r="AL3" s="48" t="s">
        <v>154</v>
      </c>
      <c r="AM3" s="49" t="s">
        <v>151</v>
      </c>
      <c r="AN3" s="23" t="s">
        <v>152</v>
      </c>
      <c r="AO3" s="23" t="s">
        <v>153</v>
      </c>
      <c r="AP3" s="48" t="s">
        <v>154</v>
      </c>
      <c r="AQ3" s="22" t="s">
        <v>151</v>
      </c>
      <c r="AR3" s="23" t="s">
        <v>152</v>
      </c>
      <c r="AS3" s="23" t="s">
        <v>153</v>
      </c>
      <c r="AT3" s="48" t="s">
        <v>154</v>
      </c>
      <c r="AU3" s="22" t="s">
        <v>151</v>
      </c>
      <c r="AV3" s="23" t="s">
        <v>824</v>
      </c>
      <c r="AW3" s="23" t="s">
        <v>825</v>
      </c>
      <c r="AX3" s="23" t="s">
        <v>826</v>
      </c>
    </row>
    <row r="4" spans="1:50" s="267" customFormat="1" ht="12.75" customHeight="1">
      <c r="A4" s="24" t="s">
        <v>156</v>
      </c>
      <c r="B4" s="24" t="s">
        <v>11</v>
      </c>
      <c r="C4" s="128"/>
      <c r="D4" s="129"/>
      <c r="E4" s="61"/>
      <c r="F4" s="129"/>
      <c r="G4" s="128"/>
      <c r="H4" s="129"/>
      <c r="I4" s="61"/>
      <c r="J4" s="130"/>
      <c r="K4" s="128"/>
      <c r="L4" s="129"/>
      <c r="M4" s="61"/>
      <c r="N4" s="130"/>
      <c r="O4" s="128"/>
      <c r="P4" s="129"/>
      <c r="Q4" s="61"/>
      <c r="R4" s="130"/>
      <c r="S4" s="128"/>
      <c r="T4" s="129"/>
      <c r="U4" s="61"/>
      <c r="V4" s="130"/>
      <c r="W4" s="128"/>
      <c r="X4" s="61"/>
      <c r="Y4" s="61"/>
      <c r="Z4" s="272"/>
      <c r="AA4" s="128"/>
      <c r="AB4" s="61"/>
      <c r="AC4" s="61"/>
      <c r="AD4" s="272"/>
      <c r="AE4" s="128"/>
      <c r="AF4" s="61"/>
      <c r="AG4" s="61"/>
      <c r="AH4" s="272"/>
      <c r="AI4" s="128"/>
      <c r="AJ4" s="61"/>
      <c r="AK4" s="61"/>
      <c r="AL4" s="272"/>
      <c r="AM4" s="61"/>
      <c r="AN4" s="61"/>
      <c r="AO4" s="61"/>
      <c r="AP4" s="272"/>
      <c r="AQ4" s="128"/>
      <c r="AR4" s="61"/>
      <c r="AS4" s="61"/>
      <c r="AT4" s="272"/>
      <c r="AU4" s="61"/>
      <c r="AV4" s="61"/>
      <c r="AW4" s="61"/>
      <c r="AX4" s="61"/>
    </row>
    <row r="5" spans="1:50" s="268" customFormat="1" ht="11.25">
      <c r="A5" s="60" t="s">
        <v>394</v>
      </c>
      <c r="B5" s="60" t="s">
        <v>48</v>
      </c>
      <c r="C5" s="29"/>
      <c r="D5" s="30"/>
      <c r="E5" s="30"/>
      <c r="F5" s="30"/>
      <c r="G5" s="29"/>
      <c r="H5" s="30"/>
      <c r="I5" s="30"/>
      <c r="J5" s="31"/>
      <c r="K5" s="29"/>
      <c r="L5" s="30"/>
      <c r="M5" s="30"/>
      <c r="N5" s="31"/>
      <c r="O5" s="29"/>
      <c r="P5" s="30"/>
      <c r="Q5" s="30"/>
      <c r="R5" s="31"/>
      <c r="S5" s="29"/>
      <c r="T5" s="30"/>
      <c r="U5" s="30"/>
      <c r="V5" s="31"/>
      <c r="W5" s="29"/>
      <c r="X5" s="30"/>
      <c r="Y5" s="30"/>
      <c r="Z5" s="31"/>
      <c r="AA5" s="29"/>
      <c r="AB5" s="30"/>
      <c r="AC5" s="30"/>
      <c r="AD5" s="31"/>
      <c r="AE5" s="29"/>
      <c r="AF5" s="30"/>
      <c r="AG5" s="30"/>
      <c r="AH5" s="31"/>
      <c r="AI5" s="29"/>
      <c r="AJ5" s="30"/>
      <c r="AK5" s="30"/>
      <c r="AL5" s="31"/>
      <c r="AM5" s="61"/>
      <c r="AN5" s="61"/>
      <c r="AO5" s="61"/>
      <c r="AP5" s="31"/>
      <c r="AQ5" s="29"/>
      <c r="AR5" s="30"/>
      <c r="AS5" s="30"/>
      <c r="AT5" s="31"/>
      <c r="AU5" s="61"/>
      <c r="AV5" s="30"/>
      <c r="AW5" s="30"/>
      <c r="AX5" s="30"/>
    </row>
    <row r="6" spans="1:50" s="268" customFormat="1" ht="11.25">
      <c r="A6" s="61" t="s">
        <v>224</v>
      </c>
      <c r="B6" s="61" t="s">
        <v>50</v>
      </c>
      <c r="C6" s="29">
        <v>24.6</v>
      </c>
      <c r="D6" s="30">
        <v>27.4</v>
      </c>
      <c r="E6" s="30">
        <v>23.1</v>
      </c>
      <c r="F6" s="30">
        <v>23.7</v>
      </c>
      <c r="G6" s="29">
        <v>22.4</v>
      </c>
      <c r="H6" s="30">
        <v>23.4</v>
      </c>
      <c r="I6" s="30">
        <v>36.9</v>
      </c>
      <c r="J6" s="31">
        <v>56.8</v>
      </c>
      <c r="K6" s="29">
        <v>59.5</v>
      </c>
      <c r="L6" s="30">
        <v>55.1</v>
      </c>
      <c r="M6" s="30">
        <v>50.8</v>
      </c>
      <c r="N6" s="31">
        <v>45.1</v>
      </c>
      <c r="O6" s="29">
        <v>60.6</v>
      </c>
      <c r="P6" s="30">
        <v>59.6</v>
      </c>
      <c r="Q6" s="30">
        <v>61</v>
      </c>
      <c r="R6" s="31">
        <v>62.8</v>
      </c>
      <c r="S6" s="29">
        <v>59.7</v>
      </c>
      <c r="T6" s="30">
        <v>64.400000000000006</v>
      </c>
      <c r="U6" s="30">
        <v>70.3</v>
      </c>
      <c r="V6" s="31">
        <v>69.400000000000006</v>
      </c>
      <c r="W6" s="29">
        <v>65.5</v>
      </c>
      <c r="X6" s="30">
        <v>66.2</v>
      </c>
      <c r="Y6" s="30">
        <v>72</v>
      </c>
      <c r="Z6" s="31">
        <v>67.400000000000006</v>
      </c>
      <c r="AA6" s="29">
        <v>64.3</v>
      </c>
      <c r="AB6" s="30">
        <f>75.1-10.3</f>
        <v>64.8</v>
      </c>
      <c r="AC6" s="30">
        <f>56.8+5.1</f>
        <v>61.9</v>
      </c>
      <c r="AD6" s="31">
        <v>69.2</v>
      </c>
      <c r="AE6" s="29">
        <v>64.5</v>
      </c>
      <c r="AF6" s="30">
        <v>68.2</v>
      </c>
      <c r="AG6" s="30">
        <v>75.900000000000006</v>
      </c>
      <c r="AH6" s="31">
        <v>73.5</v>
      </c>
      <c r="AI6" s="29">
        <v>69.900000000000006</v>
      </c>
      <c r="AJ6" s="30">
        <v>75</v>
      </c>
      <c r="AK6" s="30">
        <v>69.599999999999994</v>
      </c>
      <c r="AL6" s="31">
        <v>69.599999999999994</v>
      </c>
      <c r="AM6" s="29">
        <v>63.9</v>
      </c>
      <c r="AN6" s="30">
        <v>67.599999999999994</v>
      </c>
      <c r="AO6" s="30">
        <v>72.099999999999994</v>
      </c>
      <c r="AP6" s="31">
        <v>77.899999999999991</v>
      </c>
      <c r="AQ6" s="29">
        <v>80.599999999999994</v>
      </c>
      <c r="AR6" s="30">
        <v>80.900000000000006</v>
      </c>
      <c r="AS6" s="30">
        <v>91</v>
      </c>
      <c r="AT6" s="31">
        <v>90.600000000000009</v>
      </c>
      <c r="AU6" s="29">
        <v>84.4</v>
      </c>
      <c r="AV6" s="30">
        <v>91.6</v>
      </c>
      <c r="AW6" s="30">
        <v>90.7</v>
      </c>
      <c r="AX6" s="30">
        <v>96.5</v>
      </c>
    </row>
    <row r="7" spans="1:50" s="268" customFormat="1" ht="11.25">
      <c r="A7" s="62" t="s">
        <v>216</v>
      </c>
      <c r="B7" s="62" t="s">
        <v>411</v>
      </c>
      <c r="C7" s="29">
        <v>62.5</v>
      </c>
      <c r="D7" s="30">
        <v>69.099999999999994</v>
      </c>
      <c r="E7" s="30">
        <v>66.599999999999994</v>
      </c>
      <c r="F7" s="30">
        <v>68.3</v>
      </c>
      <c r="G7" s="29">
        <v>68.7</v>
      </c>
      <c r="H7" s="30">
        <v>71.400000000000006</v>
      </c>
      <c r="I7" s="30">
        <v>71.5</v>
      </c>
      <c r="J7" s="31">
        <v>76.099999999999994</v>
      </c>
      <c r="K7" s="29">
        <v>71.2</v>
      </c>
      <c r="L7" s="30">
        <f>71.7-0.7</f>
        <v>71</v>
      </c>
      <c r="M7" s="30">
        <v>73.400000000000006</v>
      </c>
      <c r="N7" s="31">
        <v>72.2</v>
      </c>
      <c r="O7" s="29">
        <v>69.8</v>
      </c>
      <c r="P7" s="30">
        <f>66.3-0.1</f>
        <v>66.2</v>
      </c>
      <c r="Q7" s="30">
        <f>64.8-0.1</f>
        <v>64.7</v>
      </c>
      <c r="R7" s="31">
        <f>65.2-0.2</f>
        <v>65</v>
      </c>
      <c r="S7" s="29">
        <f>62.1-0.1</f>
        <v>62</v>
      </c>
      <c r="T7" s="30">
        <f>64.7-0.5</f>
        <v>64.2</v>
      </c>
      <c r="U7" s="30">
        <f>63.9-0.3</f>
        <v>63.6</v>
      </c>
      <c r="V7" s="31">
        <f>65-0.7</f>
        <v>64.3</v>
      </c>
      <c r="W7" s="29">
        <f>61.7-0.4</f>
        <v>61.300000000000004</v>
      </c>
      <c r="X7" s="30">
        <f>63.6-0.4</f>
        <v>63.2</v>
      </c>
      <c r="Y7" s="30">
        <f>61.4-0.4</f>
        <v>61</v>
      </c>
      <c r="Z7" s="31">
        <f>62.8-1.6</f>
        <v>61.199999999999996</v>
      </c>
      <c r="AA7" s="29">
        <f>63.6-0.1</f>
        <v>63.5</v>
      </c>
      <c r="AB7" s="30">
        <f>64.6-0.1</f>
        <v>64.5</v>
      </c>
      <c r="AC7" s="30">
        <f>65.3-1</f>
        <v>64.3</v>
      </c>
      <c r="AD7" s="31">
        <f>64.2-1.8</f>
        <v>62.400000000000006</v>
      </c>
      <c r="AE7" s="29">
        <v>62.5</v>
      </c>
      <c r="AF7" s="30">
        <f>62.8-0.2</f>
        <v>62.599999999999994</v>
      </c>
      <c r="AG7" s="30">
        <f>61.8-0.6</f>
        <v>61.199999999999996</v>
      </c>
      <c r="AH7" s="31">
        <v>60.1</v>
      </c>
      <c r="AI7" s="29">
        <v>59.1</v>
      </c>
      <c r="AJ7" s="30">
        <v>62.9</v>
      </c>
      <c r="AK7" s="30">
        <v>61.8</v>
      </c>
      <c r="AL7" s="31">
        <v>62.8</v>
      </c>
      <c r="AM7" s="29">
        <v>60.8</v>
      </c>
      <c r="AN7" s="30">
        <v>63.8</v>
      </c>
      <c r="AO7" s="30">
        <v>63.1</v>
      </c>
      <c r="AP7" s="31">
        <v>64.3</v>
      </c>
      <c r="AQ7" s="29">
        <v>66.2</v>
      </c>
      <c r="AR7" s="30">
        <v>70.2</v>
      </c>
      <c r="AS7" s="30">
        <v>69.5</v>
      </c>
      <c r="AT7" s="31">
        <v>72</v>
      </c>
      <c r="AU7" s="29">
        <v>70.2</v>
      </c>
      <c r="AV7" s="30">
        <v>72.599999999999994</v>
      </c>
      <c r="AW7" s="30">
        <v>72.2</v>
      </c>
      <c r="AX7" s="30">
        <v>71.900000000000006</v>
      </c>
    </row>
    <row r="8" spans="1:50" s="267" customFormat="1" ht="11.25">
      <c r="A8" s="63" t="s">
        <v>217</v>
      </c>
      <c r="B8" s="63" t="s">
        <v>412</v>
      </c>
      <c r="C8" s="29">
        <v>25.2</v>
      </c>
      <c r="D8" s="30">
        <v>25.1</v>
      </c>
      <c r="E8" s="30">
        <v>24.8</v>
      </c>
      <c r="F8" s="30">
        <v>28.4</v>
      </c>
      <c r="G8" s="29">
        <v>30.5</v>
      </c>
      <c r="H8" s="30">
        <v>34.700000000000003</v>
      </c>
      <c r="I8" s="30">
        <v>36.9</v>
      </c>
      <c r="J8" s="31">
        <v>35.299999999999997</v>
      </c>
      <c r="K8" s="29">
        <f>33.9-0.1</f>
        <v>33.799999999999997</v>
      </c>
      <c r="L8" s="30">
        <v>41.4</v>
      </c>
      <c r="M8" s="30">
        <v>43.6</v>
      </c>
      <c r="N8" s="31">
        <f>43-0.2</f>
        <v>42.8</v>
      </c>
      <c r="O8" s="29">
        <f>39.2-0.1</f>
        <v>39.1</v>
      </c>
      <c r="P8" s="30">
        <v>43.9</v>
      </c>
      <c r="Q8" s="30">
        <f>48.9-0.3</f>
        <v>48.6</v>
      </c>
      <c r="R8" s="31">
        <f>53-0.2</f>
        <v>52.8</v>
      </c>
      <c r="S8" s="29">
        <f>50.8-0.2</f>
        <v>50.599999999999994</v>
      </c>
      <c r="T8" s="30">
        <f>51.1-0.2</f>
        <v>50.9</v>
      </c>
      <c r="U8" s="30">
        <f>52.2-0.2</f>
        <v>52</v>
      </c>
      <c r="V8" s="31">
        <f>54.3-0.2</f>
        <v>54.099999999999994</v>
      </c>
      <c r="W8" s="29">
        <f>49.6-0.3-0.3</f>
        <v>49.000000000000007</v>
      </c>
      <c r="X8" s="30">
        <f>51.1-0.4-0.4</f>
        <v>50.300000000000004</v>
      </c>
      <c r="Y8" s="30">
        <f>51.9-0.4-0.7</f>
        <v>50.8</v>
      </c>
      <c r="Z8" s="31">
        <f>54.4-0.6</f>
        <v>53.8</v>
      </c>
      <c r="AA8" s="30">
        <f>42.5-0.3-0.8</f>
        <v>41.400000000000006</v>
      </c>
      <c r="AB8" s="30">
        <f>46.3-0.2-1.1</f>
        <v>44.999999999999993</v>
      </c>
      <c r="AC8" s="30">
        <f>49.4-0.3-1.1</f>
        <v>48</v>
      </c>
      <c r="AD8" s="31">
        <f>52-0.5-1.4</f>
        <v>50.1</v>
      </c>
      <c r="AE8" s="30">
        <f>48.6-0.9-1.6</f>
        <v>46.1</v>
      </c>
      <c r="AF8" s="30">
        <f>51.8-1.9</f>
        <v>49.9</v>
      </c>
      <c r="AG8" s="30">
        <f>25.6-1.9</f>
        <v>23.700000000000003</v>
      </c>
      <c r="AH8" s="31">
        <f>25.2-2</f>
        <v>23.2</v>
      </c>
      <c r="AI8" s="30">
        <f>18.2-2.1</f>
        <v>16.099999999999998</v>
      </c>
      <c r="AJ8" s="30">
        <f>16.4-2.2</f>
        <v>14.2</v>
      </c>
      <c r="AK8" s="30">
        <f>17.6-2.6</f>
        <v>15.000000000000002</v>
      </c>
      <c r="AL8" s="31">
        <f>14.7-2.4</f>
        <v>12.299999999999999</v>
      </c>
      <c r="AM8" s="29">
        <f>24-2.1</f>
        <v>21.9</v>
      </c>
      <c r="AN8" s="30">
        <v>32</v>
      </c>
      <c r="AO8" s="30">
        <v>34.6</v>
      </c>
      <c r="AP8" s="31">
        <v>27.099999999999998</v>
      </c>
      <c r="AQ8" s="30">
        <v>31.699999999999996</v>
      </c>
      <c r="AR8" s="30">
        <v>27.199999999999989</v>
      </c>
      <c r="AS8" s="30">
        <v>29.099999999999994</v>
      </c>
      <c r="AT8" s="31">
        <v>25.200000000000003</v>
      </c>
      <c r="AU8" s="30">
        <v>25.299999999999997</v>
      </c>
      <c r="AV8" s="30">
        <v>45.79999999999999</v>
      </c>
      <c r="AW8" s="30">
        <v>21</v>
      </c>
      <c r="AX8" s="30">
        <v>23.9</v>
      </c>
    </row>
    <row r="9" spans="1:50" s="270" customFormat="1" ht="11.25">
      <c r="A9" s="61" t="s">
        <v>218</v>
      </c>
      <c r="B9" s="61" t="s">
        <v>413</v>
      </c>
      <c r="C9" s="29">
        <v>27.6</v>
      </c>
      <c r="D9" s="30">
        <v>21.9</v>
      </c>
      <c r="E9" s="30">
        <v>30.7</v>
      </c>
      <c r="F9" s="30">
        <v>29.7</v>
      </c>
      <c r="G9" s="29">
        <v>33.6</v>
      </c>
      <c r="H9" s="30">
        <v>25.8</v>
      </c>
      <c r="I9" s="30">
        <v>30.7</v>
      </c>
      <c r="J9" s="31">
        <v>32.700000000000003</v>
      </c>
      <c r="K9" s="29">
        <v>34.200000000000003</v>
      </c>
      <c r="L9" s="30">
        <v>33.200000000000003</v>
      </c>
      <c r="M9" s="30">
        <v>36.5</v>
      </c>
      <c r="N9" s="31">
        <v>37.9</v>
      </c>
      <c r="O9" s="29">
        <v>36.6</v>
      </c>
      <c r="P9" s="30">
        <v>38.6</v>
      </c>
      <c r="Q9" s="30">
        <v>40.1</v>
      </c>
      <c r="R9" s="31">
        <v>39.5</v>
      </c>
      <c r="S9" s="29">
        <v>42.8</v>
      </c>
      <c r="T9" s="30">
        <v>42.6</v>
      </c>
      <c r="U9" s="30">
        <v>49.1</v>
      </c>
      <c r="V9" s="31">
        <v>44.1</v>
      </c>
      <c r="W9" s="29">
        <v>43.9</v>
      </c>
      <c r="X9" s="30">
        <v>45.1</v>
      </c>
      <c r="Y9" s="30">
        <v>43</v>
      </c>
      <c r="Z9" s="31">
        <v>46.5</v>
      </c>
      <c r="AA9" s="30">
        <f>47.2+1.8</f>
        <v>49</v>
      </c>
      <c r="AB9" s="30">
        <v>51.6</v>
      </c>
      <c r="AC9" s="30">
        <v>49.1</v>
      </c>
      <c r="AD9" s="31">
        <v>44.5</v>
      </c>
      <c r="AE9" s="30">
        <v>54.6</v>
      </c>
      <c r="AF9" s="30">
        <v>54</v>
      </c>
      <c r="AG9" s="30">
        <v>51.4</v>
      </c>
      <c r="AH9" s="31">
        <v>50</v>
      </c>
      <c r="AI9" s="30">
        <v>57.1</v>
      </c>
      <c r="AJ9" s="30">
        <v>58.5</v>
      </c>
      <c r="AK9" s="30">
        <v>54</v>
      </c>
      <c r="AL9" s="31">
        <v>51.5</v>
      </c>
      <c r="AM9" s="29">
        <v>64</v>
      </c>
      <c r="AN9" s="30">
        <v>58.8</v>
      </c>
      <c r="AO9" s="30">
        <v>60.4</v>
      </c>
      <c r="AP9" s="31">
        <v>67.2</v>
      </c>
      <c r="AQ9" s="30">
        <v>67.099999999999994</v>
      </c>
      <c r="AR9" s="30">
        <v>64.5</v>
      </c>
      <c r="AS9" s="30">
        <v>65.400000000000006</v>
      </c>
      <c r="AT9" s="31">
        <v>66.400000000000006</v>
      </c>
      <c r="AU9" s="30">
        <v>77.400000000000006</v>
      </c>
      <c r="AV9" s="30">
        <v>74.400000000000006</v>
      </c>
      <c r="AW9" s="30">
        <v>72.7</v>
      </c>
      <c r="AX9" s="30">
        <v>73</v>
      </c>
    </row>
    <row r="10" spans="1:50" s="270" customFormat="1" ht="11.25">
      <c r="A10" s="63" t="s">
        <v>219</v>
      </c>
      <c r="B10" s="63" t="s">
        <v>414</v>
      </c>
      <c r="C10" s="29">
        <v>50</v>
      </c>
      <c r="D10" s="30">
        <v>54.9</v>
      </c>
      <c r="E10" s="30">
        <v>58.2</v>
      </c>
      <c r="F10" s="30">
        <v>50.1</v>
      </c>
      <c r="G10" s="29">
        <v>33.700000000000003</v>
      </c>
      <c r="H10" s="30">
        <v>27.9</v>
      </c>
      <c r="I10" s="30">
        <v>21.8</v>
      </c>
      <c r="J10" s="31">
        <v>15.2</v>
      </c>
      <c r="K10" s="29">
        <v>12.2</v>
      </c>
      <c r="L10" s="30">
        <v>14.3</v>
      </c>
      <c r="M10" s="30">
        <v>13.5</v>
      </c>
      <c r="N10" s="31">
        <v>23.2</v>
      </c>
      <c r="O10" s="29">
        <v>16.399999999999999</v>
      </c>
      <c r="P10" s="30">
        <v>20.5</v>
      </c>
      <c r="Q10" s="30">
        <v>21.3</v>
      </c>
      <c r="R10" s="31">
        <v>23.1</v>
      </c>
      <c r="S10" s="29">
        <v>22.6</v>
      </c>
      <c r="T10" s="30">
        <v>23</v>
      </c>
      <c r="U10" s="30">
        <v>18.899999999999999</v>
      </c>
      <c r="V10" s="31">
        <v>15.9</v>
      </c>
      <c r="W10" s="29">
        <v>15.2</v>
      </c>
      <c r="X10" s="30">
        <v>14.8</v>
      </c>
      <c r="Y10" s="30">
        <v>14.7</v>
      </c>
      <c r="Z10" s="31">
        <v>16.899999999999999</v>
      </c>
      <c r="AA10" s="30">
        <v>16.3</v>
      </c>
      <c r="AB10" s="30">
        <v>17.8</v>
      </c>
      <c r="AC10" s="30">
        <v>19.3</v>
      </c>
      <c r="AD10" s="31">
        <v>22</v>
      </c>
      <c r="AE10" s="30">
        <v>20.5</v>
      </c>
      <c r="AF10" s="30">
        <v>21.2</v>
      </c>
      <c r="AG10" s="30">
        <v>21.1</v>
      </c>
      <c r="AH10" s="31">
        <v>22.8</v>
      </c>
      <c r="AI10" s="30">
        <v>23</v>
      </c>
      <c r="AJ10" s="30">
        <v>26.4</v>
      </c>
      <c r="AK10" s="30">
        <v>26.1</v>
      </c>
      <c r="AL10" s="31">
        <v>24.9</v>
      </c>
      <c r="AM10" s="29">
        <v>21.8</v>
      </c>
      <c r="AN10" s="30">
        <v>21.9</v>
      </c>
      <c r="AO10" s="30">
        <v>22.1</v>
      </c>
      <c r="AP10" s="31">
        <v>23.1</v>
      </c>
      <c r="AQ10" s="30">
        <v>23.5</v>
      </c>
      <c r="AR10" s="30">
        <v>24.6</v>
      </c>
      <c r="AS10" s="30">
        <v>26.2</v>
      </c>
      <c r="AT10" s="31">
        <v>27.1</v>
      </c>
      <c r="AU10" s="30">
        <v>25.8</v>
      </c>
      <c r="AV10" s="30">
        <v>26</v>
      </c>
      <c r="AW10" s="30">
        <v>27.7</v>
      </c>
      <c r="AX10" s="30">
        <v>20.100000000000001</v>
      </c>
    </row>
    <row r="11" spans="1:50" s="270" customFormat="1" ht="11.25">
      <c r="A11" s="62" t="s">
        <v>215</v>
      </c>
      <c r="B11" s="62" t="s">
        <v>415</v>
      </c>
      <c r="C11" s="29">
        <v>33.1</v>
      </c>
      <c r="D11" s="30">
        <v>32.4</v>
      </c>
      <c r="E11" s="30">
        <v>28.2</v>
      </c>
      <c r="F11" s="30">
        <v>31.1</v>
      </c>
      <c r="G11" s="29">
        <v>25.7</v>
      </c>
      <c r="H11" s="30">
        <v>16.3</v>
      </c>
      <c r="I11" s="30">
        <v>16.2</v>
      </c>
      <c r="J11" s="31">
        <v>17.2</v>
      </c>
      <c r="K11" s="29">
        <v>15.2</v>
      </c>
      <c r="L11" s="30">
        <v>17.3</v>
      </c>
      <c r="M11" s="30">
        <v>20</v>
      </c>
      <c r="N11" s="31">
        <v>21.4</v>
      </c>
      <c r="O11" s="29">
        <v>21.3</v>
      </c>
      <c r="P11" s="30">
        <v>17.399999999999999</v>
      </c>
      <c r="Q11" s="30">
        <v>20.3</v>
      </c>
      <c r="R11" s="31">
        <v>15.9</v>
      </c>
      <c r="S11" s="29">
        <v>19.899999999999999</v>
      </c>
      <c r="T11" s="30">
        <v>23.2</v>
      </c>
      <c r="U11" s="30">
        <v>17.600000000000001</v>
      </c>
      <c r="V11" s="31">
        <v>16.100000000000001</v>
      </c>
      <c r="W11" s="29">
        <v>19.100000000000001</v>
      </c>
      <c r="X11" s="30">
        <v>12.3</v>
      </c>
      <c r="Y11" s="30">
        <v>10.8</v>
      </c>
      <c r="Z11" s="31">
        <v>14.5</v>
      </c>
      <c r="AA11" s="30">
        <v>10.9</v>
      </c>
      <c r="AB11" s="30">
        <v>14.3</v>
      </c>
      <c r="AC11" s="30">
        <v>10.5</v>
      </c>
      <c r="AD11" s="31">
        <v>10.6</v>
      </c>
      <c r="AE11" s="30">
        <v>15.4</v>
      </c>
      <c r="AF11" s="30">
        <v>9.1</v>
      </c>
      <c r="AG11" s="30">
        <v>9.1</v>
      </c>
      <c r="AH11" s="31">
        <v>9.5</v>
      </c>
      <c r="AI11" s="30">
        <v>10.3</v>
      </c>
      <c r="AJ11" s="30">
        <v>11.2</v>
      </c>
      <c r="AK11" s="30">
        <v>9.3000000000000007</v>
      </c>
      <c r="AL11" s="31">
        <v>15.4</v>
      </c>
      <c r="AM11" s="29">
        <v>8.8000000000000007</v>
      </c>
      <c r="AN11" s="30">
        <v>8</v>
      </c>
      <c r="AO11" s="30">
        <v>7.6</v>
      </c>
      <c r="AP11" s="31">
        <v>4.7</v>
      </c>
      <c r="AQ11" s="30">
        <v>7.4</v>
      </c>
      <c r="AR11" s="30">
        <v>5.9</v>
      </c>
      <c r="AS11" s="30">
        <v>5.7</v>
      </c>
      <c r="AT11" s="31">
        <v>5.0999999999999996</v>
      </c>
      <c r="AU11" s="30">
        <v>5.5</v>
      </c>
      <c r="AV11" s="30">
        <v>5</v>
      </c>
      <c r="AW11" s="30">
        <v>5.6</v>
      </c>
      <c r="AX11" s="30">
        <v>5.3</v>
      </c>
    </row>
    <row r="12" spans="1:50" s="268" customFormat="1" ht="11.25">
      <c r="A12" s="61" t="s">
        <v>220</v>
      </c>
      <c r="B12" s="61" t="s">
        <v>416</v>
      </c>
      <c r="C12" s="29">
        <v>8.5</v>
      </c>
      <c r="D12" s="30">
        <v>7.4</v>
      </c>
      <c r="E12" s="30">
        <v>9.1999999999999993</v>
      </c>
      <c r="F12" s="30">
        <v>1.8</v>
      </c>
      <c r="G12" s="29">
        <v>7.2</v>
      </c>
      <c r="H12" s="30">
        <v>8</v>
      </c>
      <c r="I12" s="30">
        <v>7.4</v>
      </c>
      <c r="J12" s="31">
        <v>6.6</v>
      </c>
      <c r="K12" s="29">
        <v>6.3</v>
      </c>
      <c r="L12" s="30">
        <v>6.4</v>
      </c>
      <c r="M12" s="30">
        <v>6.4</v>
      </c>
      <c r="N12" s="31">
        <v>6.8</v>
      </c>
      <c r="O12" s="29">
        <v>6.8</v>
      </c>
      <c r="P12" s="30">
        <v>6.9</v>
      </c>
      <c r="Q12" s="30">
        <v>7.5</v>
      </c>
      <c r="R12" s="31">
        <v>7.3</v>
      </c>
      <c r="S12" s="29">
        <v>7.3</v>
      </c>
      <c r="T12" s="30">
        <v>8.1999999999999993</v>
      </c>
      <c r="U12" s="30">
        <v>9</v>
      </c>
      <c r="V12" s="31">
        <v>6.9</v>
      </c>
      <c r="W12" s="29">
        <v>6.5</v>
      </c>
      <c r="X12" s="30">
        <v>7.1</v>
      </c>
      <c r="Y12" s="30">
        <v>6.8</v>
      </c>
      <c r="Z12" s="31">
        <v>7.1</v>
      </c>
      <c r="AA12" s="30">
        <v>7.8</v>
      </c>
      <c r="AB12" s="30">
        <v>7.6</v>
      </c>
      <c r="AC12" s="30">
        <v>8</v>
      </c>
      <c r="AD12" s="31">
        <v>7.5</v>
      </c>
      <c r="AE12" s="30">
        <v>7.1</v>
      </c>
      <c r="AF12" s="30">
        <v>7.9</v>
      </c>
      <c r="AG12" s="30">
        <v>7.8</v>
      </c>
      <c r="AH12" s="31">
        <v>7.3</v>
      </c>
      <c r="AI12" s="30">
        <v>8.3000000000000007</v>
      </c>
      <c r="AJ12" s="30">
        <v>6.4</v>
      </c>
      <c r="AK12" s="30">
        <v>6</v>
      </c>
      <c r="AL12" s="31">
        <v>5.7</v>
      </c>
      <c r="AM12" s="29">
        <v>6</v>
      </c>
      <c r="AN12" s="30">
        <v>6.4</v>
      </c>
      <c r="AO12" s="30">
        <v>6.1</v>
      </c>
      <c r="AP12" s="31">
        <v>6.1</v>
      </c>
      <c r="AQ12" s="30">
        <v>7.6</v>
      </c>
      <c r="AR12" s="30">
        <v>6.9</v>
      </c>
      <c r="AS12" s="30">
        <v>7</v>
      </c>
      <c r="AT12" s="31">
        <v>7</v>
      </c>
      <c r="AU12" s="30">
        <v>7.3</v>
      </c>
      <c r="AV12" s="30">
        <v>7.1</v>
      </c>
      <c r="AW12" s="30">
        <v>6.7</v>
      </c>
      <c r="AX12" s="30">
        <v>8.1999999999999993</v>
      </c>
    </row>
    <row r="13" spans="1:50" s="270" customFormat="1" ht="11.25">
      <c r="A13" s="63" t="s">
        <v>221</v>
      </c>
      <c r="B13" s="63" t="s">
        <v>417</v>
      </c>
      <c r="C13" s="29">
        <v>0.1</v>
      </c>
      <c r="D13" s="30">
        <v>0.1</v>
      </c>
      <c r="E13" s="30">
        <v>0.2</v>
      </c>
      <c r="F13" s="30">
        <v>0.2</v>
      </c>
      <c r="G13" s="29">
        <v>0.1</v>
      </c>
      <c r="H13" s="30">
        <v>0.2</v>
      </c>
      <c r="I13" s="30">
        <v>0.2</v>
      </c>
      <c r="J13" s="31">
        <v>0.2</v>
      </c>
      <c r="K13" s="29">
        <v>0.1</v>
      </c>
      <c r="L13" s="30">
        <v>0.1</v>
      </c>
      <c r="M13" s="30">
        <v>0.1</v>
      </c>
      <c r="N13" s="31">
        <v>0.1</v>
      </c>
      <c r="O13" s="29">
        <v>0.1</v>
      </c>
      <c r="P13" s="30">
        <v>0.2</v>
      </c>
      <c r="Q13" s="30">
        <v>0.2</v>
      </c>
      <c r="R13" s="31">
        <v>0.2</v>
      </c>
      <c r="S13" s="29">
        <v>0</v>
      </c>
      <c r="T13" s="30">
        <v>0.2</v>
      </c>
      <c r="U13" s="30">
        <v>0.2</v>
      </c>
      <c r="V13" s="31">
        <v>0.2</v>
      </c>
      <c r="W13" s="29">
        <f>5.5+0.4</f>
        <v>5.9</v>
      </c>
      <c r="X13" s="30">
        <f>5.1+0.8</f>
        <v>5.8999999999999995</v>
      </c>
      <c r="Y13" s="30">
        <f>4.5+0.5</f>
        <v>5</v>
      </c>
      <c r="Z13" s="31">
        <f>5+0.5</f>
        <v>5.5</v>
      </c>
      <c r="AA13" s="30">
        <v>6.4</v>
      </c>
      <c r="AB13" s="30">
        <v>6.8</v>
      </c>
      <c r="AC13" s="30">
        <v>5.8</v>
      </c>
      <c r="AD13" s="31">
        <v>7.3</v>
      </c>
      <c r="AE13" s="30">
        <v>6.4</v>
      </c>
      <c r="AF13" s="30">
        <v>7.9</v>
      </c>
      <c r="AG13" s="30">
        <v>8.1999999999999993</v>
      </c>
      <c r="AH13" s="31">
        <v>8.3000000000000007</v>
      </c>
      <c r="AI13" s="30">
        <v>7.6</v>
      </c>
      <c r="AJ13" s="30">
        <v>8.6999999999999993</v>
      </c>
      <c r="AK13" s="30">
        <v>7.9</v>
      </c>
      <c r="AL13" s="31">
        <v>10</v>
      </c>
      <c r="AM13" s="29">
        <v>9</v>
      </c>
      <c r="AN13" s="30">
        <v>11</v>
      </c>
      <c r="AO13" s="30">
        <v>11.1</v>
      </c>
      <c r="AP13" s="31">
        <v>12.3</v>
      </c>
      <c r="AQ13" s="30">
        <v>10.9</v>
      </c>
      <c r="AR13" s="30">
        <v>11.8</v>
      </c>
      <c r="AS13" s="30">
        <v>13.2</v>
      </c>
      <c r="AT13" s="31">
        <v>13.2</v>
      </c>
      <c r="AU13" s="30">
        <v>12.8</v>
      </c>
      <c r="AV13" s="30">
        <v>15.3</v>
      </c>
      <c r="AW13" s="30">
        <v>14.8</v>
      </c>
      <c r="AX13" s="30">
        <v>14.6</v>
      </c>
    </row>
    <row r="14" spans="1:50" s="270" customFormat="1" ht="11.25">
      <c r="A14" s="63" t="s">
        <v>222</v>
      </c>
      <c r="B14" s="63" t="s">
        <v>517</v>
      </c>
      <c r="C14" s="29">
        <v>5.5</v>
      </c>
      <c r="D14" s="30">
        <v>5.8</v>
      </c>
      <c r="E14" s="30">
        <v>5.7</v>
      </c>
      <c r="F14" s="30">
        <v>4.7</v>
      </c>
      <c r="G14" s="29">
        <v>3.9</v>
      </c>
      <c r="H14" s="30">
        <v>4.0999999999999996</v>
      </c>
      <c r="I14" s="30">
        <v>4</v>
      </c>
      <c r="J14" s="31">
        <v>3.8</v>
      </c>
      <c r="K14" s="29">
        <v>3.2</v>
      </c>
      <c r="L14" s="30">
        <v>3.5</v>
      </c>
      <c r="M14" s="30">
        <v>3.9</v>
      </c>
      <c r="N14" s="31">
        <v>3.7</v>
      </c>
      <c r="O14" s="29">
        <v>3.1</v>
      </c>
      <c r="P14" s="30">
        <v>3.2</v>
      </c>
      <c r="Q14" s="30">
        <v>3.2</v>
      </c>
      <c r="R14" s="31">
        <v>3.5</v>
      </c>
      <c r="S14" s="29">
        <v>3.4</v>
      </c>
      <c r="T14" s="30">
        <v>3.7</v>
      </c>
      <c r="U14" s="30">
        <v>3.7</v>
      </c>
      <c r="V14" s="31">
        <v>3.5</v>
      </c>
      <c r="W14" s="29">
        <v>3.3</v>
      </c>
      <c r="X14" s="30">
        <v>3.5</v>
      </c>
      <c r="Y14" s="30">
        <v>3.5</v>
      </c>
      <c r="Z14" s="31">
        <v>3.8</v>
      </c>
      <c r="AA14" s="30">
        <v>3.9</v>
      </c>
      <c r="AB14" s="30">
        <v>3.9</v>
      </c>
      <c r="AC14" s="30">
        <v>4</v>
      </c>
      <c r="AD14" s="31">
        <v>4.2</v>
      </c>
      <c r="AE14" s="30">
        <v>4.2</v>
      </c>
      <c r="AF14" s="30">
        <v>4.4000000000000004</v>
      </c>
      <c r="AG14" s="30">
        <v>4.5</v>
      </c>
      <c r="AH14" s="31">
        <v>4.5999999999999996</v>
      </c>
      <c r="AI14" s="30">
        <v>4.5999999999999996</v>
      </c>
      <c r="AJ14" s="30">
        <v>4.9000000000000004</v>
      </c>
      <c r="AK14" s="30">
        <v>5.0999999999999996</v>
      </c>
      <c r="AL14" s="31">
        <v>5.3</v>
      </c>
      <c r="AM14" s="29">
        <v>5.2</v>
      </c>
      <c r="AN14" s="30">
        <v>6</v>
      </c>
      <c r="AO14" s="30">
        <v>6.3</v>
      </c>
      <c r="AP14" s="31">
        <v>6.5</v>
      </c>
      <c r="AQ14" s="30">
        <v>6.7</v>
      </c>
      <c r="AR14" s="30">
        <v>7.2</v>
      </c>
      <c r="AS14" s="30">
        <v>7.7</v>
      </c>
      <c r="AT14" s="31">
        <v>8.1</v>
      </c>
      <c r="AU14" s="30">
        <v>8.1</v>
      </c>
      <c r="AV14" s="30">
        <v>8.6</v>
      </c>
      <c r="AW14" s="30">
        <v>9.1</v>
      </c>
      <c r="AX14" s="30">
        <v>9.3000000000000007</v>
      </c>
    </row>
    <row r="15" spans="1:50" s="270" customFormat="1" ht="11.25">
      <c r="A15" s="63" t="s">
        <v>427</v>
      </c>
      <c r="B15" s="63" t="s">
        <v>426</v>
      </c>
      <c r="C15" s="29">
        <v>0.6</v>
      </c>
      <c r="D15" s="30">
        <v>0.8</v>
      </c>
      <c r="E15" s="30">
        <v>0.8</v>
      </c>
      <c r="F15" s="30">
        <v>2</v>
      </c>
      <c r="G15" s="29">
        <v>1.1000000000000001</v>
      </c>
      <c r="H15" s="30">
        <v>1.6</v>
      </c>
      <c r="I15" s="30">
        <v>9.5</v>
      </c>
      <c r="J15" s="31">
        <v>16.2</v>
      </c>
      <c r="K15" s="29">
        <v>14.5</v>
      </c>
      <c r="L15" s="30">
        <v>20.8</v>
      </c>
      <c r="M15" s="30">
        <v>22.700000000000003</v>
      </c>
      <c r="N15" s="31">
        <v>18.899999999999999</v>
      </c>
      <c r="O15" s="29">
        <v>4</v>
      </c>
      <c r="P15" s="30">
        <v>15.200000000000001</v>
      </c>
      <c r="Q15" s="30">
        <v>11.600000000000001</v>
      </c>
      <c r="R15" s="31">
        <v>16.899999999999999</v>
      </c>
      <c r="S15" s="29">
        <v>8.4</v>
      </c>
      <c r="T15" s="30">
        <v>7.3</v>
      </c>
      <c r="U15" s="30">
        <v>6.9</v>
      </c>
      <c r="V15" s="31">
        <v>7.3</v>
      </c>
      <c r="W15" s="29">
        <f>5.5+0.3-0.3</f>
        <v>5.5</v>
      </c>
      <c r="X15" s="30">
        <f>8.5+0.4-0.3</f>
        <v>8.6</v>
      </c>
      <c r="Y15" s="30">
        <f>9.6+0.7-0.3</f>
        <v>9.9999999999999982</v>
      </c>
      <c r="Z15" s="31">
        <f>8+0.6-0.3</f>
        <v>8.2999999999999989</v>
      </c>
      <c r="AA15" s="30">
        <f>2.6+0.8-0.3</f>
        <v>3.1000000000000005</v>
      </c>
      <c r="AB15" s="30">
        <f>3.6-0.5+1.1-0.3</f>
        <v>3.9000000000000004</v>
      </c>
      <c r="AC15" s="30">
        <f>-8-1.2+1.1-0.3</f>
        <v>-8.4</v>
      </c>
      <c r="AD15" s="31">
        <f>4.4+1.4-0.3</f>
        <v>5.5000000000000009</v>
      </c>
      <c r="AE15" s="30">
        <f>10.4+1.6-0.3</f>
        <v>11.7</v>
      </c>
      <c r="AF15" s="30">
        <f>10.5+1.9-0.3</f>
        <v>12.1</v>
      </c>
      <c r="AG15" s="30">
        <f>11.5+1.9-0.3</f>
        <v>13.1</v>
      </c>
      <c r="AH15" s="31">
        <f>12.5+2-0.3</f>
        <v>14.2</v>
      </c>
      <c r="AI15" s="30">
        <f>13.7+2.1-0.3</f>
        <v>15.499999999999998</v>
      </c>
      <c r="AJ15" s="30">
        <f>15.6+2.2-0.3</f>
        <v>17.5</v>
      </c>
      <c r="AK15" s="30">
        <f>12.7+2.6-0.3</f>
        <v>14.999999999999998</v>
      </c>
      <c r="AL15" s="31">
        <f>12.8+2.4-0.3</f>
        <v>14.9</v>
      </c>
      <c r="AM15" s="29">
        <f>12+2.1-0.3</f>
        <v>13.799999999999999</v>
      </c>
      <c r="AN15" s="30">
        <f>9.9-0.3</f>
        <v>9.6</v>
      </c>
      <c r="AO15" s="30">
        <f>8.2-0.3</f>
        <v>7.8999999999999995</v>
      </c>
      <c r="AP15" s="31">
        <v>18.600000000000001</v>
      </c>
      <c r="AQ15" s="30">
        <v>14.099999999999998</v>
      </c>
      <c r="AR15" s="30">
        <v>18.100000000000001</v>
      </c>
      <c r="AS15" s="30">
        <v>17.8</v>
      </c>
      <c r="AT15" s="31">
        <v>17.700000000000003</v>
      </c>
      <c r="AU15" s="30">
        <v>20.900000000000002</v>
      </c>
      <c r="AV15" s="30">
        <v>22.200000000000003</v>
      </c>
      <c r="AW15" s="30">
        <v>22.8</v>
      </c>
      <c r="AX15" s="30">
        <v>25.6</v>
      </c>
    </row>
    <row r="16" spans="1:50" s="19" customFormat="1" ht="11.25">
      <c r="A16" s="61" t="s">
        <v>223</v>
      </c>
      <c r="B16" s="61" t="s">
        <v>418</v>
      </c>
      <c r="C16" s="29">
        <v>0</v>
      </c>
      <c r="D16" s="30">
        <v>0</v>
      </c>
      <c r="E16" s="30">
        <v>0</v>
      </c>
      <c r="F16" s="30">
        <v>0</v>
      </c>
      <c r="G16" s="29">
        <v>0</v>
      </c>
      <c r="H16" s="30">
        <v>14.5</v>
      </c>
      <c r="I16" s="30">
        <v>4.4000000000000004</v>
      </c>
      <c r="J16" s="31">
        <v>4.7</v>
      </c>
      <c r="K16" s="29">
        <v>1.9</v>
      </c>
      <c r="L16" s="30">
        <v>2.4</v>
      </c>
      <c r="M16" s="30">
        <v>0.2</v>
      </c>
      <c r="N16" s="31">
        <v>0.4</v>
      </c>
      <c r="O16" s="29">
        <v>0.4</v>
      </c>
      <c r="P16" s="30">
        <v>1.9</v>
      </c>
      <c r="Q16" s="30">
        <v>0.1</v>
      </c>
      <c r="R16" s="31">
        <v>0.1</v>
      </c>
      <c r="S16" s="29">
        <v>4.3</v>
      </c>
      <c r="T16" s="30">
        <v>2.9</v>
      </c>
      <c r="U16" s="30">
        <v>0.2</v>
      </c>
      <c r="V16" s="31">
        <v>3.4</v>
      </c>
      <c r="W16" s="29">
        <v>1.1000000000000001</v>
      </c>
      <c r="X16" s="30">
        <v>0</v>
      </c>
      <c r="Y16" s="30">
        <v>0</v>
      </c>
      <c r="Z16" s="31">
        <v>0.4</v>
      </c>
      <c r="AA16" s="30">
        <v>0</v>
      </c>
      <c r="AB16" s="30">
        <v>0</v>
      </c>
      <c r="AC16" s="30">
        <v>0</v>
      </c>
      <c r="AD16" s="31">
        <v>0</v>
      </c>
      <c r="AE16" s="30">
        <v>0</v>
      </c>
      <c r="AF16" s="30">
        <v>0</v>
      </c>
      <c r="AG16" s="30">
        <v>0</v>
      </c>
      <c r="AH16" s="31">
        <v>0</v>
      </c>
      <c r="AI16" s="30">
        <v>0</v>
      </c>
      <c r="AJ16" s="30">
        <v>0</v>
      </c>
      <c r="AK16" s="30">
        <v>0</v>
      </c>
      <c r="AL16" s="31">
        <v>0</v>
      </c>
      <c r="AM16" s="29">
        <v>0</v>
      </c>
      <c r="AN16" s="30">
        <v>0</v>
      </c>
      <c r="AO16" s="30">
        <v>0</v>
      </c>
      <c r="AP16" s="31">
        <v>0</v>
      </c>
      <c r="AQ16" s="30">
        <v>0</v>
      </c>
      <c r="AR16" s="30">
        <v>0</v>
      </c>
      <c r="AS16" s="30">
        <v>0</v>
      </c>
      <c r="AT16" s="31">
        <v>0</v>
      </c>
      <c r="AU16" s="30">
        <v>0</v>
      </c>
      <c r="AV16" s="30">
        <v>0</v>
      </c>
      <c r="AW16" s="30">
        <v>0</v>
      </c>
      <c r="AX16" s="30">
        <v>0</v>
      </c>
    </row>
    <row r="17" spans="1:50" s="270" customFormat="1" ht="11.25">
      <c r="A17" s="63" t="s">
        <v>211</v>
      </c>
      <c r="B17" s="63" t="s">
        <v>51</v>
      </c>
      <c r="C17" s="29">
        <v>1.3</v>
      </c>
      <c r="D17" s="30">
        <v>3.6</v>
      </c>
      <c r="E17" s="30">
        <f>4.4-0.1</f>
        <v>4.3000000000000007</v>
      </c>
      <c r="F17" s="30">
        <v>1.5</v>
      </c>
      <c r="G17" s="29">
        <v>1.9</v>
      </c>
      <c r="H17" s="30">
        <v>7.8000000000000007</v>
      </c>
      <c r="I17" s="30">
        <v>5.2</v>
      </c>
      <c r="J17" s="31">
        <v>3.6999999999999997</v>
      </c>
      <c r="K17" s="29">
        <v>3.9</v>
      </c>
      <c r="L17" s="30">
        <v>9.1</v>
      </c>
      <c r="M17" s="30">
        <v>6.9</v>
      </c>
      <c r="N17" s="31">
        <v>3</v>
      </c>
      <c r="O17" s="29">
        <v>5.8</v>
      </c>
      <c r="P17" s="30">
        <v>3.9</v>
      </c>
      <c r="Q17" s="30">
        <v>8.1999999999999993</v>
      </c>
      <c r="R17" s="31">
        <v>0.7</v>
      </c>
      <c r="S17" s="29">
        <v>4.5999999999999996</v>
      </c>
      <c r="T17" s="30">
        <v>4.4000000000000004</v>
      </c>
      <c r="U17" s="30">
        <v>5.7</v>
      </c>
      <c r="V17" s="31">
        <v>4.7</v>
      </c>
      <c r="W17" s="29">
        <f>3.8-0.4</f>
        <v>3.4</v>
      </c>
      <c r="X17" s="30">
        <f>7.2-0.3+1.2-0.8</f>
        <v>7.3</v>
      </c>
      <c r="Y17" s="30">
        <f>5.1</f>
        <v>5.0999999999999996</v>
      </c>
      <c r="Z17" s="31">
        <f>5.3</f>
        <v>5.3</v>
      </c>
      <c r="AA17" s="30">
        <f>5.8-1.8</f>
        <v>4</v>
      </c>
      <c r="AB17" s="30">
        <v>2.6</v>
      </c>
      <c r="AC17" s="30">
        <v>3.2</v>
      </c>
      <c r="AD17" s="31">
        <v>6.3</v>
      </c>
      <c r="AE17" s="30">
        <v>3.5</v>
      </c>
      <c r="AF17" s="30">
        <v>8</v>
      </c>
      <c r="AG17" s="30">
        <v>9.5</v>
      </c>
      <c r="AH17" s="31">
        <v>6.2</v>
      </c>
      <c r="AI17" s="30">
        <f>5.2-1</f>
        <v>4.2</v>
      </c>
      <c r="AJ17" s="30">
        <v>5.3</v>
      </c>
      <c r="AK17" s="30">
        <v>9.6999999999999993</v>
      </c>
      <c r="AL17" s="31">
        <v>13.9</v>
      </c>
      <c r="AM17" s="29">
        <f>10.1-1.4</f>
        <v>8.6999999999999993</v>
      </c>
      <c r="AN17" s="30">
        <f>9.3</f>
        <v>9.3000000000000007</v>
      </c>
      <c r="AO17" s="30">
        <f>11.5</f>
        <v>11.5</v>
      </c>
      <c r="AP17" s="31">
        <v>12.4</v>
      </c>
      <c r="AQ17" s="30">
        <v>7.4</v>
      </c>
      <c r="AR17" s="30">
        <v>10.3</v>
      </c>
      <c r="AS17" s="30">
        <v>10.7</v>
      </c>
      <c r="AT17" s="31">
        <v>16.600000000000001</v>
      </c>
      <c r="AU17" s="30">
        <v>13.1</v>
      </c>
      <c r="AV17" s="30">
        <v>12.9</v>
      </c>
      <c r="AW17" s="30">
        <v>12</v>
      </c>
      <c r="AX17" s="30">
        <v>24.2</v>
      </c>
    </row>
    <row r="18" spans="1:50" s="19" customFormat="1" ht="11.25">
      <c r="A18" s="60" t="s">
        <v>395</v>
      </c>
      <c r="B18" s="60" t="s">
        <v>49</v>
      </c>
      <c r="C18" s="34">
        <f t="shared" ref="C18:AB18" si="0">SUM(C6:C17)</f>
        <v>239</v>
      </c>
      <c r="D18" s="35">
        <f t="shared" si="0"/>
        <v>248.50000000000003</v>
      </c>
      <c r="E18" s="35">
        <f t="shared" si="0"/>
        <v>251.79999999999995</v>
      </c>
      <c r="F18" s="35">
        <f t="shared" si="0"/>
        <v>241.49999999999997</v>
      </c>
      <c r="G18" s="34">
        <f t="shared" si="0"/>
        <v>228.79999999999995</v>
      </c>
      <c r="H18" s="35">
        <f t="shared" si="0"/>
        <v>235.70000000000002</v>
      </c>
      <c r="I18" s="35">
        <f t="shared" si="0"/>
        <v>244.7</v>
      </c>
      <c r="J18" s="36">
        <f t="shared" si="0"/>
        <v>268.49999999999994</v>
      </c>
      <c r="K18" s="34">
        <f t="shared" si="0"/>
        <v>255.99999999999997</v>
      </c>
      <c r="L18" s="35">
        <f t="shared" si="0"/>
        <v>274.60000000000002</v>
      </c>
      <c r="M18" s="35">
        <f t="shared" si="0"/>
        <v>278</v>
      </c>
      <c r="N18" s="36">
        <f t="shared" si="0"/>
        <v>275.5</v>
      </c>
      <c r="O18" s="34">
        <f t="shared" si="0"/>
        <v>264</v>
      </c>
      <c r="P18" s="35">
        <f t="shared" si="0"/>
        <v>277.49999999999994</v>
      </c>
      <c r="Q18" s="35">
        <f t="shared" si="0"/>
        <v>286.8</v>
      </c>
      <c r="R18" s="36">
        <f t="shared" si="0"/>
        <v>287.79999999999995</v>
      </c>
      <c r="S18" s="34">
        <f t="shared" si="0"/>
        <v>285.60000000000002</v>
      </c>
      <c r="T18" s="35">
        <f t="shared" si="0"/>
        <v>294.99999999999994</v>
      </c>
      <c r="U18" s="35">
        <f t="shared" si="0"/>
        <v>297.19999999999993</v>
      </c>
      <c r="V18" s="36">
        <f t="shared" si="0"/>
        <v>289.89999999999992</v>
      </c>
      <c r="W18" s="34">
        <f t="shared" si="0"/>
        <v>279.7</v>
      </c>
      <c r="X18" s="35">
        <f t="shared" si="0"/>
        <v>284.30000000000007</v>
      </c>
      <c r="Y18" s="35">
        <f t="shared" si="0"/>
        <v>282.70000000000005</v>
      </c>
      <c r="Z18" s="36">
        <f t="shared" si="0"/>
        <v>290.7</v>
      </c>
      <c r="AA18" s="35">
        <f t="shared" si="0"/>
        <v>270.60000000000002</v>
      </c>
      <c r="AB18" s="35">
        <f t="shared" si="0"/>
        <v>282.8</v>
      </c>
      <c r="AC18" s="35">
        <f t="shared" ref="AC18:AI18" si="1">SUM(AC6:AC17)</f>
        <v>265.70000000000005</v>
      </c>
      <c r="AD18" s="36">
        <f t="shared" si="1"/>
        <v>289.60000000000002</v>
      </c>
      <c r="AE18" s="35">
        <f t="shared" si="1"/>
        <v>296.49999999999994</v>
      </c>
      <c r="AF18" s="35">
        <f t="shared" si="1"/>
        <v>305.29999999999995</v>
      </c>
      <c r="AG18" s="35">
        <f t="shared" si="1"/>
        <v>285.50000000000006</v>
      </c>
      <c r="AH18" s="36">
        <f t="shared" si="1"/>
        <v>279.7</v>
      </c>
      <c r="AI18" s="35">
        <f t="shared" si="1"/>
        <v>275.7</v>
      </c>
      <c r="AJ18" s="35">
        <f t="shared" ref="AJ18:AV18" si="2">SUM(AJ6:AJ17)</f>
        <v>291</v>
      </c>
      <c r="AK18" s="35">
        <f t="shared" si="2"/>
        <v>279.49999999999994</v>
      </c>
      <c r="AL18" s="36">
        <f t="shared" si="2"/>
        <v>286.29999999999995</v>
      </c>
      <c r="AM18" s="35">
        <f t="shared" si="2"/>
        <v>283.90000000000003</v>
      </c>
      <c r="AN18" s="35">
        <f t="shared" si="2"/>
        <v>294.40000000000003</v>
      </c>
      <c r="AO18" s="35">
        <f t="shared" si="2"/>
        <v>302.8</v>
      </c>
      <c r="AP18" s="36">
        <f t="shared" si="2"/>
        <v>320.20000000000005</v>
      </c>
      <c r="AQ18" s="35">
        <f t="shared" si="2"/>
        <v>323.2</v>
      </c>
      <c r="AR18" s="35">
        <f t="shared" si="2"/>
        <v>327.60000000000002</v>
      </c>
      <c r="AS18" s="35">
        <f t="shared" si="2"/>
        <v>343.29999999999995</v>
      </c>
      <c r="AT18" s="36">
        <f t="shared" si="2"/>
        <v>349.00000000000006</v>
      </c>
      <c r="AU18" s="35">
        <f t="shared" si="2"/>
        <v>350.80000000000013</v>
      </c>
      <c r="AV18" s="35">
        <f t="shared" si="2"/>
        <v>381.5</v>
      </c>
      <c r="AW18" s="35">
        <f t="shared" ref="AW18:AX18" si="3">SUM(AW6:AW17)</f>
        <v>355.30000000000007</v>
      </c>
      <c r="AX18" s="35">
        <f t="shared" si="3"/>
        <v>372.60000000000008</v>
      </c>
    </row>
    <row r="19" spans="1:50" s="19" customFormat="1" ht="11.25">
      <c r="A19" s="63"/>
      <c r="B19" s="63"/>
      <c r="C19" s="29"/>
      <c r="D19" s="30"/>
      <c r="E19" s="30"/>
      <c r="F19" s="30"/>
      <c r="G19" s="29"/>
      <c r="H19" s="30"/>
      <c r="I19" s="30"/>
      <c r="J19" s="31"/>
      <c r="K19" s="29"/>
      <c r="L19" s="30"/>
      <c r="M19" s="30"/>
      <c r="N19" s="31"/>
      <c r="O19" s="29"/>
      <c r="P19" s="30"/>
      <c r="Q19" s="30"/>
      <c r="R19" s="31"/>
      <c r="S19" s="29"/>
      <c r="T19" s="30"/>
      <c r="U19" s="30"/>
      <c r="V19" s="31"/>
      <c r="W19" s="29"/>
      <c r="X19" s="30"/>
      <c r="Y19" s="30"/>
      <c r="Z19" s="31"/>
      <c r="AA19" s="30"/>
      <c r="AB19" s="30"/>
      <c r="AC19" s="30"/>
      <c r="AD19" s="31"/>
      <c r="AE19" s="30"/>
      <c r="AF19" s="30"/>
      <c r="AG19" s="30"/>
      <c r="AH19" s="31"/>
      <c r="AI19" s="30"/>
      <c r="AJ19" s="30"/>
      <c r="AK19" s="30"/>
      <c r="AL19" s="31"/>
      <c r="AM19" s="34"/>
      <c r="AN19" s="30"/>
      <c r="AO19" s="30"/>
      <c r="AP19" s="31"/>
      <c r="AQ19" s="30"/>
      <c r="AR19" s="30"/>
      <c r="AS19" s="30"/>
      <c r="AT19" s="31"/>
      <c r="AU19" s="30"/>
      <c r="AV19" s="30"/>
      <c r="AW19" s="30"/>
      <c r="AX19" s="30"/>
    </row>
    <row r="20" spans="1:50" s="19" customFormat="1" ht="11.25">
      <c r="A20" s="60" t="s">
        <v>509</v>
      </c>
      <c r="B20" s="60" t="s">
        <v>52</v>
      </c>
      <c r="C20" s="34">
        <f>16.7-1</f>
        <v>15.7</v>
      </c>
      <c r="D20" s="35">
        <f>15.2-1</f>
        <v>14.2</v>
      </c>
      <c r="E20" s="35">
        <f>21.1-1</f>
        <v>20.100000000000001</v>
      </c>
      <c r="F20" s="35">
        <f>29-1</f>
        <v>28</v>
      </c>
      <c r="G20" s="34">
        <f>22.1-1.2</f>
        <v>20.900000000000002</v>
      </c>
      <c r="H20" s="35">
        <f>19.9-1.2</f>
        <v>18.7</v>
      </c>
      <c r="I20" s="35">
        <f>16.4-1.2</f>
        <v>15.2</v>
      </c>
      <c r="J20" s="36">
        <f>29.6-1.2</f>
        <v>28.400000000000002</v>
      </c>
      <c r="K20" s="34">
        <f>22.1-4.1-0.1</f>
        <v>17.899999999999999</v>
      </c>
      <c r="L20" s="35">
        <f>25.4-4.1-0.7</f>
        <v>20.599999999999998</v>
      </c>
      <c r="M20" s="35">
        <f>25-4.1</f>
        <v>20.9</v>
      </c>
      <c r="N20" s="36">
        <f>48.2-4.1-0.2</f>
        <v>43.9</v>
      </c>
      <c r="O20" s="34">
        <f>35.6-3.9-0.1</f>
        <v>31.6</v>
      </c>
      <c r="P20" s="35">
        <f>30.7-3.9-0.1</f>
        <v>26.7</v>
      </c>
      <c r="Q20" s="35">
        <f>31.6-3.9-0.3-0.1</f>
        <v>27.3</v>
      </c>
      <c r="R20" s="36">
        <f>31.9-3.9-0.2-0.2</f>
        <v>27.6</v>
      </c>
      <c r="S20" s="34">
        <f>34.5-9.1-0.1-0.2</f>
        <v>25.099999999999998</v>
      </c>
      <c r="T20" s="35">
        <f>37.3-9.1-0.5-0.2</f>
        <v>27.499999999999996</v>
      </c>
      <c r="U20" s="35">
        <f>36.3-9.1-0.3-0.2</f>
        <v>26.699999999999996</v>
      </c>
      <c r="V20" s="36">
        <f>40.8-9.1-0.7-0.2</f>
        <v>30.799999999999997</v>
      </c>
      <c r="W20" s="34">
        <f>33.7-11-0.4-0.3-0.3</f>
        <v>21.700000000000003</v>
      </c>
      <c r="X20" s="35">
        <f>35-11-0.4-0.4-0.3</f>
        <v>22.900000000000002</v>
      </c>
      <c r="Y20" s="35">
        <f>32.6-11-0.4-0.4-0.3</f>
        <v>20.500000000000004</v>
      </c>
      <c r="Z20" s="36">
        <f>36.9-11-1.6-0.3</f>
        <v>23.999999999999996</v>
      </c>
      <c r="AA20" s="35">
        <f>31.5-11.3-0.3-0.1-0.3</f>
        <v>19.499999999999996</v>
      </c>
      <c r="AB20" s="35">
        <f>33.8-11.4-0.2-0.1-0.3</f>
        <v>21.799999999999997</v>
      </c>
      <c r="AC20" s="35">
        <f>33.6-11.3-0.3-1-0.3</f>
        <v>20.7</v>
      </c>
      <c r="AD20" s="36">
        <f>38.7-11.3-0.5-1.8-0.3</f>
        <v>24.8</v>
      </c>
      <c r="AE20" s="35">
        <f>21.6-0.9-0.3</f>
        <v>20.400000000000002</v>
      </c>
      <c r="AF20" s="35">
        <f>26.2-0.2-0.3</f>
        <v>25.7</v>
      </c>
      <c r="AG20" s="35">
        <f>28.1-0.6-0.3</f>
        <v>27.2</v>
      </c>
      <c r="AH20" s="36">
        <f>31.1-0.3</f>
        <v>30.8</v>
      </c>
      <c r="AI20" s="35">
        <f>27-0.3-1</f>
        <v>25.7</v>
      </c>
      <c r="AJ20" s="35">
        <f>27.8-0.3</f>
        <v>27.5</v>
      </c>
      <c r="AK20" s="35">
        <f>30.9-0.3</f>
        <v>30.599999999999998</v>
      </c>
      <c r="AL20" s="36">
        <f>31.8-0.3</f>
        <v>31.5</v>
      </c>
      <c r="AM20" s="35">
        <f>31.7-0.3-1.4</f>
        <v>30</v>
      </c>
      <c r="AN20" s="35">
        <f>36.6-0.3</f>
        <v>36.300000000000004</v>
      </c>
      <c r="AO20" s="35">
        <f>33.8-0.3</f>
        <v>33.5</v>
      </c>
      <c r="AP20" s="36">
        <v>36.700000000000003</v>
      </c>
      <c r="AQ20" s="35">
        <v>32.4</v>
      </c>
      <c r="AR20" s="35">
        <v>34.5</v>
      </c>
      <c r="AS20" s="35">
        <v>33.400000000000006</v>
      </c>
      <c r="AT20" s="36">
        <v>46.79999999999999</v>
      </c>
      <c r="AU20" s="35">
        <v>32.699999999999996</v>
      </c>
      <c r="AV20" s="35">
        <v>41.9</v>
      </c>
      <c r="AW20" s="35">
        <v>38.800000000000004</v>
      </c>
      <c r="AX20" s="35">
        <v>41.9</v>
      </c>
    </row>
    <row r="21" spans="1:50" s="19" customFormat="1" ht="11.25">
      <c r="A21" s="64"/>
      <c r="B21" s="64"/>
      <c r="C21" s="29"/>
      <c r="D21" s="30"/>
      <c r="E21" s="30"/>
      <c r="F21" s="30"/>
      <c r="G21" s="29"/>
      <c r="H21" s="30"/>
      <c r="I21" s="30"/>
      <c r="J21" s="31"/>
      <c r="K21" s="29"/>
      <c r="L21" s="30"/>
      <c r="M21" s="30"/>
      <c r="N21" s="31"/>
      <c r="O21" s="29"/>
      <c r="P21" s="30"/>
      <c r="Q21" s="30"/>
      <c r="R21" s="31"/>
      <c r="S21" s="29"/>
      <c r="T21" s="30"/>
      <c r="U21" s="30"/>
      <c r="V21" s="31"/>
      <c r="W21" s="29"/>
      <c r="X21" s="30"/>
      <c r="Y21" s="30"/>
      <c r="Z21" s="31"/>
      <c r="AA21" s="30"/>
      <c r="AB21" s="30"/>
      <c r="AC21" s="30"/>
      <c r="AD21" s="31"/>
      <c r="AE21" s="30"/>
      <c r="AF21" s="30"/>
      <c r="AG21" s="30"/>
      <c r="AH21" s="31"/>
      <c r="AI21" s="30"/>
      <c r="AJ21" s="30"/>
      <c r="AK21" s="30"/>
      <c r="AL21" s="31"/>
      <c r="AM21" s="30"/>
      <c r="AN21" s="30"/>
      <c r="AO21" s="30"/>
      <c r="AP21" s="31"/>
      <c r="AQ21" s="30"/>
      <c r="AR21" s="30"/>
      <c r="AS21" s="30"/>
      <c r="AT21" s="31"/>
      <c r="AU21" s="30"/>
      <c r="AV21" s="30"/>
      <c r="AW21" s="30"/>
      <c r="AX21" s="30"/>
    </row>
    <row r="22" spans="1:50" s="271" customFormat="1" ht="11.25">
      <c r="A22" s="65" t="s">
        <v>162</v>
      </c>
      <c r="B22" s="65" t="s">
        <v>47</v>
      </c>
      <c r="C22" s="42">
        <f>C18-C20</f>
        <v>223.3</v>
      </c>
      <c r="D22" s="43">
        <f t="shared" ref="D22:W22" si="4">D18-D20</f>
        <v>234.30000000000004</v>
      </c>
      <c r="E22" s="43">
        <f>E18-E20</f>
        <v>231.69999999999996</v>
      </c>
      <c r="F22" s="43">
        <f t="shared" si="4"/>
        <v>213.49999999999997</v>
      </c>
      <c r="G22" s="42">
        <f t="shared" si="4"/>
        <v>207.89999999999995</v>
      </c>
      <c r="H22" s="43">
        <f t="shared" si="4"/>
        <v>217.00000000000003</v>
      </c>
      <c r="I22" s="43">
        <f t="shared" si="4"/>
        <v>229.5</v>
      </c>
      <c r="J22" s="44">
        <f t="shared" si="4"/>
        <v>240.09999999999994</v>
      </c>
      <c r="K22" s="42">
        <f t="shared" si="4"/>
        <v>238.09999999999997</v>
      </c>
      <c r="L22" s="43">
        <f t="shared" si="4"/>
        <v>254.00000000000003</v>
      </c>
      <c r="M22" s="43">
        <f t="shared" si="4"/>
        <v>257.10000000000002</v>
      </c>
      <c r="N22" s="44">
        <f t="shared" si="4"/>
        <v>231.6</v>
      </c>
      <c r="O22" s="42">
        <f t="shared" si="4"/>
        <v>232.4</v>
      </c>
      <c r="P22" s="43">
        <f t="shared" si="4"/>
        <v>250.79999999999995</v>
      </c>
      <c r="Q22" s="43">
        <f t="shared" si="4"/>
        <v>259.5</v>
      </c>
      <c r="R22" s="44">
        <f t="shared" si="4"/>
        <v>260.19999999999993</v>
      </c>
      <c r="S22" s="42">
        <f t="shared" si="4"/>
        <v>260.5</v>
      </c>
      <c r="T22" s="43">
        <f t="shared" si="4"/>
        <v>267.49999999999994</v>
      </c>
      <c r="U22" s="43">
        <f t="shared" si="4"/>
        <v>270.49999999999994</v>
      </c>
      <c r="V22" s="44">
        <f t="shared" si="4"/>
        <v>259.09999999999991</v>
      </c>
      <c r="W22" s="42">
        <f t="shared" si="4"/>
        <v>258</v>
      </c>
      <c r="X22" s="43">
        <f t="shared" ref="X22:AI22" si="5">X18-X20</f>
        <v>261.40000000000009</v>
      </c>
      <c r="Y22" s="43">
        <f t="shared" si="5"/>
        <v>262.20000000000005</v>
      </c>
      <c r="Z22" s="44">
        <f t="shared" si="5"/>
        <v>266.7</v>
      </c>
      <c r="AA22" s="42">
        <f t="shared" si="5"/>
        <v>251.10000000000002</v>
      </c>
      <c r="AB22" s="43">
        <f t="shared" si="5"/>
        <v>261</v>
      </c>
      <c r="AC22" s="43">
        <f t="shared" si="5"/>
        <v>245.00000000000006</v>
      </c>
      <c r="AD22" s="44">
        <f t="shared" si="5"/>
        <v>264.8</v>
      </c>
      <c r="AE22" s="42">
        <f t="shared" si="5"/>
        <v>276.09999999999997</v>
      </c>
      <c r="AF22" s="43">
        <f t="shared" si="5"/>
        <v>279.59999999999997</v>
      </c>
      <c r="AG22" s="43">
        <f t="shared" si="5"/>
        <v>258.30000000000007</v>
      </c>
      <c r="AH22" s="44">
        <f t="shared" si="5"/>
        <v>248.89999999999998</v>
      </c>
      <c r="AI22" s="42">
        <f t="shared" si="5"/>
        <v>250</v>
      </c>
      <c r="AJ22" s="43">
        <f t="shared" ref="AJ22:AV22" si="6">AJ18-AJ20</f>
        <v>263.5</v>
      </c>
      <c r="AK22" s="43">
        <f t="shared" si="6"/>
        <v>248.89999999999995</v>
      </c>
      <c r="AL22" s="44">
        <f t="shared" si="6"/>
        <v>254.79999999999995</v>
      </c>
      <c r="AM22" s="43">
        <f t="shared" si="6"/>
        <v>253.90000000000003</v>
      </c>
      <c r="AN22" s="43">
        <f t="shared" si="6"/>
        <v>258.10000000000002</v>
      </c>
      <c r="AO22" s="43">
        <f t="shared" si="6"/>
        <v>269.3</v>
      </c>
      <c r="AP22" s="44">
        <f t="shared" si="6"/>
        <v>283.50000000000006</v>
      </c>
      <c r="AQ22" s="42">
        <f t="shared" si="6"/>
        <v>290.8</v>
      </c>
      <c r="AR22" s="43">
        <f t="shared" si="6"/>
        <v>293.10000000000002</v>
      </c>
      <c r="AS22" s="43">
        <f t="shared" si="6"/>
        <v>309.89999999999998</v>
      </c>
      <c r="AT22" s="44">
        <f t="shared" si="6"/>
        <v>302.20000000000005</v>
      </c>
      <c r="AU22" s="42">
        <f t="shared" si="6"/>
        <v>318.10000000000014</v>
      </c>
      <c r="AV22" s="43">
        <f t="shared" si="6"/>
        <v>339.6</v>
      </c>
      <c r="AW22" s="43">
        <f t="shared" ref="AW22:AX22" si="7">AW18-AW20</f>
        <v>316.50000000000006</v>
      </c>
      <c r="AX22" s="43">
        <f t="shared" si="7"/>
        <v>330.7000000000001</v>
      </c>
    </row>
    <row r="23" spans="1:50">
      <c r="A23" s="13"/>
      <c r="B23" s="13"/>
      <c r="AP23" s="21"/>
      <c r="AQ23" s="21"/>
      <c r="AR23" s="21"/>
      <c r="AS23" s="21"/>
      <c r="AV23" s="21"/>
      <c r="AW23" s="21"/>
      <c r="AX23" s="21"/>
    </row>
    <row r="24" spans="1:50">
      <c r="A24" s="13"/>
      <c r="B24" s="13"/>
      <c r="AA24" s="21"/>
      <c r="AB24" s="21"/>
      <c r="AC24" s="21"/>
      <c r="AD24" s="21"/>
      <c r="AE24" s="21"/>
      <c r="AF24" s="21"/>
      <c r="AG24" s="21"/>
      <c r="AH24" s="21"/>
      <c r="AI24" s="21"/>
      <c r="AJ24" s="21"/>
      <c r="AK24" s="21"/>
      <c r="AL24" s="21"/>
      <c r="AM24" s="21"/>
      <c r="AN24" s="21"/>
      <c r="AO24" s="21"/>
      <c r="AP24" s="21"/>
      <c r="AQ24" s="21"/>
      <c r="AR24" s="21"/>
      <c r="AS24" s="21"/>
      <c r="AT24" s="21"/>
      <c r="AV24" s="21"/>
      <c r="AW24" s="21"/>
      <c r="AX24" s="21"/>
    </row>
    <row r="25" spans="1:50">
      <c r="A25" s="13"/>
      <c r="B25" s="13"/>
      <c r="AA25" s="21"/>
      <c r="AB25" s="21"/>
      <c r="AC25" s="21"/>
      <c r="AD25" s="21"/>
      <c r="AE25" s="21"/>
      <c r="AF25" s="21"/>
      <c r="AG25" s="21"/>
      <c r="AH25" s="21"/>
      <c r="AI25" s="21"/>
      <c r="AJ25" s="21"/>
      <c r="AK25" s="21"/>
      <c r="AL25" s="21"/>
      <c r="AM25" s="21"/>
      <c r="AN25" s="21"/>
      <c r="AO25" s="21"/>
      <c r="AP25" s="21"/>
      <c r="AQ25" s="21"/>
      <c r="AR25" s="21"/>
      <c r="AS25" s="21"/>
      <c r="AT25" s="21"/>
      <c r="AV25" s="21"/>
      <c r="AW25" s="21"/>
      <c r="AX25" s="21"/>
    </row>
    <row r="26" spans="1:50" s="19" customFormat="1" ht="11.25">
      <c r="C26" s="66"/>
      <c r="D26" s="66"/>
      <c r="E26" s="66"/>
      <c r="F26" s="66"/>
      <c r="G26" s="66"/>
      <c r="H26" s="66"/>
      <c r="I26" s="66"/>
      <c r="J26" s="66"/>
      <c r="K26" s="66"/>
      <c r="L26" s="66"/>
      <c r="M26" s="66"/>
      <c r="N26" s="66"/>
      <c r="O26" s="66"/>
      <c r="P26" s="66"/>
      <c r="Q26" s="66"/>
      <c r="R26" s="66"/>
      <c r="S26" s="66"/>
      <c r="T26" s="66"/>
      <c r="U26" s="66"/>
      <c r="V26" s="66"/>
      <c r="W26" s="66"/>
      <c r="X26" s="66"/>
      <c r="Y26" s="66"/>
      <c r="Z26" s="66"/>
      <c r="AA26" s="47"/>
      <c r="AB26" s="47"/>
      <c r="AC26" s="47"/>
      <c r="AD26" s="47"/>
      <c r="AE26" s="47"/>
      <c r="AF26" s="47"/>
      <c r="AG26" s="47"/>
      <c r="AH26" s="47"/>
      <c r="AI26" s="47"/>
      <c r="AJ26" s="47"/>
      <c r="AK26" s="47"/>
      <c r="AL26" s="47"/>
      <c r="AM26" s="47"/>
      <c r="AN26" s="47"/>
      <c r="AO26" s="47"/>
      <c r="AP26" s="47"/>
      <c r="AQ26" s="47"/>
      <c r="AR26" s="47"/>
      <c r="AS26" s="47"/>
      <c r="AT26" s="47"/>
      <c r="AV26" s="47"/>
      <c r="AW26" s="47"/>
      <c r="AX26" s="47"/>
    </row>
    <row r="27" spans="1:50">
      <c r="A27" s="13"/>
      <c r="B27" s="13"/>
      <c r="W27" s="67"/>
      <c r="X27" s="67"/>
      <c r="Y27" s="67"/>
      <c r="Z27" s="67"/>
      <c r="AA27" s="67"/>
      <c r="AB27" s="67"/>
      <c r="AC27" s="67"/>
      <c r="AD27" s="67"/>
      <c r="AE27" s="67"/>
      <c r="AF27" s="67"/>
      <c r="AG27" s="67"/>
      <c r="AH27" s="67"/>
      <c r="AI27" s="67"/>
      <c r="AJ27" s="67"/>
      <c r="AK27" s="67"/>
      <c r="AL27" s="67"/>
      <c r="AM27" s="67"/>
      <c r="AN27" s="67"/>
      <c r="AO27" s="67"/>
      <c r="AP27" s="67"/>
      <c r="AQ27" s="67"/>
      <c r="AR27" s="67"/>
      <c r="AS27" s="67"/>
      <c r="AT27" s="67"/>
      <c r="AV27" s="67"/>
      <c r="AW27" s="67"/>
      <c r="AX27" s="67"/>
    </row>
    <row r="28" spans="1:50">
      <c r="A28" s="13"/>
      <c r="B28" s="13"/>
    </row>
    <row r="29" spans="1:50">
      <c r="A29" s="13"/>
      <c r="B29" s="13"/>
      <c r="AA29" s="42"/>
      <c r="AB29" s="43"/>
      <c r="AC29" s="43"/>
      <c r="AD29" s="44"/>
    </row>
    <row r="30" spans="1:50">
      <c r="A30" s="13"/>
      <c r="B30" s="13"/>
      <c r="AA30" s="21"/>
      <c r="AB30" s="21"/>
      <c r="AC30" s="21"/>
      <c r="AD30" s="21"/>
    </row>
    <row r="31" spans="1:50">
      <c r="A31" s="13"/>
      <c r="B31" s="13"/>
    </row>
    <row r="32" spans="1:50">
      <c r="A32" s="13"/>
      <c r="B32" s="13"/>
    </row>
    <row r="33" spans="1:2">
      <c r="A33" s="13"/>
      <c r="B33" s="13"/>
    </row>
    <row r="34" spans="1:2">
      <c r="A34" s="13"/>
      <c r="B34" s="13"/>
    </row>
    <row r="35" spans="1:2">
      <c r="A35" s="13"/>
      <c r="B35" s="13"/>
    </row>
    <row r="36" spans="1:2">
      <c r="A36" s="13"/>
      <c r="B36" s="13"/>
    </row>
  </sheetData>
  <mergeCells count="14">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40" orientation="landscape" r:id="rId1"/>
  <headerFooter alignWithMargins="0">
    <oddHeader xml:space="preserve">&amp;C&amp;"Times New Roman,Kursywa"&amp;12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BB42"/>
  <sheetViews>
    <sheetView showGridLines="0" view="pageBreakPreview" zoomScaleNormal="100" zoomScaleSheetLayoutView="100" zoomScalePageLayoutView="80" workbookViewId="0">
      <pane xSplit="2" ySplit="4" topLeftCell="AN5" activePane="bottomRight" state="frozen"/>
      <selection pane="topRight" activeCell="C1" sqref="C1"/>
      <selection pane="bottomLeft" activeCell="A5" sqref="A5"/>
      <selection pane="bottomRight" activeCell="A2" sqref="A2:A3"/>
    </sheetView>
  </sheetViews>
  <sheetFormatPr defaultColWidth="8.85546875" defaultRowHeight="13.5" outlineLevelCol="1"/>
  <cols>
    <col min="1" max="1" width="54.140625" style="58" customWidth="1" outlineLevel="1"/>
    <col min="2" max="2" width="54.140625" style="58" bestFit="1" customWidth="1"/>
    <col min="3" max="10" width="6" style="13" customWidth="1"/>
    <col min="11" max="11" width="6.7109375" style="13" bestFit="1" customWidth="1"/>
    <col min="12" max="46" width="6" style="13" customWidth="1"/>
    <col min="47" max="47" width="6" style="71" customWidth="1"/>
    <col min="48" max="50" width="6" style="13" customWidth="1"/>
    <col min="51" max="16384" width="8.85546875" style="13"/>
  </cols>
  <sheetData>
    <row r="1" spans="1:54">
      <c r="A1" s="59" t="s">
        <v>430</v>
      </c>
      <c r="B1" s="59" t="s">
        <v>431</v>
      </c>
      <c r="X1" s="14"/>
      <c r="Y1" s="14"/>
      <c r="Z1" s="14"/>
    </row>
    <row r="2" spans="1:54">
      <c r="A2" s="481" t="s">
        <v>237</v>
      </c>
      <c r="B2" s="481" t="s">
        <v>54</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8"/>
      <c r="AI2" s="477">
        <v>2015</v>
      </c>
      <c r="AJ2" s="475"/>
      <c r="AK2" s="475"/>
      <c r="AL2" s="478"/>
      <c r="AM2" s="477">
        <v>2016</v>
      </c>
      <c r="AN2" s="475"/>
      <c r="AO2" s="475"/>
      <c r="AP2" s="475"/>
      <c r="AQ2" s="477">
        <v>2017</v>
      </c>
      <c r="AR2" s="475"/>
      <c r="AS2" s="475"/>
      <c r="AT2" s="475"/>
      <c r="AU2" s="477">
        <v>2018</v>
      </c>
      <c r="AV2" s="479"/>
      <c r="AW2" s="479"/>
      <c r="AX2" s="484"/>
    </row>
    <row r="3" spans="1:54"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3" t="s">
        <v>151</v>
      </c>
      <c r="AB3" s="23" t="s">
        <v>152</v>
      </c>
      <c r="AC3" s="23" t="s">
        <v>153</v>
      </c>
      <c r="AD3" s="48" t="s">
        <v>154</v>
      </c>
      <c r="AE3" s="23" t="s">
        <v>151</v>
      </c>
      <c r="AF3" s="23" t="s">
        <v>152</v>
      </c>
      <c r="AG3" s="23" t="s">
        <v>153</v>
      </c>
      <c r="AH3" s="48" t="s">
        <v>154</v>
      </c>
      <c r="AI3" s="23" t="s">
        <v>151</v>
      </c>
      <c r="AJ3" s="23" t="s">
        <v>152</v>
      </c>
      <c r="AK3" s="23" t="s">
        <v>153</v>
      </c>
      <c r="AL3" s="48" t="s">
        <v>154</v>
      </c>
      <c r="AM3" s="23" t="s">
        <v>151</v>
      </c>
      <c r="AN3" s="23" t="s">
        <v>152</v>
      </c>
      <c r="AO3" s="23" t="s">
        <v>153</v>
      </c>
      <c r="AP3" s="23" t="s">
        <v>154</v>
      </c>
      <c r="AQ3" s="22" t="s">
        <v>151</v>
      </c>
      <c r="AR3" s="23" t="s">
        <v>152</v>
      </c>
      <c r="AS3" s="23" t="s">
        <v>153</v>
      </c>
      <c r="AT3" s="23" t="s">
        <v>154</v>
      </c>
      <c r="AU3" s="22" t="s">
        <v>151</v>
      </c>
      <c r="AV3" s="23" t="s">
        <v>152</v>
      </c>
      <c r="AW3" s="23" t="s">
        <v>153</v>
      </c>
      <c r="AX3" s="23" t="s">
        <v>154</v>
      </c>
    </row>
    <row r="4" spans="1:54" s="267" customFormat="1" ht="12.75" customHeight="1">
      <c r="A4" s="24" t="s">
        <v>156</v>
      </c>
      <c r="B4" s="24" t="s">
        <v>11</v>
      </c>
      <c r="C4" s="128"/>
      <c r="D4" s="129"/>
      <c r="E4" s="61"/>
      <c r="F4" s="129"/>
      <c r="G4" s="128"/>
      <c r="H4" s="129"/>
      <c r="I4" s="61"/>
      <c r="J4" s="130"/>
      <c r="K4" s="128"/>
      <c r="L4" s="129"/>
      <c r="M4" s="61"/>
      <c r="N4" s="130"/>
      <c r="O4" s="128"/>
      <c r="P4" s="129"/>
      <c r="Q4" s="61"/>
      <c r="R4" s="130"/>
      <c r="S4" s="128"/>
      <c r="T4" s="129"/>
      <c r="U4" s="61"/>
      <c r="V4" s="130"/>
      <c r="W4" s="61"/>
      <c r="X4" s="61"/>
      <c r="Y4" s="61"/>
      <c r="Z4" s="272"/>
      <c r="AA4" s="61"/>
      <c r="AB4" s="61"/>
      <c r="AC4" s="61"/>
      <c r="AD4" s="272"/>
      <c r="AE4" s="61"/>
      <c r="AF4" s="61"/>
      <c r="AG4" s="61"/>
      <c r="AH4" s="272"/>
      <c r="AI4" s="61"/>
      <c r="AJ4" s="61"/>
      <c r="AK4" s="61"/>
      <c r="AL4" s="272"/>
      <c r="AM4" s="61"/>
      <c r="AN4" s="61"/>
      <c r="AO4" s="61"/>
      <c r="AP4" s="61"/>
      <c r="AQ4" s="128"/>
      <c r="AR4" s="61"/>
      <c r="AS4" s="61"/>
      <c r="AT4" s="61"/>
      <c r="AU4" s="131"/>
      <c r="AV4" s="24"/>
      <c r="AW4" s="61"/>
      <c r="AX4" s="61"/>
    </row>
    <row r="5" spans="1:54" s="268" customFormat="1" ht="22.5">
      <c r="A5" s="33" t="s">
        <v>823</v>
      </c>
      <c r="B5" s="33" t="s">
        <v>802</v>
      </c>
      <c r="C5" s="34">
        <f t="shared" ref="C5:AU5" si="0">C6+C7</f>
        <v>30.099999999999998</v>
      </c>
      <c r="D5" s="35">
        <f t="shared" si="0"/>
        <v>40.4</v>
      </c>
      <c r="E5" s="35">
        <f t="shared" si="0"/>
        <v>42.400000000000006</v>
      </c>
      <c r="F5" s="35">
        <f t="shared" si="0"/>
        <v>49.700000000000017</v>
      </c>
      <c r="G5" s="34">
        <f t="shared" si="0"/>
        <v>37.800000000000011</v>
      </c>
      <c r="H5" s="35">
        <f t="shared" si="0"/>
        <v>91.4</v>
      </c>
      <c r="I5" s="35">
        <f t="shared" si="0"/>
        <v>17</v>
      </c>
      <c r="J5" s="36">
        <f t="shared" si="0"/>
        <v>84.200000000000045</v>
      </c>
      <c r="K5" s="34">
        <f t="shared" si="0"/>
        <v>-58.199999999999818</v>
      </c>
      <c r="L5" s="35">
        <f t="shared" si="0"/>
        <v>-46.399999999999977</v>
      </c>
      <c r="M5" s="35">
        <f t="shared" si="0"/>
        <v>-18</v>
      </c>
      <c r="N5" s="36">
        <f t="shared" si="0"/>
        <v>-60.899999999999977</v>
      </c>
      <c r="O5" s="34">
        <f t="shared" si="0"/>
        <v>-5.7999999999999829</v>
      </c>
      <c r="P5" s="35">
        <f t="shared" si="0"/>
        <v>-4</v>
      </c>
      <c r="Q5" s="35">
        <f t="shared" si="0"/>
        <v>10.199999999999989</v>
      </c>
      <c r="R5" s="36">
        <f t="shared" si="0"/>
        <v>-6.0999999999999943</v>
      </c>
      <c r="S5" s="34">
        <f t="shared" si="0"/>
        <v>17</v>
      </c>
      <c r="T5" s="35">
        <f t="shared" si="0"/>
        <v>-3.7000000000000028</v>
      </c>
      <c r="U5" s="35">
        <f t="shared" si="0"/>
        <v>-30.599999999999994</v>
      </c>
      <c r="V5" s="36">
        <f t="shared" si="0"/>
        <v>4</v>
      </c>
      <c r="W5" s="35">
        <f t="shared" si="0"/>
        <v>34.699999999999989</v>
      </c>
      <c r="X5" s="35">
        <f t="shared" si="0"/>
        <v>8.5999999999999943</v>
      </c>
      <c r="Y5" s="35">
        <f t="shared" si="0"/>
        <v>4.8000000000000043</v>
      </c>
      <c r="Z5" s="36">
        <f t="shared" si="0"/>
        <v>-6.1999999999999993</v>
      </c>
      <c r="AA5" s="35">
        <f t="shared" si="0"/>
        <v>12.900000000000006</v>
      </c>
      <c r="AB5" s="35">
        <f t="shared" si="0"/>
        <v>6.1999999999999993</v>
      </c>
      <c r="AC5" s="35">
        <f t="shared" si="0"/>
        <v>13.899999999999999</v>
      </c>
      <c r="AD5" s="36">
        <f t="shared" si="0"/>
        <v>7.5</v>
      </c>
      <c r="AE5" s="35">
        <f t="shared" si="0"/>
        <v>15</v>
      </c>
      <c r="AF5" s="35">
        <f t="shared" si="0"/>
        <v>17.799999999999997</v>
      </c>
      <c r="AG5" s="35">
        <f t="shared" si="0"/>
        <v>18.399999999999999</v>
      </c>
      <c r="AH5" s="36">
        <f t="shared" si="0"/>
        <v>8.2000000000000011</v>
      </c>
      <c r="AI5" s="35">
        <f t="shared" si="0"/>
        <v>3.7999999999999989</v>
      </c>
      <c r="AJ5" s="35">
        <f t="shared" si="0"/>
        <v>15.499999999999998</v>
      </c>
      <c r="AK5" s="35">
        <f t="shared" si="0"/>
        <v>14.600000000000001</v>
      </c>
      <c r="AL5" s="36">
        <f t="shared" si="0"/>
        <v>12</v>
      </c>
      <c r="AM5" s="35">
        <f t="shared" si="0"/>
        <v>14.200000000000003</v>
      </c>
      <c r="AN5" s="35">
        <f t="shared" si="0"/>
        <v>1.6999999999999957</v>
      </c>
      <c r="AO5" s="35">
        <f t="shared" si="0"/>
        <v>11.100000000000009</v>
      </c>
      <c r="AP5" s="35">
        <f t="shared" si="0"/>
        <v>10.600000000000009</v>
      </c>
      <c r="AQ5" s="34">
        <f t="shared" si="0"/>
        <v>23.799999999999997</v>
      </c>
      <c r="AR5" s="35">
        <f t="shared" si="0"/>
        <v>17.499999999999996</v>
      </c>
      <c r="AS5" s="35">
        <f t="shared" si="0"/>
        <v>21.6</v>
      </c>
      <c r="AT5" s="35">
        <f t="shared" si="0"/>
        <v>16</v>
      </c>
      <c r="AU5" s="81">
        <f t="shared" si="0"/>
        <v>8.3000000000000007</v>
      </c>
      <c r="AV5" s="82">
        <f>AV6+AV7</f>
        <v>7.7000000000000028</v>
      </c>
      <c r="AW5" s="35">
        <f>AW6+AW7</f>
        <v>8.3999999999999986</v>
      </c>
      <c r="AX5" s="35">
        <f>AX6+AX7</f>
        <v>11.3</v>
      </c>
      <c r="AY5" s="269"/>
      <c r="AZ5" s="269"/>
      <c r="BA5" s="269"/>
      <c r="BB5" s="269"/>
    </row>
    <row r="6" spans="1:54" s="267" customFormat="1" ht="11.25">
      <c r="A6" s="64" t="s">
        <v>803</v>
      </c>
      <c r="B6" s="64" t="s">
        <v>804</v>
      </c>
      <c r="C6" s="29">
        <v>-2.2999999999999998</v>
      </c>
      <c r="D6" s="30">
        <v>27.3</v>
      </c>
      <c r="E6" s="30">
        <v>-148.19999999999999</v>
      </c>
      <c r="F6" s="30">
        <v>-218.9</v>
      </c>
      <c r="G6" s="29">
        <v>-160.19999999999999</v>
      </c>
      <c r="H6" s="30">
        <v>180.3</v>
      </c>
      <c r="I6" s="30">
        <v>474.8</v>
      </c>
      <c r="J6" s="31">
        <v>-543.79999999999995</v>
      </c>
      <c r="K6" s="29">
        <v>-2835.6</v>
      </c>
      <c r="L6" s="30">
        <v>686.1</v>
      </c>
      <c r="M6" s="30">
        <v>477.8</v>
      </c>
      <c r="N6" s="31">
        <v>296.3</v>
      </c>
      <c r="O6" s="29">
        <v>235.9</v>
      </c>
      <c r="P6" s="30">
        <v>-183.2</v>
      </c>
      <c r="Q6" s="30">
        <v>161</v>
      </c>
      <c r="R6" s="31">
        <v>204</v>
      </c>
      <c r="S6" s="29">
        <v>184.3</v>
      </c>
      <c r="T6" s="30">
        <v>-102.3</v>
      </c>
      <c r="U6" s="30">
        <v>112.4</v>
      </c>
      <c r="V6" s="31">
        <v>-46.2</v>
      </c>
      <c r="W6" s="30">
        <v>135.69999999999999</v>
      </c>
      <c r="X6" s="30">
        <v>222.5</v>
      </c>
      <c r="Y6" s="30">
        <v>58.2</v>
      </c>
      <c r="Z6" s="31">
        <v>-18.399999999999999</v>
      </c>
      <c r="AA6" s="30">
        <v>91.4</v>
      </c>
      <c r="AB6" s="30">
        <f>-41.9+10.3</f>
        <v>-31.599999999999998</v>
      </c>
      <c r="AC6" s="30">
        <f>-44.9-5.1</f>
        <v>-50</v>
      </c>
      <c r="AD6" s="31">
        <v>-22.4</v>
      </c>
      <c r="AE6" s="30">
        <v>9.1</v>
      </c>
      <c r="AF6" s="30">
        <v>-38.700000000000003</v>
      </c>
      <c r="AG6" s="30">
        <v>57.9</v>
      </c>
      <c r="AH6" s="31">
        <v>-10.6</v>
      </c>
      <c r="AI6" s="30">
        <v>19.399999999999999</v>
      </c>
      <c r="AJ6" s="30">
        <v>-1.9</v>
      </c>
      <c r="AK6" s="30">
        <v>16.100000000000001</v>
      </c>
      <c r="AL6" s="31">
        <v>53.9</v>
      </c>
      <c r="AM6" s="30">
        <v>-94</v>
      </c>
      <c r="AN6" s="30">
        <v>-44.1</v>
      </c>
      <c r="AO6" s="30">
        <v>68.400000000000006</v>
      </c>
      <c r="AP6" s="30">
        <v>99.4</v>
      </c>
      <c r="AQ6" s="29">
        <v>-41.8</v>
      </c>
      <c r="AR6" s="30">
        <v>38.799999999999997</v>
      </c>
      <c r="AS6" s="30">
        <v>4.5</v>
      </c>
      <c r="AT6" s="30">
        <v>56.4</v>
      </c>
      <c r="AU6" s="69">
        <v>19.100000000000001</v>
      </c>
      <c r="AV6" s="70">
        <v>84.9</v>
      </c>
      <c r="AW6" s="30">
        <v>22.9</v>
      </c>
      <c r="AX6" s="30">
        <v>-12.3</v>
      </c>
    </row>
    <row r="7" spans="1:54" s="267" customFormat="1" ht="11.25">
      <c r="A7" s="64" t="s">
        <v>806</v>
      </c>
      <c r="B7" s="64" t="s">
        <v>805</v>
      </c>
      <c r="C7" s="29">
        <v>32.4</v>
      </c>
      <c r="D7" s="30">
        <v>13.1</v>
      </c>
      <c r="E7" s="30">
        <v>190.6</v>
      </c>
      <c r="F7" s="30">
        <v>268.60000000000002</v>
      </c>
      <c r="G7" s="29">
        <v>198</v>
      </c>
      <c r="H7" s="30">
        <v>-88.9</v>
      </c>
      <c r="I7" s="30">
        <v>-457.8</v>
      </c>
      <c r="J7" s="31">
        <v>628</v>
      </c>
      <c r="K7" s="29">
        <v>2777.4</v>
      </c>
      <c r="L7" s="30">
        <v>-732.5</v>
      </c>
      <c r="M7" s="30">
        <v>-495.8</v>
      </c>
      <c r="N7" s="31">
        <v>-357.2</v>
      </c>
      <c r="O7" s="29">
        <v>-241.7</v>
      </c>
      <c r="P7" s="30">
        <v>179.2</v>
      </c>
      <c r="Q7" s="30">
        <v>-150.80000000000001</v>
      </c>
      <c r="R7" s="31">
        <v>-210.1</v>
      </c>
      <c r="S7" s="29">
        <v>-167.3</v>
      </c>
      <c r="T7" s="30">
        <v>98.6</v>
      </c>
      <c r="U7" s="30">
        <v>-143</v>
      </c>
      <c r="V7" s="31">
        <v>50.2</v>
      </c>
      <c r="W7" s="30">
        <v>-101</v>
      </c>
      <c r="X7" s="30">
        <v>-213.9</v>
      </c>
      <c r="Y7" s="30">
        <v>-53.4</v>
      </c>
      <c r="Z7" s="31">
        <v>12.2</v>
      </c>
      <c r="AA7" s="30">
        <v>-78.5</v>
      </c>
      <c r="AB7" s="30">
        <v>37.799999999999997</v>
      </c>
      <c r="AC7" s="30">
        <v>63.9</v>
      </c>
      <c r="AD7" s="31">
        <v>29.9</v>
      </c>
      <c r="AE7" s="30">
        <v>5.9</v>
      </c>
      <c r="AF7" s="30">
        <v>56.5</v>
      </c>
      <c r="AG7" s="30">
        <v>-39.5</v>
      </c>
      <c r="AH7" s="31">
        <v>18.8</v>
      </c>
      <c r="AI7" s="30">
        <v>-15.6</v>
      </c>
      <c r="AJ7" s="30">
        <v>17.399999999999999</v>
      </c>
      <c r="AK7" s="30">
        <v>-1.5</v>
      </c>
      <c r="AL7" s="31">
        <v>-41.9</v>
      </c>
      <c r="AM7" s="30">
        <v>108.2</v>
      </c>
      <c r="AN7" s="30">
        <v>45.8</v>
      </c>
      <c r="AO7" s="30">
        <v>-57.3</v>
      </c>
      <c r="AP7" s="30">
        <v>-88.8</v>
      </c>
      <c r="AQ7" s="29">
        <v>65.599999999999994</v>
      </c>
      <c r="AR7" s="30">
        <v>-21.3</v>
      </c>
      <c r="AS7" s="30">
        <v>17.100000000000001</v>
      </c>
      <c r="AT7" s="30">
        <v>-40.4</v>
      </c>
      <c r="AU7" s="69">
        <v>-10.8</v>
      </c>
      <c r="AV7" s="70">
        <v>-77.2</v>
      </c>
      <c r="AW7" s="30">
        <v>-14.5</v>
      </c>
      <c r="AX7" s="30">
        <v>23.6</v>
      </c>
    </row>
    <row r="8" spans="1:54" s="267" customFormat="1" ht="11.25">
      <c r="A8" s="32" t="s">
        <v>811</v>
      </c>
      <c r="B8" s="32" t="s">
        <v>809</v>
      </c>
      <c r="C8" s="29">
        <v>8.6</v>
      </c>
      <c r="D8" s="30">
        <v>4.7</v>
      </c>
      <c r="E8" s="30">
        <v>-15.9</v>
      </c>
      <c r="F8" s="30">
        <v>-48.7</v>
      </c>
      <c r="G8" s="29">
        <v>-27.8</v>
      </c>
      <c r="H8" s="30">
        <v>62.6</v>
      </c>
      <c r="I8" s="30">
        <v>-35.9</v>
      </c>
      <c r="J8" s="31">
        <v>-279.8</v>
      </c>
      <c r="K8" s="29">
        <v>38.299999999999997</v>
      </c>
      <c r="L8" s="30">
        <v>94.2</v>
      </c>
      <c r="M8" s="30">
        <v>21.7</v>
      </c>
      <c r="N8" s="31">
        <v>57.1</v>
      </c>
      <c r="O8" s="29">
        <v>-2.5</v>
      </c>
      <c r="P8" s="30">
        <v>19.7</v>
      </c>
      <c r="Q8" s="30">
        <v>10.5</v>
      </c>
      <c r="R8" s="31">
        <v>2.7</v>
      </c>
      <c r="S8" s="29">
        <v>0</v>
      </c>
      <c r="T8" s="30">
        <v>9.6999999999999993</v>
      </c>
      <c r="U8" s="30">
        <v>17.2</v>
      </c>
      <c r="V8" s="31">
        <v>-27</v>
      </c>
      <c r="W8" s="30">
        <v>6.3</v>
      </c>
      <c r="X8" s="30">
        <v>1.2</v>
      </c>
      <c r="Y8" s="30">
        <v>13.2</v>
      </c>
      <c r="Z8" s="31">
        <v>6.3</v>
      </c>
      <c r="AA8" s="30">
        <f>-2.9-1</f>
        <v>-3.9</v>
      </c>
      <c r="AB8" s="30">
        <f>16-5.2</f>
        <v>10.8</v>
      </c>
      <c r="AC8" s="30">
        <f>15.9-16.2</f>
        <v>-0.29999999999999893</v>
      </c>
      <c r="AD8" s="31">
        <v>-1.5</v>
      </c>
      <c r="AE8" s="30">
        <f>9.6-0.4</f>
        <v>9.1999999999999993</v>
      </c>
      <c r="AF8" s="30">
        <v>3.2</v>
      </c>
      <c r="AG8" s="30">
        <v>3.5</v>
      </c>
      <c r="AH8" s="31">
        <v>12.3</v>
      </c>
      <c r="AI8" s="30">
        <v>10.5</v>
      </c>
      <c r="AJ8" s="30">
        <v>10.9</v>
      </c>
      <c r="AK8" s="30">
        <v>8</v>
      </c>
      <c r="AL8" s="31">
        <v>4.5999999999999996</v>
      </c>
      <c r="AM8" s="30">
        <v>2.7</v>
      </c>
      <c r="AN8" s="30">
        <v>-2.7</v>
      </c>
      <c r="AO8" s="30">
        <v>-1</v>
      </c>
      <c r="AP8" s="30">
        <v>-4.4000000000000004</v>
      </c>
      <c r="AQ8" s="29">
        <v>3.2</v>
      </c>
      <c r="AR8" s="30">
        <v>-1.8</v>
      </c>
      <c r="AS8" s="30">
        <v>-0.4</v>
      </c>
      <c r="AT8" s="30">
        <v>2.4</v>
      </c>
      <c r="AU8" s="69">
        <v>1.4</v>
      </c>
      <c r="AV8" s="70">
        <v>14.1</v>
      </c>
      <c r="AW8" s="30">
        <v>15.6</v>
      </c>
      <c r="AX8" s="30">
        <v>5</v>
      </c>
    </row>
    <row r="9" spans="1:54" s="268" customFormat="1" ht="11.25">
      <c r="A9" s="28" t="s">
        <v>813</v>
      </c>
      <c r="B9" s="28" t="s">
        <v>808</v>
      </c>
      <c r="C9" s="29">
        <v>8</v>
      </c>
      <c r="D9" s="30">
        <v>-46.4</v>
      </c>
      <c r="E9" s="30">
        <v>5.7</v>
      </c>
      <c r="F9" s="30">
        <v>-16.399999999999999</v>
      </c>
      <c r="G9" s="29">
        <v>39.5</v>
      </c>
      <c r="H9" s="30">
        <v>-79.599999999999994</v>
      </c>
      <c r="I9" s="30">
        <v>71.5</v>
      </c>
      <c r="J9" s="31">
        <v>-113.9</v>
      </c>
      <c r="K9" s="29">
        <v>-5.5</v>
      </c>
      <c r="L9" s="30">
        <v>-8</v>
      </c>
      <c r="M9" s="30">
        <v>51.2</v>
      </c>
      <c r="N9" s="31">
        <v>20.6</v>
      </c>
      <c r="O9" s="29">
        <v>35.200000000000003</v>
      </c>
      <c r="P9" s="30">
        <v>7.3</v>
      </c>
      <c r="Q9" s="30">
        <v>3.3</v>
      </c>
      <c r="R9" s="31">
        <v>4.2</v>
      </c>
      <c r="S9" s="29">
        <v>8.9</v>
      </c>
      <c r="T9" s="30">
        <v>5</v>
      </c>
      <c r="U9" s="30">
        <v>4.4000000000000004</v>
      </c>
      <c r="V9" s="31">
        <v>10.8</v>
      </c>
      <c r="W9" s="30">
        <v>11.6</v>
      </c>
      <c r="X9" s="30">
        <v>3.1</v>
      </c>
      <c r="Y9" s="30">
        <v>0.4</v>
      </c>
      <c r="Z9" s="31">
        <v>-0.2</v>
      </c>
      <c r="AA9" s="30">
        <v>6.4</v>
      </c>
      <c r="AB9" s="30">
        <v>11.4</v>
      </c>
      <c r="AC9" s="30">
        <v>5.9</v>
      </c>
      <c r="AD9" s="31">
        <v>3.4</v>
      </c>
      <c r="AE9" s="30">
        <v>0.1</v>
      </c>
      <c r="AF9" s="30">
        <v>1.5</v>
      </c>
      <c r="AG9" s="30">
        <v>1.4</v>
      </c>
      <c r="AH9" s="31">
        <v>2.5</v>
      </c>
      <c r="AI9" s="30">
        <v>0.8</v>
      </c>
      <c r="AJ9" s="30">
        <v>1.1000000000000001</v>
      </c>
      <c r="AK9" s="30">
        <v>-3.1</v>
      </c>
      <c r="AL9" s="31">
        <v>6.3</v>
      </c>
      <c r="AM9" s="30">
        <v>6.1</v>
      </c>
      <c r="AN9" s="30">
        <v>6.1</v>
      </c>
      <c r="AO9" s="30">
        <v>6.3</v>
      </c>
      <c r="AP9" s="30">
        <v>6.5</v>
      </c>
      <c r="AQ9" s="29">
        <v>9.6999999999999993</v>
      </c>
      <c r="AR9" s="30">
        <v>11.9</v>
      </c>
      <c r="AS9" s="30">
        <v>10.1</v>
      </c>
      <c r="AT9" s="30">
        <v>4.8</v>
      </c>
      <c r="AU9" s="69">
        <v>8.3000000000000007</v>
      </c>
      <c r="AV9" s="70">
        <v>2.5</v>
      </c>
      <c r="AW9" s="30">
        <v>3.1</v>
      </c>
      <c r="AX9" s="30">
        <v>5.0999999999999996</v>
      </c>
    </row>
    <row r="10" spans="1:54" s="268" customFormat="1" ht="22.5">
      <c r="A10" s="28" t="s">
        <v>812</v>
      </c>
      <c r="B10" s="28" t="s">
        <v>810</v>
      </c>
      <c r="C10" s="29">
        <v>-9</v>
      </c>
      <c r="D10" s="30">
        <v>14.3</v>
      </c>
      <c r="E10" s="30">
        <v>3.5</v>
      </c>
      <c r="F10" s="30">
        <v>8.6</v>
      </c>
      <c r="G10" s="29">
        <v>14.3</v>
      </c>
      <c r="H10" s="30">
        <v>5.9</v>
      </c>
      <c r="I10" s="30">
        <v>8.6999999999999993</v>
      </c>
      <c r="J10" s="31">
        <v>3.1</v>
      </c>
      <c r="K10" s="29">
        <v>3.8</v>
      </c>
      <c r="L10" s="30">
        <v>1.2</v>
      </c>
      <c r="M10" s="30">
        <v>-1</v>
      </c>
      <c r="N10" s="31">
        <v>4</v>
      </c>
      <c r="O10" s="29">
        <v>1.8</v>
      </c>
      <c r="P10" s="30">
        <v>1.5</v>
      </c>
      <c r="Q10" s="30">
        <v>-0.1</v>
      </c>
      <c r="R10" s="31">
        <v>2</v>
      </c>
      <c r="S10" s="29">
        <v>2.2000000000000002</v>
      </c>
      <c r="T10" s="30">
        <v>1.1000000000000001</v>
      </c>
      <c r="U10" s="30">
        <v>4.4000000000000004</v>
      </c>
      <c r="V10" s="31">
        <v>-0.2</v>
      </c>
      <c r="W10" s="30">
        <v>0.5</v>
      </c>
      <c r="X10" s="30">
        <v>0.6</v>
      </c>
      <c r="Y10" s="30">
        <v>0.5</v>
      </c>
      <c r="Z10" s="31">
        <v>0.7</v>
      </c>
      <c r="AA10" s="30">
        <v>0.7</v>
      </c>
      <c r="AB10" s="30">
        <v>0.7</v>
      </c>
      <c r="AC10" s="30">
        <v>0.7</v>
      </c>
      <c r="AD10" s="31">
        <v>0.7</v>
      </c>
      <c r="AE10" s="30">
        <v>0.6</v>
      </c>
      <c r="AF10" s="30">
        <v>0.3</v>
      </c>
      <c r="AG10" s="30">
        <v>0.3</v>
      </c>
      <c r="AH10" s="31">
        <v>0.1</v>
      </c>
      <c r="AI10" s="30">
        <v>0.1</v>
      </c>
      <c r="AJ10" s="30">
        <v>0</v>
      </c>
      <c r="AK10" s="30">
        <v>0</v>
      </c>
      <c r="AL10" s="31">
        <v>0</v>
      </c>
      <c r="AM10" s="30">
        <v>0</v>
      </c>
      <c r="AN10" s="30">
        <v>0</v>
      </c>
      <c r="AO10" s="30">
        <v>0</v>
      </c>
      <c r="AP10" s="30">
        <v>0</v>
      </c>
      <c r="AQ10" s="29">
        <v>0</v>
      </c>
      <c r="AR10" s="30">
        <v>0</v>
      </c>
      <c r="AS10" s="30">
        <v>0</v>
      </c>
      <c r="AT10" s="30">
        <v>0</v>
      </c>
      <c r="AU10" s="69">
        <v>0</v>
      </c>
      <c r="AV10" s="70">
        <v>0</v>
      </c>
      <c r="AW10" s="30">
        <v>0</v>
      </c>
      <c r="AX10" s="30">
        <v>0</v>
      </c>
    </row>
    <row r="11" spans="1:54" s="268" customFormat="1" ht="11.25">
      <c r="A11" s="28" t="s">
        <v>814</v>
      </c>
      <c r="B11" s="28" t="s">
        <v>807</v>
      </c>
      <c r="C11" s="29">
        <v>-0.7</v>
      </c>
      <c r="D11" s="30">
        <v>2.1</v>
      </c>
      <c r="E11" s="30">
        <v>0.2</v>
      </c>
      <c r="F11" s="30">
        <v>-4.5999999999999996</v>
      </c>
      <c r="G11" s="29">
        <v>-9.1999999999999993</v>
      </c>
      <c r="H11" s="30">
        <v>-1.3</v>
      </c>
      <c r="I11" s="30">
        <v>-1.8</v>
      </c>
      <c r="J11" s="31">
        <v>-6.7</v>
      </c>
      <c r="K11" s="29">
        <v>-0.7</v>
      </c>
      <c r="L11" s="30">
        <v>2.8</v>
      </c>
      <c r="M11" s="30">
        <v>4.9000000000000004</v>
      </c>
      <c r="N11" s="31">
        <v>-0.5</v>
      </c>
      <c r="O11" s="29">
        <v>0</v>
      </c>
      <c r="P11" s="30">
        <v>-0.3</v>
      </c>
      <c r="Q11" s="30">
        <v>1.9</v>
      </c>
      <c r="R11" s="31">
        <v>0</v>
      </c>
      <c r="S11" s="29">
        <v>-1</v>
      </c>
      <c r="T11" s="30">
        <v>-0.2</v>
      </c>
      <c r="U11" s="30">
        <v>-3.5</v>
      </c>
      <c r="V11" s="31">
        <v>0.6</v>
      </c>
      <c r="W11" s="30">
        <v>0</v>
      </c>
      <c r="X11" s="30">
        <v>0</v>
      </c>
      <c r="Y11" s="30">
        <v>0</v>
      </c>
      <c r="Z11" s="31">
        <v>0</v>
      </c>
      <c r="AA11" s="30">
        <v>0</v>
      </c>
      <c r="AB11" s="30">
        <v>0</v>
      </c>
      <c r="AC11" s="30">
        <v>0</v>
      </c>
      <c r="AD11" s="31">
        <v>0</v>
      </c>
      <c r="AE11" s="30">
        <v>0</v>
      </c>
      <c r="AF11" s="30">
        <v>0</v>
      </c>
      <c r="AG11" s="30">
        <v>0</v>
      </c>
      <c r="AH11" s="31">
        <v>0</v>
      </c>
      <c r="AI11" s="30">
        <v>0</v>
      </c>
      <c r="AJ11" s="30">
        <v>0</v>
      </c>
      <c r="AK11" s="30">
        <v>0</v>
      </c>
      <c r="AL11" s="31">
        <v>0</v>
      </c>
      <c r="AM11" s="30">
        <v>0</v>
      </c>
      <c r="AN11" s="30">
        <v>0</v>
      </c>
      <c r="AO11" s="30">
        <v>0</v>
      </c>
      <c r="AP11" s="30">
        <v>0</v>
      </c>
      <c r="AQ11" s="29">
        <v>0</v>
      </c>
      <c r="AR11" s="30">
        <v>0</v>
      </c>
      <c r="AS11" s="30">
        <v>0</v>
      </c>
      <c r="AT11" s="30">
        <v>0</v>
      </c>
      <c r="AU11" s="69">
        <v>0</v>
      </c>
      <c r="AV11" s="70">
        <v>0</v>
      </c>
      <c r="AW11" s="30">
        <v>0</v>
      </c>
      <c r="AX11" s="30">
        <v>0</v>
      </c>
    </row>
    <row r="12" spans="1:54" s="270" customFormat="1" ht="22.5" customHeight="1">
      <c r="A12" s="278" t="s">
        <v>816</v>
      </c>
      <c r="B12" s="278" t="s">
        <v>801</v>
      </c>
      <c r="C12" s="69" t="s">
        <v>337</v>
      </c>
      <c r="D12" s="70" t="s">
        <v>337</v>
      </c>
      <c r="E12" s="70" t="s">
        <v>337</v>
      </c>
      <c r="F12" s="70" t="s">
        <v>337</v>
      </c>
      <c r="G12" s="69" t="s">
        <v>337</v>
      </c>
      <c r="H12" s="70" t="s">
        <v>337</v>
      </c>
      <c r="I12" s="70" t="s">
        <v>337</v>
      </c>
      <c r="J12" s="70" t="s">
        <v>337</v>
      </c>
      <c r="K12" s="69" t="s">
        <v>337</v>
      </c>
      <c r="L12" s="70" t="s">
        <v>337</v>
      </c>
      <c r="M12" s="70" t="s">
        <v>337</v>
      </c>
      <c r="N12" s="70" t="s">
        <v>337</v>
      </c>
      <c r="O12" s="69" t="s">
        <v>337</v>
      </c>
      <c r="P12" s="70" t="s">
        <v>337</v>
      </c>
      <c r="Q12" s="70" t="s">
        <v>337</v>
      </c>
      <c r="R12" s="70" t="s">
        <v>337</v>
      </c>
      <c r="S12" s="69" t="s">
        <v>337</v>
      </c>
      <c r="T12" s="70" t="s">
        <v>337</v>
      </c>
      <c r="U12" s="70" t="s">
        <v>337</v>
      </c>
      <c r="V12" s="70" t="s">
        <v>337</v>
      </c>
      <c r="W12" s="69" t="s">
        <v>337</v>
      </c>
      <c r="X12" s="70" t="s">
        <v>337</v>
      </c>
      <c r="Y12" s="70" t="s">
        <v>337</v>
      </c>
      <c r="Z12" s="70" t="s">
        <v>337</v>
      </c>
      <c r="AA12" s="69" t="s">
        <v>337</v>
      </c>
      <c r="AB12" s="70" t="s">
        <v>337</v>
      </c>
      <c r="AC12" s="70" t="s">
        <v>337</v>
      </c>
      <c r="AD12" s="70" t="s">
        <v>337</v>
      </c>
      <c r="AE12" s="69" t="s">
        <v>337</v>
      </c>
      <c r="AF12" s="70" t="s">
        <v>337</v>
      </c>
      <c r="AG12" s="70" t="s">
        <v>337</v>
      </c>
      <c r="AH12" s="70" t="s">
        <v>337</v>
      </c>
      <c r="AI12" s="69" t="s">
        <v>337</v>
      </c>
      <c r="AJ12" s="70" t="s">
        <v>337</v>
      </c>
      <c r="AK12" s="70" t="s">
        <v>337</v>
      </c>
      <c r="AL12" s="70" t="s">
        <v>337</v>
      </c>
      <c r="AM12" s="69" t="s">
        <v>337</v>
      </c>
      <c r="AN12" s="70" t="s">
        <v>337</v>
      </c>
      <c r="AO12" s="70" t="s">
        <v>337</v>
      </c>
      <c r="AP12" s="70" t="s">
        <v>337</v>
      </c>
      <c r="AQ12" s="69" t="s">
        <v>337</v>
      </c>
      <c r="AR12" s="70" t="s">
        <v>337</v>
      </c>
      <c r="AS12" s="70" t="s">
        <v>337</v>
      </c>
      <c r="AT12" s="70" t="s">
        <v>337</v>
      </c>
      <c r="AU12" s="69">
        <v>0</v>
      </c>
      <c r="AV12" s="70">
        <v>0.1</v>
      </c>
      <c r="AW12" s="30">
        <v>0</v>
      </c>
      <c r="AX12" s="30">
        <v>0</v>
      </c>
    </row>
    <row r="13" spans="1:54" s="273" customFormat="1" ht="22.5">
      <c r="A13" s="33" t="s">
        <v>226</v>
      </c>
      <c r="B13" s="33" t="s">
        <v>56</v>
      </c>
      <c r="C13" s="34">
        <f t="shared" ref="C13:X13" si="1">C14+C15</f>
        <v>0.8</v>
      </c>
      <c r="D13" s="35">
        <f t="shared" si="1"/>
        <v>2.2999999999999998</v>
      </c>
      <c r="E13" s="35">
        <f t="shared" si="1"/>
        <v>0.4</v>
      </c>
      <c r="F13" s="36">
        <f t="shared" si="1"/>
        <v>2.9</v>
      </c>
      <c r="G13" s="35">
        <f t="shared" si="1"/>
        <v>17.899999999999999</v>
      </c>
      <c r="H13" s="35">
        <f t="shared" si="1"/>
        <v>-14.200000000000001</v>
      </c>
      <c r="I13" s="35">
        <f t="shared" si="1"/>
        <v>-6.1000000000000005</v>
      </c>
      <c r="J13" s="35">
        <f t="shared" si="1"/>
        <v>5.2</v>
      </c>
      <c r="K13" s="34">
        <f t="shared" si="1"/>
        <v>-1.7000000000000002</v>
      </c>
      <c r="L13" s="35">
        <f t="shared" si="1"/>
        <v>-0.2</v>
      </c>
      <c r="M13" s="35">
        <f t="shared" si="1"/>
        <v>0</v>
      </c>
      <c r="N13" s="36">
        <f t="shared" si="1"/>
        <v>-0.8</v>
      </c>
      <c r="O13" s="35">
        <f t="shared" si="1"/>
        <v>-0.2</v>
      </c>
      <c r="P13" s="35">
        <f t="shared" si="1"/>
        <v>-1.4</v>
      </c>
      <c r="Q13" s="35">
        <f t="shared" si="1"/>
        <v>-1.4</v>
      </c>
      <c r="R13" s="35">
        <f t="shared" si="1"/>
        <v>-1</v>
      </c>
      <c r="S13" s="34">
        <f t="shared" si="1"/>
        <v>-0.3</v>
      </c>
      <c r="T13" s="35">
        <f t="shared" si="1"/>
        <v>-0.5</v>
      </c>
      <c r="U13" s="35">
        <f t="shared" si="1"/>
        <v>0</v>
      </c>
      <c r="V13" s="36">
        <f t="shared" si="1"/>
        <v>0</v>
      </c>
      <c r="W13" s="35">
        <f t="shared" si="1"/>
        <v>0.6</v>
      </c>
      <c r="X13" s="35">
        <f t="shared" si="1"/>
        <v>-1.2</v>
      </c>
      <c r="Y13" s="35">
        <f>Y14+Y15</f>
        <v>0</v>
      </c>
      <c r="Z13" s="36">
        <f>Z14+Z15</f>
        <v>0</v>
      </c>
      <c r="AA13" s="35">
        <f>AA14+AA15</f>
        <v>0</v>
      </c>
      <c r="AB13" s="35">
        <f>AB14+AB15</f>
        <v>0</v>
      </c>
      <c r="AC13" s="35">
        <f>AC14+AC15</f>
        <v>0</v>
      </c>
      <c r="AD13" s="36">
        <v>0</v>
      </c>
      <c r="AE13" s="35">
        <v>0</v>
      </c>
      <c r="AF13" s="35">
        <v>0</v>
      </c>
      <c r="AG13" s="35">
        <v>0</v>
      </c>
      <c r="AH13" s="36">
        <v>0</v>
      </c>
      <c r="AI13" s="35">
        <v>0</v>
      </c>
      <c r="AJ13" s="35">
        <v>0</v>
      </c>
      <c r="AK13" s="35">
        <v>0</v>
      </c>
      <c r="AL13" s="36">
        <v>0</v>
      </c>
      <c r="AM13" s="35">
        <v>0</v>
      </c>
      <c r="AN13" s="35">
        <v>0</v>
      </c>
      <c r="AO13" s="35">
        <v>0</v>
      </c>
      <c r="AP13" s="35">
        <v>0</v>
      </c>
      <c r="AQ13" s="34">
        <v>0</v>
      </c>
      <c r="AR13" s="35">
        <v>0</v>
      </c>
      <c r="AS13" s="35">
        <v>0</v>
      </c>
      <c r="AT13" s="35">
        <v>0</v>
      </c>
      <c r="AU13" s="81" t="s">
        <v>337</v>
      </c>
      <c r="AV13" s="82" t="s">
        <v>337</v>
      </c>
      <c r="AW13" s="82" t="s">
        <v>337</v>
      </c>
      <c r="AX13" s="82" t="s">
        <v>337</v>
      </c>
    </row>
    <row r="14" spans="1:54" s="270" customFormat="1" ht="11.25">
      <c r="A14" s="32" t="s">
        <v>225</v>
      </c>
      <c r="B14" s="32" t="s">
        <v>55</v>
      </c>
      <c r="C14" s="29">
        <v>0.8</v>
      </c>
      <c r="D14" s="30">
        <v>2.2999999999999998</v>
      </c>
      <c r="E14" s="30">
        <v>0.4</v>
      </c>
      <c r="F14" s="30">
        <v>2.9</v>
      </c>
      <c r="G14" s="29">
        <v>-0.1</v>
      </c>
      <c r="H14" s="30">
        <v>-1.9</v>
      </c>
      <c r="I14" s="30">
        <v>1.8</v>
      </c>
      <c r="J14" s="31">
        <v>0.8</v>
      </c>
      <c r="K14" s="29">
        <v>0.4</v>
      </c>
      <c r="L14" s="30">
        <v>-0.2</v>
      </c>
      <c r="M14" s="30">
        <v>0</v>
      </c>
      <c r="N14" s="31">
        <v>-0.8</v>
      </c>
      <c r="O14" s="29">
        <v>-0.2</v>
      </c>
      <c r="P14" s="30">
        <v>-1.4</v>
      </c>
      <c r="Q14" s="30">
        <v>-1.4</v>
      </c>
      <c r="R14" s="31">
        <v>-1</v>
      </c>
      <c r="S14" s="29">
        <v>-0.3</v>
      </c>
      <c r="T14" s="30">
        <v>-0.5</v>
      </c>
      <c r="U14" s="30">
        <v>0</v>
      </c>
      <c r="V14" s="31">
        <v>0</v>
      </c>
      <c r="W14" s="30">
        <v>0.6</v>
      </c>
      <c r="X14" s="30">
        <v>-1.2</v>
      </c>
      <c r="Y14" s="30">
        <v>0</v>
      </c>
      <c r="Z14" s="31">
        <v>0</v>
      </c>
      <c r="AA14" s="30">
        <v>0</v>
      </c>
      <c r="AB14" s="30">
        <v>0</v>
      </c>
      <c r="AC14" s="30">
        <v>0</v>
      </c>
      <c r="AD14" s="31">
        <v>0</v>
      </c>
      <c r="AE14" s="30">
        <v>0</v>
      </c>
      <c r="AF14" s="30">
        <v>0</v>
      </c>
      <c r="AG14" s="30">
        <v>0</v>
      </c>
      <c r="AH14" s="31">
        <v>0</v>
      </c>
      <c r="AI14" s="30">
        <v>0</v>
      </c>
      <c r="AJ14" s="30">
        <v>0</v>
      </c>
      <c r="AK14" s="30">
        <v>0</v>
      </c>
      <c r="AL14" s="31">
        <v>0</v>
      </c>
      <c r="AM14" s="30">
        <v>0</v>
      </c>
      <c r="AN14" s="30">
        <v>0</v>
      </c>
      <c r="AO14" s="30">
        <v>0</v>
      </c>
      <c r="AP14" s="30">
        <v>0</v>
      </c>
      <c r="AQ14" s="29">
        <v>0</v>
      </c>
      <c r="AR14" s="30">
        <v>0</v>
      </c>
      <c r="AS14" s="30">
        <v>0</v>
      </c>
      <c r="AT14" s="30">
        <v>0</v>
      </c>
      <c r="AU14" s="69" t="s">
        <v>337</v>
      </c>
      <c r="AV14" s="70" t="s">
        <v>337</v>
      </c>
      <c r="AW14" s="70" t="s">
        <v>337</v>
      </c>
      <c r="AX14" s="70" t="s">
        <v>337</v>
      </c>
    </row>
    <row r="15" spans="1:54" s="270" customFormat="1" ht="22.5">
      <c r="A15" s="32" t="s">
        <v>377</v>
      </c>
      <c r="B15" s="32" t="s">
        <v>347</v>
      </c>
      <c r="C15" s="29">
        <v>0</v>
      </c>
      <c r="D15" s="30">
        <v>0</v>
      </c>
      <c r="E15" s="30">
        <v>0</v>
      </c>
      <c r="F15" s="30">
        <v>0</v>
      </c>
      <c r="G15" s="29">
        <v>18</v>
      </c>
      <c r="H15" s="30">
        <v>-12.3</v>
      </c>
      <c r="I15" s="30">
        <v>-7.9</v>
      </c>
      <c r="J15" s="31">
        <f>2.3+2.1</f>
        <v>4.4000000000000004</v>
      </c>
      <c r="K15" s="29">
        <v>-2.1</v>
      </c>
      <c r="L15" s="30">
        <v>0</v>
      </c>
      <c r="M15" s="30">
        <v>0</v>
      </c>
      <c r="N15" s="31">
        <v>0</v>
      </c>
      <c r="O15" s="29">
        <v>0</v>
      </c>
      <c r="P15" s="30">
        <v>0</v>
      </c>
      <c r="Q15" s="30">
        <v>0</v>
      </c>
      <c r="R15" s="31">
        <v>0</v>
      </c>
      <c r="S15" s="29">
        <v>0</v>
      </c>
      <c r="T15" s="30">
        <v>0</v>
      </c>
      <c r="U15" s="30">
        <v>0</v>
      </c>
      <c r="V15" s="31">
        <v>0</v>
      </c>
      <c r="W15" s="30">
        <v>0</v>
      </c>
      <c r="X15" s="30">
        <v>0</v>
      </c>
      <c r="Y15" s="30">
        <v>0</v>
      </c>
      <c r="Z15" s="31">
        <v>0</v>
      </c>
      <c r="AA15" s="30">
        <v>0</v>
      </c>
      <c r="AB15" s="30">
        <v>0</v>
      </c>
      <c r="AC15" s="30">
        <v>0</v>
      </c>
      <c r="AD15" s="31">
        <v>0</v>
      </c>
      <c r="AE15" s="30">
        <v>0</v>
      </c>
      <c r="AF15" s="30">
        <v>0</v>
      </c>
      <c r="AG15" s="30">
        <v>0</v>
      </c>
      <c r="AH15" s="31">
        <v>0</v>
      </c>
      <c r="AI15" s="30">
        <v>0</v>
      </c>
      <c r="AJ15" s="30">
        <v>0</v>
      </c>
      <c r="AK15" s="30">
        <v>0</v>
      </c>
      <c r="AL15" s="31">
        <v>0</v>
      </c>
      <c r="AM15" s="30">
        <v>0</v>
      </c>
      <c r="AN15" s="30">
        <v>0</v>
      </c>
      <c r="AO15" s="30">
        <v>0</v>
      </c>
      <c r="AP15" s="30">
        <v>0</v>
      </c>
      <c r="AQ15" s="29">
        <v>0</v>
      </c>
      <c r="AR15" s="30">
        <v>0</v>
      </c>
      <c r="AS15" s="30">
        <v>0</v>
      </c>
      <c r="AT15" s="30">
        <v>0</v>
      </c>
      <c r="AU15" s="69" t="s">
        <v>337</v>
      </c>
      <c r="AV15" s="70" t="s">
        <v>337</v>
      </c>
      <c r="AW15" s="70" t="s">
        <v>337</v>
      </c>
      <c r="AX15" s="70" t="s">
        <v>337</v>
      </c>
    </row>
    <row r="17" spans="1:54" s="115" customFormat="1" ht="22.5">
      <c r="A17" s="57" t="s">
        <v>319</v>
      </c>
      <c r="B17" s="57" t="s">
        <v>53</v>
      </c>
      <c r="C17" s="42">
        <f t="shared" ref="C17:AS17" si="2">C5+C8+C9+C10+C11+C13</f>
        <v>37.79999999999999</v>
      </c>
      <c r="D17" s="43">
        <f t="shared" si="2"/>
        <v>17.400000000000002</v>
      </c>
      <c r="E17" s="43">
        <f t="shared" si="2"/>
        <v>36.300000000000011</v>
      </c>
      <c r="F17" s="43">
        <f t="shared" si="2"/>
        <v>-8.499999999999984</v>
      </c>
      <c r="G17" s="42">
        <f t="shared" si="2"/>
        <v>72.5</v>
      </c>
      <c r="H17" s="43">
        <f t="shared" si="2"/>
        <v>64.800000000000011</v>
      </c>
      <c r="I17" s="43">
        <f t="shared" si="2"/>
        <v>53.4</v>
      </c>
      <c r="J17" s="44">
        <f t="shared" si="2"/>
        <v>-307.89999999999998</v>
      </c>
      <c r="K17" s="42">
        <f t="shared" si="2"/>
        <v>-23.999999999999819</v>
      </c>
      <c r="L17" s="43">
        <f t="shared" si="2"/>
        <v>43.600000000000023</v>
      </c>
      <c r="M17" s="43">
        <f t="shared" si="2"/>
        <v>58.800000000000004</v>
      </c>
      <c r="N17" s="44">
        <f t="shared" si="2"/>
        <v>19.500000000000025</v>
      </c>
      <c r="O17" s="42">
        <f t="shared" si="2"/>
        <v>28.500000000000021</v>
      </c>
      <c r="P17" s="43">
        <f t="shared" si="2"/>
        <v>22.8</v>
      </c>
      <c r="Q17" s="43">
        <f t="shared" si="2"/>
        <v>24.399999999999988</v>
      </c>
      <c r="R17" s="44">
        <f t="shared" si="2"/>
        <v>1.800000000000006</v>
      </c>
      <c r="S17" s="42">
        <f t="shared" si="2"/>
        <v>26.799999999999997</v>
      </c>
      <c r="T17" s="43">
        <f t="shared" si="2"/>
        <v>11.399999999999997</v>
      </c>
      <c r="U17" s="43">
        <f t="shared" si="2"/>
        <v>-8.0999999999999943</v>
      </c>
      <c r="V17" s="44">
        <f t="shared" si="2"/>
        <v>-11.799999999999999</v>
      </c>
      <c r="W17" s="43">
        <f t="shared" si="2"/>
        <v>53.699999999999989</v>
      </c>
      <c r="X17" s="43">
        <f t="shared" si="2"/>
        <v>12.299999999999994</v>
      </c>
      <c r="Y17" s="43">
        <f t="shared" si="2"/>
        <v>18.900000000000002</v>
      </c>
      <c r="Z17" s="44">
        <f t="shared" si="2"/>
        <v>0.60000000000000053</v>
      </c>
      <c r="AA17" s="43">
        <f t="shared" si="2"/>
        <v>16.100000000000005</v>
      </c>
      <c r="AB17" s="43">
        <f t="shared" si="2"/>
        <v>29.099999999999998</v>
      </c>
      <c r="AC17" s="43">
        <f t="shared" si="2"/>
        <v>20.2</v>
      </c>
      <c r="AD17" s="44">
        <f t="shared" si="2"/>
        <v>10.1</v>
      </c>
      <c r="AE17" s="43">
        <f t="shared" si="2"/>
        <v>24.900000000000002</v>
      </c>
      <c r="AF17" s="43">
        <f t="shared" si="2"/>
        <v>22.799999999999997</v>
      </c>
      <c r="AG17" s="43">
        <f t="shared" si="2"/>
        <v>23.599999999999998</v>
      </c>
      <c r="AH17" s="44">
        <f t="shared" si="2"/>
        <v>23.1</v>
      </c>
      <c r="AI17" s="43">
        <f t="shared" si="2"/>
        <v>15.2</v>
      </c>
      <c r="AJ17" s="43">
        <f t="shared" si="2"/>
        <v>27.5</v>
      </c>
      <c r="AK17" s="43">
        <f t="shared" si="2"/>
        <v>19.5</v>
      </c>
      <c r="AL17" s="44">
        <f t="shared" si="2"/>
        <v>22.900000000000002</v>
      </c>
      <c r="AM17" s="43">
        <f t="shared" si="2"/>
        <v>23</v>
      </c>
      <c r="AN17" s="43">
        <f t="shared" si="2"/>
        <v>5.0999999999999952</v>
      </c>
      <c r="AO17" s="43">
        <f t="shared" si="2"/>
        <v>16.400000000000009</v>
      </c>
      <c r="AP17" s="43">
        <f t="shared" si="2"/>
        <v>12.700000000000008</v>
      </c>
      <c r="AQ17" s="42">
        <f t="shared" si="2"/>
        <v>36.699999999999996</v>
      </c>
      <c r="AR17" s="43">
        <f t="shared" si="2"/>
        <v>27.599999999999994</v>
      </c>
      <c r="AS17" s="43">
        <f t="shared" si="2"/>
        <v>31.300000000000004</v>
      </c>
      <c r="AT17" s="43">
        <f>AT5+AT8+AT9+AT10+AT11+AT13</f>
        <v>23.2</v>
      </c>
      <c r="AU17" s="86">
        <f>AU5+AU8+AU9+AU10+AU11+AU12</f>
        <v>18</v>
      </c>
      <c r="AV17" s="43">
        <f>AV5+AV8+AV9+AV10+AV11+AV12</f>
        <v>24.400000000000006</v>
      </c>
      <c r="AW17" s="43">
        <f>AW5+AW8+AW9+AW10+AW11+AW12</f>
        <v>27.1</v>
      </c>
      <c r="AX17" s="43">
        <f>AX5+AX8+AX9+AX10+AX11+AX12</f>
        <v>21.4</v>
      </c>
      <c r="AY17" s="449"/>
      <c r="AZ17" s="449"/>
      <c r="BA17" s="449"/>
      <c r="BB17" s="449"/>
    </row>
    <row r="18" spans="1:54" s="270" customFormat="1" ht="11.25">
      <c r="A18" s="37"/>
      <c r="B18" s="37"/>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70"/>
      <c r="AV18" s="30"/>
      <c r="AW18" s="30"/>
      <c r="AX18" s="30"/>
    </row>
    <row r="19" spans="1:54" s="270" customFormat="1" ht="22.5">
      <c r="A19" s="37" t="s">
        <v>733</v>
      </c>
      <c r="B19" s="37" t="s">
        <v>558</v>
      </c>
      <c r="C19" s="29" t="s">
        <v>337</v>
      </c>
      <c r="D19" s="30" t="s">
        <v>337</v>
      </c>
      <c r="E19" s="30" t="s">
        <v>337</v>
      </c>
      <c r="F19" s="30" t="s">
        <v>337</v>
      </c>
      <c r="G19" s="29" t="s">
        <v>337</v>
      </c>
      <c r="H19" s="30" t="s">
        <v>337</v>
      </c>
      <c r="I19" s="30" t="s">
        <v>337</v>
      </c>
      <c r="J19" s="31" t="s">
        <v>337</v>
      </c>
      <c r="K19" s="29" t="s">
        <v>337</v>
      </c>
      <c r="L19" s="30" t="s">
        <v>337</v>
      </c>
      <c r="M19" s="30" t="s">
        <v>337</v>
      </c>
      <c r="N19" s="31" t="s">
        <v>337</v>
      </c>
      <c r="O19" s="29" t="s">
        <v>337</v>
      </c>
      <c r="P19" s="30" t="s">
        <v>337</v>
      </c>
      <c r="Q19" s="30" t="s">
        <v>337</v>
      </c>
      <c r="R19" s="31" t="s">
        <v>337</v>
      </c>
      <c r="S19" s="29" t="s">
        <v>337</v>
      </c>
      <c r="T19" s="30" t="s">
        <v>337</v>
      </c>
      <c r="U19" s="30" t="s">
        <v>337</v>
      </c>
      <c r="V19" s="31" t="s">
        <v>337</v>
      </c>
      <c r="W19" s="30" t="s">
        <v>337</v>
      </c>
      <c r="X19" s="30" t="s">
        <v>337</v>
      </c>
      <c r="Y19" s="30" t="s">
        <v>337</v>
      </c>
      <c r="Z19" s="31" t="s">
        <v>337</v>
      </c>
      <c r="AA19" s="30" t="s">
        <v>337</v>
      </c>
      <c r="AB19" s="30" t="s">
        <v>337</v>
      </c>
      <c r="AC19" s="30" t="s">
        <v>337</v>
      </c>
      <c r="AD19" s="31" t="s">
        <v>337</v>
      </c>
      <c r="AE19" s="30" t="s">
        <v>337</v>
      </c>
      <c r="AF19" s="30" t="s">
        <v>337</v>
      </c>
      <c r="AG19" s="30" t="s">
        <v>337</v>
      </c>
      <c r="AH19" s="31" t="s">
        <v>337</v>
      </c>
      <c r="AI19" s="30" t="s">
        <v>337</v>
      </c>
      <c r="AJ19" s="30" t="s">
        <v>337</v>
      </c>
      <c r="AK19" s="30" t="s">
        <v>337</v>
      </c>
      <c r="AL19" s="31" t="s">
        <v>337</v>
      </c>
      <c r="AM19" s="30" t="s">
        <v>337</v>
      </c>
      <c r="AN19" s="30" t="s">
        <v>337</v>
      </c>
      <c r="AO19" s="30" t="s">
        <v>337</v>
      </c>
      <c r="AP19" s="30" t="s">
        <v>337</v>
      </c>
      <c r="AQ19" s="69" t="s">
        <v>337</v>
      </c>
      <c r="AR19" s="70" t="s">
        <v>337</v>
      </c>
      <c r="AS19" s="70" t="s">
        <v>337</v>
      </c>
      <c r="AT19" s="70" t="s">
        <v>337</v>
      </c>
      <c r="AU19" s="69">
        <v>1.1000000000000001</v>
      </c>
      <c r="AV19" s="70">
        <v>-0.1</v>
      </c>
      <c r="AW19" s="70">
        <v>0</v>
      </c>
      <c r="AX19" s="70">
        <v>0</v>
      </c>
    </row>
    <row r="20" spans="1:54" s="270" customFormat="1" ht="22.5">
      <c r="A20" s="37" t="s">
        <v>734</v>
      </c>
      <c r="B20" s="37" t="s">
        <v>559</v>
      </c>
      <c r="C20" s="29" t="s">
        <v>337</v>
      </c>
      <c r="D20" s="30" t="s">
        <v>337</v>
      </c>
      <c r="E20" s="30" t="s">
        <v>337</v>
      </c>
      <c r="F20" s="30" t="s">
        <v>337</v>
      </c>
      <c r="G20" s="29" t="s">
        <v>337</v>
      </c>
      <c r="H20" s="30" t="s">
        <v>337</v>
      </c>
      <c r="I20" s="30" t="s">
        <v>337</v>
      </c>
      <c r="J20" s="31" t="s">
        <v>337</v>
      </c>
      <c r="K20" s="29" t="s">
        <v>337</v>
      </c>
      <c r="L20" s="30" t="s">
        <v>337</v>
      </c>
      <c r="M20" s="30" t="s">
        <v>337</v>
      </c>
      <c r="N20" s="31" t="s">
        <v>337</v>
      </c>
      <c r="O20" s="29" t="s">
        <v>337</v>
      </c>
      <c r="P20" s="30" t="s">
        <v>337</v>
      </c>
      <c r="Q20" s="30" t="s">
        <v>337</v>
      </c>
      <c r="R20" s="31" t="s">
        <v>337</v>
      </c>
      <c r="S20" s="29" t="s">
        <v>337</v>
      </c>
      <c r="T20" s="30" t="s">
        <v>337</v>
      </c>
      <c r="U20" s="30" t="s">
        <v>337</v>
      </c>
      <c r="V20" s="31" t="s">
        <v>337</v>
      </c>
      <c r="W20" s="30" t="s">
        <v>337</v>
      </c>
      <c r="X20" s="30" t="s">
        <v>337</v>
      </c>
      <c r="Y20" s="30" t="s">
        <v>337</v>
      </c>
      <c r="Z20" s="31" t="s">
        <v>337</v>
      </c>
      <c r="AA20" s="30" t="s">
        <v>337</v>
      </c>
      <c r="AB20" s="30" t="s">
        <v>337</v>
      </c>
      <c r="AC20" s="30" t="s">
        <v>337</v>
      </c>
      <c r="AD20" s="31" t="s">
        <v>337</v>
      </c>
      <c r="AE20" s="30" t="s">
        <v>337</v>
      </c>
      <c r="AF20" s="30" t="s">
        <v>337</v>
      </c>
      <c r="AG20" s="30" t="s">
        <v>337</v>
      </c>
      <c r="AH20" s="31" t="s">
        <v>337</v>
      </c>
      <c r="AI20" s="30" t="s">
        <v>337</v>
      </c>
      <c r="AJ20" s="30" t="s">
        <v>337</v>
      </c>
      <c r="AK20" s="30" t="s">
        <v>337</v>
      </c>
      <c r="AL20" s="31" t="s">
        <v>337</v>
      </c>
      <c r="AM20" s="30" t="s">
        <v>337</v>
      </c>
      <c r="AN20" s="30" t="s">
        <v>337</v>
      </c>
      <c r="AO20" s="30" t="s">
        <v>337</v>
      </c>
      <c r="AP20" s="30" t="s">
        <v>337</v>
      </c>
      <c r="AQ20" s="69" t="s">
        <v>337</v>
      </c>
      <c r="AR20" s="70" t="s">
        <v>337</v>
      </c>
      <c r="AS20" s="70" t="s">
        <v>337</v>
      </c>
      <c r="AT20" s="70" t="s">
        <v>337</v>
      </c>
      <c r="AU20" s="69">
        <v>32.200000000000003</v>
      </c>
      <c r="AV20" s="70">
        <v>12</v>
      </c>
      <c r="AW20" s="70">
        <v>0</v>
      </c>
      <c r="AX20" s="70">
        <v>3.8</v>
      </c>
    </row>
    <row r="21" spans="1:54" s="270" customFormat="1" ht="11.25">
      <c r="A21" s="37" t="s">
        <v>227</v>
      </c>
      <c r="B21" s="37" t="s">
        <v>57</v>
      </c>
      <c r="C21" s="29">
        <v>14.6</v>
      </c>
      <c r="D21" s="30">
        <v>0</v>
      </c>
      <c r="E21" s="30">
        <v>0</v>
      </c>
      <c r="F21" s="30">
        <v>0</v>
      </c>
      <c r="G21" s="29">
        <v>0.1</v>
      </c>
      <c r="H21" s="30">
        <v>25.4</v>
      </c>
      <c r="I21" s="30">
        <v>0</v>
      </c>
      <c r="J21" s="31">
        <v>2.6</v>
      </c>
      <c r="K21" s="29">
        <v>0</v>
      </c>
      <c r="L21" s="30">
        <v>4.0999999999999996</v>
      </c>
      <c r="M21" s="30">
        <v>0.1</v>
      </c>
      <c r="N21" s="31">
        <v>-0.1</v>
      </c>
      <c r="O21" s="29">
        <v>0</v>
      </c>
      <c r="P21" s="30">
        <v>0</v>
      </c>
      <c r="Q21" s="30">
        <v>0.2</v>
      </c>
      <c r="R21" s="31">
        <v>0</v>
      </c>
      <c r="S21" s="29">
        <v>0</v>
      </c>
      <c r="T21" s="30">
        <v>0</v>
      </c>
      <c r="U21" s="30">
        <v>0</v>
      </c>
      <c r="V21" s="31">
        <v>1.4</v>
      </c>
      <c r="W21" s="30">
        <v>6.8</v>
      </c>
      <c r="X21" s="30">
        <f>S21+T21</f>
        <v>0</v>
      </c>
      <c r="Y21" s="30">
        <v>0</v>
      </c>
      <c r="Z21" s="31">
        <v>0</v>
      </c>
      <c r="AA21" s="30">
        <v>0</v>
      </c>
      <c r="AB21" s="30">
        <v>0</v>
      </c>
      <c r="AC21" s="30">
        <v>0</v>
      </c>
      <c r="AD21" s="31">
        <v>0.5</v>
      </c>
      <c r="AE21" s="30">
        <v>0</v>
      </c>
      <c r="AF21" s="30">
        <v>0</v>
      </c>
      <c r="AG21" s="30">
        <v>1.2</v>
      </c>
      <c r="AH21" s="31">
        <v>5.3</v>
      </c>
      <c r="AI21" s="30">
        <v>0</v>
      </c>
      <c r="AJ21" s="30">
        <v>0</v>
      </c>
      <c r="AK21" s="30">
        <v>23.1</v>
      </c>
      <c r="AL21" s="31">
        <v>0</v>
      </c>
      <c r="AM21" s="30">
        <v>0</v>
      </c>
      <c r="AN21" s="30">
        <v>189.6</v>
      </c>
      <c r="AO21" s="30">
        <v>0</v>
      </c>
      <c r="AP21" s="30">
        <v>0</v>
      </c>
      <c r="AQ21" s="29">
        <v>0</v>
      </c>
      <c r="AR21" s="30">
        <v>11.9</v>
      </c>
      <c r="AS21" s="30">
        <v>0.4</v>
      </c>
      <c r="AT21" s="30">
        <v>0</v>
      </c>
      <c r="AU21" s="69" t="s">
        <v>715</v>
      </c>
      <c r="AV21" s="70" t="s">
        <v>715</v>
      </c>
      <c r="AW21" s="70" t="s">
        <v>715</v>
      </c>
      <c r="AX21" s="70" t="s">
        <v>715</v>
      </c>
    </row>
    <row r="22" spans="1:54" s="270" customFormat="1" ht="11.25">
      <c r="A22" s="37" t="s">
        <v>228</v>
      </c>
      <c r="B22" s="37" t="s">
        <v>58</v>
      </c>
      <c r="C22" s="29">
        <v>2.2999999999999998</v>
      </c>
      <c r="D22" s="30">
        <v>4.7</v>
      </c>
      <c r="E22" s="30">
        <v>0.6</v>
      </c>
      <c r="F22" s="30">
        <v>0</v>
      </c>
      <c r="G22" s="29">
        <v>0</v>
      </c>
      <c r="H22" s="30">
        <v>-3.7</v>
      </c>
      <c r="I22" s="30">
        <v>-0.7</v>
      </c>
      <c r="J22" s="31">
        <v>0</v>
      </c>
      <c r="K22" s="29">
        <v>0.3</v>
      </c>
      <c r="L22" s="30">
        <v>0.2</v>
      </c>
      <c r="M22" s="30">
        <v>5.2</v>
      </c>
      <c r="N22" s="31">
        <v>-10.7</v>
      </c>
      <c r="O22" s="29">
        <v>3.8</v>
      </c>
      <c r="P22" s="30">
        <v>-0.5</v>
      </c>
      <c r="Q22" s="30">
        <v>-0.4</v>
      </c>
      <c r="R22" s="31">
        <v>-5.7</v>
      </c>
      <c r="S22" s="29">
        <v>18.2</v>
      </c>
      <c r="T22" s="30">
        <v>-0.2</v>
      </c>
      <c r="U22" s="30">
        <v>7.4</v>
      </c>
      <c r="V22" s="31">
        <v>4.3</v>
      </c>
      <c r="W22" s="30">
        <v>12.3</v>
      </c>
      <c r="X22" s="30">
        <v>2.5</v>
      </c>
      <c r="Y22" s="30">
        <v>0</v>
      </c>
      <c r="Z22" s="31">
        <v>3.7</v>
      </c>
      <c r="AA22" s="30">
        <f>120.3-20.9</f>
        <v>99.4</v>
      </c>
      <c r="AB22" s="30">
        <f>-3.7+6.8</f>
        <v>3.0999999999999996</v>
      </c>
      <c r="AC22" s="30">
        <f>-11.7+3</f>
        <v>-8.6999999999999993</v>
      </c>
      <c r="AD22" s="31">
        <v>0</v>
      </c>
      <c r="AE22" s="30">
        <f>0.1+0.2</f>
        <v>0.30000000000000004</v>
      </c>
      <c r="AF22" s="30">
        <v>4.9000000000000004</v>
      </c>
      <c r="AG22" s="30">
        <v>0</v>
      </c>
      <c r="AH22" s="31">
        <v>0.1</v>
      </c>
      <c r="AI22" s="30">
        <v>50.9</v>
      </c>
      <c r="AJ22" s="30">
        <v>3.1</v>
      </c>
      <c r="AK22" s="30">
        <v>0</v>
      </c>
      <c r="AL22" s="31">
        <v>0.3</v>
      </c>
      <c r="AM22" s="30">
        <v>28.7</v>
      </c>
      <c r="AN22" s="30">
        <v>1.6</v>
      </c>
      <c r="AO22" s="30">
        <v>3.9</v>
      </c>
      <c r="AP22" s="30">
        <v>2.9</v>
      </c>
      <c r="AQ22" s="29">
        <v>10.1</v>
      </c>
      <c r="AR22" s="30">
        <v>14.7</v>
      </c>
      <c r="AS22" s="30">
        <v>3.2</v>
      </c>
      <c r="AT22" s="30">
        <v>0</v>
      </c>
      <c r="AU22" s="69" t="s">
        <v>715</v>
      </c>
      <c r="AV22" s="70" t="s">
        <v>715</v>
      </c>
      <c r="AW22" s="70" t="s">
        <v>715</v>
      </c>
      <c r="AX22" s="70" t="s">
        <v>715</v>
      </c>
    </row>
    <row r="23" spans="1:54" s="267" customFormat="1" ht="11.25">
      <c r="A23" s="63" t="s">
        <v>229</v>
      </c>
      <c r="B23" s="63" t="s">
        <v>59</v>
      </c>
      <c r="C23" s="29">
        <v>0</v>
      </c>
      <c r="D23" s="30">
        <v>1.4</v>
      </c>
      <c r="E23" s="30">
        <v>1.3</v>
      </c>
      <c r="F23" s="30">
        <v>0.1</v>
      </c>
      <c r="G23" s="29">
        <v>0</v>
      </c>
      <c r="H23" s="30">
        <v>2.4</v>
      </c>
      <c r="I23" s="30">
        <v>0.4</v>
      </c>
      <c r="J23" s="31">
        <v>4.3</v>
      </c>
      <c r="K23" s="29">
        <v>0</v>
      </c>
      <c r="L23" s="30">
        <v>4</v>
      </c>
      <c r="M23" s="30">
        <v>0.1</v>
      </c>
      <c r="N23" s="31">
        <v>0.1</v>
      </c>
      <c r="O23" s="29">
        <f>0.3-0.1</f>
        <v>0.19999999999999998</v>
      </c>
      <c r="P23" s="30">
        <v>3.5</v>
      </c>
      <c r="Q23" s="30">
        <v>1</v>
      </c>
      <c r="R23" s="31">
        <v>0.1</v>
      </c>
      <c r="S23" s="29">
        <v>0</v>
      </c>
      <c r="T23" s="30">
        <v>4.4000000000000004</v>
      </c>
      <c r="U23" s="30">
        <v>0.3</v>
      </c>
      <c r="V23" s="31">
        <v>0.2</v>
      </c>
      <c r="W23" s="30">
        <v>0</v>
      </c>
      <c r="X23" s="30">
        <v>4.0999999999999996</v>
      </c>
      <c r="Y23" s="30">
        <v>0</v>
      </c>
      <c r="Z23" s="31">
        <v>0</v>
      </c>
      <c r="AA23" s="30">
        <v>0</v>
      </c>
      <c r="AB23" s="30">
        <v>3.4</v>
      </c>
      <c r="AC23" s="30">
        <v>0</v>
      </c>
      <c r="AD23" s="31">
        <v>0</v>
      </c>
      <c r="AE23" s="30">
        <v>0</v>
      </c>
      <c r="AF23" s="30">
        <v>0</v>
      </c>
      <c r="AG23" s="30">
        <v>4</v>
      </c>
      <c r="AH23" s="31">
        <v>0</v>
      </c>
      <c r="AI23" s="30">
        <v>0</v>
      </c>
      <c r="AJ23" s="30">
        <v>87.5</v>
      </c>
      <c r="AK23" s="30">
        <v>0.1</v>
      </c>
      <c r="AL23" s="31">
        <v>0</v>
      </c>
      <c r="AM23" s="30">
        <v>0</v>
      </c>
      <c r="AN23" s="30">
        <v>5.4</v>
      </c>
      <c r="AO23" s="30">
        <v>0.1</v>
      </c>
      <c r="AP23" s="30">
        <v>0.1</v>
      </c>
      <c r="AQ23" s="29">
        <v>0.1</v>
      </c>
      <c r="AR23" s="30">
        <v>6.2</v>
      </c>
      <c r="AS23" s="30">
        <v>0</v>
      </c>
      <c r="AT23" s="30">
        <v>0</v>
      </c>
      <c r="AU23" s="69">
        <v>0</v>
      </c>
      <c r="AV23" s="70">
        <v>6.3</v>
      </c>
      <c r="AW23" s="70">
        <v>0</v>
      </c>
      <c r="AX23" s="70">
        <v>0</v>
      </c>
    </row>
    <row r="24" spans="1:54" s="267" customFormat="1" ht="11.25">
      <c r="A24" s="63" t="s">
        <v>404</v>
      </c>
      <c r="B24" s="63" t="s">
        <v>405</v>
      </c>
      <c r="C24" s="29">
        <v>0</v>
      </c>
      <c r="D24" s="30">
        <v>0</v>
      </c>
      <c r="E24" s="30">
        <v>0</v>
      </c>
      <c r="F24" s="30">
        <v>0</v>
      </c>
      <c r="G24" s="29">
        <v>0</v>
      </c>
      <c r="H24" s="30">
        <v>0</v>
      </c>
      <c r="I24" s="30">
        <v>0</v>
      </c>
      <c r="J24" s="30">
        <v>0</v>
      </c>
      <c r="K24" s="29">
        <v>0</v>
      </c>
      <c r="L24" s="30">
        <v>0</v>
      </c>
      <c r="M24" s="30">
        <v>0</v>
      </c>
      <c r="N24" s="30">
        <v>0</v>
      </c>
      <c r="O24" s="29">
        <v>0</v>
      </c>
      <c r="P24" s="30">
        <v>0</v>
      </c>
      <c r="Q24" s="30">
        <v>0</v>
      </c>
      <c r="R24" s="30">
        <v>0</v>
      </c>
      <c r="S24" s="29">
        <v>0</v>
      </c>
      <c r="T24" s="30">
        <v>0</v>
      </c>
      <c r="U24" s="30">
        <v>0</v>
      </c>
      <c r="V24" s="30">
        <v>0</v>
      </c>
      <c r="W24" s="30">
        <v>0</v>
      </c>
      <c r="X24" s="30">
        <v>0</v>
      </c>
      <c r="Y24" s="30">
        <v>-0.9</v>
      </c>
      <c r="Z24" s="31">
        <v>-3.9</v>
      </c>
      <c r="AA24" s="30">
        <v>0.1</v>
      </c>
      <c r="AB24" s="30">
        <v>0</v>
      </c>
      <c r="AC24" s="30">
        <v>0</v>
      </c>
      <c r="AD24" s="31">
        <v>-0.1</v>
      </c>
      <c r="AE24" s="30">
        <v>0</v>
      </c>
      <c r="AF24" s="30">
        <v>0</v>
      </c>
      <c r="AG24" s="30">
        <v>0</v>
      </c>
      <c r="AH24" s="31">
        <v>0</v>
      </c>
      <c r="AI24" s="30">
        <v>0</v>
      </c>
      <c r="AJ24" s="30">
        <v>0</v>
      </c>
      <c r="AK24" s="30">
        <v>0</v>
      </c>
      <c r="AL24" s="31">
        <v>0</v>
      </c>
      <c r="AM24" s="30">
        <v>0</v>
      </c>
      <c r="AN24" s="30">
        <v>0</v>
      </c>
      <c r="AO24" s="30">
        <v>0</v>
      </c>
      <c r="AP24" s="30">
        <v>0</v>
      </c>
      <c r="AQ24" s="29">
        <v>0</v>
      </c>
      <c r="AR24" s="30">
        <v>0</v>
      </c>
      <c r="AS24" s="30">
        <v>0</v>
      </c>
      <c r="AT24" s="30">
        <v>0</v>
      </c>
      <c r="AU24" s="69" t="s">
        <v>715</v>
      </c>
      <c r="AV24" s="70" t="s">
        <v>337</v>
      </c>
      <c r="AW24" s="70" t="s">
        <v>337</v>
      </c>
      <c r="AX24" s="70" t="s">
        <v>337</v>
      </c>
    </row>
    <row r="25" spans="1:54" s="267" customFormat="1" ht="11.25">
      <c r="A25" s="37" t="s">
        <v>349</v>
      </c>
      <c r="B25" s="37" t="s">
        <v>348</v>
      </c>
      <c r="C25" s="29">
        <v>0</v>
      </c>
      <c r="D25" s="30">
        <v>0</v>
      </c>
      <c r="E25" s="30">
        <v>0</v>
      </c>
      <c r="F25" s="30">
        <v>0</v>
      </c>
      <c r="G25" s="29">
        <v>0</v>
      </c>
      <c r="H25" s="30">
        <v>0</v>
      </c>
      <c r="I25" s="30">
        <v>0</v>
      </c>
      <c r="J25" s="31">
        <v>0</v>
      </c>
      <c r="K25" s="29">
        <v>0</v>
      </c>
      <c r="L25" s="30">
        <v>0</v>
      </c>
      <c r="M25" s="30">
        <v>0</v>
      </c>
      <c r="N25" s="31">
        <v>0</v>
      </c>
      <c r="O25" s="29">
        <v>0</v>
      </c>
      <c r="P25" s="30">
        <v>0</v>
      </c>
      <c r="Q25" s="30">
        <v>0</v>
      </c>
      <c r="R25" s="31">
        <v>0</v>
      </c>
      <c r="S25" s="29">
        <v>0</v>
      </c>
      <c r="T25" s="30">
        <v>2</v>
      </c>
      <c r="U25" s="30">
        <v>0</v>
      </c>
      <c r="V25" s="31">
        <v>0</v>
      </c>
      <c r="W25" s="30">
        <v>0</v>
      </c>
      <c r="X25" s="30">
        <v>0</v>
      </c>
      <c r="Y25" s="30">
        <v>0</v>
      </c>
      <c r="Z25" s="31">
        <v>0</v>
      </c>
      <c r="AA25" s="30">
        <v>0</v>
      </c>
      <c r="AB25" s="30">
        <v>0</v>
      </c>
      <c r="AC25" s="30">
        <v>0</v>
      </c>
      <c r="AD25" s="31">
        <v>0</v>
      </c>
      <c r="AE25" s="30">
        <v>0</v>
      </c>
      <c r="AF25" s="30">
        <v>0</v>
      </c>
      <c r="AG25" s="30">
        <v>0</v>
      </c>
      <c r="AH25" s="31">
        <v>0</v>
      </c>
      <c r="AI25" s="30">
        <v>0</v>
      </c>
      <c r="AJ25" s="30">
        <v>0</v>
      </c>
      <c r="AK25" s="30">
        <v>0</v>
      </c>
      <c r="AL25" s="31">
        <v>0</v>
      </c>
      <c r="AM25" s="30">
        <v>0</v>
      </c>
      <c r="AN25" s="30">
        <v>0</v>
      </c>
      <c r="AO25" s="30">
        <v>0</v>
      </c>
      <c r="AP25" s="30">
        <v>0</v>
      </c>
      <c r="AQ25" s="29">
        <v>0</v>
      </c>
      <c r="AR25" s="30">
        <v>0</v>
      </c>
      <c r="AS25" s="30">
        <v>0</v>
      </c>
      <c r="AT25" s="30">
        <v>0</v>
      </c>
      <c r="AU25" s="69" t="s">
        <v>715</v>
      </c>
      <c r="AV25" s="70" t="s">
        <v>337</v>
      </c>
      <c r="AW25" s="70" t="s">
        <v>337</v>
      </c>
      <c r="AX25" s="70" t="s">
        <v>337</v>
      </c>
    </row>
    <row r="26" spans="1:54" s="271" customFormat="1" ht="11.25">
      <c r="A26" s="57" t="s">
        <v>230</v>
      </c>
      <c r="B26" s="57" t="s">
        <v>60</v>
      </c>
      <c r="C26" s="42">
        <f t="shared" ref="C26:V26" si="3">SUM(C21:C25)</f>
        <v>16.899999999999999</v>
      </c>
      <c r="D26" s="43">
        <f t="shared" si="3"/>
        <v>6.1</v>
      </c>
      <c r="E26" s="43">
        <f t="shared" si="3"/>
        <v>1.9</v>
      </c>
      <c r="F26" s="44">
        <f t="shared" si="3"/>
        <v>0.1</v>
      </c>
      <c r="G26" s="43">
        <f t="shared" si="3"/>
        <v>0.1</v>
      </c>
      <c r="H26" s="43">
        <f t="shared" si="3"/>
        <v>24.099999999999998</v>
      </c>
      <c r="I26" s="43">
        <f t="shared" si="3"/>
        <v>-0.29999999999999993</v>
      </c>
      <c r="J26" s="43">
        <f t="shared" si="3"/>
        <v>6.9</v>
      </c>
      <c r="K26" s="42">
        <f t="shared" si="3"/>
        <v>0.3</v>
      </c>
      <c r="L26" s="43">
        <f t="shared" si="3"/>
        <v>8.3000000000000007</v>
      </c>
      <c r="M26" s="43">
        <f t="shared" si="3"/>
        <v>5.3999999999999995</v>
      </c>
      <c r="N26" s="44">
        <f t="shared" si="3"/>
        <v>-10.7</v>
      </c>
      <c r="O26" s="43">
        <f t="shared" si="3"/>
        <v>4</v>
      </c>
      <c r="P26" s="43">
        <f t="shared" si="3"/>
        <v>3</v>
      </c>
      <c r="Q26" s="43">
        <f t="shared" si="3"/>
        <v>0.8</v>
      </c>
      <c r="R26" s="43">
        <f t="shared" si="3"/>
        <v>-5.6000000000000005</v>
      </c>
      <c r="S26" s="42">
        <f t="shared" si="3"/>
        <v>18.2</v>
      </c>
      <c r="T26" s="43">
        <f t="shared" si="3"/>
        <v>6.2</v>
      </c>
      <c r="U26" s="43">
        <f t="shared" si="3"/>
        <v>7.7</v>
      </c>
      <c r="V26" s="44">
        <f t="shared" si="3"/>
        <v>5.8999999999999995</v>
      </c>
      <c r="W26" s="43">
        <f t="shared" ref="W26:AB26" si="4">SUM(W21:W25)</f>
        <v>19.100000000000001</v>
      </c>
      <c r="X26" s="43">
        <f t="shared" si="4"/>
        <v>6.6</v>
      </c>
      <c r="Y26" s="43">
        <f t="shared" si="4"/>
        <v>-0.9</v>
      </c>
      <c r="Z26" s="44">
        <f t="shared" si="4"/>
        <v>-0.19999999999999973</v>
      </c>
      <c r="AA26" s="43">
        <f t="shared" si="4"/>
        <v>99.5</v>
      </c>
      <c r="AB26" s="43">
        <f t="shared" si="4"/>
        <v>6.5</v>
      </c>
      <c r="AC26" s="43">
        <f t="shared" ref="AC26:AI26" si="5">SUM(AC21:AC25)</f>
        <v>-8.6999999999999993</v>
      </c>
      <c r="AD26" s="44">
        <f t="shared" si="5"/>
        <v>0.4</v>
      </c>
      <c r="AE26" s="43">
        <f t="shared" si="5"/>
        <v>0.30000000000000004</v>
      </c>
      <c r="AF26" s="43">
        <f t="shared" si="5"/>
        <v>4.9000000000000004</v>
      </c>
      <c r="AG26" s="43">
        <f t="shared" si="5"/>
        <v>5.2</v>
      </c>
      <c r="AH26" s="44">
        <f t="shared" si="5"/>
        <v>5.3999999999999995</v>
      </c>
      <c r="AI26" s="43">
        <f t="shared" si="5"/>
        <v>50.9</v>
      </c>
      <c r="AJ26" s="43">
        <f t="shared" ref="AJ26:AT26" si="6">SUM(AJ21:AJ25)</f>
        <v>90.6</v>
      </c>
      <c r="AK26" s="43">
        <f t="shared" si="6"/>
        <v>23.200000000000003</v>
      </c>
      <c r="AL26" s="44">
        <f t="shared" si="6"/>
        <v>0.3</v>
      </c>
      <c r="AM26" s="43">
        <f t="shared" si="6"/>
        <v>28.7</v>
      </c>
      <c r="AN26" s="43">
        <f t="shared" si="6"/>
        <v>196.6</v>
      </c>
      <c r="AO26" s="43">
        <f t="shared" si="6"/>
        <v>4</v>
      </c>
      <c r="AP26" s="43">
        <f t="shared" si="6"/>
        <v>3</v>
      </c>
      <c r="AQ26" s="42">
        <f t="shared" si="6"/>
        <v>10.199999999999999</v>
      </c>
      <c r="AR26" s="43">
        <f t="shared" si="6"/>
        <v>32.800000000000004</v>
      </c>
      <c r="AS26" s="43">
        <f t="shared" si="6"/>
        <v>3.6</v>
      </c>
      <c r="AT26" s="43">
        <f t="shared" si="6"/>
        <v>0</v>
      </c>
      <c r="AU26" s="86">
        <f>SUM(AU19:AU25)</f>
        <v>33.300000000000004</v>
      </c>
      <c r="AV26" s="43">
        <f>SUM(AV19:AV25)</f>
        <v>18.2</v>
      </c>
      <c r="AW26" s="43">
        <f>SUM(AW19:AW25)</f>
        <v>0</v>
      </c>
      <c r="AX26" s="43">
        <f>SUM(AX19:AX25)</f>
        <v>3.8</v>
      </c>
      <c r="AY26" s="450"/>
      <c r="AZ26" s="450"/>
      <c r="BA26" s="450"/>
      <c r="BB26" s="450"/>
    </row>
    <row r="27" spans="1:54" s="19" customFormat="1" ht="11.25">
      <c r="A27" s="115"/>
      <c r="B27" s="115"/>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70"/>
      <c r="AV27" s="30"/>
      <c r="AW27" s="30"/>
      <c r="AX27" s="30"/>
    </row>
    <row r="28" spans="1:54" s="19" customFormat="1" ht="11.25">
      <c r="A28" s="33" t="s">
        <v>231</v>
      </c>
      <c r="B28" s="33" t="s">
        <v>61</v>
      </c>
      <c r="C28" s="29">
        <f>C29+C30</f>
        <v>0</v>
      </c>
      <c r="D28" s="30">
        <f t="shared" ref="D28:X28" si="7">D29+D30</f>
        <v>-0.19999999999999996</v>
      </c>
      <c r="E28" s="30">
        <f t="shared" si="7"/>
        <v>1.6</v>
      </c>
      <c r="F28" s="30">
        <f t="shared" si="7"/>
        <v>-0.59999999999999964</v>
      </c>
      <c r="G28" s="29">
        <f t="shared" si="7"/>
        <v>0.69999999999999973</v>
      </c>
      <c r="H28" s="30">
        <f t="shared" si="7"/>
        <v>-0.70000000000000284</v>
      </c>
      <c r="I28" s="30">
        <f t="shared" si="7"/>
        <v>2.5</v>
      </c>
      <c r="J28" s="31">
        <f t="shared" si="7"/>
        <v>2.0999999999999659</v>
      </c>
      <c r="K28" s="29">
        <f t="shared" si="7"/>
        <v>18</v>
      </c>
      <c r="L28" s="30">
        <f t="shared" si="7"/>
        <v>5.7999999999999972</v>
      </c>
      <c r="M28" s="30">
        <f t="shared" si="7"/>
        <v>-6.8000000000000043</v>
      </c>
      <c r="N28" s="31">
        <f t="shared" si="7"/>
        <v>3.2999999999999972</v>
      </c>
      <c r="O28" s="29">
        <f t="shared" si="7"/>
        <v>-7</v>
      </c>
      <c r="P28" s="30">
        <f t="shared" si="7"/>
        <v>-15.300000000000011</v>
      </c>
      <c r="Q28" s="30">
        <f t="shared" si="7"/>
        <v>-7.9000000000000057</v>
      </c>
      <c r="R28" s="31">
        <f t="shared" si="7"/>
        <v>18</v>
      </c>
      <c r="S28" s="29">
        <f t="shared" si="7"/>
        <v>-15.899999999999991</v>
      </c>
      <c r="T28" s="30">
        <f t="shared" si="7"/>
        <v>-5.6000000000000085</v>
      </c>
      <c r="U28" s="30">
        <f t="shared" si="7"/>
        <v>-21.900000000000006</v>
      </c>
      <c r="V28" s="31">
        <f t="shared" si="7"/>
        <v>7.6999999999999993</v>
      </c>
      <c r="W28" s="30">
        <f t="shared" si="7"/>
        <v>2.3999999999999986</v>
      </c>
      <c r="X28" s="30">
        <f t="shared" si="7"/>
        <v>-5.6000000000000014</v>
      </c>
      <c r="Y28" s="30">
        <f t="shared" ref="Y28:AI28" si="8">Y29+Y30</f>
        <v>-2.1000000000000085</v>
      </c>
      <c r="Z28" s="31">
        <f t="shared" si="8"/>
        <v>-4.1999999999999957</v>
      </c>
      <c r="AA28" s="30">
        <f t="shared" si="8"/>
        <v>2.2000000000000028</v>
      </c>
      <c r="AB28" s="30">
        <f t="shared" si="8"/>
        <v>10.099999999999994</v>
      </c>
      <c r="AC28" s="30">
        <f t="shared" si="8"/>
        <v>15.999999999999998</v>
      </c>
      <c r="AD28" s="31">
        <f t="shared" si="8"/>
        <v>4.0999999999999996</v>
      </c>
      <c r="AE28" s="30">
        <f t="shared" si="8"/>
        <v>-0.30000000000000426</v>
      </c>
      <c r="AF28" s="30">
        <f t="shared" si="8"/>
        <v>3.9000000000000057</v>
      </c>
      <c r="AG28" s="30">
        <f t="shared" si="8"/>
        <v>6.9000000000000057</v>
      </c>
      <c r="AH28" s="31">
        <f t="shared" si="8"/>
        <v>-1.8999999999999986</v>
      </c>
      <c r="AI28" s="30">
        <f t="shared" si="8"/>
        <v>11.4</v>
      </c>
      <c r="AJ28" s="30">
        <f t="shared" ref="AJ28:AU28" si="9">AJ29+AJ30</f>
        <v>3.1000000000000085</v>
      </c>
      <c r="AK28" s="30">
        <f t="shared" si="9"/>
        <v>2.8999999999999986</v>
      </c>
      <c r="AL28" s="31">
        <f t="shared" si="9"/>
        <v>4.4000000000000021</v>
      </c>
      <c r="AM28" s="30">
        <f t="shared" si="9"/>
        <v>-2.6000000000000014</v>
      </c>
      <c r="AN28" s="30">
        <f t="shared" si="9"/>
        <v>0.59999999999999964</v>
      </c>
      <c r="AO28" s="30">
        <f t="shared" si="9"/>
        <v>0.90000000000000568</v>
      </c>
      <c r="AP28" s="30">
        <f t="shared" si="9"/>
        <v>-0.60000000000002274</v>
      </c>
      <c r="AQ28" s="29">
        <f t="shared" si="9"/>
        <v>1.6000000000000014</v>
      </c>
      <c r="AR28" s="30">
        <f t="shared" si="9"/>
        <v>8</v>
      </c>
      <c r="AS28" s="30">
        <f t="shared" si="9"/>
        <v>2.8999999999999986</v>
      </c>
      <c r="AT28" s="30">
        <f t="shared" si="9"/>
        <v>4.5000000000000036</v>
      </c>
      <c r="AU28" s="69">
        <f t="shared" si="9"/>
        <v>2.2999999999999972</v>
      </c>
      <c r="AV28" s="30">
        <f>AV29+AV30</f>
        <v>2.7999999999999989</v>
      </c>
      <c r="AW28" s="30">
        <f>AW29+AW30</f>
        <v>0</v>
      </c>
      <c r="AX28" s="30">
        <f>AX29+AX30</f>
        <v>5.7999999999999972</v>
      </c>
    </row>
    <row r="29" spans="1:54" s="19" customFormat="1" ht="11.25">
      <c r="A29" s="28" t="s">
        <v>232</v>
      </c>
      <c r="B29" s="28" t="s">
        <v>64</v>
      </c>
      <c r="C29" s="29">
        <v>0</v>
      </c>
      <c r="D29" s="30">
        <v>-1.2</v>
      </c>
      <c r="E29" s="30">
        <v>1</v>
      </c>
      <c r="F29" s="30">
        <v>-5.0999999999999996</v>
      </c>
      <c r="G29" s="29">
        <v>3.8</v>
      </c>
      <c r="H29" s="30">
        <v>71.3</v>
      </c>
      <c r="I29" s="30">
        <v>-16.3</v>
      </c>
      <c r="J29" s="31">
        <v>268.2</v>
      </c>
      <c r="K29" s="29">
        <v>-24.6</v>
      </c>
      <c r="L29" s="30">
        <v>-112.4</v>
      </c>
      <c r="M29" s="30">
        <v>61.1</v>
      </c>
      <c r="N29" s="31">
        <v>-66.400000000000006</v>
      </c>
      <c r="O29" s="29">
        <v>133.1</v>
      </c>
      <c r="P29" s="30">
        <v>129.19999999999999</v>
      </c>
      <c r="Q29" s="30">
        <v>76.099999999999994</v>
      </c>
      <c r="R29" s="31">
        <v>-224.1</v>
      </c>
      <c r="S29" s="29">
        <v>-128.69999999999999</v>
      </c>
      <c r="T29" s="30">
        <v>76.3</v>
      </c>
      <c r="U29" s="30">
        <v>205.9</v>
      </c>
      <c r="V29" s="31">
        <v>20.399999999999999</v>
      </c>
      <c r="W29" s="30">
        <v>33.799999999999997</v>
      </c>
      <c r="X29" s="30">
        <v>57.8</v>
      </c>
      <c r="Y29" s="30">
        <v>70.099999999999994</v>
      </c>
      <c r="Z29" s="31">
        <v>42.2</v>
      </c>
      <c r="AA29" s="30">
        <f>-66.6+20.9</f>
        <v>-45.699999999999996</v>
      </c>
      <c r="AB29" s="30">
        <f>-123.2-6.8</f>
        <v>-130</v>
      </c>
      <c r="AC29" s="30">
        <f>-1.1-3</f>
        <v>-4.0999999999999996</v>
      </c>
      <c r="AD29" s="31">
        <v>-13.4</v>
      </c>
      <c r="AE29" s="30">
        <f>53.6-0.2</f>
        <v>53.4</v>
      </c>
      <c r="AF29" s="30">
        <v>93.7</v>
      </c>
      <c r="AG29" s="30">
        <v>65.400000000000006</v>
      </c>
      <c r="AH29" s="31">
        <v>22</v>
      </c>
      <c r="AI29" s="30">
        <v>1.3</v>
      </c>
      <c r="AJ29" s="30">
        <v>-112.8</v>
      </c>
      <c r="AK29" s="30">
        <v>22.2</v>
      </c>
      <c r="AL29" s="31">
        <v>-23.9</v>
      </c>
      <c r="AM29" s="30">
        <v>46.3</v>
      </c>
      <c r="AN29" s="30">
        <v>-15.1</v>
      </c>
      <c r="AO29" s="30">
        <v>-82.1</v>
      </c>
      <c r="AP29" s="30">
        <v>-225.8</v>
      </c>
      <c r="AQ29" s="29">
        <v>-25.9</v>
      </c>
      <c r="AR29" s="30">
        <v>-19</v>
      </c>
      <c r="AS29" s="30">
        <v>-25.6</v>
      </c>
      <c r="AT29" s="30">
        <v>-28.7</v>
      </c>
      <c r="AU29" s="69">
        <v>53.3</v>
      </c>
      <c r="AV29" s="30">
        <v>-14.9</v>
      </c>
      <c r="AW29" s="30">
        <v>-21.7</v>
      </c>
      <c r="AX29" s="30">
        <v>112.8</v>
      </c>
    </row>
    <row r="30" spans="1:54" s="19" customFormat="1" ht="11.25">
      <c r="A30" s="28" t="s">
        <v>233</v>
      </c>
      <c r="B30" s="28" t="s">
        <v>65</v>
      </c>
      <c r="C30" s="29">
        <v>0</v>
      </c>
      <c r="D30" s="30">
        <v>1</v>
      </c>
      <c r="E30" s="30">
        <v>0.6</v>
      </c>
      <c r="F30" s="30">
        <v>4.5</v>
      </c>
      <c r="G30" s="29">
        <v>-3.1</v>
      </c>
      <c r="H30" s="30">
        <v>-72</v>
      </c>
      <c r="I30" s="30">
        <v>18.8</v>
      </c>
      <c r="J30" s="31">
        <v>-266.10000000000002</v>
      </c>
      <c r="K30" s="29">
        <v>42.6</v>
      </c>
      <c r="L30" s="30">
        <v>118.2</v>
      </c>
      <c r="M30" s="30">
        <v>-67.900000000000006</v>
      </c>
      <c r="N30" s="31">
        <v>69.7</v>
      </c>
      <c r="O30" s="29">
        <v>-140.1</v>
      </c>
      <c r="P30" s="30">
        <v>-144.5</v>
      </c>
      <c r="Q30" s="30">
        <v>-84</v>
      </c>
      <c r="R30" s="31">
        <v>242.1</v>
      </c>
      <c r="S30" s="29">
        <v>112.8</v>
      </c>
      <c r="T30" s="30">
        <v>-81.900000000000006</v>
      </c>
      <c r="U30" s="30">
        <v>-227.8</v>
      </c>
      <c r="V30" s="31">
        <v>-12.7</v>
      </c>
      <c r="W30" s="30">
        <v>-31.4</v>
      </c>
      <c r="X30" s="30">
        <v>-63.4</v>
      </c>
      <c r="Y30" s="30">
        <v>-72.2</v>
      </c>
      <c r="Z30" s="31">
        <v>-46.4</v>
      </c>
      <c r="AA30" s="30">
        <f>46.9+1</f>
        <v>47.9</v>
      </c>
      <c r="AB30" s="30">
        <f>134.9+5.2</f>
        <v>140.1</v>
      </c>
      <c r="AC30" s="30">
        <f>3.9+16.2</f>
        <v>20.099999999999998</v>
      </c>
      <c r="AD30" s="31">
        <v>17.5</v>
      </c>
      <c r="AE30" s="30">
        <f>-54.1+0.4</f>
        <v>-53.7</v>
      </c>
      <c r="AF30" s="30">
        <v>-89.8</v>
      </c>
      <c r="AG30" s="30">
        <v>-58.5</v>
      </c>
      <c r="AH30" s="31">
        <v>-23.9</v>
      </c>
      <c r="AI30" s="30">
        <v>10.1</v>
      </c>
      <c r="AJ30" s="30">
        <v>115.9</v>
      </c>
      <c r="AK30" s="30">
        <v>-19.3</v>
      </c>
      <c r="AL30" s="31">
        <v>28.3</v>
      </c>
      <c r="AM30" s="30">
        <v>-48.9</v>
      </c>
      <c r="AN30" s="30">
        <v>15.7</v>
      </c>
      <c r="AO30" s="30">
        <v>83</v>
      </c>
      <c r="AP30" s="30">
        <v>225.2</v>
      </c>
      <c r="AQ30" s="29">
        <v>27.5</v>
      </c>
      <c r="AR30" s="30">
        <v>27</v>
      </c>
      <c r="AS30" s="30">
        <v>28.5</v>
      </c>
      <c r="AT30" s="30">
        <v>33.200000000000003</v>
      </c>
      <c r="AU30" s="69">
        <v>-51</v>
      </c>
      <c r="AV30" s="30">
        <v>17.7</v>
      </c>
      <c r="AW30" s="30">
        <v>21.7</v>
      </c>
      <c r="AX30" s="30">
        <v>-107</v>
      </c>
    </row>
    <row r="31" spans="1:54" s="271" customFormat="1" ht="11.25">
      <c r="A31" s="33" t="s">
        <v>234</v>
      </c>
      <c r="B31" s="33" t="s">
        <v>62</v>
      </c>
      <c r="C31" s="29">
        <f>C32</f>
        <v>0</v>
      </c>
      <c r="D31" s="30">
        <f t="shared" ref="D31:W31" si="10">D32</f>
        <v>0</v>
      </c>
      <c r="E31" s="30">
        <f t="shared" si="10"/>
        <v>0</v>
      </c>
      <c r="F31" s="30">
        <f t="shared" si="10"/>
        <v>0</v>
      </c>
      <c r="G31" s="29">
        <f t="shared" si="10"/>
        <v>0</v>
      </c>
      <c r="H31" s="30">
        <f t="shared" si="10"/>
        <v>0</v>
      </c>
      <c r="I31" s="30">
        <f t="shared" si="10"/>
        <v>0.2</v>
      </c>
      <c r="J31" s="30">
        <f t="shared" si="10"/>
        <v>-0.2</v>
      </c>
      <c r="K31" s="29">
        <f t="shared" si="10"/>
        <v>-0.1</v>
      </c>
      <c r="L31" s="30">
        <f t="shared" si="10"/>
        <v>0.2</v>
      </c>
      <c r="M31" s="30">
        <f t="shared" si="10"/>
        <v>0.1</v>
      </c>
      <c r="N31" s="30">
        <f t="shared" si="10"/>
        <v>-0.4</v>
      </c>
      <c r="O31" s="29">
        <f t="shared" si="10"/>
        <v>0.1</v>
      </c>
      <c r="P31" s="30">
        <f t="shared" si="10"/>
        <v>0</v>
      </c>
      <c r="Q31" s="30">
        <f t="shared" si="10"/>
        <v>0</v>
      </c>
      <c r="R31" s="30">
        <f t="shared" si="10"/>
        <v>0</v>
      </c>
      <c r="S31" s="29">
        <f t="shared" si="10"/>
        <v>-0.4</v>
      </c>
      <c r="T31" s="30">
        <f t="shared" si="10"/>
        <v>2.4</v>
      </c>
      <c r="U31" s="30">
        <f t="shared" si="10"/>
        <v>-1.7</v>
      </c>
      <c r="V31" s="30">
        <f t="shared" si="10"/>
        <v>2</v>
      </c>
      <c r="W31" s="29">
        <f t="shared" si="10"/>
        <v>-0.7</v>
      </c>
      <c r="X31" s="30">
        <f t="shared" ref="X31:AG31" si="11">SUM(X32)</f>
        <v>0.4</v>
      </c>
      <c r="Y31" s="30">
        <f t="shared" si="11"/>
        <v>-3.4</v>
      </c>
      <c r="Z31" s="31">
        <f t="shared" si="11"/>
        <v>-0.1</v>
      </c>
      <c r="AA31" s="30">
        <f t="shared" si="11"/>
        <v>0.7</v>
      </c>
      <c r="AB31" s="30">
        <f t="shared" si="11"/>
        <v>-0.2</v>
      </c>
      <c r="AC31" s="30">
        <f t="shared" si="11"/>
        <v>-0.5</v>
      </c>
      <c r="AD31" s="31">
        <f t="shared" si="11"/>
        <v>-0.4</v>
      </c>
      <c r="AE31" s="30">
        <f t="shared" si="11"/>
        <v>1.1000000000000001</v>
      </c>
      <c r="AF31" s="30">
        <f t="shared" si="11"/>
        <v>-0.9</v>
      </c>
      <c r="AG31" s="30">
        <f t="shared" si="11"/>
        <v>0.3</v>
      </c>
      <c r="AH31" s="31">
        <v>-0.2</v>
      </c>
      <c r="AI31" s="30">
        <v>0</v>
      </c>
      <c r="AJ31" s="30">
        <f>SUM(AJ32)</f>
        <v>0.2</v>
      </c>
      <c r="AK31" s="30">
        <f>SUM(AK32)</f>
        <v>-0.3</v>
      </c>
      <c r="AL31" s="31">
        <f>SUM(AL32)</f>
        <v>1.2</v>
      </c>
      <c r="AM31" s="30">
        <v>0</v>
      </c>
      <c r="AN31" s="30">
        <v>-0.1</v>
      </c>
      <c r="AO31" s="30">
        <v>-0.7</v>
      </c>
      <c r="AP31" s="30">
        <v>-0.1</v>
      </c>
      <c r="AQ31" s="29">
        <v>0.4</v>
      </c>
      <c r="AR31" s="30">
        <v>0.3</v>
      </c>
      <c r="AS31" s="30">
        <v>-1.6</v>
      </c>
      <c r="AT31" s="30">
        <v>-0.79999999999999993</v>
      </c>
      <c r="AU31" s="69">
        <v>-0.1</v>
      </c>
      <c r="AV31" s="30">
        <f>AV32</f>
        <v>-0.8</v>
      </c>
      <c r="AW31" s="30">
        <f>AW32</f>
        <v>-0.7</v>
      </c>
      <c r="AX31" s="30">
        <f>AX32</f>
        <v>-1.4</v>
      </c>
    </row>
    <row r="32" spans="1:54" s="19" customFormat="1" ht="11.25">
      <c r="A32" s="64" t="s">
        <v>235</v>
      </c>
      <c r="B32" s="64" t="s">
        <v>66</v>
      </c>
      <c r="C32" s="29">
        <v>0</v>
      </c>
      <c r="D32" s="30">
        <v>0</v>
      </c>
      <c r="E32" s="30">
        <v>0</v>
      </c>
      <c r="F32" s="30">
        <v>0</v>
      </c>
      <c r="G32" s="29">
        <v>0</v>
      </c>
      <c r="H32" s="30">
        <v>0</v>
      </c>
      <c r="I32" s="30">
        <v>0.2</v>
      </c>
      <c r="J32" s="31">
        <v>-0.2</v>
      </c>
      <c r="K32" s="29">
        <v>-0.1</v>
      </c>
      <c r="L32" s="30">
        <v>0.2</v>
      </c>
      <c r="M32" s="30">
        <v>0.1</v>
      </c>
      <c r="N32" s="31">
        <v>-0.4</v>
      </c>
      <c r="O32" s="29">
        <v>0.1</v>
      </c>
      <c r="P32" s="30">
        <v>0</v>
      </c>
      <c r="Q32" s="30">
        <v>0</v>
      </c>
      <c r="R32" s="31">
        <v>0</v>
      </c>
      <c r="S32" s="29">
        <v>-0.4</v>
      </c>
      <c r="T32" s="30">
        <v>2.4</v>
      </c>
      <c r="U32" s="30">
        <v>-1.7</v>
      </c>
      <c r="V32" s="31">
        <v>2</v>
      </c>
      <c r="W32" s="30">
        <v>-0.7</v>
      </c>
      <c r="X32" s="30">
        <v>0.4</v>
      </c>
      <c r="Y32" s="30">
        <v>-3.4</v>
      </c>
      <c r="Z32" s="31">
        <v>-0.1</v>
      </c>
      <c r="AA32" s="30">
        <v>0.7</v>
      </c>
      <c r="AB32" s="30">
        <v>-0.2</v>
      </c>
      <c r="AC32" s="30">
        <v>-0.5</v>
      </c>
      <c r="AD32" s="31">
        <v>-0.4</v>
      </c>
      <c r="AE32" s="30">
        <v>1.1000000000000001</v>
      </c>
      <c r="AF32" s="30">
        <v>-0.9</v>
      </c>
      <c r="AG32" s="30">
        <v>0.3</v>
      </c>
      <c r="AH32" s="31">
        <v>-0.2</v>
      </c>
      <c r="AI32" s="30">
        <v>0</v>
      </c>
      <c r="AJ32" s="30">
        <v>0.2</v>
      </c>
      <c r="AK32" s="30">
        <v>-0.3</v>
      </c>
      <c r="AL32" s="31">
        <v>1.2</v>
      </c>
      <c r="AM32" s="30">
        <v>0</v>
      </c>
      <c r="AN32" s="30">
        <v>-0.1</v>
      </c>
      <c r="AO32" s="30">
        <v>-0.7</v>
      </c>
      <c r="AP32" s="30">
        <v>-0.1</v>
      </c>
      <c r="AQ32" s="29">
        <v>0.4</v>
      </c>
      <c r="AR32" s="30">
        <v>0.3</v>
      </c>
      <c r="AS32" s="30">
        <v>-1.6</v>
      </c>
      <c r="AT32" s="30">
        <v>-0.79999999999999993</v>
      </c>
      <c r="AU32" s="69">
        <v>-0.1</v>
      </c>
      <c r="AV32" s="30">
        <v>-0.8</v>
      </c>
      <c r="AW32" s="30">
        <v>-0.7</v>
      </c>
      <c r="AX32" s="30">
        <v>-1.4</v>
      </c>
    </row>
    <row r="33" spans="1:54" s="271" customFormat="1" ht="11.25">
      <c r="A33" s="57" t="s">
        <v>236</v>
      </c>
      <c r="B33" s="57" t="s">
        <v>67</v>
      </c>
      <c r="C33" s="42">
        <f>C28+C31</f>
        <v>0</v>
      </c>
      <c r="D33" s="43">
        <f t="shared" ref="D33:X33" si="12">D28+D31</f>
        <v>-0.19999999999999996</v>
      </c>
      <c r="E33" s="43">
        <f t="shared" si="12"/>
        <v>1.6</v>
      </c>
      <c r="F33" s="43">
        <f t="shared" si="12"/>
        <v>-0.59999999999999964</v>
      </c>
      <c r="G33" s="42">
        <f t="shared" si="12"/>
        <v>0.69999999999999973</v>
      </c>
      <c r="H33" s="43">
        <f t="shared" si="12"/>
        <v>-0.70000000000000284</v>
      </c>
      <c r="I33" s="43">
        <f t="shared" si="12"/>
        <v>2.7</v>
      </c>
      <c r="J33" s="44">
        <f t="shared" si="12"/>
        <v>1.8999999999999659</v>
      </c>
      <c r="K33" s="42">
        <f t="shared" si="12"/>
        <v>17.899999999999999</v>
      </c>
      <c r="L33" s="43">
        <f t="shared" si="12"/>
        <v>5.9999999999999973</v>
      </c>
      <c r="M33" s="43">
        <f t="shared" si="12"/>
        <v>-6.7000000000000046</v>
      </c>
      <c r="N33" s="44">
        <f t="shared" si="12"/>
        <v>2.8999999999999972</v>
      </c>
      <c r="O33" s="42">
        <f t="shared" si="12"/>
        <v>-6.9</v>
      </c>
      <c r="P33" s="43">
        <f t="shared" si="12"/>
        <v>-15.300000000000011</v>
      </c>
      <c r="Q33" s="43">
        <f t="shared" si="12"/>
        <v>-7.9000000000000057</v>
      </c>
      <c r="R33" s="44">
        <f t="shared" si="12"/>
        <v>18</v>
      </c>
      <c r="S33" s="42">
        <f t="shared" si="12"/>
        <v>-16.29999999999999</v>
      </c>
      <c r="T33" s="43">
        <f t="shared" si="12"/>
        <v>-3.2000000000000086</v>
      </c>
      <c r="U33" s="43">
        <f t="shared" si="12"/>
        <v>-23.600000000000005</v>
      </c>
      <c r="V33" s="44">
        <f t="shared" si="12"/>
        <v>9.6999999999999993</v>
      </c>
      <c r="W33" s="43">
        <f t="shared" si="12"/>
        <v>1.6999999999999986</v>
      </c>
      <c r="X33" s="43">
        <f t="shared" si="12"/>
        <v>-5.2000000000000011</v>
      </c>
      <c r="Y33" s="43">
        <f t="shared" ref="Y33:AI33" si="13">Y28+Y31</f>
        <v>-5.5000000000000089</v>
      </c>
      <c r="Z33" s="44">
        <f t="shared" si="13"/>
        <v>-4.2999999999999954</v>
      </c>
      <c r="AA33" s="43">
        <f t="shared" si="13"/>
        <v>2.900000000000003</v>
      </c>
      <c r="AB33" s="43">
        <f t="shared" si="13"/>
        <v>9.899999999999995</v>
      </c>
      <c r="AC33" s="43">
        <f t="shared" si="13"/>
        <v>15.499999999999998</v>
      </c>
      <c r="AD33" s="44">
        <f t="shared" si="13"/>
        <v>3.6999999999999997</v>
      </c>
      <c r="AE33" s="43">
        <f t="shared" si="13"/>
        <v>0.79999999999999583</v>
      </c>
      <c r="AF33" s="43">
        <f t="shared" si="13"/>
        <v>3.0000000000000058</v>
      </c>
      <c r="AG33" s="43">
        <f t="shared" si="13"/>
        <v>7.2000000000000055</v>
      </c>
      <c r="AH33" s="44">
        <f t="shared" si="13"/>
        <v>-2.0999999999999988</v>
      </c>
      <c r="AI33" s="43">
        <f t="shared" si="13"/>
        <v>11.4</v>
      </c>
      <c r="AJ33" s="43">
        <f t="shared" ref="AJ33:AO33" si="14">AJ28+AJ31</f>
        <v>3.3000000000000087</v>
      </c>
      <c r="AK33" s="43">
        <f t="shared" si="14"/>
        <v>2.5999999999999988</v>
      </c>
      <c r="AL33" s="44">
        <f t="shared" si="14"/>
        <v>5.6000000000000023</v>
      </c>
      <c r="AM33" s="43">
        <f t="shared" si="14"/>
        <v>-2.6000000000000014</v>
      </c>
      <c r="AN33" s="43">
        <f t="shared" si="14"/>
        <v>0.49999999999999967</v>
      </c>
      <c r="AO33" s="43">
        <f t="shared" si="14"/>
        <v>0.20000000000000573</v>
      </c>
      <c r="AP33" s="43">
        <v>-0.7</v>
      </c>
      <c r="AQ33" s="42">
        <v>2.0000000000000013</v>
      </c>
      <c r="AR33" s="43">
        <v>8.3000000000000007</v>
      </c>
      <c r="AS33" s="43">
        <v>1.2999999999999985</v>
      </c>
      <c r="AT33" s="43">
        <v>3.7000000000000037</v>
      </c>
      <c r="AU33" s="86">
        <v>2.1999999999999971</v>
      </c>
      <c r="AV33" s="43">
        <v>1.9999999999999989</v>
      </c>
      <c r="AW33" s="43">
        <v>-0.7</v>
      </c>
      <c r="AX33" s="43">
        <v>4.3999999999999968</v>
      </c>
      <c r="AY33" s="450"/>
      <c r="AZ33" s="450"/>
      <c r="BA33" s="450"/>
      <c r="BB33" s="450"/>
    </row>
    <row r="34" spans="1:54">
      <c r="A34" s="2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D34" s="15"/>
    </row>
    <row r="35" spans="1:54">
      <c r="A35" s="13"/>
      <c r="B35" s="13"/>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J35" s="21"/>
    </row>
    <row r="36" spans="1:54">
      <c r="A36" s="13"/>
      <c r="B36" s="13"/>
      <c r="C36" s="21"/>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J36" s="21"/>
    </row>
    <row r="37" spans="1:54">
      <c r="A37" s="13"/>
      <c r="B37" s="13"/>
    </row>
    <row r="38" spans="1:54">
      <c r="A38" s="13"/>
      <c r="B38" s="13"/>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row>
    <row r="39" spans="1:54">
      <c r="A39" s="13"/>
      <c r="B39" s="13"/>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J39" s="21"/>
    </row>
    <row r="40" spans="1:54">
      <c r="A40" s="13"/>
      <c r="B40" s="13"/>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J40" s="21"/>
    </row>
    <row r="41" spans="1:54">
      <c r="A41" s="13"/>
      <c r="B41" s="13"/>
      <c r="AA41" s="21"/>
      <c r="AB41" s="21"/>
      <c r="AC41" s="21"/>
      <c r="AD41" s="21"/>
      <c r="AE41" s="21"/>
      <c r="AF41" s="21"/>
      <c r="AG41" s="21"/>
      <c r="AJ41" s="21"/>
    </row>
    <row r="42" spans="1:54">
      <c r="A42" s="13"/>
      <c r="B42" s="13"/>
    </row>
  </sheetData>
  <mergeCells count="14">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oddHeader xml:space="preserve">&amp;C&amp;"Times New Roman,Kursywa"&amp;12
</oddHeader>
  </headerFooter>
  <ignoredErrors>
    <ignoredError sqref="W21:AL33 W18:AL18 AS13:AT13 W13:AL15"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5"/>
  <sheetViews>
    <sheetView showGridLines="0" view="pageBreakPreview" zoomScaleNormal="100" zoomScaleSheetLayoutView="100" zoomScalePageLayoutView="80" workbookViewId="0">
      <pane xSplit="2" ySplit="4" topLeftCell="AL5" activePane="bottomRight" state="frozen"/>
      <selection pane="topRight" activeCell="C1" sqref="C1"/>
      <selection pane="bottomLeft" activeCell="A5" sqref="A5"/>
      <selection pane="bottomRight" activeCell="A2" sqref="A2:A3"/>
    </sheetView>
  </sheetViews>
  <sheetFormatPr defaultColWidth="8.85546875" defaultRowHeight="13.5" outlineLevelCol="1"/>
  <cols>
    <col min="1" max="1" width="43.7109375" style="58" bestFit="1" customWidth="1" outlineLevel="1"/>
    <col min="2" max="2" width="64.28515625" style="58" customWidth="1"/>
    <col min="3" max="50" width="6" style="13" customWidth="1"/>
    <col min="51" max="16384" width="8.85546875" style="13"/>
  </cols>
  <sheetData>
    <row r="1" spans="1:50">
      <c r="A1" s="59" t="s">
        <v>430</v>
      </c>
      <c r="B1" s="59" t="s">
        <v>431</v>
      </c>
      <c r="X1" s="14"/>
      <c r="Y1" s="14"/>
      <c r="Z1" s="14"/>
    </row>
    <row r="2" spans="1:50">
      <c r="A2" s="481" t="s">
        <v>561</v>
      </c>
      <c r="B2" s="481" t="s">
        <v>562</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7">
        <v>2014</v>
      </c>
      <c r="AF2" s="475"/>
      <c r="AG2" s="475"/>
      <c r="AH2" s="478"/>
      <c r="AI2" s="477">
        <v>2015</v>
      </c>
      <c r="AJ2" s="475"/>
      <c r="AK2" s="475"/>
      <c r="AL2" s="478"/>
      <c r="AM2" s="477">
        <v>2016</v>
      </c>
      <c r="AN2" s="475"/>
      <c r="AO2" s="475"/>
      <c r="AP2" s="475"/>
      <c r="AQ2" s="477">
        <v>2017</v>
      </c>
      <c r="AR2" s="475"/>
      <c r="AS2" s="475"/>
      <c r="AT2" s="475"/>
      <c r="AU2" s="477">
        <v>2018</v>
      </c>
      <c r="AV2" s="479"/>
      <c r="AW2" s="479"/>
      <c r="AX2" s="484"/>
    </row>
    <row r="3" spans="1:50"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3" t="s">
        <v>151</v>
      </c>
      <c r="AB3" s="23" t="s">
        <v>152</v>
      </c>
      <c r="AC3" s="23" t="s">
        <v>153</v>
      </c>
      <c r="AD3" s="48" t="s">
        <v>154</v>
      </c>
      <c r="AE3" s="23" t="s">
        <v>151</v>
      </c>
      <c r="AF3" s="23" t="s">
        <v>152</v>
      </c>
      <c r="AG3" s="23" t="s">
        <v>153</v>
      </c>
      <c r="AH3" s="48" t="s">
        <v>154</v>
      </c>
      <c r="AI3" s="23" t="s">
        <v>151</v>
      </c>
      <c r="AJ3" s="23" t="s">
        <v>152</v>
      </c>
      <c r="AK3" s="23" t="s">
        <v>153</v>
      </c>
      <c r="AL3" s="48" t="s">
        <v>154</v>
      </c>
      <c r="AM3" s="23" t="s">
        <v>151</v>
      </c>
      <c r="AN3" s="23" t="s">
        <v>152</v>
      </c>
      <c r="AO3" s="23" t="s">
        <v>153</v>
      </c>
      <c r="AP3" s="23" t="s">
        <v>154</v>
      </c>
      <c r="AQ3" s="22" t="s">
        <v>151</v>
      </c>
      <c r="AR3" s="23" t="s">
        <v>152</v>
      </c>
      <c r="AS3" s="23" t="s">
        <v>153</v>
      </c>
      <c r="AT3" s="23" t="s">
        <v>154</v>
      </c>
      <c r="AU3" s="22" t="s">
        <v>151</v>
      </c>
      <c r="AV3" s="23" t="s">
        <v>152</v>
      </c>
      <c r="AW3" s="23" t="s">
        <v>153</v>
      </c>
      <c r="AX3" s="23" t="s">
        <v>154</v>
      </c>
    </row>
    <row r="4" spans="1:50" s="267" customFormat="1" ht="12.75" customHeight="1">
      <c r="A4" s="24" t="s">
        <v>156</v>
      </c>
      <c r="B4" s="24" t="s">
        <v>11</v>
      </c>
      <c r="C4" s="128"/>
      <c r="D4" s="129"/>
      <c r="E4" s="61"/>
      <c r="F4" s="129"/>
      <c r="G4" s="128"/>
      <c r="H4" s="129"/>
      <c r="I4" s="61"/>
      <c r="J4" s="130"/>
      <c r="K4" s="128"/>
      <c r="L4" s="129"/>
      <c r="M4" s="61"/>
      <c r="N4" s="130"/>
      <c r="O4" s="128"/>
      <c r="P4" s="129"/>
      <c r="Q4" s="61"/>
      <c r="R4" s="130"/>
      <c r="S4" s="128"/>
      <c r="T4" s="129"/>
      <c r="U4" s="61"/>
      <c r="V4" s="130"/>
      <c r="W4" s="61"/>
      <c r="X4" s="61"/>
      <c r="Y4" s="61"/>
      <c r="Z4" s="272"/>
      <c r="AA4" s="61"/>
      <c r="AB4" s="61"/>
      <c r="AC4" s="61"/>
      <c r="AD4" s="272"/>
      <c r="AE4" s="61"/>
      <c r="AF4" s="61"/>
      <c r="AG4" s="61"/>
      <c r="AH4" s="272"/>
      <c r="AI4" s="61"/>
      <c r="AJ4" s="61"/>
      <c r="AK4" s="61"/>
      <c r="AL4" s="272"/>
      <c r="AM4" s="61"/>
      <c r="AN4" s="61"/>
      <c r="AO4" s="61"/>
      <c r="AP4" s="61"/>
      <c r="AQ4" s="128"/>
      <c r="AR4" s="61"/>
      <c r="AS4" s="61"/>
      <c r="AT4" s="61"/>
      <c r="AU4" s="128"/>
      <c r="AV4" s="61"/>
      <c r="AW4" s="61"/>
      <c r="AX4" s="61"/>
    </row>
    <row r="5" spans="1:50" s="268" customFormat="1" ht="11.25">
      <c r="A5" s="33" t="s">
        <v>564</v>
      </c>
      <c r="B5" s="33" t="s">
        <v>563</v>
      </c>
      <c r="C5" s="34">
        <v>526.80000000000007</v>
      </c>
      <c r="D5" s="35">
        <v>511.30000000000018</v>
      </c>
      <c r="E5" s="35">
        <v>532.69999999999993</v>
      </c>
      <c r="F5" s="35">
        <v>462.49999999999994</v>
      </c>
      <c r="G5" s="34">
        <v>571.1</v>
      </c>
      <c r="H5" s="35">
        <v>611.49999999999989</v>
      </c>
      <c r="I5" s="35">
        <v>607.20000000000005</v>
      </c>
      <c r="J5" s="36">
        <v>294.5</v>
      </c>
      <c r="K5" s="34">
        <v>551.29999999999984</v>
      </c>
      <c r="L5" s="35">
        <v>673.6</v>
      </c>
      <c r="M5" s="35">
        <v>697.99999999999989</v>
      </c>
      <c r="N5" s="36">
        <v>573.59999999999991</v>
      </c>
      <c r="O5" s="34">
        <v>654.69999999999993</v>
      </c>
      <c r="P5" s="35">
        <v>671.6</v>
      </c>
      <c r="Q5" s="35">
        <v>693.49999999999989</v>
      </c>
      <c r="R5" s="36">
        <v>686.19999999999993</v>
      </c>
      <c r="S5" s="34">
        <f t="shared" ref="S5:AO5" si="0">+S6+S7+S8+S9+S10</f>
        <v>417.39999999999992</v>
      </c>
      <c r="T5" s="35">
        <f t="shared" si="0"/>
        <v>431.79999999999995</v>
      </c>
      <c r="U5" s="35">
        <f t="shared" si="0"/>
        <v>431.1</v>
      </c>
      <c r="V5" s="36">
        <f t="shared" si="0"/>
        <v>419.69999999999993</v>
      </c>
      <c r="W5" s="35">
        <f t="shared" si="0"/>
        <v>474.90000000000015</v>
      </c>
      <c r="X5" s="35">
        <f t="shared" si="0"/>
        <v>464.99999999999994</v>
      </c>
      <c r="Y5" s="35">
        <f t="shared" si="0"/>
        <v>466.2000000000001</v>
      </c>
      <c r="Z5" s="36">
        <f t="shared" si="0"/>
        <v>460.09999999999997</v>
      </c>
      <c r="AA5" s="35">
        <f t="shared" si="0"/>
        <v>482.20000000000005</v>
      </c>
      <c r="AB5" s="35">
        <f t="shared" si="0"/>
        <v>476.99999999999989</v>
      </c>
      <c r="AC5" s="35">
        <f t="shared" si="0"/>
        <v>458.8</v>
      </c>
      <c r="AD5" s="36">
        <f t="shared" si="0"/>
        <v>450.4</v>
      </c>
      <c r="AE5" s="35">
        <f t="shared" si="0"/>
        <v>471.2</v>
      </c>
      <c r="AF5" s="35">
        <f t="shared" si="0"/>
        <v>480.5</v>
      </c>
      <c r="AG5" s="35">
        <f t="shared" si="0"/>
        <v>489.5</v>
      </c>
      <c r="AH5" s="36">
        <f t="shared" si="0"/>
        <v>488.50000000000006</v>
      </c>
      <c r="AI5" s="35">
        <f t="shared" si="0"/>
        <v>495.59999999999997</v>
      </c>
      <c r="AJ5" s="35">
        <f t="shared" si="0"/>
        <v>502.29999999999995</v>
      </c>
      <c r="AK5" s="35">
        <f t="shared" si="0"/>
        <v>509.80000000000013</v>
      </c>
      <c r="AL5" s="36">
        <f t="shared" si="0"/>
        <v>648</v>
      </c>
      <c r="AM5" s="35">
        <f t="shared" si="0"/>
        <v>508.79999999999995</v>
      </c>
      <c r="AN5" s="35">
        <f t="shared" si="0"/>
        <v>517.20000000000005</v>
      </c>
      <c r="AO5" s="35">
        <f t="shared" si="0"/>
        <v>515.5</v>
      </c>
      <c r="AP5" s="35">
        <v>557.69999999999993</v>
      </c>
      <c r="AQ5" s="34">
        <v>565.60000000000014</v>
      </c>
      <c r="AR5" s="35">
        <v>512.1</v>
      </c>
      <c r="AS5" s="35">
        <v>529.6</v>
      </c>
      <c r="AT5" s="35">
        <v>528.5</v>
      </c>
      <c r="AU5" s="34">
        <v>628.30000000000007</v>
      </c>
      <c r="AV5" s="35">
        <v>554.99999999999989</v>
      </c>
      <c r="AW5" s="35">
        <v>577.20000000000005</v>
      </c>
      <c r="AX5" s="35">
        <v>566.29999999999995</v>
      </c>
    </row>
    <row r="6" spans="1:50" s="268" customFormat="1" ht="11.25">
      <c r="A6" s="28" t="s">
        <v>565</v>
      </c>
      <c r="B6" s="28" t="s">
        <v>735</v>
      </c>
      <c r="C6" s="29"/>
      <c r="D6" s="30"/>
      <c r="E6" s="30"/>
      <c r="F6" s="30"/>
      <c r="G6" s="29"/>
      <c r="H6" s="30"/>
      <c r="I6" s="30"/>
      <c r="J6" s="31"/>
      <c r="K6" s="29"/>
      <c r="L6" s="30"/>
      <c r="M6" s="30"/>
      <c r="N6" s="31"/>
      <c r="O6" s="29"/>
      <c r="P6" s="30"/>
      <c r="Q6" s="30"/>
      <c r="R6" s="31"/>
      <c r="S6" s="29">
        <v>199.3</v>
      </c>
      <c r="T6" s="30">
        <v>208.9</v>
      </c>
      <c r="U6" s="30">
        <v>210.8</v>
      </c>
      <c r="V6" s="31">
        <v>214.3</v>
      </c>
      <c r="W6" s="30">
        <v>228</v>
      </c>
      <c r="X6" s="30">
        <v>213.1</v>
      </c>
      <c r="Y6" s="30">
        <v>219.1</v>
      </c>
      <c r="Z6" s="31">
        <v>240.6</v>
      </c>
      <c r="AA6" s="30">
        <v>226.7</v>
      </c>
      <c r="AB6" s="30">
        <v>226.3</v>
      </c>
      <c r="AC6" s="30">
        <v>230.1</v>
      </c>
      <c r="AD6" s="31">
        <v>243.5</v>
      </c>
      <c r="AE6" s="30">
        <v>230.5</v>
      </c>
      <c r="AF6" s="30">
        <v>241.3</v>
      </c>
      <c r="AG6" s="30">
        <v>237.4</v>
      </c>
      <c r="AH6" s="31">
        <v>238.3</v>
      </c>
      <c r="AI6" s="30">
        <v>238.9</v>
      </c>
      <c r="AJ6" s="30">
        <v>237.02099999999999</v>
      </c>
      <c r="AK6" s="30">
        <v>243.81200000000001</v>
      </c>
      <c r="AL6" s="31">
        <v>252.352</v>
      </c>
      <c r="AM6" s="30">
        <v>251.5</v>
      </c>
      <c r="AN6" s="30">
        <v>251.3</v>
      </c>
      <c r="AO6" s="30">
        <v>259.8</v>
      </c>
      <c r="AP6" s="30">
        <v>276.69999999999993</v>
      </c>
      <c r="AQ6" s="29">
        <v>251.04900000000001</v>
      </c>
      <c r="AR6" s="30">
        <v>260.54199999999997</v>
      </c>
      <c r="AS6" s="30">
        <v>260.60000000000002</v>
      </c>
      <c r="AT6" s="30">
        <v>263.51600000000002</v>
      </c>
      <c r="AU6" s="29">
        <v>275.35199999999998</v>
      </c>
      <c r="AV6" s="30">
        <v>286.06</v>
      </c>
      <c r="AW6" s="30">
        <v>284.3</v>
      </c>
      <c r="AX6" s="30">
        <v>259</v>
      </c>
    </row>
    <row r="7" spans="1:50" s="268" customFormat="1" ht="11.25">
      <c r="A7" s="28" t="s">
        <v>566</v>
      </c>
      <c r="B7" s="28" t="s">
        <v>736</v>
      </c>
      <c r="C7" s="29"/>
      <c r="D7" s="30"/>
      <c r="E7" s="30"/>
      <c r="F7" s="30"/>
      <c r="G7" s="29"/>
      <c r="H7" s="30"/>
      <c r="I7" s="30"/>
      <c r="J7" s="31"/>
      <c r="K7" s="29"/>
      <c r="L7" s="30"/>
      <c r="M7" s="30"/>
      <c r="N7" s="31"/>
      <c r="O7" s="29"/>
      <c r="P7" s="30"/>
      <c r="Q7" s="30"/>
      <c r="R7" s="31"/>
      <c r="S7" s="29">
        <v>168.02899999999997</v>
      </c>
      <c r="T7" s="30">
        <v>175.00799999999995</v>
      </c>
      <c r="U7" s="30">
        <v>166.22300000000001</v>
      </c>
      <c r="V7" s="31">
        <v>150.34299999999996</v>
      </c>
      <c r="W7" s="30">
        <v>181.98274000000009</v>
      </c>
      <c r="X7" s="30">
        <v>182.78572999999994</v>
      </c>
      <c r="Y7" s="30">
        <v>177.81274000000005</v>
      </c>
      <c r="Z7" s="31">
        <v>140.57772999999997</v>
      </c>
      <c r="AA7" s="30">
        <v>179.70000000000005</v>
      </c>
      <c r="AB7" s="30">
        <v>169.7999999999999</v>
      </c>
      <c r="AC7" s="30">
        <v>149.90000000000003</v>
      </c>
      <c r="AD7" s="31">
        <v>131.09999999999997</v>
      </c>
      <c r="AE7" s="30">
        <v>163.69999999999999</v>
      </c>
      <c r="AF7" s="30">
        <v>160.5</v>
      </c>
      <c r="AG7" s="30">
        <v>171.5</v>
      </c>
      <c r="AH7" s="31">
        <v>147.53</v>
      </c>
      <c r="AI7" s="30">
        <v>158.69999999999993</v>
      </c>
      <c r="AJ7" s="30">
        <v>164.86500000000001</v>
      </c>
      <c r="AK7" s="30">
        <v>160.94800000000006</v>
      </c>
      <c r="AL7" s="31">
        <v>125.11700000000005</v>
      </c>
      <c r="AM7" s="30">
        <v>157.89999999999998</v>
      </c>
      <c r="AN7" s="30">
        <v>162.90000000000003</v>
      </c>
      <c r="AO7" s="30">
        <v>156.89999999999998</v>
      </c>
      <c r="AP7" s="30">
        <f>AP5-AP6-AP8-AP10-AP9</f>
        <v>132.70000000000002</v>
      </c>
      <c r="AQ7" s="29">
        <f t="shared" ref="AQ7:AX7" si="1">AQ5-AQ6-AQ8-AQ10-AQ9</f>
        <v>155.98700000000017</v>
      </c>
      <c r="AR7" s="30">
        <f t="shared" si="1"/>
        <v>167.22100000000006</v>
      </c>
      <c r="AS7" s="30">
        <f t="shared" si="1"/>
        <v>172.00699999999998</v>
      </c>
      <c r="AT7" s="30">
        <f t="shared" si="1"/>
        <v>169.989</v>
      </c>
      <c r="AU7" s="29">
        <f t="shared" si="1"/>
        <v>195.40900000000011</v>
      </c>
      <c r="AV7" s="30">
        <f t="shared" si="1"/>
        <v>171.13199999999989</v>
      </c>
      <c r="AW7" s="30">
        <f t="shared" si="1"/>
        <v>189.00000000000003</v>
      </c>
      <c r="AX7" s="30">
        <f t="shared" si="1"/>
        <v>189.69999999999993</v>
      </c>
    </row>
    <row r="8" spans="1:50" s="267" customFormat="1" ht="11.25">
      <c r="A8" s="32" t="s">
        <v>567</v>
      </c>
      <c r="B8" s="32" t="s">
        <v>737</v>
      </c>
      <c r="C8" s="29"/>
      <c r="D8" s="30"/>
      <c r="E8" s="30"/>
      <c r="F8" s="30"/>
      <c r="G8" s="29"/>
      <c r="H8" s="30"/>
      <c r="I8" s="30"/>
      <c r="J8" s="31"/>
      <c r="K8" s="29"/>
      <c r="L8" s="30"/>
      <c r="M8" s="30"/>
      <c r="N8" s="31"/>
      <c r="O8" s="29"/>
      <c r="P8" s="30"/>
      <c r="Q8" s="30"/>
      <c r="R8" s="31"/>
      <c r="S8" s="29">
        <v>30.5</v>
      </c>
      <c r="T8" s="30">
        <v>31.9</v>
      </c>
      <c r="U8" s="30">
        <v>34</v>
      </c>
      <c r="V8" s="31">
        <v>36.200000000000003</v>
      </c>
      <c r="W8" s="30">
        <v>33.6</v>
      </c>
      <c r="X8" s="30">
        <v>34.700000000000003</v>
      </c>
      <c r="Y8" s="30">
        <v>35.1</v>
      </c>
      <c r="Z8" s="31">
        <v>44.7</v>
      </c>
      <c r="AA8" s="30">
        <v>39.9</v>
      </c>
      <c r="AB8" s="30">
        <v>40.700000000000003</v>
      </c>
      <c r="AC8" s="30">
        <v>39.299999999999997</v>
      </c>
      <c r="AD8" s="31">
        <v>44.1</v>
      </c>
      <c r="AE8" s="30">
        <v>38</v>
      </c>
      <c r="AF8" s="30">
        <v>38.5</v>
      </c>
      <c r="AG8" s="30">
        <v>39.6</v>
      </c>
      <c r="AH8" s="31">
        <v>58.98</v>
      </c>
      <c r="AI8" s="30">
        <v>41.8</v>
      </c>
      <c r="AJ8" s="30">
        <v>43.454999999999998</v>
      </c>
      <c r="AK8" s="30">
        <v>46.796999999999997</v>
      </c>
      <c r="AL8" s="31">
        <v>57.148000000000003</v>
      </c>
      <c r="AM8" s="30">
        <v>42.2</v>
      </c>
      <c r="AN8" s="30">
        <v>45.599999999999994</v>
      </c>
      <c r="AO8" s="30">
        <v>46.100000000000009</v>
      </c>
      <c r="AP8" s="30">
        <v>76.699999999999989</v>
      </c>
      <c r="AQ8" s="29">
        <v>46.045999999999999</v>
      </c>
      <c r="AR8" s="30">
        <v>44.904000000000003</v>
      </c>
      <c r="AS8" s="30">
        <v>44.573999999999998</v>
      </c>
      <c r="AT8" s="30">
        <v>46.83</v>
      </c>
      <c r="AU8" s="29">
        <v>43.734000000000002</v>
      </c>
      <c r="AV8" s="30">
        <v>44.808</v>
      </c>
      <c r="AW8" s="30">
        <v>45.7</v>
      </c>
      <c r="AX8" s="30">
        <v>59.3</v>
      </c>
    </row>
    <row r="9" spans="1:50" s="268" customFormat="1" ht="11.25">
      <c r="A9" s="32" t="s">
        <v>568</v>
      </c>
      <c r="B9" s="32" t="s">
        <v>738</v>
      </c>
      <c r="C9" s="29"/>
      <c r="D9" s="30"/>
      <c r="E9" s="30"/>
      <c r="F9" s="31"/>
      <c r="G9" s="30"/>
      <c r="H9" s="30"/>
      <c r="I9" s="30"/>
      <c r="J9" s="30"/>
      <c r="K9" s="29"/>
      <c r="L9" s="30"/>
      <c r="M9" s="30"/>
      <c r="N9" s="31"/>
      <c r="O9" s="30"/>
      <c r="P9" s="30"/>
      <c r="Q9" s="30"/>
      <c r="R9" s="30"/>
      <c r="S9" s="29">
        <v>19.170999999999999</v>
      </c>
      <c r="T9" s="30">
        <v>18.891999999999999</v>
      </c>
      <c r="U9" s="30">
        <v>20.177</v>
      </c>
      <c r="V9" s="31">
        <v>15.457000000000001</v>
      </c>
      <c r="W9" s="30">
        <v>20.305</v>
      </c>
      <c r="X9" s="30">
        <v>23.402000000000001</v>
      </c>
      <c r="Y9" s="30">
        <v>23.175000000000001</v>
      </c>
      <c r="Z9" s="31">
        <v>23.21</v>
      </c>
      <c r="AA9" s="30">
        <v>24.6</v>
      </c>
      <c r="AB9" s="30">
        <v>28.8</v>
      </c>
      <c r="AC9" s="30">
        <v>28.2</v>
      </c>
      <c r="AD9" s="31">
        <v>16.399999999999999</v>
      </c>
      <c r="AE9" s="30">
        <v>25.4</v>
      </c>
      <c r="AF9" s="30">
        <v>26.7</v>
      </c>
      <c r="AG9" s="30">
        <v>27.5</v>
      </c>
      <c r="AH9" s="31">
        <v>30.09</v>
      </c>
      <c r="AI9" s="30">
        <v>30.1</v>
      </c>
      <c r="AJ9" s="30">
        <v>30.872</v>
      </c>
      <c r="AK9" s="30">
        <v>32.155000000000001</v>
      </c>
      <c r="AL9" s="31">
        <v>23.981000000000002</v>
      </c>
      <c r="AM9" s="30">
        <v>25.5</v>
      </c>
      <c r="AN9" s="30">
        <v>24.6</v>
      </c>
      <c r="AO9" s="30">
        <v>19.300000000000004</v>
      </c>
      <c r="AP9" s="30">
        <v>25.599999999999994</v>
      </c>
      <c r="AQ9" s="29">
        <v>23.417999999999999</v>
      </c>
      <c r="AR9" s="30">
        <v>20.733000000000001</v>
      </c>
      <c r="AS9" s="30">
        <v>33.518999999999998</v>
      </c>
      <c r="AT9" s="30">
        <v>29.164999999999999</v>
      </c>
      <c r="AU9" s="29">
        <v>29.504999999999999</v>
      </c>
      <c r="AV9" s="30">
        <v>26</v>
      </c>
      <c r="AW9" s="30">
        <v>31.3</v>
      </c>
      <c r="AX9" s="30">
        <v>31.3</v>
      </c>
    </row>
    <row r="10" spans="1:50" s="270" customFormat="1" ht="11.25">
      <c r="A10" s="32" t="s">
        <v>569</v>
      </c>
      <c r="B10" s="32" t="s">
        <v>739</v>
      </c>
      <c r="C10" s="29"/>
      <c r="D10" s="30"/>
      <c r="E10" s="30"/>
      <c r="F10" s="30"/>
      <c r="G10" s="29"/>
      <c r="H10" s="30"/>
      <c r="I10" s="30"/>
      <c r="J10" s="31"/>
      <c r="K10" s="29"/>
      <c r="L10" s="30"/>
      <c r="M10" s="30"/>
      <c r="N10" s="31"/>
      <c r="O10" s="29"/>
      <c r="P10" s="30"/>
      <c r="Q10" s="30"/>
      <c r="R10" s="31"/>
      <c r="S10" s="29">
        <v>0.4</v>
      </c>
      <c r="T10" s="30">
        <v>-2.9</v>
      </c>
      <c r="U10" s="30">
        <v>-0.1</v>
      </c>
      <c r="V10" s="31">
        <v>3.4</v>
      </c>
      <c r="W10" s="30">
        <v>11.012259999999999</v>
      </c>
      <c r="X10" s="30">
        <v>11.012269999999999</v>
      </c>
      <c r="Y10" s="30">
        <v>11.012260000000001</v>
      </c>
      <c r="Z10" s="31">
        <v>11.012269999999997</v>
      </c>
      <c r="AA10" s="30">
        <v>11.3</v>
      </c>
      <c r="AB10" s="30">
        <v>11.4</v>
      </c>
      <c r="AC10" s="30">
        <v>11.3</v>
      </c>
      <c r="AD10" s="31">
        <v>15.3</v>
      </c>
      <c r="AE10" s="30">
        <v>13.600000000000001</v>
      </c>
      <c r="AF10" s="30">
        <v>13.5</v>
      </c>
      <c r="AG10" s="30">
        <v>13.5</v>
      </c>
      <c r="AH10" s="31">
        <v>13.600000000000001</v>
      </c>
      <c r="AI10" s="30">
        <v>26.1</v>
      </c>
      <c r="AJ10" s="30">
        <v>26.087</v>
      </c>
      <c r="AK10" s="30">
        <v>26.088000000000001</v>
      </c>
      <c r="AL10" s="31">
        <v>189.40199999999999</v>
      </c>
      <c r="AM10" s="30">
        <v>31.7</v>
      </c>
      <c r="AN10" s="30">
        <v>32.799999999999997</v>
      </c>
      <c r="AO10" s="30">
        <v>33.400000000000006</v>
      </c>
      <c r="AP10" s="30">
        <v>46</v>
      </c>
      <c r="AQ10" s="29">
        <v>89.1</v>
      </c>
      <c r="AR10" s="30">
        <v>18.699999999999996</v>
      </c>
      <c r="AS10" s="30">
        <v>18.900000000000006</v>
      </c>
      <c r="AT10" s="30">
        <v>19</v>
      </c>
      <c r="AU10" s="29">
        <v>84.300000000000011</v>
      </c>
      <c r="AV10" s="30">
        <v>27</v>
      </c>
      <c r="AW10" s="30">
        <v>26.9</v>
      </c>
      <c r="AX10" s="30">
        <v>27</v>
      </c>
    </row>
    <row r="11" spans="1:50">
      <c r="A11" s="21"/>
      <c r="B11" s="21"/>
      <c r="C11" s="21"/>
      <c r="D11" s="21"/>
      <c r="E11" s="21"/>
      <c r="F11" s="21"/>
      <c r="G11" s="21"/>
      <c r="H11" s="21"/>
      <c r="I11" s="21"/>
      <c r="J11" s="21"/>
      <c r="K11" s="21"/>
      <c r="L11" s="21"/>
      <c r="M11" s="21"/>
      <c r="N11" s="21"/>
      <c r="O11" s="21"/>
      <c r="P11" s="21"/>
      <c r="Q11" s="21"/>
      <c r="R11" s="21"/>
      <c r="S11" s="21"/>
      <c r="T11" s="21"/>
      <c r="U11" s="21"/>
      <c r="V11" s="21"/>
      <c r="W11" s="21"/>
      <c r="X11" s="21"/>
      <c r="Y11" s="21"/>
      <c r="Z11" s="21"/>
      <c r="AD11" s="15"/>
    </row>
    <row r="12" spans="1:50">
      <c r="A12" s="13"/>
      <c r="B12" s="13"/>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J12" s="21"/>
    </row>
    <row r="13" spans="1:50">
      <c r="A13" s="13"/>
      <c r="B13" s="13"/>
      <c r="C13" s="21"/>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J13" s="21"/>
    </row>
    <row r="14" spans="1:50">
      <c r="A14" s="13"/>
      <c r="B14" s="13"/>
    </row>
    <row r="15" spans="1:50">
      <c r="A15" s="13"/>
      <c r="B15" s="13"/>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row>
  </sheetData>
  <mergeCells count="14">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37" orientation="landscape" r:id="rId1"/>
  <headerFooter alignWithMargins="0">
    <oddHeader xml:space="preserve">&amp;C&amp;"Times New Roman,Kursywa"&amp;12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AX49"/>
  <sheetViews>
    <sheetView showGridLines="0" view="pageBreakPreview" zoomScaleNormal="100" zoomScaleSheetLayoutView="100" zoomScalePageLayoutView="80" workbookViewId="0">
      <pane xSplit="2" ySplit="5" topLeftCell="AQ6" activePane="bottomRight" state="frozen"/>
      <selection pane="topRight" activeCell="C1" sqref="C1"/>
      <selection pane="bottomLeft" activeCell="A6" sqref="A6"/>
      <selection pane="bottomRight" activeCell="A2" sqref="A2:A3"/>
    </sheetView>
  </sheetViews>
  <sheetFormatPr defaultColWidth="8.85546875" defaultRowHeight="13.5" outlineLevelCol="1"/>
  <cols>
    <col min="1" max="1" width="56.7109375" style="58" customWidth="1" outlineLevel="1"/>
    <col min="2" max="2" width="63.5703125" style="58" bestFit="1" customWidth="1"/>
    <col min="3" max="43" width="7.85546875" style="274" customWidth="1"/>
    <col min="44" max="44" width="7.85546875" style="13" customWidth="1"/>
    <col min="45" max="47" width="7.85546875" style="274" customWidth="1"/>
    <col min="48" max="48" width="7.85546875" style="13" customWidth="1"/>
    <col min="49" max="50" width="7.85546875" style="274" customWidth="1"/>
    <col min="51" max="16384" width="8.85546875" style="13"/>
  </cols>
  <sheetData>
    <row r="1" spans="1:50" ht="12.75" customHeight="1">
      <c r="A1" s="20" t="s">
        <v>544</v>
      </c>
      <c r="B1" s="20" t="s">
        <v>543</v>
      </c>
    </row>
    <row r="2" spans="1:50">
      <c r="A2" s="481" t="s">
        <v>177</v>
      </c>
      <c r="B2" s="481" t="s">
        <v>34</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4">
        <v>2013</v>
      </c>
      <c r="AB2" s="475"/>
      <c r="AC2" s="475"/>
      <c r="AD2" s="478"/>
      <c r="AE2" s="474">
        <v>2014</v>
      </c>
      <c r="AF2" s="475"/>
      <c r="AG2" s="475"/>
      <c r="AH2" s="478"/>
      <c r="AI2" s="474">
        <v>2015</v>
      </c>
      <c r="AJ2" s="475"/>
      <c r="AK2" s="475"/>
      <c r="AL2" s="478"/>
      <c r="AM2" s="474">
        <v>2016</v>
      </c>
      <c r="AN2" s="475"/>
      <c r="AO2" s="475"/>
      <c r="AP2" s="475"/>
      <c r="AQ2" s="474">
        <v>2017</v>
      </c>
      <c r="AR2" s="475"/>
      <c r="AS2" s="475"/>
      <c r="AT2" s="475"/>
      <c r="AU2" s="474">
        <v>2018</v>
      </c>
      <c r="AV2" s="475"/>
      <c r="AW2" s="475"/>
      <c r="AX2" s="480"/>
    </row>
    <row r="3" spans="1:50" s="14" customFormat="1" ht="36" customHeigh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75" t="s">
        <v>151</v>
      </c>
      <c r="AB3" s="276" t="s">
        <v>152</v>
      </c>
      <c r="AC3" s="276" t="s">
        <v>153</v>
      </c>
      <c r="AD3" s="277" t="s">
        <v>154</v>
      </c>
      <c r="AE3" s="275" t="s">
        <v>151</v>
      </c>
      <c r="AF3" s="276" t="s">
        <v>152</v>
      </c>
      <c r="AG3" s="276" t="s">
        <v>153</v>
      </c>
      <c r="AH3" s="277" t="s">
        <v>154</v>
      </c>
      <c r="AI3" s="276" t="s">
        <v>151</v>
      </c>
      <c r="AJ3" s="276" t="s">
        <v>152</v>
      </c>
      <c r="AK3" s="276" t="s">
        <v>153</v>
      </c>
      <c r="AL3" s="277" t="s">
        <v>154</v>
      </c>
      <c r="AM3" s="276" t="s">
        <v>151</v>
      </c>
      <c r="AN3" s="276" t="s">
        <v>152</v>
      </c>
      <c r="AO3" s="276" t="s">
        <v>153</v>
      </c>
      <c r="AP3" s="277" t="s">
        <v>154</v>
      </c>
      <c r="AQ3" s="276" t="s">
        <v>151</v>
      </c>
      <c r="AR3" s="276" t="s">
        <v>152</v>
      </c>
      <c r="AS3" s="276" t="s">
        <v>153</v>
      </c>
      <c r="AT3" s="276" t="s">
        <v>154</v>
      </c>
      <c r="AU3" s="275" t="s">
        <v>151</v>
      </c>
      <c r="AV3" s="276" t="s">
        <v>152</v>
      </c>
      <c r="AW3" s="276" t="s">
        <v>153</v>
      </c>
      <c r="AX3" s="276" t="s">
        <v>154</v>
      </c>
    </row>
    <row r="4" spans="1:50" s="267" customFormat="1" ht="11.25" customHeight="1">
      <c r="A4" s="24" t="s">
        <v>156</v>
      </c>
      <c r="B4" s="24" t="s">
        <v>11</v>
      </c>
      <c r="C4" s="128"/>
      <c r="D4" s="61"/>
      <c r="E4" s="61"/>
      <c r="F4" s="61"/>
      <c r="G4" s="128"/>
      <c r="H4" s="61"/>
      <c r="I4" s="61"/>
      <c r="J4" s="272"/>
      <c r="K4" s="128"/>
      <c r="L4" s="61"/>
      <c r="M4" s="61"/>
      <c r="N4" s="272"/>
      <c r="O4" s="128"/>
      <c r="P4" s="61"/>
      <c r="Q4" s="61"/>
      <c r="R4" s="272"/>
      <c r="S4" s="128"/>
      <c r="T4" s="61"/>
      <c r="U4" s="61"/>
      <c r="V4" s="272"/>
      <c r="W4" s="61"/>
      <c r="X4" s="61"/>
      <c r="Y4" s="61"/>
      <c r="Z4" s="272"/>
      <c r="AA4" s="128"/>
      <c r="AB4" s="61"/>
      <c r="AC4" s="61"/>
      <c r="AD4" s="272"/>
      <c r="AE4" s="128"/>
      <c r="AF4" s="61"/>
      <c r="AG4" s="61"/>
      <c r="AH4" s="272"/>
      <c r="AI4" s="61"/>
      <c r="AJ4" s="61"/>
      <c r="AK4" s="61"/>
      <c r="AL4" s="272"/>
      <c r="AM4" s="61"/>
      <c r="AN4" s="61"/>
      <c r="AO4" s="61"/>
      <c r="AP4" s="272"/>
      <c r="AQ4" s="61"/>
      <c r="AR4" s="61"/>
      <c r="AS4" s="61"/>
      <c r="AT4" s="61"/>
      <c r="AU4" s="131"/>
      <c r="AV4" s="61"/>
      <c r="AW4" s="61"/>
      <c r="AX4" s="61"/>
    </row>
    <row r="5" spans="1:50" s="268" customFormat="1" ht="11.25">
      <c r="A5" s="50" t="s">
        <v>192</v>
      </c>
      <c r="B5" s="50" t="s">
        <v>12</v>
      </c>
      <c r="C5" s="128"/>
      <c r="D5" s="129"/>
      <c r="E5" s="61"/>
      <c r="F5" s="129"/>
      <c r="G5" s="128"/>
      <c r="H5" s="129"/>
      <c r="I5" s="61"/>
      <c r="J5" s="130"/>
      <c r="K5" s="128"/>
      <c r="L5" s="129"/>
      <c r="M5" s="61"/>
      <c r="N5" s="130"/>
      <c r="O5" s="128"/>
      <c r="P5" s="129"/>
      <c r="Q5" s="61"/>
      <c r="R5" s="130"/>
      <c r="S5" s="128"/>
      <c r="T5" s="129"/>
      <c r="U5" s="61"/>
      <c r="V5" s="130"/>
      <c r="W5" s="61"/>
      <c r="X5" s="61"/>
      <c r="Y5" s="61"/>
      <c r="Z5" s="272"/>
      <c r="AA5" s="128"/>
      <c r="AB5" s="61"/>
      <c r="AC5" s="61"/>
      <c r="AD5" s="272"/>
      <c r="AE5" s="128"/>
      <c r="AF5" s="61"/>
      <c r="AG5" s="61"/>
      <c r="AH5" s="272"/>
      <c r="AI5" s="61"/>
      <c r="AJ5" s="61"/>
      <c r="AK5" s="61"/>
      <c r="AL5" s="272"/>
      <c r="AM5" s="61"/>
      <c r="AN5" s="61"/>
      <c r="AO5" s="61"/>
      <c r="AP5" s="272"/>
      <c r="AQ5" s="61"/>
      <c r="AR5" s="61"/>
      <c r="AS5" s="61"/>
      <c r="AT5" s="61"/>
      <c r="AU5" s="131"/>
      <c r="AV5" s="61"/>
      <c r="AW5" s="61"/>
      <c r="AX5" s="61"/>
    </row>
    <row r="6" spans="1:50" s="268" customFormat="1" ht="11.25">
      <c r="A6" s="32" t="s">
        <v>178</v>
      </c>
      <c r="B6" s="32" t="s">
        <v>13</v>
      </c>
      <c r="C6" s="29">
        <v>1807.6</v>
      </c>
      <c r="D6" s="30">
        <v>2608.9</v>
      </c>
      <c r="E6" s="30">
        <v>1593</v>
      </c>
      <c r="F6" s="30">
        <v>1841.7</v>
      </c>
      <c r="G6" s="29">
        <v>1661.3</v>
      </c>
      <c r="H6" s="30">
        <v>1622.9</v>
      </c>
      <c r="I6" s="30">
        <v>2151.3000000000002</v>
      </c>
      <c r="J6" s="31">
        <v>1369.8</v>
      </c>
      <c r="K6" s="29">
        <v>1584.3</v>
      </c>
      <c r="L6" s="30">
        <v>903.3</v>
      </c>
      <c r="M6" s="30">
        <v>1686</v>
      </c>
      <c r="N6" s="31">
        <v>2656.6</v>
      </c>
      <c r="O6" s="29">
        <v>2387.8000000000002</v>
      </c>
      <c r="P6" s="30">
        <v>2158.5</v>
      </c>
      <c r="Q6" s="30">
        <v>1265.0999999999999</v>
      </c>
      <c r="R6" s="31">
        <v>2394.1999999999998</v>
      </c>
      <c r="S6" s="29">
        <v>1401.5</v>
      </c>
      <c r="T6" s="30">
        <v>1566.6</v>
      </c>
      <c r="U6" s="30">
        <v>4064.9</v>
      </c>
      <c r="V6" s="31">
        <v>1493.1</v>
      </c>
      <c r="W6" s="30">
        <v>1558.1</v>
      </c>
      <c r="X6" s="30">
        <v>2321.1999999999998</v>
      </c>
      <c r="Y6" s="30">
        <v>2126</v>
      </c>
      <c r="Z6" s="31">
        <v>4071.6</v>
      </c>
      <c r="AA6" s="29">
        <v>3534.4</v>
      </c>
      <c r="AB6" s="30">
        <v>1673.5</v>
      </c>
      <c r="AC6" s="30">
        <v>4577.6000000000004</v>
      </c>
      <c r="AD6" s="31">
        <v>6970.1</v>
      </c>
      <c r="AE6" s="29">
        <v>7304.2</v>
      </c>
      <c r="AF6" s="30">
        <v>7857.1</v>
      </c>
      <c r="AG6" s="30">
        <v>3008</v>
      </c>
      <c r="AH6" s="31">
        <v>5330.7</v>
      </c>
      <c r="AI6" s="30">
        <v>2392.5</v>
      </c>
      <c r="AJ6" s="30">
        <v>2864.7</v>
      </c>
      <c r="AK6" s="30">
        <v>3940.7</v>
      </c>
      <c r="AL6" s="31">
        <v>3589.7</v>
      </c>
      <c r="AM6" s="30">
        <v>3565.7</v>
      </c>
      <c r="AN6" s="30">
        <v>1286.5999999999999</v>
      </c>
      <c r="AO6" s="30">
        <v>1299.0999999999999</v>
      </c>
      <c r="AP6" s="31">
        <v>1825</v>
      </c>
      <c r="AQ6" s="30">
        <v>1250</v>
      </c>
      <c r="AR6" s="30">
        <v>1351.9</v>
      </c>
      <c r="AS6" s="30">
        <v>1638.2</v>
      </c>
      <c r="AT6" s="30">
        <v>2815.2</v>
      </c>
      <c r="AU6" s="69">
        <v>2042.4</v>
      </c>
      <c r="AV6" s="30">
        <v>1781.5</v>
      </c>
      <c r="AW6" s="30">
        <v>1529.8</v>
      </c>
      <c r="AX6" s="30">
        <v>1237.3999999999999</v>
      </c>
    </row>
    <row r="7" spans="1:50" s="268" customFormat="1" ht="11.25">
      <c r="A7" s="32" t="s">
        <v>179</v>
      </c>
      <c r="B7" s="32" t="s">
        <v>14</v>
      </c>
      <c r="C7" s="29">
        <v>16614.2</v>
      </c>
      <c r="D7" s="30">
        <v>18078.900000000001</v>
      </c>
      <c r="E7" s="30">
        <v>17532.8</v>
      </c>
      <c r="F7" s="30">
        <v>15183.7</v>
      </c>
      <c r="G7" s="29">
        <v>14080.6</v>
      </c>
      <c r="H7" s="30">
        <v>9002</v>
      </c>
      <c r="I7" s="30">
        <v>7244.5</v>
      </c>
      <c r="J7" s="31">
        <v>7787.2</v>
      </c>
      <c r="K7" s="29">
        <v>2947.5</v>
      </c>
      <c r="L7" s="30">
        <v>3233.7</v>
      </c>
      <c r="M7" s="30">
        <v>3639.9</v>
      </c>
      <c r="N7" s="31">
        <v>1184.0999999999999</v>
      </c>
      <c r="O7" s="29">
        <v>1280.7</v>
      </c>
      <c r="P7" s="30">
        <v>1940.1</v>
      </c>
      <c r="Q7" s="30">
        <v>1859.2</v>
      </c>
      <c r="R7" s="31">
        <v>1181.0999999999999</v>
      </c>
      <c r="S7" s="29">
        <v>2386.8000000000002</v>
      </c>
      <c r="T7" s="30">
        <v>1758.3</v>
      </c>
      <c r="U7" s="30">
        <v>2706.4</v>
      </c>
      <c r="V7" s="31">
        <v>1018.1</v>
      </c>
      <c r="W7" s="30">
        <v>1478.4</v>
      </c>
      <c r="X7" s="30">
        <v>1605.3000000000002</v>
      </c>
      <c r="Y7" s="30">
        <v>3415.4999999999995</v>
      </c>
      <c r="Z7" s="31">
        <v>1377.0999999999997</v>
      </c>
      <c r="AA7" s="29">
        <v>1600.2999999999995</v>
      </c>
      <c r="AB7" s="30">
        <v>2043.8000000000002</v>
      </c>
      <c r="AC7" s="30">
        <v>2501.6999999999998</v>
      </c>
      <c r="AD7" s="31">
        <v>1399.8000000000002</v>
      </c>
      <c r="AE7" s="29">
        <v>2050.9</v>
      </c>
      <c r="AF7" s="30">
        <v>2576.1000000000004</v>
      </c>
      <c r="AG7" s="30">
        <v>2512.6000000000008</v>
      </c>
      <c r="AH7" s="31">
        <v>1838.3000000000002</v>
      </c>
      <c r="AI7" s="30">
        <v>2111.2999999999997</v>
      </c>
      <c r="AJ7" s="30">
        <v>2315.4</v>
      </c>
      <c r="AK7" s="30">
        <v>3325.7</v>
      </c>
      <c r="AL7" s="31">
        <v>1014.6</v>
      </c>
      <c r="AM7" s="30">
        <v>954.3</v>
      </c>
      <c r="AN7" s="30">
        <v>1285.4000000000001</v>
      </c>
      <c r="AO7" s="30">
        <v>1192.7</v>
      </c>
      <c r="AP7" s="31">
        <v>1113.4000000000001</v>
      </c>
      <c r="AQ7" s="30">
        <v>1125.7</v>
      </c>
      <c r="AR7" s="30">
        <v>1050.2</v>
      </c>
      <c r="AS7" s="30">
        <v>1174.7</v>
      </c>
      <c r="AT7" s="30">
        <v>2234.5</v>
      </c>
      <c r="AU7" s="69">
        <v>2017.4</v>
      </c>
      <c r="AV7" s="30">
        <v>951.8</v>
      </c>
      <c r="AW7" s="30">
        <v>621.79999999999995</v>
      </c>
      <c r="AX7" s="30">
        <v>776.5</v>
      </c>
    </row>
    <row r="8" spans="1:50" s="268" customFormat="1" ht="11.25">
      <c r="A8" s="38" t="s">
        <v>638</v>
      </c>
      <c r="B8" s="32" t="s">
        <v>585</v>
      </c>
      <c r="C8" s="29">
        <v>11114.9</v>
      </c>
      <c r="D8" s="30">
        <v>6998</v>
      </c>
      <c r="E8" s="30">
        <v>8243.9</v>
      </c>
      <c r="F8" s="30">
        <v>7907.5</v>
      </c>
      <c r="G8" s="29">
        <v>11238.7</v>
      </c>
      <c r="H8" s="30">
        <v>11160.1</v>
      </c>
      <c r="I8" s="30">
        <v>12817.9</v>
      </c>
      <c r="J8" s="31">
        <v>15128.599999999999</v>
      </c>
      <c r="K8" s="29">
        <v>17144.8</v>
      </c>
      <c r="L8" s="30">
        <v>14064.1</v>
      </c>
      <c r="M8" s="30">
        <v>14131</v>
      </c>
      <c r="N8" s="31">
        <v>9834.4000000000015</v>
      </c>
      <c r="O8" s="29">
        <v>5166.7</v>
      </c>
      <c r="P8" s="30">
        <v>3207.2</v>
      </c>
      <c r="Q8" s="30">
        <v>5473.6</v>
      </c>
      <c r="R8" s="31">
        <v>1818.5</v>
      </c>
      <c r="S8" s="29">
        <v>1456</v>
      </c>
      <c r="T8" s="30">
        <v>1485.1</v>
      </c>
      <c r="U8" s="30">
        <v>2902.5</v>
      </c>
      <c r="V8" s="31">
        <v>2498</v>
      </c>
      <c r="W8" s="30">
        <v>2719.6000000000004</v>
      </c>
      <c r="X8" s="30">
        <v>2026.6000000000001</v>
      </c>
      <c r="Y8" s="30">
        <v>3047.3</v>
      </c>
      <c r="Z8" s="31">
        <v>3376.7</v>
      </c>
      <c r="AA8" s="29">
        <v>2984.2</v>
      </c>
      <c r="AB8" s="30">
        <v>3576.7</v>
      </c>
      <c r="AC8" s="30">
        <v>2933.1000000000004</v>
      </c>
      <c r="AD8" s="31">
        <v>3422.8</v>
      </c>
      <c r="AE8" s="29">
        <v>4052.7</v>
      </c>
      <c r="AF8" s="30">
        <v>4371.0999999999995</v>
      </c>
      <c r="AG8" s="30">
        <v>3453.8999999999996</v>
      </c>
      <c r="AH8" s="31">
        <v>4269.1000000000004</v>
      </c>
      <c r="AI8" s="30">
        <v>5253.7000000000007</v>
      </c>
      <c r="AJ8" s="30">
        <v>3705.3999999999996</v>
      </c>
      <c r="AK8" s="30">
        <v>4716.4000000000005</v>
      </c>
      <c r="AL8" s="31">
        <v>3118</v>
      </c>
      <c r="AM8" s="30">
        <v>3681.5</v>
      </c>
      <c r="AN8" s="30">
        <v>3167.8</v>
      </c>
      <c r="AO8" s="30">
        <v>2742.2</v>
      </c>
      <c r="AP8" s="31">
        <v>3943.8999999999996</v>
      </c>
      <c r="AQ8" s="30">
        <v>2715.7999999999997</v>
      </c>
      <c r="AR8" s="30">
        <v>3706.3</v>
      </c>
      <c r="AS8" s="30">
        <v>2243.7000000000003</v>
      </c>
      <c r="AT8" s="30">
        <v>1314.8</v>
      </c>
      <c r="AU8" s="69">
        <v>1263.6000000000001</v>
      </c>
      <c r="AV8" s="30">
        <v>2034</v>
      </c>
      <c r="AW8" s="30">
        <v>1270.7</v>
      </c>
      <c r="AX8" s="30">
        <v>1711.6000000000001</v>
      </c>
    </row>
    <row r="9" spans="1:50" s="270" customFormat="1" ht="11.25">
      <c r="A9" s="37" t="s">
        <v>181</v>
      </c>
      <c r="B9" s="37" t="s">
        <v>15</v>
      </c>
      <c r="C9" s="29">
        <v>2</v>
      </c>
      <c r="D9" s="30">
        <v>3.8</v>
      </c>
      <c r="E9" s="30">
        <v>4</v>
      </c>
      <c r="F9" s="30">
        <v>4.5999999999999996</v>
      </c>
      <c r="G9" s="29">
        <v>3.6</v>
      </c>
      <c r="H9" s="30">
        <v>76</v>
      </c>
      <c r="I9" s="30">
        <v>70.400000000000006</v>
      </c>
      <c r="J9" s="31">
        <v>197</v>
      </c>
      <c r="K9" s="29">
        <v>212.4</v>
      </c>
      <c r="L9" s="30">
        <v>91</v>
      </c>
      <c r="M9" s="30">
        <v>64.599999999999994</v>
      </c>
      <c r="N9" s="31">
        <v>90.4</v>
      </c>
      <c r="O9" s="29">
        <v>111.7</v>
      </c>
      <c r="P9" s="30">
        <v>88.1</v>
      </c>
      <c r="Q9" s="30">
        <v>86.1</v>
      </c>
      <c r="R9" s="31">
        <v>104.8</v>
      </c>
      <c r="S9" s="29">
        <v>112.3</v>
      </c>
      <c r="T9" s="30">
        <v>168</v>
      </c>
      <c r="U9" s="30">
        <v>337.1</v>
      </c>
      <c r="V9" s="31">
        <v>433.4</v>
      </c>
      <c r="W9" s="30">
        <v>349.2</v>
      </c>
      <c r="X9" s="30">
        <v>420</v>
      </c>
      <c r="Y9" s="30">
        <v>675.3</v>
      </c>
      <c r="Z9" s="31">
        <v>1112.5999999999999</v>
      </c>
      <c r="AA9" s="29">
        <v>1066.9000000000001</v>
      </c>
      <c r="AB9" s="30">
        <v>990.7</v>
      </c>
      <c r="AC9" s="30">
        <v>994.1</v>
      </c>
      <c r="AD9" s="31">
        <v>1051.9000000000001</v>
      </c>
      <c r="AE9" s="29">
        <v>1011.1</v>
      </c>
      <c r="AF9" s="30">
        <v>1653</v>
      </c>
      <c r="AG9" s="30">
        <v>2370.9</v>
      </c>
      <c r="AH9" s="31">
        <v>2983.8</v>
      </c>
      <c r="AI9" s="30">
        <v>3039.3</v>
      </c>
      <c r="AJ9" s="30">
        <v>2036.6</v>
      </c>
      <c r="AK9" s="30">
        <v>2521.2000000000003</v>
      </c>
      <c r="AL9" s="31">
        <v>2454.8000000000002</v>
      </c>
      <c r="AM9" s="30">
        <v>2737.1</v>
      </c>
      <c r="AN9" s="30">
        <v>2389.6</v>
      </c>
      <c r="AO9" s="30">
        <v>2138.9</v>
      </c>
      <c r="AP9" s="31">
        <v>1338.6</v>
      </c>
      <c r="AQ9" s="30">
        <v>1259.0999999999999</v>
      </c>
      <c r="AR9" s="30">
        <v>1148.5999999999999</v>
      </c>
      <c r="AS9" s="30">
        <v>1050.0999999999999</v>
      </c>
      <c r="AT9" s="30">
        <v>967.2</v>
      </c>
      <c r="AU9" s="69">
        <v>960.6</v>
      </c>
      <c r="AV9" s="30">
        <v>880.2</v>
      </c>
      <c r="AW9" s="30">
        <v>836.5</v>
      </c>
      <c r="AX9" s="30">
        <v>909.6</v>
      </c>
    </row>
    <row r="10" spans="1:50" s="268" customFormat="1" ht="11.25">
      <c r="A10" s="32" t="s">
        <v>180</v>
      </c>
      <c r="B10" s="32" t="s">
        <v>586</v>
      </c>
      <c r="C10" s="29">
        <v>12001.7</v>
      </c>
      <c r="D10" s="30">
        <v>9593.7999999999993</v>
      </c>
      <c r="E10" s="30">
        <v>9149.9000000000015</v>
      </c>
      <c r="F10" s="30">
        <v>9388.2999999999993</v>
      </c>
      <c r="G10" s="29">
        <v>13933.400000000001</v>
      </c>
      <c r="H10" s="30">
        <v>17001.2</v>
      </c>
      <c r="I10" s="30">
        <v>19710.7</v>
      </c>
      <c r="J10" s="31">
        <v>18050.900000000001</v>
      </c>
      <c r="K10" s="29">
        <v>15901.9</v>
      </c>
      <c r="L10" s="30">
        <v>15568.2</v>
      </c>
      <c r="M10" s="30">
        <v>14334.5</v>
      </c>
      <c r="N10" s="31">
        <v>14166.3</v>
      </c>
      <c r="O10" s="29">
        <v>21639.699999999997</v>
      </c>
      <c r="P10" s="30">
        <v>21008.7</v>
      </c>
      <c r="Q10" s="30">
        <v>18736.400000000001</v>
      </c>
      <c r="R10" s="31">
        <v>23006.799999999999</v>
      </c>
      <c r="S10" s="29">
        <v>23574.1</v>
      </c>
      <c r="T10" s="30">
        <v>23947.5</v>
      </c>
      <c r="U10" s="30">
        <v>22396.3</v>
      </c>
      <c r="V10" s="31">
        <v>20450.7</v>
      </c>
      <c r="W10" s="30">
        <v>16819.8</v>
      </c>
      <c r="X10" s="30">
        <v>13817.5</v>
      </c>
      <c r="Y10" s="30">
        <v>13536.1</v>
      </c>
      <c r="Z10" s="31">
        <v>17881.099999999999</v>
      </c>
      <c r="AA10" s="29">
        <v>18003.900000000001</v>
      </c>
      <c r="AB10" s="30">
        <v>20256.699999999997</v>
      </c>
      <c r="AC10" s="30">
        <v>19794</v>
      </c>
      <c r="AD10" s="31">
        <v>19493.600000000002</v>
      </c>
      <c r="AE10" s="29">
        <v>20994.899999999998</v>
      </c>
      <c r="AF10" s="30">
        <v>22090.400000000001</v>
      </c>
      <c r="AG10" s="30">
        <v>23190.600000000002</v>
      </c>
      <c r="AH10" s="31">
        <v>22829.3</v>
      </c>
      <c r="AI10" s="30">
        <v>23869.699999999997</v>
      </c>
      <c r="AJ10" s="30">
        <v>24267.600000000002</v>
      </c>
      <c r="AK10" s="30">
        <v>24310.3</v>
      </c>
      <c r="AL10" s="31">
        <v>23478.799999999999</v>
      </c>
      <c r="AM10" s="30">
        <v>25072</v>
      </c>
      <c r="AN10" s="30">
        <v>27761</v>
      </c>
      <c r="AO10" s="30">
        <v>27344</v>
      </c>
      <c r="AP10" s="31">
        <v>25721.300000000003</v>
      </c>
      <c r="AQ10" s="30">
        <v>26569.7</v>
      </c>
      <c r="AR10" s="30">
        <v>24427.600000000002</v>
      </c>
      <c r="AS10" s="30">
        <v>24446.100000000002</v>
      </c>
      <c r="AT10" s="30">
        <v>25907.4</v>
      </c>
      <c r="AU10" s="69">
        <v>29135.7</v>
      </c>
      <c r="AV10" s="30">
        <v>28677</v>
      </c>
      <c r="AW10" s="30">
        <v>28823.4</v>
      </c>
      <c r="AX10" s="30">
        <v>31937.3</v>
      </c>
    </row>
    <row r="11" spans="1:50" s="268" customFormat="1" ht="11.25">
      <c r="A11" s="32" t="s">
        <v>182</v>
      </c>
      <c r="B11" s="32" t="s">
        <v>16</v>
      </c>
      <c r="C11" s="29">
        <v>13782.6</v>
      </c>
      <c r="D11" s="30">
        <v>14567.2</v>
      </c>
      <c r="E11" s="30">
        <v>15449.4</v>
      </c>
      <c r="F11" s="30">
        <v>16379.1</v>
      </c>
      <c r="G11" s="29">
        <v>18039.900000000001</v>
      </c>
      <c r="H11" s="30">
        <v>20372</v>
      </c>
      <c r="I11" s="30">
        <v>21986.799999999999</v>
      </c>
      <c r="J11" s="31">
        <v>25742.799999999999</v>
      </c>
      <c r="K11" s="29">
        <v>29040.3</v>
      </c>
      <c r="L11" s="30">
        <v>29268.6</v>
      </c>
      <c r="M11" s="30">
        <v>29050</v>
      </c>
      <c r="N11" s="31">
        <v>30592.799999999999</v>
      </c>
      <c r="O11" s="29">
        <v>30159.599999999999</v>
      </c>
      <c r="P11" s="30">
        <v>31781.200000000001</v>
      </c>
      <c r="Q11" s="30">
        <v>33320.6</v>
      </c>
      <c r="R11" s="31">
        <v>34509</v>
      </c>
      <c r="S11" s="29">
        <v>35332.400000000001</v>
      </c>
      <c r="T11" s="30">
        <v>37094.800000000003</v>
      </c>
      <c r="U11" s="30">
        <v>39789.699999999997</v>
      </c>
      <c r="V11" s="31">
        <v>42329.7</v>
      </c>
      <c r="W11" s="30">
        <v>47795.899999999994</v>
      </c>
      <c r="X11" s="30">
        <v>48490.6</v>
      </c>
      <c r="Y11" s="30">
        <v>49275.1</v>
      </c>
      <c r="Z11" s="31">
        <v>48985.299999999996</v>
      </c>
      <c r="AA11" s="29">
        <v>49119.30000000001</v>
      </c>
      <c r="AB11" s="30">
        <v>51756.700000000004</v>
      </c>
      <c r="AC11" s="30">
        <v>52357.599999999999</v>
      </c>
      <c r="AD11" s="31">
        <v>52876.7</v>
      </c>
      <c r="AE11" s="29">
        <v>55257.5</v>
      </c>
      <c r="AF11" s="30">
        <v>58092.499999999985</v>
      </c>
      <c r="AG11" s="30">
        <v>60705.7</v>
      </c>
      <c r="AH11" s="31">
        <v>61161.4</v>
      </c>
      <c r="AI11" s="30">
        <v>64386.1</v>
      </c>
      <c r="AJ11" s="30">
        <v>68618.5</v>
      </c>
      <c r="AK11" s="30">
        <v>71978.8</v>
      </c>
      <c r="AL11" s="31">
        <v>73874</v>
      </c>
      <c r="AM11" s="30">
        <v>75349.899999999994</v>
      </c>
      <c r="AN11" s="30">
        <v>78308.599999999991</v>
      </c>
      <c r="AO11" s="30">
        <v>80397.2</v>
      </c>
      <c r="AP11" s="31">
        <v>81979.5</v>
      </c>
      <c r="AQ11" s="30">
        <v>84399.5</v>
      </c>
      <c r="AR11" s="30">
        <v>86922.3</v>
      </c>
      <c r="AS11" s="30">
        <v>90107</v>
      </c>
      <c r="AT11" s="30">
        <v>91108.1</v>
      </c>
      <c r="AU11" s="69">
        <v>90290.5</v>
      </c>
      <c r="AV11" s="30">
        <v>94724.3</v>
      </c>
      <c r="AW11" s="30">
        <v>99223.8</v>
      </c>
      <c r="AX11" s="30">
        <v>103125.8</v>
      </c>
    </row>
    <row r="12" spans="1:50" s="270" customFormat="1" ht="11.25">
      <c r="A12" s="32" t="s">
        <v>183</v>
      </c>
      <c r="B12" s="32" t="s">
        <v>502</v>
      </c>
      <c r="C12" s="29">
        <v>102.7</v>
      </c>
      <c r="D12" s="30">
        <v>77</v>
      </c>
      <c r="E12" s="30">
        <v>86.6</v>
      </c>
      <c r="F12" s="30">
        <v>97.3</v>
      </c>
      <c r="G12" s="29">
        <v>108.9</v>
      </c>
      <c r="H12" s="30">
        <v>84.9</v>
      </c>
      <c r="I12" s="30">
        <v>97.9</v>
      </c>
      <c r="J12" s="31">
        <v>107.3</v>
      </c>
      <c r="K12" s="29">
        <v>117.4</v>
      </c>
      <c r="L12" s="30">
        <v>89.1</v>
      </c>
      <c r="M12" s="30">
        <v>99.5</v>
      </c>
      <c r="N12" s="31">
        <v>115.6</v>
      </c>
      <c r="O12" s="29">
        <v>122.9</v>
      </c>
      <c r="P12" s="30">
        <v>133.80000000000001</v>
      </c>
      <c r="Q12" s="30">
        <v>144.4</v>
      </c>
      <c r="R12" s="31">
        <v>156.80000000000001</v>
      </c>
      <c r="S12" s="29">
        <v>166.6</v>
      </c>
      <c r="T12" s="30">
        <v>86.6</v>
      </c>
      <c r="U12" s="30">
        <v>94.8</v>
      </c>
      <c r="V12" s="31">
        <v>105</v>
      </c>
      <c r="W12" s="30">
        <v>111.79999999999995</v>
      </c>
      <c r="X12" s="30">
        <v>96.799999999999955</v>
      </c>
      <c r="Y12" s="30">
        <v>104.29999999999995</v>
      </c>
      <c r="Z12" s="31">
        <v>114.39999999999998</v>
      </c>
      <c r="AA12" s="29">
        <v>123.29999999999995</v>
      </c>
      <c r="AB12" s="30">
        <v>115.10000000000002</v>
      </c>
      <c r="AC12" s="30">
        <v>124.39999999999998</v>
      </c>
      <c r="AD12" s="31">
        <v>136.5</v>
      </c>
      <c r="AE12" s="29">
        <v>147.69999999999993</v>
      </c>
      <c r="AF12" s="30">
        <v>-5.6898930012039273E-15</v>
      </c>
      <c r="AG12" s="30">
        <v>0</v>
      </c>
      <c r="AH12" s="31">
        <v>-2.3092638912203256E-14</v>
      </c>
      <c r="AI12" s="30">
        <v>0</v>
      </c>
      <c r="AJ12" s="30">
        <v>0</v>
      </c>
      <c r="AK12" s="30">
        <v>0</v>
      </c>
      <c r="AL12" s="31">
        <v>0</v>
      </c>
      <c r="AM12" s="30">
        <v>0</v>
      </c>
      <c r="AN12" s="30">
        <v>0</v>
      </c>
      <c r="AO12" s="30">
        <v>0</v>
      </c>
      <c r="AP12" s="31">
        <v>0</v>
      </c>
      <c r="AQ12" s="30">
        <v>0</v>
      </c>
      <c r="AR12" s="30">
        <v>0</v>
      </c>
      <c r="AS12" s="30">
        <v>0</v>
      </c>
      <c r="AT12" s="30">
        <v>1.3</v>
      </c>
      <c r="AU12" s="69">
        <v>1.3</v>
      </c>
      <c r="AV12" s="30">
        <v>1.3</v>
      </c>
      <c r="AW12" s="30">
        <v>1.1000000000000001</v>
      </c>
      <c r="AX12" s="30">
        <v>1</v>
      </c>
    </row>
    <row r="13" spans="1:50" s="270" customFormat="1" ht="11.25">
      <c r="A13" s="32" t="s">
        <v>184</v>
      </c>
      <c r="B13" s="32" t="s">
        <v>587</v>
      </c>
      <c r="C13" s="29">
        <v>150.1</v>
      </c>
      <c r="D13" s="30">
        <v>149.1</v>
      </c>
      <c r="E13" s="30">
        <v>151.1</v>
      </c>
      <c r="F13" s="30">
        <v>144.69999999999999</v>
      </c>
      <c r="G13" s="29">
        <v>145.80000000000001</v>
      </c>
      <c r="H13" s="30">
        <v>135.80000000000001</v>
      </c>
      <c r="I13" s="30">
        <v>135.80000000000001</v>
      </c>
      <c r="J13" s="31">
        <v>151.5</v>
      </c>
      <c r="K13" s="29">
        <v>151.5</v>
      </c>
      <c r="L13" s="30">
        <v>151.5</v>
      </c>
      <c r="M13" s="30">
        <v>151.5</v>
      </c>
      <c r="N13" s="31">
        <v>129.69999999999999</v>
      </c>
      <c r="O13" s="29">
        <v>129.69999999999999</v>
      </c>
      <c r="P13" s="30">
        <v>129.69999999999999</v>
      </c>
      <c r="Q13" s="30">
        <v>140.4</v>
      </c>
      <c r="R13" s="31">
        <v>118.2</v>
      </c>
      <c r="S13" s="29">
        <v>118.2</v>
      </c>
      <c r="T13" s="30">
        <v>118.2</v>
      </c>
      <c r="U13" s="30">
        <v>118.2</v>
      </c>
      <c r="V13" s="31">
        <v>118.7</v>
      </c>
      <c r="W13" s="30">
        <v>118.7</v>
      </c>
      <c r="X13" s="30">
        <v>118.7</v>
      </c>
      <c r="Y13" s="30">
        <v>118.7</v>
      </c>
      <c r="Z13" s="31">
        <v>120.9</v>
      </c>
      <c r="AA13" s="29">
        <v>120.9</v>
      </c>
      <c r="AB13" s="30">
        <v>120.9</v>
      </c>
      <c r="AC13" s="30">
        <v>120.9</v>
      </c>
      <c r="AD13" s="31">
        <v>121.4</v>
      </c>
      <c r="AE13" s="29">
        <v>121.4</v>
      </c>
      <c r="AF13" s="30">
        <v>121.6</v>
      </c>
      <c r="AG13" s="30">
        <v>59.6</v>
      </c>
      <c r="AH13" s="31">
        <v>60</v>
      </c>
      <c r="AI13" s="30">
        <v>60</v>
      </c>
      <c r="AJ13" s="30">
        <v>61</v>
      </c>
      <c r="AK13" s="30">
        <v>61</v>
      </c>
      <c r="AL13" s="31">
        <v>53.2</v>
      </c>
      <c r="AM13" s="30">
        <v>53.2</v>
      </c>
      <c r="AN13" s="30">
        <v>53.2</v>
      </c>
      <c r="AO13" s="30">
        <v>53.2</v>
      </c>
      <c r="AP13" s="31">
        <v>0</v>
      </c>
      <c r="AQ13" s="30">
        <v>0</v>
      </c>
      <c r="AR13" s="30">
        <v>0</v>
      </c>
      <c r="AS13" s="30">
        <v>0</v>
      </c>
      <c r="AT13" s="30">
        <v>0</v>
      </c>
      <c r="AU13" s="69">
        <v>0</v>
      </c>
      <c r="AV13" s="70">
        <v>0</v>
      </c>
      <c r="AW13" s="70">
        <v>0</v>
      </c>
      <c r="AX13" s="70">
        <v>0</v>
      </c>
    </row>
    <row r="14" spans="1:50" s="270" customFormat="1" ht="11.25">
      <c r="A14" s="32" t="s">
        <v>185</v>
      </c>
      <c r="B14" s="32" t="s">
        <v>588</v>
      </c>
      <c r="C14" s="29">
        <v>565</v>
      </c>
      <c r="D14" s="30">
        <v>552.5</v>
      </c>
      <c r="E14" s="30">
        <v>543.1</v>
      </c>
      <c r="F14" s="30">
        <v>532.9</v>
      </c>
      <c r="G14" s="29">
        <v>536.4</v>
      </c>
      <c r="H14" s="30">
        <v>529.1</v>
      </c>
      <c r="I14" s="30">
        <v>527.6</v>
      </c>
      <c r="J14" s="31">
        <v>544.20000000000005</v>
      </c>
      <c r="K14" s="29">
        <v>548.6</v>
      </c>
      <c r="L14" s="30">
        <v>553.20000000000005</v>
      </c>
      <c r="M14" s="30">
        <v>541.29999999999995</v>
      </c>
      <c r="N14" s="31">
        <v>548.79999999999995</v>
      </c>
      <c r="O14" s="29">
        <v>539</v>
      </c>
      <c r="P14" s="30">
        <v>536.29999999999995</v>
      </c>
      <c r="Q14" s="30">
        <v>520.5</v>
      </c>
      <c r="R14" s="31">
        <v>544.20000000000005</v>
      </c>
      <c r="S14" s="29">
        <v>531.29999999999995</v>
      </c>
      <c r="T14" s="30">
        <v>511.2</v>
      </c>
      <c r="U14" s="30">
        <v>516.6</v>
      </c>
      <c r="V14" s="31">
        <v>575.29999999999995</v>
      </c>
      <c r="W14" s="30">
        <v>573.70000000000016</v>
      </c>
      <c r="X14" s="30">
        <v>579.50000000000011</v>
      </c>
      <c r="Y14" s="30">
        <v>583.40000000000009</v>
      </c>
      <c r="Z14" s="31">
        <v>600</v>
      </c>
      <c r="AA14" s="29">
        <v>573.29999999999995</v>
      </c>
      <c r="AB14" s="30">
        <v>554.1</v>
      </c>
      <c r="AC14" s="30">
        <v>544.30000000000007</v>
      </c>
      <c r="AD14" s="31">
        <v>576.59999999999991</v>
      </c>
      <c r="AE14" s="29">
        <v>569.9</v>
      </c>
      <c r="AF14" s="30">
        <v>583.9</v>
      </c>
      <c r="AG14" s="30">
        <v>635.19999999999993</v>
      </c>
      <c r="AH14" s="31">
        <v>595</v>
      </c>
      <c r="AI14" s="30">
        <v>583.5</v>
      </c>
      <c r="AJ14" s="30">
        <v>564.29999999999995</v>
      </c>
      <c r="AK14" s="30">
        <v>574.20000000000005</v>
      </c>
      <c r="AL14" s="31">
        <v>597.70000000000005</v>
      </c>
      <c r="AM14" s="30">
        <v>566.70000000000005</v>
      </c>
      <c r="AN14" s="30">
        <v>552.9</v>
      </c>
      <c r="AO14" s="30">
        <v>540</v>
      </c>
      <c r="AP14" s="31">
        <v>578</v>
      </c>
      <c r="AQ14" s="30">
        <v>580.19999999999993</v>
      </c>
      <c r="AR14" s="30">
        <v>564.4</v>
      </c>
      <c r="AS14" s="30">
        <v>557</v>
      </c>
      <c r="AT14" s="30">
        <v>549</v>
      </c>
      <c r="AU14" s="69">
        <v>538.1</v>
      </c>
      <c r="AV14" s="30">
        <v>526.79999999999995</v>
      </c>
      <c r="AW14" s="30">
        <v>539.20000000000005</v>
      </c>
      <c r="AX14" s="30">
        <v>556.1</v>
      </c>
    </row>
    <row r="15" spans="1:50" s="270" customFormat="1" ht="11.25">
      <c r="A15" s="32" t="s">
        <v>186</v>
      </c>
      <c r="B15" s="32" t="s">
        <v>589</v>
      </c>
      <c r="C15" s="29">
        <v>325.7</v>
      </c>
      <c r="D15" s="30">
        <v>319.3</v>
      </c>
      <c r="E15" s="30">
        <v>319</v>
      </c>
      <c r="F15" s="30">
        <v>318.8</v>
      </c>
      <c r="G15" s="29">
        <v>315.8</v>
      </c>
      <c r="H15" s="30">
        <v>311</v>
      </c>
      <c r="I15" s="30">
        <v>309.5</v>
      </c>
      <c r="J15" s="31">
        <v>316.2</v>
      </c>
      <c r="K15" s="29">
        <v>313.5</v>
      </c>
      <c r="L15" s="30">
        <v>317.8</v>
      </c>
      <c r="M15" s="30">
        <v>316.39999999999998</v>
      </c>
      <c r="N15" s="31">
        <v>327.3</v>
      </c>
      <c r="O15" s="29">
        <v>322.89999999999998</v>
      </c>
      <c r="P15" s="30">
        <v>325.89999999999998</v>
      </c>
      <c r="Q15" s="30">
        <v>325.8</v>
      </c>
      <c r="R15" s="31">
        <v>342.2</v>
      </c>
      <c r="S15" s="29">
        <v>342</v>
      </c>
      <c r="T15" s="30">
        <v>357.8</v>
      </c>
      <c r="U15" s="30">
        <v>355.6</v>
      </c>
      <c r="V15" s="31">
        <v>362</v>
      </c>
      <c r="W15" s="30">
        <v>360.4</v>
      </c>
      <c r="X15" s="30">
        <v>358.8</v>
      </c>
      <c r="Y15" s="30">
        <v>361.1</v>
      </c>
      <c r="Z15" s="31">
        <v>361.59999999999997</v>
      </c>
      <c r="AA15" s="29">
        <v>353.6</v>
      </c>
      <c r="AB15" s="30">
        <v>353.10000000000008</v>
      </c>
      <c r="AC15" s="30">
        <v>352.00000000000011</v>
      </c>
      <c r="AD15" s="31">
        <v>365.90000000000003</v>
      </c>
      <c r="AE15" s="29">
        <v>358.90000000000003</v>
      </c>
      <c r="AF15" s="30">
        <v>358.50000000000006</v>
      </c>
      <c r="AG15" s="30">
        <v>360.89999999999992</v>
      </c>
      <c r="AH15" s="31">
        <v>377.29999999999995</v>
      </c>
      <c r="AI15" s="30">
        <v>374.39999999999992</v>
      </c>
      <c r="AJ15" s="30">
        <v>380.1</v>
      </c>
      <c r="AK15" s="30">
        <v>387.4</v>
      </c>
      <c r="AL15" s="31">
        <v>419.6</v>
      </c>
      <c r="AM15" s="30">
        <v>417.9</v>
      </c>
      <c r="AN15" s="30">
        <v>426.4</v>
      </c>
      <c r="AO15" s="30">
        <v>431.8</v>
      </c>
      <c r="AP15" s="31">
        <v>426.2</v>
      </c>
      <c r="AQ15" s="30">
        <v>415.1</v>
      </c>
      <c r="AR15" s="30">
        <v>420.6</v>
      </c>
      <c r="AS15" s="30">
        <v>422</v>
      </c>
      <c r="AT15" s="30">
        <v>431</v>
      </c>
      <c r="AU15" s="69">
        <v>427.5</v>
      </c>
      <c r="AV15" s="30">
        <v>430</v>
      </c>
      <c r="AW15" s="30">
        <v>434.8</v>
      </c>
      <c r="AX15" s="30">
        <v>439.2</v>
      </c>
    </row>
    <row r="16" spans="1:50" s="268" customFormat="1" ht="11.25" collapsed="1">
      <c r="A16" s="32" t="s">
        <v>187</v>
      </c>
      <c r="B16" s="32" t="s">
        <v>503</v>
      </c>
      <c r="C16" s="29">
        <v>0.2</v>
      </c>
      <c r="D16" s="30">
        <v>0.3</v>
      </c>
      <c r="E16" s="30">
        <v>0.2</v>
      </c>
      <c r="F16" s="30">
        <v>0.2</v>
      </c>
      <c r="G16" s="29">
        <v>0.3</v>
      </c>
      <c r="H16" s="30">
        <v>0.3</v>
      </c>
      <c r="I16" s="30">
        <v>0.2</v>
      </c>
      <c r="J16" s="31">
        <v>0.2</v>
      </c>
      <c r="K16" s="29">
        <v>0.2</v>
      </c>
      <c r="L16" s="30">
        <v>0.1</v>
      </c>
      <c r="M16" s="30">
        <v>0.2</v>
      </c>
      <c r="N16" s="31">
        <v>0.2</v>
      </c>
      <c r="O16" s="29">
        <v>0.2</v>
      </c>
      <c r="P16" s="30">
        <v>0.2</v>
      </c>
      <c r="Q16" s="30">
        <v>1.9</v>
      </c>
      <c r="R16" s="31">
        <v>14</v>
      </c>
      <c r="S16" s="29">
        <v>12.3</v>
      </c>
      <c r="T16" s="30">
        <v>40.9</v>
      </c>
      <c r="U16" s="30">
        <v>44.4</v>
      </c>
      <c r="V16" s="31">
        <v>33.6</v>
      </c>
      <c r="W16" s="30">
        <v>38.9</v>
      </c>
      <c r="X16" s="30">
        <v>37.299999999999997</v>
      </c>
      <c r="Y16" s="30">
        <v>33.799999999999997</v>
      </c>
      <c r="Z16" s="31">
        <v>33</v>
      </c>
      <c r="AA16" s="29">
        <v>44.3</v>
      </c>
      <c r="AB16" s="30">
        <v>49.6</v>
      </c>
      <c r="AC16" s="30">
        <v>49</v>
      </c>
      <c r="AD16" s="31">
        <v>35.299999999999997</v>
      </c>
      <c r="AE16" s="29">
        <v>32.200000000000003</v>
      </c>
      <c r="AF16" s="30">
        <v>134.30000000000001</v>
      </c>
      <c r="AG16" s="30">
        <v>151.80000000000001</v>
      </c>
      <c r="AH16" s="31">
        <v>144.9</v>
      </c>
      <c r="AI16" s="30">
        <v>151</v>
      </c>
      <c r="AJ16" s="30">
        <v>156</v>
      </c>
      <c r="AK16" s="30">
        <v>44.1</v>
      </c>
      <c r="AL16" s="31">
        <v>38.4</v>
      </c>
      <c r="AM16" s="30">
        <v>49.8</v>
      </c>
      <c r="AN16" s="30">
        <v>41.2</v>
      </c>
      <c r="AO16" s="30">
        <v>41.2</v>
      </c>
      <c r="AP16" s="31">
        <v>31.8</v>
      </c>
      <c r="AQ16" s="30">
        <v>19.7</v>
      </c>
      <c r="AR16" s="30">
        <v>14.3</v>
      </c>
      <c r="AS16" s="30">
        <v>15.3</v>
      </c>
      <c r="AT16" s="30">
        <v>11.1</v>
      </c>
      <c r="AU16" s="69">
        <v>10.9</v>
      </c>
      <c r="AV16" s="30">
        <v>16.2</v>
      </c>
      <c r="AW16" s="30">
        <v>16.2</v>
      </c>
      <c r="AX16" s="30">
        <v>10.9</v>
      </c>
    </row>
    <row r="17" spans="1:50" s="268" customFormat="1" ht="11.25">
      <c r="A17" s="32" t="s">
        <v>189</v>
      </c>
      <c r="B17" s="32" t="s">
        <v>590</v>
      </c>
      <c r="C17" s="29">
        <v>22.1</v>
      </c>
      <c r="D17" s="30">
        <v>99.5</v>
      </c>
      <c r="E17" s="30">
        <v>40.700000000000003</v>
      </c>
      <c r="F17" s="30">
        <v>49.3</v>
      </c>
      <c r="G17" s="29">
        <v>37.799999999999997</v>
      </c>
      <c r="H17" s="30">
        <v>88</v>
      </c>
      <c r="I17" s="30">
        <v>19.100000000000001</v>
      </c>
      <c r="J17" s="31">
        <v>48.7</v>
      </c>
      <c r="K17" s="29">
        <v>36.799999999999997</v>
      </c>
      <c r="L17" s="30">
        <v>0</v>
      </c>
      <c r="M17" s="30">
        <v>34.299999999999997</v>
      </c>
      <c r="N17" s="31">
        <v>86.4</v>
      </c>
      <c r="O17" s="29">
        <v>62.4</v>
      </c>
      <c r="P17" s="30">
        <v>97.4</v>
      </c>
      <c r="Q17" s="30">
        <v>77.400000000000006</v>
      </c>
      <c r="R17" s="31">
        <v>167.4</v>
      </c>
      <c r="S17" s="29">
        <v>143.9</v>
      </c>
      <c r="T17" s="30">
        <v>100.6</v>
      </c>
      <c r="U17" s="30">
        <v>97.4</v>
      </c>
      <c r="V17" s="31">
        <v>16.5</v>
      </c>
      <c r="W17" s="30">
        <v>69.7</v>
      </c>
      <c r="X17" s="30">
        <v>139.20000000000002</v>
      </c>
      <c r="Y17" s="30">
        <v>45.199999999999996</v>
      </c>
      <c r="Z17" s="31">
        <v>38.299999999999997</v>
      </c>
      <c r="AA17" s="29">
        <v>55.1</v>
      </c>
      <c r="AB17" s="30">
        <v>74.099999999999994</v>
      </c>
      <c r="AC17" s="30">
        <v>102.5</v>
      </c>
      <c r="AD17" s="31">
        <v>118.6</v>
      </c>
      <c r="AE17" s="29">
        <v>90.5</v>
      </c>
      <c r="AF17" s="30">
        <v>62.3</v>
      </c>
      <c r="AG17" s="30">
        <v>61.099999999999994</v>
      </c>
      <c r="AH17" s="31">
        <v>58</v>
      </c>
      <c r="AI17" s="30">
        <v>58.1</v>
      </c>
      <c r="AJ17" s="30">
        <v>65.400000000000006</v>
      </c>
      <c r="AK17" s="30">
        <v>55.4</v>
      </c>
      <c r="AL17" s="31">
        <v>59.5</v>
      </c>
      <c r="AM17" s="30">
        <v>68.2</v>
      </c>
      <c r="AN17" s="30">
        <v>76.599999999999994</v>
      </c>
      <c r="AO17" s="30">
        <v>77.400000000000006</v>
      </c>
      <c r="AP17" s="31">
        <v>0.3</v>
      </c>
      <c r="AQ17" s="30">
        <v>0.2</v>
      </c>
      <c r="AR17" s="30">
        <v>0</v>
      </c>
      <c r="AS17" s="30">
        <v>0</v>
      </c>
      <c r="AT17" s="30">
        <v>0</v>
      </c>
      <c r="AU17" s="69">
        <v>1.8</v>
      </c>
      <c r="AV17" s="30">
        <v>0</v>
      </c>
      <c r="AW17" s="30">
        <v>0</v>
      </c>
      <c r="AX17" s="30">
        <v>0</v>
      </c>
    </row>
    <row r="18" spans="1:50" s="268" customFormat="1" ht="11.25">
      <c r="A18" s="32" t="s">
        <v>188</v>
      </c>
      <c r="B18" s="32" t="s">
        <v>591</v>
      </c>
      <c r="C18" s="29">
        <v>0</v>
      </c>
      <c r="D18" s="30">
        <v>0</v>
      </c>
      <c r="E18" s="30">
        <v>0</v>
      </c>
      <c r="F18" s="30">
        <v>25.3</v>
      </c>
      <c r="G18" s="29">
        <v>9.6999999999999993</v>
      </c>
      <c r="H18" s="30">
        <v>0</v>
      </c>
      <c r="I18" s="30">
        <v>0</v>
      </c>
      <c r="J18" s="31">
        <v>0.1</v>
      </c>
      <c r="K18" s="29">
        <v>18.7</v>
      </c>
      <c r="L18" s="30">
        <v>82.9</v>
      </c>
      <c r="M18" s="30">
        <v>0</v>
      </c>
      <c r="N18" s="31">
        <v>0.8</v>
      </c>
      <c r="O18" s="29">
        <v>0.4</v>
      </c>
      <c r="P18" s="30">
        <v>0.3</v>
      </c>
      <c r="Q18" s="30">
        <v>0</v>
      </c>
      <c r="R18" s="31">
        <v>0.6</v>
      </c>
      <c r="S18" s="29">
        <v>37.9</v>
      </c>
      <c r="T18" s="30">
        <v>55.2</v>
      </c>
      <c r="U18" s="30">
        <v>56.2</v>
      </c>
      <c r="V18" s="31">
        <v>147.5</v>
      </c>
      <c r="W18" s="30">
        <v>91.3</v>
      </c>
      <c r="X18" s="30">
        <v>0.2</v>
      </c>
      <c r="Y18" s="30">
        <v>0</v>
      </c>
      <c r="Z18" s="31">
        <v>0.3</v>
      </c>
      <c r="AA18" s="29">
        <v>1</v>
      </c>
      <c r="AB18" s="30">
        <v>0.2</v>
      </c>
      <c r="AC18" s="30">
        <v>0.5</v>
      </c>
      <c r="AD18" s="31">
        <v>1.2999999999999998</v>
      </c>
      <c r="AE18" s="29">
        <v>9.8000000000000007</v>
      </c>
      <c r="AF18" s="30">
        <v>29.099999999999998</v>
      </c>
      <c r="AG18" s="30">
        <v>37.700000000000003</v>
      </c>
      <c r="AH18" s="31">
        <v>1.1000000000000001</v>
      </c>
      <c r="AI18" s="30">
        <v>19.7</v>
      </c>
      <c r="AJ18" s="30">
        <v>0.5</v>
      </c>
      <c r="AK18" s="30">
        <v>0.4</v>
      </c>
      <c r="AL18" s="31">
        <v>0.1</v>
      </c>
      <c r="AM18" s="30">
        <v>3.2</v>
      </c>
      <c r="AN18" s="30">
        <v>0.3</v>
      </c>
      <c r="AO18" s="30">
        <v>0.1</v>
      </c>
      <c r="AP18" s="31">
        <v>237.20000000000002</v>
      </c>
      <c r="AQ18" s="30">
        <v>181.70000000000002</v>
      </c>
      <c r="AR18" s="30">
        <v>228.5</v>
      </c>
      <c r="AS18" s="30">
        <v>250.4</v>
      </c>
      <c r="AT18" s="30">
        <v>257.10000000000002</v>
      </c>
      <c r="AU18" s="69">
        <v>274.60000000000002</v>
      </c>
      <c r="AV18" s="30">
        <v>335.2</v>
      </c>
      <c r="AW18" s="30">
        <v>356.3</v>
      </c>
      <c r="AX18" s="30">
        <v>398.2</v>
      </c>
    </row>
    <row r="19" spans="1:50" s="270" customFormat="1" ht="11.25">
      <c r="A19" s="32" t="s">
        <v>190</v>
      </c>
      <c r="B19" s="32" t="s">
        <v>17</v>
      </c>
      <c r="C19" s="29">
        <v>128.1</v>
      </c>
      <c r="D19" s="30">
        <v>154.80000000000001</v>
      </c>
      <c r="E19" s="30">
        <v>132.9</v>
      </c>
      <c r="F19" s="30">
        <v>137.4</v>
      </c>
      <c r="G19" s="29">
        <v>122.2</v>
      </c>
      <c r="H19" s="30">
        <v>129.9</v>
      </c>
      <c r="I19" s="30">
        <v>190.9</v>
      </c>
      <c r="J19" s="31">
        <v>166</v>
      </c>
      <c r="K19" s="29">
        <v>187.9</v>
      </c>
      <c r="L19" s="30">
        <v>193</v>
      </c>
      <c r="M19" s="30">
        <v>207.2</v>
      </c>
      <c r="N19" s="31">
        <v>150</v>
      </c>
      <c r="O19" s="29">
        <v>175.4</v>
      </c>
      <c r="P19" s="30">
        <v>175.6</v>
      </c>
      <c r="Q19" s="30">
        <v>214.1</v>
      </c>
      <c r="R19" s="31">
        <v>159.69999999999999</v>
      </c>
      <c r="S19" s="29">
        <v>224.5</v>
      </c>
      <c r="T19" s="30">
        <v>210.1</v>
      </c>
      <c r="U19" s="30">
        <v>216</v>
      </c>
      <c r="V19" s="31">
        <v>141.80000000000001</v>
      </c>
      <c r="W19" s="30">
        <v>177.60000000000002</v>
      </c>
      <c r="X19" s="30">
        <v>248.39999999999998</v>
      </c>
      <c r="Y19" s="30">
        <v>316</v>
      </c>
      <c r="Z19" s="31">
        <v>193.9</v>
      </c>
      <c r="AA19" s="29">
        <v>173.3</v>
      </c>
      <c r="AB19" s="30">
        <v>225.39999999999998</v>
      </c>
      <c r="AC19" s="30">
        <v>187.80000000000004</v>
      </c>
      <c r="AD19" s="31">
        <v>180.1</v>
      </c>
      <c r="AE19" s="29">
        <v>243</v>
      </c>
      <c r="AF19" s="30">
        <v>331.9</v>
      </c>
      <c r="AG19" s="30">
        <v>300.5</v>
      </c>
      <c r="AH19" s="31">
        <v>211.8</v>
      </c>
      <c r="AI19" s="30">
        <v>269</v>
      </c>
      <c r="AJ19" s="30">
        <v>283.39999999999998</v>
      </c>
      <c r="AK19" s="30">
        <v>265.10000000000002</v>
      </c>
      <c r="AL19" s="31">
        <v>194.7</v>
      </c>
      <c r="AM19" s="30">
        <v>213.2</v>
      </c>
      <c r="AN19" s="30">
        <v>290.10000000000002</v>
      </c>
      <c r="AO19" s="30">
        <v>292.2</v>
      </c>
      <c r="AP19" s="31">
        <v>282.5</v>
      </c>
      <c r="AQ19" s="30">
        <v>333.8</v>
      </c>
      <c r="AR19" s="30">
        <v>362.90000000000003</v>
      </c>
      <c r="AS19" s="30">
        <v>385.5</v>
      </c>
      <c r="AT19" s="30">
        <v>417.2</v>
      </c>
      <c r="AU19" s="69">
        <v>345.9</v>
      </c>
      <c r="AV19" s="30">
        <v>400.3</v>
      </c>
      <c r="AW19" s="30">
        <v>444.6</v>
      </c>
      <c r="AX19" s="30">
        <v>486</v>
      </c>
    </row>
    <row r="20" spans="1:50" s="271" customFormat="1" ht="11.25">
      <c r="A20" s="57" t="s">
        <v>191</v>
      </c>
      <c r="B20" s="57" t="s">
        <v>18</v>
      </c>
      <c r="C20" s="42">
        <f>SUM(C6:C19)</f>
        <v>56616.89999999998</v>
      </c>
      <c r="D20" s="43">
        <f t="shared" ref="D20:AU20" si="0">SUM(D6:D19)</f>
        <v>53203.100000000013</v>
      </c>
      <c r="E20" s="43">
        <f t="shared" si="0"/>
        <v>53246.599999999991</v>
      </c>
      <c r="F20" s="43">
        <f t="shared" si="0"/>
        <v>52010.80000000001</v>
      </c>
      <c r="G20" s="42">
        <f t="shared" si="0"/>
        <v>60234.400000000009</v>
      </c>
      <c r="H20" s="43">
        <f t="shared" si="0"/>
        <v>60513.200000000004</v>
      </c>
      <c r="I20" s="43">
        <f t="shared" si="0"/>
        <v>65262.600000000006</v>
      </c>
      <c r="J20" s="43">
        <f t="shared" si="0"/>
        <v>69610.5</v>
      </c>
      <c r="K20" s="42">
        <f t="shared" si="0"/>
        <v>68205.799999999988</v>
      </c>
      <c r="L20" s="43">
        <f t="shared" si="0"/>
        <v>64516.5</v>
      </c>
      <c r="M20" s="43">
        <f t="shared" si="0"/>
        <v>64256.4</v>
      </c>
      <c r="N20" s="43">
        <f t="shared" si="0"/>
        <v>59883.400000000009</v>
      </c>
      <c r="O20" s="42">
        <f t="shared" si="0"/>
        <v>62099.1</v>
      </c>
      <c r="P20" s="43">
        <f t="shared" si="0"/>
        <v>61583.000000000007</v>
      </c>
      <c r="Q20" s="43">
        <f t="shared" si="0"/>
        <v>62165.500000000007</v>
      </c>
      <c r="R20" s="43">
        <f t="shared" si="0"/>
        <v>64517.499999999985</v>
      </c>
      <c r="S20" s="42">
        <f t="shared" si="0"/>
        <v>65839.799999999988</v>
      </c>
      <c r="T20" s="43">
        <f t="shared" si="0"/>
        <v>67500.900000000009</v>
      </c>
      <c r="U20" s="43">
        <f t="shared" si="0"/>
        <v>73696.099999999991</v>
      </c>
      <c r="V20" s="43">
        <f t="shared" si="0"/>
        <v>69723.400000000009</v>
      </c>
      <c r="W20" s="42">
        <f t="shared" si="0"/>
        <v>72263.099999999991</v>
      </c>
      <c r="X20" s="43">
        <f t="shared" si="0"/>
        <v>70260.099999999991</v>
      </c>
      <c r="Y20" s="43">
        <f t="shared" si="0"/>
        <v>73637.799999999988</v>
      </c>
      <c r="Z20" s="44">
        <f t="shared" si="0"/>
        <v>78266.799999999988</v>
      </c>
      <c r="AA20" s="42">
        <f t="shared" si="0"/>
        <v>77753.800000000032</v>
      </c>
      <c r="AB20" s="43">
        <f t="shared" si="0"/>
        <v>81790.60000000002</v>
      </c>
      <c r="AC20" s="43">
        <f t="shared" si="0"/>
        <v>84639.5</v>
      </c>
      <c r="AD20" s="44">
        <f t="shared" si="0"/>
        <v>86750.6</v>
      </c>
      <c r="AE20" s="42">
        <f t="shared" si="0"/>
        <v>92244.699999999968</v>
      </c>
      <c r="AF20" s="43">
        <f t="shared" si="0"/>
        <v>98261.799999999988</v>
      </c>
      <c r="AG20" s="43">
        <f t="shared" si="0"/>
        <v>96848.5</v>
      </c>
      <c r="AH20" s="44">
        <f t="shared" si="0"/>
        <v>99860.700000000012</v>
      </c>
      <c r="AI20" s="43">
        <f t="shared" si="0"/>
        <v>102568.3</v>
      </c>
      <c r="AJ20" s="43">
        <f t="shared" si="0"/>
        <v>105318.90000000001</v>
      </c>
      <c r="AK20" s="43">
        <f t="shared" si="0"/>
        <v>112180.7</v>
      </c>
      <c r="AL20" s="44">
        <f t="shared" si="0"/>
        <v>108893.09999999999</v>
      </c>
      <c r="AM20" s="43">
        <f t="shared" si="0"/>
        <v>112732.69999999998</v>
      </c>
      <c r="AN20" s="43">
        <f t="shared" si="0"/>
        <v>115639.7</v>
      </c>
      <c r="AO20" s="43">
        <f t="shared" si="0"/>
        <v>116550</v>
      </c>
      <c r="AP20" s="44">
        <f t="shared" si="0"/>
        <v>117477.70000000001</v>
      </c>
      <c r="AQ20" s="43">
        <f t="shared" si="0"/>
        <v>118850.5</v>
      </c>
      <c r="AR20" s="43">
        <f t="shared" si="0"/>
        <v>120197.6</v>
      </c>
      <c r="AS20" s="43">
        <f t="shared" si="0"/>
        <v>122290</v>
      </c>
      <c r="AT20" s="43">
        <f t="shared" si="0"/>
        <v>126013.90000000002</v>
      </c>
      <c r="AU20" s="86">
        <f t="shared" si="0"/>
        <v>127310.30000000002</v>
      </c>
      <c r="AV20" s="43">
        <f t="shared" ref="AV20:AW20" si="1">SUM(AV6:AV19)</f>
        <v>130758.6</v>
      </c>
      <c r="AW20" s="43">
        <f t="shared" si="1"/>
        <v>134098.20000000001</v>
      </c>
      <c r="AX20" s="43">
        <f t="shared" ref="AX20" si="2">SUM(AX6:AX19)</f>
        <v>141589.60000000003</v>
      </c>
    </row>
    <row r="21" spans="1:50" s="19" customFormat="1" ht="7.15" customHeight="1">
      <c r="A21" s="32"/>
      <c r="B21" s="32"/>
      <c r="C21" s="29"/>
      <c r="D21" s="30"/>
      <c r="E21" s="30"/>
      <c r="F21" s="30"/>
      <c r="G21" s="29"/>
      <c r="H21" s="30"/>
      <c r="I21" s="30"/>
      <c r="J21" s="31"/>
      <c r="K21" s="29"/>
      <c r="L21" s="30"/>
      <c r="M21" s="30"/>
      <c r="N21" s="31"/>
      <c r="O21" s="29"/>
      <c r="P21" s="30"/>
      <c r="Q21" s="30"/>
      <c r="R21" s="31"/>
      <c r="S21" s="29"/>
      <c r="T21" s="30"/>
      <c r="U21" s="30"/>
      <c r="V21" s="31"/>
      <c r="W21" s="30"/>
      <c r="X21" s="30"/>
      <c r="Y21" s="30"/>
      <c r="Z21" s="31"/>
      <c r="AA21" s="29"/>
      <c r="AB21" s="30"/>
      <c r="AC21" s="30"/>
      <c r="AD21" s="31"/>
      <c r="AE21" s="29"/>
      <c r="AF21" s="30"/>
      <c r="AG21" s="30"/>
      <c r="AH21" s="31"/>
      <c r="AI21" s="30"/>
      <c r="AJ21" s="30"/>
      <c r="AK21" s="30"/>
      <c r="AL21" s="31"/>
      <c r="AM21" s="30"/>
      <c r="AN21" s="30"/>
      <c r="AO21" s="30"/>
      <c r="AP21" s="31"/>
      <c r="AQ21" s="30"/>
      <c r="AR21" s="30"/>
      <c r="AS21" s="30"/>
      <c r="AT21" s="30"/>
      <c r="AU21" s="29"/>
      <c r="AV21" s="30"/>
      <c r="AW21" s="30"/>
      <c r="AX21" s="30"/>
    </row>
    <row r="22" spans="1:50" s="19" customFormat="1" ht="11.25">
      <c r="A22" s="278" t="s">
        <v>193</v>
      </c>
      <c r="B22" s="278" t="s">
        <v>19</v>
      </c>
      <c r="C22" s="29"/>
      <c r="D22" s="30"/>
      <c r="E22" s="30"/>
      <c r="F22" s="30"/>
      <c r="G22" s="29"/>
      <c r="H22" s="30"/>
      <c r="I22" s="30"/>
      <c r="J22" s="31"/>
      <c r="K22" s="29"/>
      <c r="L22" s="30"/>
      <c r="M22" s="30"/>
      <c r="N22" s="31"/>
      <c r="O22" s="29"/>
      <c r="P22" s="30"/>
      <c r="Q22" s="30"/>
      <c r="R22" s="31"/>
      <c r="S22" s="29"/>
      <c r="T22" s="30"/>
      <c r="U22" s="30"/>
      <c r="V22" s="31"/>
      <c r="W22" s="30"/>
      <c r="X22" s="30"/>
      <c r="Y22" s="30"/>
      <c r="Z22" s="31"/>
      <c r="AA22" s="29"/>
      <c r="AB22" s="30"/>
      <c r="AC22" s="30"/>
      <c r="AD22" s="31"/>
      <c r="AE22" s="29"/>
      <c r="AF22" s="30"/>
      <c r="AG22" s="30"/>
      <c r="AH22" s="31"/>
      <c r="AI22" s="30"/>
      <c r="AJ22" s="30"/>
      <c r="AK22" s="30"/>
      <c r="AL22" s="31"/>
      <c r="AM22" s="30"/>
      <c r="AN22" s="30"/>
      <c r="AO22" s="30"/>
      <c r="AP22" s="31"/>
      <c r="AQ22" s="30"/>
      <c r="AR22" s="30"/>
      <c r="AS22" s="30"/>
      <c r="AT22" s="30"/>
      <c r="AU22" s="29"/>
      <c r="AV22" s="30"/>
      <c r="AW22" s="30"/>
      <c r="AX22" s="30"/>
    </row>
    <row r="23" spans="1:50" s="19" customFormat="1" ht="11.25">
      <c r="A23" s="278" t="s">
        <v>194</v>
      </c>
      <c r="B23" s="278" t="s">
        <v>20</v>
      </c>
      <c r="C23" s="29"/>
      <c r="D23" s="30"/>
      <c r="E23" s="30"/>
      <c r="F23" s="30"/>
      <c r="G23" s="29"/>
      <c r="H23" s="30"/>
      <c r="I23" s="30"/>
      <c r="J23" s="31"/>
      <c r="K23" s="29"/>
      <c r="L23" s="30"/>
      <c r="M23" s="30"/>
      <c r="N23" s="31"/>
      <c r="O23" s="29"/>
      <c r="P23" s="30"/>
      <c r="Q23" s="30"/>
      <c r="R23" s="31"/>
      <c r="S23" s="29"/>
      <c r="T23" s="30"/>
      <c r="U23" s="30"/>
      <c r="V23" s="31"/>
      <c r="W23" s="30"/>
      <c r="X23" s="30"/>
      <c r="Y23" s="30"/>
      <c r="Z23" s="31"/>
      <c r="AA23" s="29"/>
      <c r="AB23" s="30"/>
      <c r="AC23" s="30"/>
      <c r="AD23" s="31"/>
      <c r="AE23" s="29"/>
      <c r="AF23" s="30"/>
      <c r="AG23" s="30"/>
      <c r="AH23" s="31"/>
      <c r="AI23" s="30"/>
      <c r="AJ23" s="30"/>
      <c r="AK23" s="30"/>
      <c r="AL23" s="31"/>
      <c r="AM23" s="30"/>
      <c r="AN23" s="30"/>
      <c r="AO23" s="30"/>
      <c r="AP23" s="31"/>
      <c r="AQ23" s="30"/>
      <c r="AR23" s="30"/>
      <c r="AS23" s="30"/>
      <c r="AT23" s="30"/>
      <c r="AU23" s="29"/>
      <c r="AV23" s="30"/>
      <c r="AW23" s="30"/>
      <c r="AX23" s="30"/>
    </row>
    <row r="24" spans="1:50" s="19" customFormat="1" ht="11.25">
      <c r="A24" s="279" t="s">
        <v>376</v>
      </c>
      <c r="B24" s="279" t="s">
        <v>350</v>
      </c>
      <c r="C24" s="29">
        <v>0</v>
      </c>
      <c r="D24" s="30">
        <v>0</v>
      </c>
      <c r="E24" s="30">
        <v>0</v>
      </c>
      <c r="F24" s="30">
        <v>0</v>
      </c>
      <c r="G24" s="29">
        <v>0</v>
      </c>
      <c r="H24" s="30">
        <v>0</v>
      </c>
      <c r="I24" s="30">
        <v>0</v>
      </c>
      <c r="J24" s="31">
        <v>5932.1</v>
      </c>
      <c r="K24" s="29">
        <v>4020.1</v>
      </c>
      <c r="L24" s="30">
        <v>0</v>
      </c>
      <c r="M24" s="30">
        <v>0</v>
      </c>
      <c r="N24" s="31">
        <v>0</v>
      </c>
      <c r="O24" s="29">
        <v>0</v>
      </c>
      <c r="P24" s="30">
        <v>0</v>
      </c>
      <c r="Q24" s="30">
        <v>0</v>
      </c>
      <c r="R24" s="31">
        <v>0</v>
      </c>
      <c r="S24" s="29">
        <v>0</v>
      </c>
      <c r="T24" s="30">
        <v>0</v>
      </c>
      <c r="U24" s="30">
        <v>0</v>
      </c>
      <c r="V24" s="31">
        <v>0</v>
      </c>
      <c r="W24" s="30">
        <v>0</v>
      </c>
      <c r="X24" s="30">
        <v>0</v>
      </c>
      <c r="Y24" s="30">
        <v>0</v>
      </c>
      <c r="Z24" s="31">
        <v>0</v>
      </c>
      <c r="AA24" s="29">
        <v>0</v>
      </c>
      <c r="AB24" s="30">
        <v>0</v>
      </c>
      <c r="AC24" s="30">
        <v>0</v>
      </c>
      <c r="AD24" s="31">
        <v>0</v>
      </c>
      <c r="AE24" s="29">
        <v>0</v>
      </c>
      <c r="AF24" s="30">
        <v>0</v>
      </c>
      <c r="AG24" s="30">
        <v>0</v>
      </c>
      <c r="AH24" s="31">
        <v>0</v>
      </c>
      <c r="AI24" s="30">
        <v>0</v>
      </c>
      <c r="AJ24" s="30">
        <v>0</v>
      </c>
      <c r="AK24" s="30">
        <v>0</v>
      </c>
      <c r="AL24" s="31">
        <v>0</v>
      </c>
      <c r="AM24" s="30">
        <v>0</v>
      </c>
      <c r="AN24" s="30">
        <v>0</v>
      </c>
      <c r="AO24" s="30">
        <v>0</v>
      </c>
      <c r="AP24" s="31">
        <v>0</v>
      </c>
      <c r="AQ24" s="30">
        <v>0</v>
      </c>
      <c r="AR24" s="30">
        <v>0</v>
      </c>
      <c r="AS24" s="30">
        <v>0</v>
      </c>
      <c r="AT24" s="30">
        <v>0</v>
      </c>
      <c r="AU24" s="29">
        <v>0</v>
      </c>
      <c r="AV24" s="30">
        <v>0</v>
      </c>
      <c r="AW24" s="30">
        <v>0</v>
      </c>
      <c r="AX24" s="30">
        <v>0</v>
      </c>
    </row>
    <row r="25" spans="1:50" s="267" customFormat="1" ht="11.25">
      <c r="A25" s="32" t="s">
        <v>195</v>
      </c>
      <c r="B25" s="32" t="s">
        <v>21</v>
      </c>
      <c r="C25" s="29">
        <v>5598.6</v>
      </c>
      <c r="D25" s="30">
        <v>3868.4</v>
      </c>
      <c r="E25" s="30">
        <v>5592.2</v>
      </c>
      <c r="F25" s="30">
        <v>1810.2</v>
      </c>
      <c r="G25" s="29">
        <v>5212.3</v>
      </c>
      <c r="H25" s="30">
        <v>6024.8</v>
      </c>
      <c r="I25" s="30">
        <v>5153.5</v>
      </c>
      <c r="J25" s="31">
        <v>6015.9</v>
      </c>
      <c r="K25" s="29">
        <v>8073.1</v>
      </c>
      <c r="L25" s="30">
        <v>9535.2999999999993</v>
      </c>
      <c r="M25" s="30">
        <v>6355.9000000000005</v>
      </c>
      <c r="N25" s="31">
        <v>3927.8</v>
      </c>
      <c r="O25" s="29">
        <v>5359.0999999999995</v>
      </c>
      <c r="P25" s="30">
        <v>5121.8</v>
      </c>
      <c r="Q25" s="30">
        <v>3115.6000000000004</v>
      </c>
      <c r="R25" s="31">
        <v>3991</v>
      </c>
      <c r="S25" s="29">
        <v>10409.200000000001</v>
      </c>
      <c r="T25" s="30">
        <v>8913.5</v>
      </c>
      <c r="U25" s="30">
        <v>7573.3</v>
      </c>
      <c r="V25" s="31">
        <v>4917.2999999999993</v>
      </c>
      <c r="W25" s="30">
        <v>5381.4</v>
      </c>
      <c r="X25" s="30">
        <v>4079.3</v>
      </c>
      <c r="Y25" s="30">
        <v>4932.7</v>
      </c>
      <c r="Z25" s="31">
        <v>4513.7000000000007</v>
      </c>
      <c r="AA25" s="29">
        <v>4773.2999999999993</v>
      </c>
      <c r="AB25" s="30">
        <v>4139.6000000000004</v>
      </c>
      <c r="AC25" s="30">
        <v>4513.2</v>
      </c>
      <c r="AD25" s="31">
        <v>4609.8</v>
      </c>
      <c r="AE25" s="29">
        <v>10542.5</v>
      </c>
      <c r="AF25" s="30">
        <v>11859.5</v>
      </c>
      <c r="AG25" s="30">
        <v>7043.3</v>
      </c>
      <c r="AH25" s="31">
        <v>6123.4000000000005</v>
      </c>
      <c r="AI25" s="30">
        <v>5807.5000000000009</v>
      </c>
      <c r="AJ25" s="30">
        <v>8493</v>
      </c>
      <c r="AK25" s="30">
        <v>10917.1</v>
      </c>
      <c r="AL25" s="31">
        <v>3913.5</v>
      </c>
      <c r="AM25" s="30">
        <v>4236</v>
      </c>
      <c r="AN25" s="30">
        <v>5082.3</v>
      </c>
      <c r="AO25" s="30">
        <v>7032.5</v>
      </c>
      <c r="AP25" s="31">
        <v>5043</v>
      </c>
      <c r="AQ25" s="30">
        <v>5606.6</v>
      </c>
      <c r="AR25" s="30">
        <v>6140.5</v>
      </c>
      <c r="AS25" s="30">
        <v>5637.8</v>
      </c>
      <c r="AT25" s="30">
        <v>4109</v>
      </c>
      <c r="AU25" s="29">
        <v>6288.8</v>
      </c>
      <c r="AV25" s="30">
        <v>4882</v>
      </c>
      <c r="AW25" s="30">
        <v>6882.2</v>
      </c>
      <c r="AX25" s="30">
        <v>5195.8</v>
      </c>
    </row>
    <row r="26" spans="1:50" s="267" customFormat="1" ht="22.5">
      <c r="A26" s="279" t="s">
        <v>196</v>
      </c>
      <c r="B26" s="279" t="s">
        <v>22</v>
      </c>
      <c r="C26" s="29">
        <v>5390.8</v>
      </c>
      <c r="D26" s="30">
        <v>4344.3999999999996</v>
      </c>
      <c r="E26" s="30">
        <v>2189.8000000000002</v>
      </c>
      <c r="F26" s="30">
        <v>1215</v>
      </c>
      <c r="G26" s="29">
        <v>4565.6000000000004</v>
      </c>
      <c r="H26" s="30">
        <v>1637.7</v>
      </c>
      <c r="I26" s="30">
        <v>3271.1000000000004</v>
      </c>
      <c r="J26" s="31">
        <v>5146.7000000000007</v>
      </c>
      <c r="K26" s="29">
        <v>3578.1</v>
      </c>
      <c r="L26" s="30">
        <v>3084.5</v>
      </c>
      <c r="M26" s="30">
        <v>5042</v>
      </c>
      <c r="N26" s="31">
        <v>2192</v>
      </c>
      <c r="O26" s="29">
        <v>3758.8999999999996</v>
      </c>
      <c r="P26" s="30">
        <v>3338.8</v>
      </c>
      <c r="Q26" s="30">
        <v>3782.6000000000004</v>
      </c>
      <c r="R26" s="31">
        <v>5974.0999999999995</v>
      </c>
      <c r="S26" s="29">
        <v>1430.5</v>
      </c>
      <c r="T26" s="30">
        <v>2582.5</v>
      </c>
      <c r="U26" s="30">
        <v>7236</v>
      </c>
      <c r="V26" s="31">
        <v>3508.8</v>
      </c>
      <c r="W26" s="30">
        <v>5621.3</v>
      </c>
      <c r="X26" s="30">
        <v>2966.4</v>
      </c>
      <c r="Y26" s="30">
        <v>4258.6000000000004</v>
      </c>
      <c r="Z26" s="31">
        <v>4781.5</v>
      </c>
      <c r="AA26" s="29">
        <v>3788.8</v>
      </c>
      <c r="AB26" s="30">
        <v>2509.5</v>
      </c>
      <c r="AC26" s="30">
        <v>2066.2000000000003</v>
      </c>
      <c r="AD26" s="31">
        <v>2727.2</v>
      </c>
      <c r="AE26" s="29">
        <v>2826.2</v>
      </c>
      <c r="AF26" s="30">
        <v>3055.2</v>
      </c>
      <c r="AG26" s="30">
        <v>4236.3999999999996</v>
      </c>
      <c r="AH26" s="31">
        <v>3439.0000000000005</v>
      </c>
      <c r="AI26" s="30">
        <v>3932.5</v>
      </c>
      <c r="AJ26" s="30">
        <v>2474.7999999999997</v>
      </c>
      <c r="AK26" s="30">
        <v>2971.5</v>
      </c>
      <c r="AL26" s="31">
        <v>2632.1000000000004</v>
      </c>
      <c r="AM26" s="30">
        <v>1845</v>
      </c>
      <c r="AN26" s="30">
        <v>1636.2</v>
      </c>
      <c r="AO26" s="30">
        <v>1700.5</v>
      </c>
      <c r="AP26" s="31">
        <v>1590.8</v>
      </c>
      <c r="AQ26" s="30">
        <v>1736.6</v>
      </c>
      <c r="AR26" s="30">
        <v>1154.3</v>
      </c>
      <c r="AS26" s="30">
        <v>2621.4</v>
      </c>
      <c r="AT26" s="30">
        <v>1714.3000000000002</v>
      </c>
      <c r="AU26" s="29">
        <v>1044.9000000000001</v>
      </c>
      <c r="AV26" s="30">
        <v>1281.7</v>
      </c>
      <c r="AW26" s="30">
        <v>1216.2</v>
      </c>
      <c r="AX26" s="30">
        <v>1464.3000000000002</v>
      </c>
    </row>
    <row r="27" spans="1:50" s="19" customFormat="1" ht="11.25">
      <c r="A27" s="64" t="s">
        <v>181</v>
      </c>
      <c r="B27" s="64" t="s">
        <v>15</v>
      </c>
      <c r="C27" s="29">
        <v>0</v>
      </c>
      <c r="D27" s="30">
        <v>0</v>
      </c>
      <c r="E27" s="30">
        <v>0</v>
      </c>
      <c r="F27" s="30">
        <v>0</v>
      </c>
      <c r="G27" s="29">
        <v>10.1</v>
      </c>
      <c r="H27" s="30">
        <v>24.5</v>
      </c>
      <c r="I27" s="30">
        <v>110.8</v>
      </c>
      <c r="J27" s="31">
        <v>420</v>
      </c>
      <c r="K27" s="29">
        <v>610.9</v>
      </c>
      <c r="L27" s="30">
        <v>382.1</v>
      </c>
      <c r="M27" s="30">
        <v>493.7</v>
      </c>
      <c r="N27" s="31">
        <v>482.6</v>
      </c>
      <c r="O27" s="29">
        <v>557</v>
      </c>
      <c r="P27" s="30">
        <v>663.3</v>
      </c>
      <c r="Q27" s="30">
        <v>776</v>
      </c>
      <c r="R27" s="31">
        <v>600.4</v>
      </c>
      <c r="S27" s="29">
        <v>421.1</v>
      </c>
      <c r="T27" s="30">
        <v>427.5</v>
      </c>
      <c r="U27" s="30">
        <v>813.1</v>
      </c>
      <c r="V27" s="31">
        <v>900.6</v>
      </c>
      <c r="W27" s="30">
        <v>851.5</v>
      </c>
      <c r="X27" s="30">
        <v>871.7</v>
      </c>
      <c r="Y27" s="30">
        <v>1069</v>
      </c>
      <c r="Z27" s="31">
        <v>1364</v>
      </c>
      <c r="AA27" s="29">
        <v>1267.9000000000001</v>
      </c>
      <c r="AB27" s="30">
        <v>1082.3</v>
      </c>
      <c r="AC27" s="30">
        <v>1084.2</v>
      </c>
      <c r="AD27" s="31">
        <v>1114.4000000000001</v>
      </c>
      <c r="AE27" s="29">
        <v>1122.3</v>
      </c>
      <c r="AF27" s="30">
        <v>1251.7</v>
      </c>
      <c r="AG27" s="30">
        <v>1637.8</v>
      </c>
      <c r="AH27" s="31">
        <v>2032.8</v>
      </c>
      <c r="AI27" s="30">
        <v>2062.5</v>
      </c>
      <c r="AJ27" s="30">
        <v>1900.5</v>
      </c>
      <c r="AK27" s="30">
        <v>1842.8</v>
      </c>
      <c r="AL27" s="31">
        <v>1830.9</v>
      </c>
      <c r="AM27" s="30">
        <v>1818</v>
      </c>
      <c r="AN27" s="30">
        <v>1730.1</v>
      </c>
      <c r="AO27" s="30">
        <v>1614.3</v>
      </c>
      <c r="AP27" s="31">
        <v>1468.1</v>
      </c>
      <c r="AQ27" s="30">
        <v>1206.4000000000001</v>
      </c>
      <c r="AR27" s="30">
        <v>1015</v>
      </c>
      <c r="AS27" s="30">
        <v>799.9</v>
      </c>
      <c r="AT27" s="30">
        <v>699.2</v>
      </c>
      <c r="AU27" s="29">
        <v>622.6</v>
      </c>
      <c r="AV27" s="30">
        <v>677.7</v>
      </c>
      <c r="AW27" s="30">
        <v>574</v>
      </c>
      <c r="AX27" s="30">
        <v>611.79999999999995</v>
      </c>
    </row>
    <row r="28" spans="1:50" s="19" customFormat="1" ht="11.25">
      <c r="A28" s="63" t="s">
        <v>197</v>
      </c>
      <c r="B28" s="63" t="s">
        <v>23</v>
      </c>
      <c r="C28" s="29">
        <v>40774.6</v>
      </c>
      <c r="D28" s="30">
        <v>40253.4</v>
      </c>
      <c r="E28" s="30">
        <v>40658.1</v>
      </c>
      <c r="F28" s="30">
        <v>44501.8</v>
      </c>
      <c r="G28" s="29">
        <v>45359.100000000006</v>
      </c>
      <c r="H28" s="30">
        <v>47651.4</v>
      </c>
      <c r="I28" s="30">
        <v>51303.5</v>
      </c>
      <c r="J28" s="31">
        <v>47111.9</v>
      </c>
      <c r="K28" s="29">
        <v>46583.4</v>
      </c>
      <c r="L28" s="30">
        <v>45927.9</v>
      </c>
      <c r="M28" s="30">
        <v>46520</v>
      </c>
      <c r="N28" s="31">
        <v>47630.7</v>
      </c>
      <c r="O28" s="29">
        <v>46197.299999999996</v>
      </c>
      <c r="P28" s="30">
        <v>46022.6</v>
      </c>
      <c r="Q28" s="30">
        <v>47701.599999999999</v>
      </c>
      <c r="R28" s="31">
        <v>47448.200000000004</v>
      </c>
      <c r="S28" s="29">
        <v>46487.900000000009</v>
      </c>
      <c r="T28" s="30">
        <v>48310.7</v>
      </c>
      <c r="U28" s="30">
        <v>50782.5</v>
      </c>
      <c r="V28" s="31">
        <v>52976.69999999999</v>
      </c>
      <c r="W28" s="30">
        <v>52465.499999999993</v>
      </c>
      <c r="X28" s="30">
        <v>54186.000000000007</v>
      </c>
      <c r="Y28" s="30">
        <v>54896.2</v>
      </c>
      <c r="Z28" s="31">
        <v>57898.399999999994</v>
      </c>
      <c r="AA28" s="29">
        <v>58126.799999999996</v>
      </c>
      <c r="AB28" s="30">
        <v>64159.100000000006</v>
      </c>
      <c r="AC28" s="30">
        <v>66911.399999999994</v>
      </c>
      <c r="AD28" s="31">
        <v>67981.399999999994</v>
      </c>
      <c r="AE28" s="29">
        <v>67036.3</v>
      </c>
      <c r="AF28" s="30">
        <v>70975.3</v>
      </c>
      <c r="AG28" s="30">
        <v>71979.60000000002</v>
      </c>
      <c r="AH28" s="31">
        <v>75688.599999999991</v>
      </c>
      <c r="AI28" s="30">
        <v>77661.500000000015</v>
      </c>
      <c r="AJ28" s="30">
        <v>80755.099999999991</v>
      </c>
      <c r="AK28" s="30">
        <v>83830</v>
      </c>
      <c r="AL28" s="31">
        <v>87866</v>
      </c>
      <c r="AM28" s="30">
        <v>90413.4</v>
      </c>
      <c r="AN28" s="30">
        <v>93492.400000000009</v>
      </c>
      <c r="AO28" s="30">
        <v>92304.6</v>
      </c>
      <c r="AP28" s="31">
        <v>95825.4</v>
      </c>
      <c r="AQ28" s="30">
        <v>96620.7</v>
      </c>
      <c r="AR28" s="30">
        <v>97708.800000000003</v>
      </c>
      <c r="AS28" s="30">
        <v>98459.8</v>
      </c>
      <c r="AT28" s="30">
        <v>104503.3</v>
      </c>
      <c r="AU28" s="29">
        <v>104662.1</v>
      </c>
      <c r="AV28" s="30">
        <v>109174.1</v>
      </c>
      <c r="AW28" s="30">
        <v>110205</v>
      </c>
      <c r="AX28" s="30">
        <v>117682.5</v>
      </c>
    </row>
    <row r="29" spans="1:50" s="19" customFormat="1" ht="11.25">
      <c r="A29" s="64" t="s">
        <v>407</v>
      </c>
      <c r="B29" s="64" t="s">
        <v>406</v>
      </c>
      <c r="C29" s="29">
        <v>0</v>
      </c>
      <c r="D29" s="30">
        <v>0</v>
      </c>
      <c r="E29" s="30">
        <v>0</v>
      </c>
      <c r="F29" s="30">
        <v>0</v>
      </c>
      <c r="G29" s="29">
        <v>0</v>
      </c>
      <c r="H29" s="30">
        <v>0</v>
      </c>
      <c r="I29" s="30">
        <v>0</v>
      </c>
      <c r="J29" s="31">
        <v>0</v>
      </c>
      <c r="K29" s="29">
        <v>0</v>
      </c>
      <c r="L29" s="30">
        <v>0</v>
      </c>
      <c r="M29" s="30">
        <v>0</v>
      </c>
      <c r="N29" s="31">
        <v>0</v>
      </c>
      <c r="O29" s="29">
        <v>0</v>
      </c>
      <c r="P29" s="30">
        <v>0</v>
      </c>
      <c r="Q29" s="30">
        <v>0</v>
      </c>
      <c r="R29" s="31">
        <v>0</v>
      </c>
      <c r="S29" s="29">
        <v>0</v>
      </c>
      <c r="T29" s="30">
        <v>0</v>
      </c>
      <c r="U29" s="30">
        <v>0</v>
      </c>
      <c r="V29" s="31">
        <v>0</v>
      </c>
      <c r="W29" s="30">
        <v>0</v>
      </c>
      <c r="X29" s="30">
        <v>0</v>
      </c>
      <c r="Y29" s="30">
        <v>0</v>
      </c>
      <c r="Z29" s="31">
        <v>567.1</v>
      </c>
      <c r="AA29" s="29">
        <v>574.5</v>
      </c>
      <c r="AB29" s="30">
        <v>566.4</v>
      </c>
      <c r="AC29" s="30">
        <v>571.5</v>
      </c>
      <c r="AD29" s="31">
        <v>566.4</v>
      </c>
      <c r="AE29" s="29">
        <v>571.4</v>
      </c>
      <c r="AF29" s="30">
        <v>566.4</v>
      </c>
      <c r="AG29" s="30">
        <v>571.6</v>
      </c>
      <c r="AH29" s="31">
        <v>866.5</v>
      </c>
      <c r="AI29" s="30">
        <v>872.7</v>
      </c>
      <c r="AJ29" s="30">
        <v>866.3</v>
      </c>
      <c r="AK29" s="30">
        <v>872</v>
      </c>
      <c r="AL29" s="31">
        <v>866.3</v>
      </c>
      <c r="AM29" s="30">
        <v>872</v>
      </c>
      <c r="AN29" s="30">
        <v>866.3</v>
      </c>
      <c r="AO29" s="30">
        <v>871.9</v>
      </c>
      <c r="AP29" s="31">
        <v>866.4</v>
      </c>
      <c r="AQ29" s="30">
        <v>872</v>
      </c>
      <c r="AR29" s="30">
        <v>866.3</v>
      </c>
      <c r="AS29" s="30">
        <v>872.1</v>
      </c>
      <c r="AT29" s="30">
        <v>300.3</v>
      </c>
      <c r="AU29" s="29">
        <v>302.2</v>
      </c>
      <c r="AV29" s="30">
        <v>300.2</v>
      </c>
      <c r="AW29" s="30">
        <v>302.2</v>
      </c>
      <c r="AX29" s="30">
        <v>300.3</v>
      </c>
    </row>
    <row r="30" spans="1:50" s="267" customFormat="1" ht="11.25">
      <c r="A30" s="63" t="s">
        <v>540</v>
      </c>
      <c r="B30" s="63" t="s">
        <v>537</v>
      </c>
      <c r="C30" s="29">
        <v>0</v>
      </c>
      <c r="D30" s="30">
        <v>0</v>
      </c>
      <c r="E30" s="30">
        <v>0</v>
      </c>
      <c r="F30" s="30">
        <v>0</v>
      </c>
      <c r="G30" s="29">
        <v>0</v>
      </c>
      <c r="H30" s="30">
        <v>0</v>
      </c>
      <c r="I30" s="30">
        <v>0</v>
      </c>
      <c r="J30" s="31">
        <v>0</v>
      </c>
      <c r="K30" s="29">
        <v>0</v>
      </c>
      <c r="L30" s="30">
        <v>0</v>
      </c>
      <c r="M30" s="30">
        <v>0</v>
      </c>
      <c r="N30" s="31">
        <v>0</v>
      </c>
      <c r="O30" s="29">
        <v>0</v>
      </c>
      <c r="P30" s="30">
        <v>0</v>
      </c>
      <c r="Q30" s="30">
        <v>0</v>
      </c>
      <c r="R30" s="31">
        <v>0</v>
      </c>
      <c r="S30" s="29">
        <v>0</v>
      </c>
      <c r="T30" s="30">
        <v>0</v>
      </c>
      <c r="U30" s="30">
        <v>0</v>
      </c>
      <c r="V30" s="31">
        <v>0</v>
      </c>
      <c r="W30" s="30">
        <v>0</v>
      </c>
      <c r="X30" s="30">
        <v>0</v>
      </c>
      <c r="Y30" s="30">
        <v>0</v>
      </c>
      <c r="Z30" s="31">
        <v>0</v>
      </c>
      <c r="AA30" s="29">
        <v>0</v>
      </c>
      <c r="AB30" s="30">
        <v>0</v>
      </c>
      <c r="AC30" s="30">
        <v>0</v>
      </c>
      <c r="AD30" s="31">
        <v>0</v>
      </c>
      <c r="AE30" s="29">
        <v>0</v>
      </c>
      <c r="AF30" s="30">
        <v>0</v>
      </c>
      <c r="AG30" s="30">
        <v>0</v>
      </c>
      <c r="AH30" s="31">
        <v>0</v>
      </c>
      <c r="AI30" s="30">
        <v>0</v>
      </c>
      <c r="AJ30" s="30">
        <v>0</v>
      </c>
      <c r="AK30" s="30">
        <v>0</v>
      </c>
      <c r="AL30" s="31">
        <v>0</v>
      </c>
      <c r="AM30" s="30">
        <v>641.6</v>
      </c>
      <c r="AN30" s="30">
        <v>665.2</v>
      </c>
      <c r="AO30" s="30">
        <v>648.1</v>
      </c>
      <c r="AP30" s="31">
        <v>664.9</v>
      </c>
      <c r="AQ30" s="30">
        <v>634.20000000000005</v>
      </c>
      <c r="AR30" s="30">
        <v>635.29999999999995</v>
      </c>
      <c r="AS30" s="30">
        <v>647.70000000000005</v>
      </c>
      <c r="AT30" s="30">
        <v>626.9</v>
      </c>
      <c r="AU30" s="29">
        <v>632.4</v>
      </c>
      <c r="AV30" s="30">
        <v>655.6</v>
      </c>
      <c r="AW30" s="30">
        <v>641.9</v>
      </c>
      <c r="AX30" s="30">
        <v>1076.9000000000001</v>
      </c>
    </row>
    <row r="31" spans="1:50" s="19" customFormat="1" ht="11.25">
      <c r="A31" s="64" t="s">
        <v>198</v>
      </c>
      <c r="B31" s="64" t="s">
        <v>24</v>
      </c>
      <c r="C31" s="29">
        <v>82</v>
      </c>
      <c r="D31" s="30">
        <v>83</v>
      </c>
      <c r="E31" s="30">
        <v>75.900000000000006</v>
      </c>
      <c r="F31" s="30">
        <v>72.5</v>
      </c>
      <c r="G31" s="29">
        <v>69.3</v>
      </c>
      <c r="H31" s="30">
        <v>55.6</v>
      </c>
      <c r="I31" s="30">
        <v>62.7</v>
      </c>
      <c r="J31" s="31">
        <v>50.6</v>
      </c>
      <c r="K31" s="29">
        <v>57.3</v>
      </c>
      <c r="L31" s="30">
        <v>49</v>
      </c>
      <c r="M31" s="30">
        <v>49.7</v>
      </c>
      <c r="N31" s="31">
        <v>55.2</v>
      </c>
      <c r="O31" s="29">
        <v>48.3</v>
      </c>
      <c r="P31" s="30">
        <v>46.5</v>
      </c>
      <c r="Q31" s="30">
        <v>49.8</v>
      </c>
      <c r="R31" s="31">
        <v>55.8</v>
      </c>
      <c r="S31" s="29">
        <v>54</v>
      </c>
      <c r="T31" s="30">
        <v>66.900000000000006</v>
      </c>
      <c r="U31" s="30">
        <v>52.8</v>
      </c>
      <c r="V31" s="31">
        <v>58.1</v>
      </c>
      <c r="W31" s="30">
        <v>64.599999999999994</v>
      </c>
      <c r="X31" s="30">
        <v>64.2</v>
      </c>
      <c r="Y31" s="30">
        <v>65.400000000000006</v>
      </c>
      <c r="Z31" s="31">
        <v>72.8</v>
      </c>
      <c r="AA31" s="29">
        <v>73.899999999999991</v>
      </c>
      <c r="AB31" s="30">
        <v>77.600000000000009</v>
      </c>
      <c r="AC31" s="30">
        <v>67.3</v>
      </c>
      <c r="AD31" s="31">
        <v>67.799999999999983</v>
      </c>
      <c r="AE31" s="29">
        <v>68.900000000000006</v>
      </c>
      <c r="AF31" s="30">
        <v>71.099999999999994</v>
      </c>
      <c r="AG31" s="30">
        <v>71.699999999999989</v>
      </c>
      <c r="AH31" s="31">
        <v>74.8</v>
      </c>
      <c r="AI31" s="30">
        <v>70.59999999999998</v>
      </c>
      <c r="AJ31" s="30">
        <v>69.5</v>
      </c>
      <c r="AK31" s="30">
        <v>70.3</v>
      </c>
      <c r="AL31" s="31">
        <v>67.2</v>
      </c>
      <c r="AM31" s="30">
        <v>82.7</v>
      </c>
      <c r="AN31" s="30">
        <v>82</v>
      </c>
      <c r="AO31" s="30">
        <v>79.8</v>
      </c>
      <c r="AP31" s="31">
        <v>60.3</v>
      </c>
      <c r="AQ31" s="30">
        <v>59.400000000000006</v>
      </c>
      <c r="AR31" s="30">
        <v>69.5</v>
      </c>
      <c r="AS31" s="30">
        <v>77.3</v>
      </c>
      <c r="AT31" s="30">
        <v>91.9</v>
      </c>
      <c r="AU31" s="29">
        <v>115.60000000000001</v>
      </c>
      <c r="AV31" s="30">
        <v>125.1</v>
      </c>
      <c r="AW31" s="30">
        <v>164.9</v>
      </c>
      <c r="AX31" s="30">
        <v>152.4</v>
      </c>
    </row>
    <row r="32" spans="1:50" s="267" customFormat="1" ht="11.25">
      <c r="A32" s="63" t="s">
        <v>200</v>
      </c>
      <c r="B32" s="63" t="s">
        <v>592</v>
      </c>
      <c r="C32" s="29">
        <v>0</v>
      </c>
      <c r="D32" s="30">
        <v>0</v>
      </c>
      <c r="E32" s="30">
        <v>0</v>
      </c>
      <c r="F32" s="30">
        <v>0</v>
      </c>
      <c r="G32" s="29">
        <v>0</v>
      </c>
      <c r="H32" s="30">
        <v>0</v>
      </c>
      <c r="I32" s="30">
        <v>0</v>
      </c>
      <c r="J32" s="31">
        <v>0</v>
      </c>
      <c r="K32" s="29">
        <v>0</v>
      </c>
      <c r="L32" s="30">
        <v>55.6</v>
      </c>
      <c r="M32" s="30">
        <v>0</v>
      </c>
      <c r="N32" s="31">
        <v>0</v>
      </c>
      <c r="O32" s="29">
        <v>0</v>
      </c>
      <c r="P32" s="30">
        <v>0</v>
      </c>
      <c r="Q32" s="30">
        <v>0</v>
      </c>
      <c r="R32" s="31">
        <v>0</v>
      </c>
      <c r="S32" s="29">
        <v>0</v>
      </c>
      <c r="T32" s="30">
        <v>0</v>
      </c>
      <c r="U32" s="30">
        <v>0</v>
      </c>
      <c r="V32" s="31">
        <v>0</v>
      </c>
      <c r="W32" s="30">
        <v>1.5</v>
      </c>
      <c r="X32" s="30">
        <v>1.8</v>
      </c>
      <c r="Y32" s="30">
        <v>2.3000000000000003</v>
      </c>
      <c r="Z32" s="31">
        <v>29</v>
      </c>
      <c r="AA32" s="29">
        <v>2.5</v>
      </c>
      <c r="AB32" s="30">
        <v>2.6</v>
      </c>
      <c r="AC32" s="30">
        <v>2.7</v>
      </c>
      <c r="AD32" s="31">
        <v>2.2999999999999998</v>
      </c>
      <c r="AE32" s="29">
        <v>2.5</v>
      </c>
      <c r="AF32" s="30">
        <v>138.9</v>
      </c>
      <c r="AG32" s="30">
        <v>254</v>
      </c>
      <c r="AH32" s="31">
        <v>234.79999999999998</v>
      </c>
      <c r="AI32" s="30">
        <v>246.99999999999997</v>
      </c>
      <c r="AJ32" s="30">
        <v>0</v>
      </c>
      <c r="AK32" s="30">
        <v>92.9</v>
      </c>
      <c r="AL32" s="31">
        <v>132</v>
      </c>
      <c r="AM32" s="30">
        <v>218.3</v>
      </c>
      <c r="AN32" s="30">
        <v>94.5</v>
      </c>
      <c r="AO32" s="30">
        <v>36.4</v>
      </c>
      <c r="AP32" s="31">
        <v>121.3</v>
      </c>
      <c r="AQ32" s="30">
        <v>24.1</v>
      </c>
      <c r="AR32" s="30">
        <v>121.4</v>
      </c>
      <c r="AS32" s="30">
        <v>181.1</v>
      </c>
      <c r="AT32" s="30">
        <v>232.9</v>
      </c>
      <c r="AU32" s="29">
        <v>244.8</v>
      </c>
      <c r="AV32" s="30">
        <v>68.3</v>
      </c>
      <c r="AW32" s="30">
        <v>53.8</v>
      </c>
      <c r="AX32" s="30">
        <v>280.3</v>
      </c>
    </row>
    <row r="33" spans="1:50" s="267" customFormat="1" ht="11.25">
      <c r="A33" s="63" t="s">
        <v>199</v>
      </c>
      <c r="B33" s="63" t="s">
        <v>593</v>
      </c>
      <c r="C33" s="29">
        <v>66.3</v>
      </c>
      <c r="D33" s="30">
        <v>51</v>
      </c>
      <c r="E33" s="30">
        <v>4.5999999999999996</v>
      </c>
      <c r="F33" s="30">
        <v>0.1</v>
      </c>
      <c r="G33" s="29">
        <v>0.2</v>
      </c>
      <c r="H33" s="30">
        <v>53.6</v>
      </c>
      <c r="I33" s="30">
        <v>46.6</v>
      </c>
      <c r="J33" s="31">
        <v>39.1</v>
      </c>
      <c r="K33" s="29">
        <v>0</v>
      </c>
      <c r="L33" s="30">
        <v>0.1</v>
      </c>
      <c r="M33" s="30">
        <v>101.1</v>
      </c>
      <c r="N33" s="31">
        <v>156.1</v>
      </c>
      <c r="O33" s="29">
        <v>19.8</v>
      </c>
      <c r="P33" s="30">
        <v>55.4</v>
      </c>
      <c r="Q33" s="30">
        <v>60.5</v>
      </c>
      <c r="R33" s="31">
        <v>138.5</v>
      </c>
      <c r="S33" s="29">
        <v>0</v>
      </c>
      <c r="T33" s="30">
        <v>0.6</v>
      </c>
      <c r="U33" s="30">
        <v>0.4</v>
      </c>
      <c r="V33" s="31">
        <v>0</v>
      </c>
      <c r="W33" s="30">
        <v>2.2000000000000002</v>
      </c>
      <c r="X33" s="30">
        <v>25.200000000000003</v>
      </c>
      <c r="Y33" s="30">
        <v>12.699999999999998</v>
      </c>
      <c r="Z33" s="31">
        <v>74</v>
      </c>
      <c r="AA33" s="29">
        <v>95.199999999999989</v>
      </c>
      <c r="AB33" s="30">
        <v>17.400000000000006</v>
      </c>
      <c r="AC33" s="30">
        <v>39.5</v>
      </c>
      <c r="AD33" s="31">
        <v>109.4</v>
      </c>
      <c r="AE33" s="29">
        <v>1.2</v>
      </c>
      <c r="AF33" s="30">
        <v>5.1000000000000005</v>
      </c>
      <c r="AG33" s="30">
        <v>0.5</v>
      </c>
      <c r="AH33" s="31">
        <v>30.8</v>
      </c>
      <c r="AI33" s="30">
        <v>0.3</v>
      </c>
      <c r="AJ33" s="30">
        <v>10.199999999999999</v>
      </c>
      <c r="AK33" s="30">
        <v>30</v>
      </c>
      <c r="AL33" s="31">
        <v>24.8</v>
      </c>
      <c r="AM33" s="30">
        <v>3.4</v>
      </c>
      <c r="AN33" s="30">
        <v>86.9</v>
      </c>
      <c r="AO33" s="30">
        <v>110.4</v>
      </c>
      <c r="AP33" s="31">
        <v>0</v>
      </c>
      <c r="AQ33" s="30">
        <v>0</v>
      </c>
      <c r="AR33" s="30">
        <v>0</v>
      </c>
      <c r="AS33" s="30">
        <v>0</v>
      </c>
      <c r="AT33" s="30">
        <v>0</v>
      </c>
      <c r="AU33" s="29">
        <v>0</v>
      </c>
      <c r="AV33" s="30">
        <v>0</v>
      </c>
      <c r="AW33" s="30">
        <v>0</v>
      </c>
      <c r="AX33" s="30">
        <v>0</v>
      </c>
    </row>
    <row r="34" spans="1:50" s="19" customFormat="1" ht="11.25">
      <c r="A34" s="64" t="s">
        <v>201</v>
      </c>
      <c r="B34" s="64" t="s">
        <v>25</v>
      </c>
      <c r="C34" s="29">
        <v>776.4</v>
      </c>
      <c r="D34" s="30">
        <v>952</v>
      </c>
      <c r="E34" s="30">
        <v>903.9</v>
      </c>
      <c r="F34" s="30">
        <v>570.70000000000005</v>
      </c>
      <c r="G34" s="29">
        <v>1002.4</v>
      </c>
      <c r="H34" s="30">
        <v>1086.3</v>
      </c>
      <c r="I34" s="30">
        <v>1034.7</v>
      </c>
      <c r="J34" s="31">
        <v>669.7</v>
      </c>
      <c r="K34" s="29">
        <v>999.7</v>
      </c>
      <c r="L34" s="30">
        <v>965.1</v>
      </c>
      <c r="M34" s="30">
        <v>949.6</v>
      </c>
      <c r="N34" s="31">
        <v>552.29999999999995</v>
      </c>
      <c r="O34" s="29">
        <v>1024.7</v>
      </c>
      <c r="P34" s="30">
        <v>1052.1000000000001</v>
      </c>
      <c r="Q34" s="30">
        <v>1147.5</v>
      </c>
      <c r="R34" s="31">
        <v>656.4</v>
      </c>
      <c r="S34" s="29">
        <v>1252.8</v>
      </c>
      <c r="T34" s="30">
        <v>1245.4000000000001</v>
      </c>
      <c r="U34" s="30">
        <v>1041.0999999999999</v>
      </c>
      <c r="V34" s="31">
        <v>945.9</v>
      </c>
      <c r="W34" s="30">
        <v>1121.7</v>
      </c>
      <c r="X34" s="30">
        <v>1084.3999999999999</v>
      </c>
      <c r="Y34" s="30">
        <v>973.69999999999993</v>
      </c>
      <c r="Z34" s="31">
        <v>830.2</v>
      </c>
      <c r="AA34" s="29">
        <v>812.1</v>
      </c>
      <c r="AB34" s="30">
        <v>1102.6000000000004</v>
      </c>
      <c r="AC34" s="30">
        <v>1112</v>
      </c>
      <c r="AD34" s="31">
        <v>943.3</v>
      </c>
      <c r="AE34" s="29">
        <v>1185.5000000000005</v>
      </c>
      <c r="AF34" s="30">
        <v>1177.5</v>
      </c>
      <c r="AG34" s="30">
        <v>1119.3999999999999</v>
      </c>
      <c r="AH34" s="31">
        <v>913.39999999999975</v>
      </c>
      <c r="AI34" s="30">
        <v>1681.6000000000001</v>
      </c>
      <c r="AJ34" s="30">
        <v>1190.8</v>
      </c>
      <c r="AK34" s="30">
        <v>1249.7</v>
      </c>
      <c r="AL34" s="31">
        <v>879.80000000000007</v>
      </c>
      <c r="AM34" s="30">
        <v>1932.1</v>
      </c>
      <c r="AN34" s="30">
        <v>1091.2</v>
      </c>
      <c r="AO34" s="30">
        <v>1172.5</v>
      </c>
      <c r="AP34" s="31">
        <v>1360.3</v>
      </c>
      <c r="AQ34" s="30">
        <v>1301.0999999999999</v>
      </c>
      <c r="AR34" s="30">
        <v>1332.4</v>
      </c>
      <c r="AS34" s="30">
        <v>1506.7</v>
      </c>
      <c r="AT34" s="30">
        <v>1941.3</v>
      </c>
      <c r="AU34" s="29">
        <v>1338</v>
      </c>
      <c r="AV34" s="30">
        <v>1704.4</v>
      </c>
      <c r="AW34" s="30">
        <v>1896.1</v>
      </c>
      <c r="AX34" s="30">
        <v>1489</v>
      </c>
    </row>
    <row r="35" spans="1:50" s="271" customFormat="1" ht="11.25">
      <c r="A35" s="57" t="s">
        <v>202</v>
      </c>
      <c r="B35" s="57" t="s">
        <v>26</v>
      </c>
      <c r="C35" s="42">
        <f t="shared" ref="C35:AU35" si="3">SUM(C24:C34)</f>
        <v>52688.700000000004</v>
      </c>
      <c r="D35" s="43">
        <f t="shared" si="3"/>
        <v>49552.2</v>
      </c>
      <c r="E35" s="43">
        <f t="shared" si="3"/>
        <v>49424.5</v>
      </c>
      <c r="F35" s="43">
        <f t="shared" si="3"/>
        <v>48170.299999999996</v>
      </c>
      <c r="G35" s="42">
        <f t="shared" si="3"/>
        <v>56219.000000000007</v>
      </c>
      <c r="H35" s="43">
        <f t="shared" si="3"/>
        <v>56533.9</v>
      </c>
      <c r="I35" s="43">
        <f t="shared" si="3"/>
        <v>60982.899999999994</v>
      </c>
      <c r="J35" s="43">
        <f t="shared" si="3"/>
        <v>65386</v>
      </c>
      <c r="K35" s="42">
        <f t="shared" si="3"/>
        <v>63922.600000000006</v>
      </c>
      <c r="L35" s="43">
        <f t="shared" si="3"/>
        <v>59999.6</v>
      </c>
      <c r="M35" s="43">
        <f t="shared" si="3"/>
        <v>59512</v>
      </c>
      <c r="N35" s="43">
        <f t="shared" si="3"/>
        <v>54996.7</v>
      </c>
      <c r="O35" s="42">
        <f t="shared" si="3"/>
        <v>56965.1</v>
      </c>
      <c r="P35" s="43">
        <f t="shared" si="3"/>
        <v>56300.5</v>
      </c>
      <c r="Q35" s="43">
        <f t="shared" si="3"/>
        <v>56633.600000000006</v>
      </c>
      <c r="R35" s="43">
        <f t="shared" si="3"/>
        <v>58864.400000000009</v>
      </c>
      <c r="S35" s="42">
        <f t="shared" si="3"/>
        <v>60055.500000000015</v>
      </c>
      <c r="T35" s="43">
        <f t="shared" si="3"/>
        <v>61547.1</v>
      </c>
      <c r="U35" s="43">
        <f t="shared" si="3"/>
        <v>67499.199999999997</v>
      </c>
      <c r="V35" s="43">
        <f t="shared" si="3"/>
        <v>63307.399999999987</v>
      </c>
      <c r="W35" s="43">
        <f t="shared" si="3"/>
        <v>65509.69999999999</v>
      </c>
      <c r="X35" s="43">
        <f t="shared" si="3"/>
        <v>63279.000000000007</v>
      </c>
      <c r="Y35" s="43">
        <f t="shared" si="3"/>
        <v>66210.600000000006</v>
      </c>
      <c r="Z35" s="44">
        <f t="shared" si="3"/>
        <v>70130.7</v>
      </c>
      <c r="AA35" s="42">
        <f t="shared" si="3"/>
        <v>69514.999999999985</v>
      </c>
      <c r="AB35" s="43">
        <f t="shared" si="3"/>
        <v>73657.100000000006</v>
      </c>
      <c r="AC35" s="43">
        <f t="shared" si="3"/>
        <v>76368</v>
      </c>
      <c r="AD35" s="44">
        <f t="shared" si="3"/>
        <v>78121.999999999985</v>
      </c>
      <c r="AE35" s="42">
        <f t="shared" si="3"/>
        <v>83356.799999999988</v>
      </c>
      <c r="AF35" s="43">
        <f t="shared" si="3"/>
        <v>89100.700000000012</v>
      </c>
      <c r="AG35" s="43">
        <f t="shared" si="3"/>
        <v>86914.300000000017</v>
      </c>
      <c r="AH35" s="44">
        <f t="shared" si="3"/>
        <v>89404.099999999991</v>
      </c>
      <c r="AI35" s="43">
        <f t="shared" si="3"/>
        <v>92336.200000000026</v>
      </c>
      <c r="AJ35" s="43">
        <f t="shared" si="3"/>
        <v>95760.2</v>
      </c>
      <c r="AK35" s="43">
        <f t="shared" si="3"/>
        <v>101876.29999999999</v>
      </c>
      <c r="AL35" s="44">
        <f t="shared" si="3"/>
        <v>98212.6</v>
      </c>
      <c r="AM35" s="43">
        <f t="shared" si="3"/>
        <v>102062.5</v>
      </c>
      <c r="AN35" s="43">
        <f t="shared" si="3"/>
        <v>104827.1</v>
      </c>
      <c r="AO35" s="43">
        <f t="shared" si="3"/>
        <v>105571</v>
      </c>
      <c r="AP35" s="44">
        <f t="shared" si="3"/>
        <v>107000.49999999999</v>
      </c>
      <c r="AQ35" s="43">
        <f t="shared" si="3"/>
        <v>108061.1</v>
      </c>
      <c r="AR35" s="43">
        <f t="shared" si="3"/>
        <v>109043.5</v>
      </c>
      <c r="AS35" s="43">
        <f t="shared" si="3"/>
        <v>110803.80000000002</v>
      </c>
      <c r="AT35" s="43">
        <f t="shared" si="3"/>
        <v>114219.09999999999</v>
      </c>
      <c r="AU35" s="42">
        <f t="shared" si="3"/>
        <v>115251.40000000001</v>
      </c>
      <c r="AV35" s="43">
        <f t="shared" ref="AV35:AW35" si="4">SUM(AV24:AV34)</f>
        <v>118869.1</v>
      </c>
      <c r="AW35" s="43">
        <f t="shared" si="4"/>
        <v>121936.29999999999</v>
      </c>
      <c r="AX35" s="43">
        <f t="shared" ref="AX35" si="5">SUM(AX24:AX34)</f>
        <v>128253.29999999999</v>
      </c>
    </row>
    <row r="36" spans="1:50" s="19" customFormat="1" ht="11.25">
      <c r="A36" s="33" t="s">
        <v>203</v>
      </c>
      <c r="B36" s="33" t="s">
        <v>27</v>
      </c>
      <c r="C36" s="29"/>
      <c r="D36" s="30"/>
      <c r="E36" s="30"/>
      <c r="F36" s="30"/>
      <c r="G36" s="29"/>
      <c r="H36" s="30"/>
      <c r="I36" s="30"/>
      <c r="J36" s="31"/>
      <c r="K36" s="29"/>
      <c r="L36" s="30"/>
      <c r="M36" s="30"/>
      <c r="N36" s="31"/>
      <c r="O36" s="29"/>
      <c r="P36" s="30"/>
      <c r="Q36" s="30"/>
      <c r="R36" s="31"/>
      <c r="S36" s="29"/>
      <c r="T36" s="30"/>
      <c r="U36" s="30"/>
      <c r="V36" s="31"/>
      <c r="W36" s="30"/>
      <c r="X36" s="30"/>
      <c r="Y36" s="30"/>
      <c r="Z36" s="31"/>
      <c r="AA36" s="29"/>
      <c r="AB36" s="30"/>
      <c r="AC36" s="30"/>
      <c r="AD36" s="31"/>
      <c r="AE36" s="29"/>
      <c r="AF36" s="30"/>
      <c r="AG36" s="30"/>
      <c r="AH36" s="31"/>
      <c r="AI36" s="30"/>
      <c r="AJ36" s="30"/>
      <c r="AK36" s="30"/>
      <c r="AL36" s="31"/>
      <c r="AM36" s="30"/>
      <c r="AN36" s="30"/>
      <c r="AO36" s="30"/>
      <c r="AP36" s="31"/>
      <c r="AQ36" s="30"/>
      <c r="AR36" s="30"/>
      <c r="AS36" s="30"/>
      <c r="AT36" s="30"/>
      <c r="AU36" s="29"/>
      <c r="AV36" s="30"/>
      <c r="AW36" s="30"/>
      <c r="AX36" s="30"/>
    </row>
    <row r="37" spans="1:50" s="19" customFormat="1" ht="11.25">
      <c r="A37" s="64" t="s">
        <v>204</v>
      </c>
      <c r="B37" s="64" t="s">
        <v>594</v>
      </c>
      <c r="C37" s="29">
        <v>130.1</v>
      </c>
      <c r="D37" s="30">
        <v>130.1</v>
      </c>
      <c r="E37" s="30">
        <v>130.1</v>
      </c>
      <c r="F37" s="30">
        <v>130.1</v>
      </c>
      <c r="G37" s="29">
        <v>130.1</v>
      </c>
      <c r="H37" s="30">
        <v>130.1</v>
      </c>
      <c r="I37" s="30">
        <v>130.1</v>
      </c>
      <c r="J37" s="31">
        <v>130.1</v>
      </c>
      <c r="K37" s="29">
        <v>130.1</v>
      </c>
      <c r="L37" s="30">
        <v>130.1</v>
      </c>
      <c r="M37" s="30">
        <v>130.1</v>
      </c>
      <c r="N37" s="31">
        <v>130.1</v>
      </c>
      <c r="O37" s="29">
        <v>130.1</v>
      </c>
      <c r="P37" s="30">
        <v>130.1</v>
      </c>
      <c r="Q37" s="30">
        <v>130.1</v>
      </c>
      <c r="R37" s="31">
        <v>130.1</v>
      </c>
      <c r="S37" s="29">
        <v>130.1</v>
      </c>
      <c r="T37" s="30">
        <v>130.1</v>
      </c>
      <c r="U37" s="30">
        <v>130.1</v>
      </c>
      <c r="V37" s="31">
        <v>130.1</v>
      </c>
      <c r="W37" s="30">
        <v>130.10000000000002</v>
      </c>
      <c r="X37" s="30">
        <v>130.10000000000002</v>
      </c>
      <c r="Y37" s="30">
        <v>130.10000000000002</v>
      </c>
      <c r="Z37" s="31">
        <v>130.10000000000002</v>
      </c>
      <c r="AA37" s="29">
        <v>130.10000000000002</v>
      </c>
      <c r="AB37" s="30">
        <v>130.10000000000002</v>
      </c>
      <c r="AC37" s="30">
        <v>130.10000000000002</v>
      </c>
      <c r="AD37" s="31">
        <v>130.10000000000002</v>
      </c>
      <c r="AE37" s="29">
        <v>130.10000000000002</v>
      </c>
      <c r="AF37" s="30">
        <v>130.10000000000002</v>
      </c>
      <c r="AG37" s="30">
        <v>130.1</v>
      </c>
      <c r="AH37" s="31">
        <v>130.1</v>
      </c>
      <c r="AI37" s="30">
        <v>130.1</v>
      </c>
      <c r="AJ37" s="30">
        <v>130.10000000000002</v>
      </c>
      <c r="AK37" s="30">
        <v>130.10000000000002</v>
      </c>
      <c r="AL37" s="31">
        <v>130.1</v>
      </c>
      <c r="AM37" s="30">
        <v>130.1</v>
      </c>
      <c r="AN37" s="30">
        <v>130.10000000000002</v>
      </c>
      <c r="AO37" s="30">
        <v>130.10000000000002</v>
      </c>
      <c r="AP37" s="31">
        <v>130.1</v>
      </c>
      <c r="AQ37" s="30">
        <v>130.1</v>
      </c>
      <c r="AR37" s="30">
        <v>130.1</v>
      </c>
      <c r="AS37" s="30">
        <v>130.1</v>
      </c>
      <c r="AT37" s="30">
        <v>130.1</v>
      </c>
      <c r="AU37" s="29">
        <v>130.1</v>
      </c>
      <c r="AV37" s="30">
        <v>130.1</v>
      </c>
      <c r="AW37" s="30">
        <v>130.1</v>
      </c>
      <c r="AX37" s="30">
        <v>130.1</v>
      </c>
    </row>
    <row r="38" spans="1:50" s="267" customFormat="1" ht="11.25">
      <c r="A38" s="63" t="s">
        <v>205</v>
      </c>
      <c r="B38" s="63" t="s">
        <v>28</v>
      </c>
      <c r="C38" s="29">
        <f>993.8-37.5</f>
        <v>956.3</v>
      </c>
      <c r="D38" s="30">
        <f>993.8-37.5</f>
        <v>956.3</v>
      </c>
      <c r="E38" s="30">
        <f>993.8-37.5</f>
        <v>956.3</v>
      </c>
      <c r="F38" s="30">
        <v>956.3</v>
      </c>
      <c r="G38" s="29">
        <v>956.3</v>
      </c>
      <c r="H38" s="30">
        <v>956.3</v>
      </c>
      <c r="I38" s="30">
        <v>956.3</v>
      </c>
      <c r="J38" s="31">
        <v>956.3</v>
      </c>
      <c r="K38" s="29">
        <v>956.3</v>
      </c>
      <c r="L38" s="30">
        <v>956.3</v>
      </c>
      <c r="M38" s="30">
        <v>956.3</v>
      </c>
      <c r="N38" s="31">
        <v>956.3</v>
      </c>
      <c r="O38" s="29">
        <v>956.3</v>
      </c>
      <c r="P38" s="30">
        <v>956.3</v>
      </c>
      <c r="Q38" s="30">
        <v>956.3</v>
      </c>
      <c r="R38" s="31">
        <v>956.3</v>
      </c>
      <c r="S38" s="29">
        <v>956.3</v>
      </c>
      <c r="T38" s="30">
        <v>956.3</v>
      </c>
      <c r="U38" s="30">
        <v>956.3</v>
      </c>
      <c r="V38" s="31">
        <v>956.3</v>
      </c>
      <c r="W38" s="30">
        <v>956.3</v>
      </c>
      <c r="X38" s="30">
        <v>956.3</v>
      </c>
      <c r="Y38" s="30">
        <v>956.3</v>
      </c>
      <c r="Z38" s="31">
        <v>956.3</v>
      </c>
      <c r="AA38" s="29">
        <v>956.3</v>
      </c>
      <c r="AB38" s="30">
        <v>956.3</v>
      </c>
      <c r="AC38" s="30">
        <v>956.3</v>
      </c>
      <c r="AD38" s="31">
        <v>956.3</v>
      </c>
      <c r="AE38" s="29">
        <v>956.3</v>
      </c>
      <c r="AF38" s="30">
        <v>956.3</v>
      </c>
      <c r="AG38" s="30">
        <v>956.3</v>
      </c>
      <c r="AH38" s="31">
        <v>956.3</v>
      </c>
      <c r="AI38" s="30">
        <v>956.3</v>
      </c>
      <c r="AJ38" s="30">
        <v>956.3</v>
      </c>
      <c r="AK38" s="30">
        <v>956.3</v>
      </c>
      <c r="AL38" s="31">
        <v>956.3</v>
      </c>
      <c r="AM38" s="30">
        <v>956.3</v>
      </c>
      <c r="AN38" s="30">
        <v>956.3</v>
      </c>
      <c r="AO38" s="30">
        <v>956.3</v>
      </c>
      <c r="AP38" s="31">
        <v>956.3</v>
      </c>
      <c r="AQ38" s="30">
        <v>956.3</v>
      </c>
      <c r="AR38" s="30">
        <v>956.3</v>
      </c>
      <c r="AS38" s="30">
        <v>956.3</v>
      </c>
      <c r="AT38" s="30">
        <v>956.3</v>
      </c>
      <c r="AU38" s="29">
        <v>956.3</v>
      </c>
      <c r="AV38" s="30">
        <v>956.3</v>
      </c>
      <c r="AW38" s="30">
        <v>956.3</v>
      </c>
      <c r="AX38" s="30">
        <v>956.3</v>
      </c>
    </row>
    <row r="39" spans="1:50" s="267" customFormat="1" ht="11.25">
      <c r="A39" s="63" t="s">
        <v>595</v>
      </c>
      <c r="B39" s="63" t="s">
        <v>596</v>
      </c>
      <c r="C39" s="29">
        <v>74.2</v>
      </c>
      <c r="D39" s="30">
        <v>-11.399999999999991</v>
      </c>
      <c r="E39" s="30">
        <v>-12.5</v>
      </c>
      <c r="F39" s="30">
        <v>-91.6</v>
      </c>
      <c r="G39" s="29">
        <v>-90.000000000000014</v>
      </c>
      <c r="H39" s="30">
        <v>-208.5</v>
      </c>
      <c r="I39" s="30">
        <v>-75.2</v>
      </c>
      <c r="J39" s="31">
        <v>-2.5</v>
      </c>
      <c r="K39" s="29">
        <v>-24.600000000000009</v>
      </c>
      <c r="L39" s="30">
        <v>12.2</v>
      </c>
      <c r="M39" s="30">
        <v>28.099999999999994</v>
      </c>
      <c r="N39" s="31">
        <v>48.7</v>
      </c>
      <c r="O39" s="29">
        <v>117.5</v>
      </c>
      <c r="P39" s="30">
        <v>73.2</v>
      </c>
      <c r="Q39" s="30">
        <v>128.5</v>
      </c>
      <c r="R39" s="31">
        <v>56.4</v>
      </c>
      <c r="S39" s="29">
        <v>-28.500000000000004</v>
      </c>
      <c r="T39" s="30">
        <v>99.100000000000009</v>
      </c>
      <c r="U39" s="30">
        <v>118.20000000000002</v>
      </c>
      <c r="V39" s="31">
        <v>118.29999999999995</v>
      </c>
      <c r="W39" s="30">
        <v>187.1</v>
      </c>
      <c r="X39" s="30">
        <v>244.2</v>
      </c>
      <c r="Y39" s="30">
        <v>483.59999999999997</v>
      </c>
      <c r="Z39" s="31">
        <v>999.69999999999993</v>
      </c>
      <c r="AA39" s="29">
        <v>840.1</v>
      </c>
      <c r="AB39" s="30">
        <v>516.79999999999995</v>
      </c>
      <c r="AC39" s="30">
        <v>419.29999999999995</v>
      </c>
      <c r="AD39" s="31">
        <v>524.29999999999995</v>
      </c>
      <c r="AE39" s="29">
        <v>526.5</v>
      </c>
      <c r="AF39" s="30">
        <v>1085.9000000000001</v>
      </c>
      <c r="AG39" s="30">
        <v>1584.5</v>
      </c>
      <c r="AH39" s="31">
        <v>1874.3000000000002</v>
      </c>
      <c r="AI39" s="30">
        <v>1908.8000000000002</v>
      </c>
      <c r="AJ39" s="30">
        <v>888.30000000000007</v>
      </c>
      <c r="AK39" s="30">
        <v>1316.9</v>
      </c>
      <c r="AL39" s="31">
        <v>1485</v>
      </c>
      <c r="AM39" s="30">
        <v>1774.8000000000002</v>
      </c>
      <c r="AN39" s="30">
        <v>1508</v>
      </c>
      <c r="AO39" s="30">
        <v>1341.8</v>
      </c>
      <c r="AP39" s="31">
        <v>577.5</v>
      </c>
      <c r="AQ39" s="30">
        <v>589.6</v>
      </c>
      <c r="AR39" s="30">
        <v>596.20000000000005</v>
      </c>
      <c r="AS39" s="30">
        <v>551.80000000000007</v>
      </c>
      <c r="AT39" s="30">
        <v>493.19999999999993</v>
      </c>
      <c r="AU39" s="29">
        <v>683.99999999999989</v>
      </c>
      <c r="AV39" s="30">
        <v>556.99999999999989</v>
      </c>
      <c r="AW39" s="30">
        <v>450.6</v>
      </c>
      <c r="AX39" s="30">
        <v>1169.7</v>
      </c>
    </row>
    <row r="40" spans="1:50" s="267" customFormat="1" ht="11.25">
      <c r="A40" s="63" t="s">
        <v>206</v>
      </c>
      <c r="B40" s="63" t="s">
        <v>29</v>
      </c>
      <c r="C40" s="29">
        <v>2741.7</v>
      </c>
      <c r="D40" s="30">
        <v>2547</v>
      </c>
      <c r="E40" s="30">
        <v>2746.5</v>
      </c>
      <c r="F40" s="30">
        <v>2844</v>
      </c>
      <c r="G40" s="29">
        <v>3017.3</v>
      </c>
      <c r="H40" s="30">
        <v>3099.7</v>
      </c>
      <c r="I40" s="30">
        <v>3266.7</v>
      </c>
      <c r="J40" s="31">
        <v>3138.3</v>
      </c>
      <c r="K40" s="29">
        <v>3219.1</v>
      </c>
      <c r="L40" s="30">
        <v>3416</v>
      </c>
      <c r="M40" s="30">
        <v>3627.6</v>
      </c>
      <c r="N40" s="31">
        <v>3749.3</v>
      </c>
      <c r="O40" s="29">
        <v>3927.8</v>
      </c>
      <c r="P40" s="30">
        <v>4120.6000000000004</v>
      </c>
      <c r="Q40" s="30">
        <v>4314.5999999999995</v>
      </c>
      <c r="R40" s="31">
        <v>4508</v>
      </c>
      <c r="S40" s="29">
        <v>4724.1000000000004</v>
      </c>
      <c r="T40" s="30">
        <v>4766</v>
      </c>
      <c r="U40" s="30">
        <v>4990</v>
      </c>
      <c r="V40" s="31">
        <v>5209</v>
      </c>
      <c r="W40" s="30">
        <v>5477.6</v>
      </c>
      <c r="X40" s="30">
        <v>5648.2</v>
      </c>
      <c r="Y40" s="30">
        <v>5854.9</v>
      </c>
      <c r="Z40" s="31">
        <v>6047.7</v>
      </c>
      <c r="AA40" s="29">
        <v>6310</v>
      </c>
      <c r="AB40" s="30">
        <v>6528</v>
      </c>
      <c r="AC40" s="30">
        <v>6763.5</v>
      </c>
      <c r="AD40" s="31">
        <v>7015.5999999999995</v>
      </c>
      <c r="AE40" s="29">
        <v>7272.6999999999989</v>
      </c>
      <c r="AF40" s="30">
        <v>6986.3999999999987</v>
      </c>
      <c r="AG40" s="30">
        <v>7260.6999999999989</v>
      </c>
      <c r="AH40" s="31">
        <v>7493.2999999999993</v>
      </c>
      <c r="AI40" s="30">
        <v>7234.2999999999993</v>
      </c>
      <c r="AJ40" s="30">
        <v>7581.4</v>
      </c>
      <c r="AK40" s="30">
        <v>7898.4999999999991</v>
      </c>
      <c r="AL40" s="31">
        <v>8106.4999999999991</v>
      </c>
      <c r="AM40" s="30">
        <v>7806.5</v>
      </c>
      <c r="AN40" s="30">
        <v>8215.6999999999989</v>
      </c>
      <c r="AO40" s="30">
        <v>8548.5</v>
      </c>
      <c r="AP40" s="31">
        <v>8811</v>
      </c>
      <c r="AQ40" s="30">
        <v>9111.2999999999993</v>
      </c>
      <c r="AR40" s="30">
        <v>9471.5</v>
      </c>
      <c r="AS40" s="30">
        <v>9847.9999999999982</v>
      </c>
      <c r="AT40" s="30">
        <v>10215.200000000001</v>
      </c>
      <c r="AU40" s="29">
        <v>10288.5</v>
      </c>
      <c r="AV40" s="30">
        <v>10246.099999999999</v>
      </c>
      <c r="AW40" s="30">
        <v>10624.900000000001</v>
      </c>
      <c r="AX40" s="30">
        <v>11080.2</v>
      </c>
    </row>
    <row r="41" spans="1:50" s="271" customFormat="1" ht="11.25">
      <c r="A41" s="57" t="s">
        <v>207</v>
      </c>
      <c r="B41" s="57" t="s">
        <v>30</v>
      </c>
      <c r="C41" s="42">
        <f t="shared" ref="C41:AT41" si="6">SUM(C37:C40)</f>
        <v>3902.2999999999997</v>
      </c>
      <c r="D41" s="43">
        <f t="shared" si="6"/>
        <v>3622</v>
      </c>
      <c r="E41" s="43">
        <f t="shared" si="6"/>
        <v>3820.3999999999996</v>
      </c>
      <c r="F41" s="43">
        <f t="shared" si="6"/>
        <v>3838.7999999999997</v>
      </c>
      <c r="G41" s="42">
        <f t="shared" si="6"/>
        <v>4013.7</v>
      </c>
      <c r="H41" s="43">
        <f t="shared" si="6"/>
        <v>3977.5999999999995</v>
      </c>
      <c r="I41" s="43">
        <f t="shared" si="6"/>
        <v>4277.8999999999996</v>
      </c>
      <c r="J41" s="43">
        <f t="shared" si="6"/>
        <v>4222.2</v>
      </c>
      <c r="K41" s="42">
        <f t="shared" si="6"/>
        <v>4280.8999999999996</v>
      </c>
      <c r="L41" s="43">
        <f t="shared" si="6"/>
        <v>4514.6000000000004</v>
      </c>
      <c r="M41" s="43">
        <f t="shared" si="6"/>
        <v>4742.0999999999995</v>
      </c>
      <c r="N41" s="43">
        <f t="shared" si="6"/>
        <v>4884.3999999999996</v>
      </c>
      <c r="O41" s="42">
        <f t="shared" si="6"/>
        <v>5131.7</v>
      </c>
      <c r="P41" s="43">
        <f t="shared" si="6"/>
        <v>5280.2000000000007</v>
      </c>
      <c r="Q41" s="43">
        <f t="shared" si="6"/>
        <v>5529.4999999999991</v>
      </c>
      <c r="R41" s="43">
        <f t="shared" si="6"/>
        <v>5650.8</v>
      </c>
      <c r="S41" s="42">
        <f t="shared" si="6"/>
        <v>5782</v>
      </c>
      <c r="T41" s="43">
        <f t="shared" si="6"/>
        <v>5951.5</v>
      </c>
      <c r="U41" s="43">
        <f t="shared" si="6"/>
        <v>6194.6</v>
      </c>
      <c r="V41" s="43">
        <f t="shared" si="6"/>
        <v>6413.7</v>
      </c>
      <c r="W41" s="42">
        <f t="shared" si="6"/>
        <v>6751.1</v>
      </c>
      <c r="X41" s="43">
        <f t="shared" si="6"/>
        <v>6978.8</v>
      </c>
      <c r="Y41" s="43">
        <f t="shared" si="6"/>
        <v>7424.9</v>
      </c>
      <c r="Z41" s="44">
        <f t="shared" si="6"/>
        <v>8133.7999999999993</v>
      </c>
      <c r="AA41" s="42">
        <f t="shared" si="6"/>
        <v>8236.5</v>
      </c>
      <c r="AB41" s="43">
        <f t="shared" si="6"/>
        <v>8131.2</v>
      </c>
      <c r="AC41" s="43">
        <f t="shared" si="6"/>
        <v>8269.2000000000007</v>
      </c>
      <c r="AD41" s="44">
        <f t="shared" si="6"/>
        <v>8626.2999999999993</v>
      </c>
      <c r="AE41" s="42">
        <f t="shared" si="6"/>
        <v>8885.5999999999985</v>
      </c>
      <c r="AF41" s="43">
        <f t="shared" si="6"/>
        <v>9158.6999999999989</v>
      </c>
      <c r="AG41" s="43">
        <f t="shared" si="6"/>
        <v>9931.5999999999985</v>
      </c>
      <c r="AH41" s="44">
        <f t="shared" si="6"/>
        <v>10454</v>
      </c>
      <c r="AI41" s="43">
        <f t="shared" si="6"/>
        <v>10229.5</v>
      </c>
      <c r="AJ41" s="43">
        <f t="shared" si="6"/>
        <v>9556.1</v>
      </c>
      <c r="AK41" s="43">
        <f t="shared" si="6"/>
        <v>10301.799999999999</v>
      </c>
      <c r="AL41" s="44">
        <f t="shared" si="6"/>
        <v>10677.899999999998</v>
      </c>
      <c r="AM41" s="43">
        <f t="shared" si="6"/>
        <v>10667.7</v>
      </c>
      <c r="AN41" s="43">
        <f t="shared" si="6"/>
        <v>10810.099999999999</v>
      </c>
      <c r="AO41" s="43">
        <f t="shared" si="6"/>
        <v>10976.7</v>
      </c>
      <c r="AP41" s="44">
        <f t="shared" si="6"/>
        <v>10474.9</v>
      </c>
      <c r="AQ41" s="43">
        <f t="shared" si="6"/>
        <v>10787.3</v>
      </c>
      <c r="AR41" s="43">
        <f t="shared" si="6"/>
        <v>11154.1</v>
      </c>
      <c r="AS41" s="43">
        <f t="shared" si="6"/>
        <v>11486.199999999997</v>
      </c>
      <c r="AT41" s="43">
        <f t="shared" si="6"/>
        <v>11794.800000000001</v>
      </c>
      <c r="AU41" s="42">
        <f>SUM(AU37:AU40)</f>
        <v>12058.9</v>
      </c>
      <c r="AV41" s="43">
        <f>SUM(AV37:AV40)</f>
        <v>11889.499999999998</v>
      </c>
      <c r="AW41" s="43">
        <f>SUM(AW37:AW40)</f>
        <v>12161.900000000001</v>
      </c>
      <c r="AX41" s="43">
        <f>SUM(AX37:AX40)</f>
        <v>13336.300000000001</v>
      </c>
    </row>
    <row r="42" spans="1:50" s="19" customFormat="1" ht="6" customHeight="1">
      <c r="A42" s="32"/>
      <c r="B42" s="32"/>
      <c r="C42" s="29"/>
      <c r="D42" s="30"/>
      <c r="E42" s="30"/>
      <c r="F42" s="30"/>
      <c r="G42" s="29"/>
      <c r="H42" s="30"/>
      <c r="I42" s="30"/>
      <c r="J42" s="31"/>
      <c r="K42" s="29"/>
      <c r="L42" s="30"/>
      <c r="M42" s="30"/>
      <c r="N42" s="31"/>
      <c r="O42" s="29"/>
      <c r="P42" s="30"/>
      <c r="Q42" s="30"/>
      <c r="R42" s="31"/>
      <c r="S42" s="29"/>
      <c r="T42" s="30"/>
      <c r="U42" s="30"/>
      <c r="V42" s="31"/>
      <c r="W42" s="30"/>
      <c r="X42" s="30"/>
      <c r="Y42" s="30"/>
      <c r="Z42" s="31"/>
      <c r="AA42" s="29"/>
      <c r="AB42" s="30"/>
      <c r="AC42" s="30"/>
      <c r="AD42" s="31"/>
      <c r="AE42" s="29"/>
      <c r="AF42" s="30"/>
      <c r="AG42" s="30"/>
      <c r="AH42" s="31"/>
      <c r="AI42" s="30"/>
      <c r="AJ42" s="30"/>
      <c r="AK42" s="30"/>
      <c r="AL42" s="31"/>
      <c r="AM42" s="30"/>
      <c r="AN42" s="30"/>
      <c r="AO42" s="30"/>
      <c r="AP42" s="31"/>
      <c r="AQ42" s="30"/>
      <c r="AR42" s="30"/>
      <c r="AS42" s="30"/>
      <c r="AT42" s="30"/>
      <c r="AU42" s="29"/>
      <c r="AV42" s="30"/>
      <c r="AW42" s="30"/>
      <c r="AX42" s="30"/>
    </row>
    <row r="43" spans="1:50" s="19" customFormat="1" ht="11.25">
      <c r="A43" s="64" t="s">
        <v>208</v>
      </c>
      <c r="B43" s="64" t="s">
        <v>31</v>
      </c>
      <c r="C43" s="29">
        <v>25.9</v>
      </c>
      <c r="D43" s="30">
        <v>28.9</v>
      </c>
      <c r="E43" s="30">
        <v>1.7</v>
      </c>
      <c r="F43" s="30">
        <v>1.7</v>
      </c>
      <c r="G43" s="29">
        <v>1.7</v>
      </c>
      <c r="H43" s="30">
        <v>1.7</v>
      </c>
      <c r="I43" s="30">
        <v>1.8</v>
      </c>
      <c r="J43" s="31">
        <v>2.2999999999999998</v>
      </c>
      <c r="K43" s="29">
        <v>2.2999999999999998</v>
      </c>
      <c r="L43" s="30">
        <v>2.2999999999999998</v>
      </c>
      <c r="M43" s="30">
        <v>2.2999999999999998</v>
      </c>
      <c r="N43" s="31">
        <v>2.2999999999999998</v>
      </c>
      <c r="O43" s="29">
        <v>2.2999999999999998</v>
      </c>
      <c r="P43" s="30">
        <v>2.2999999999999998</v>
      </c>
      <c r="Q43" s="30">
        <v>2.4</v>
      </c>
      <c r="R43" s="31">
        <v>2.2999999999999998</v>
      </c>
      <c r="S43" s="29">
        <v>2.2999999999999998</v>
      </c>
      <c r="T43" s="30">
        <v>2.2999999999999998</v>
      </c>
      <c r="U43" s="30">
        <v>2.2999999999999998</v>
      </c>
      <c r="V43" s="31">
        <v>2.2999999999999998</v>
      </c>
      <c r="W43" s="30">
        <v>2.2999999999999998</v>
      </c>
      <c r="X43" s="30">
        <v>2.2999999999999998</v>
      </c>
      <c r="Y43" s="30">
        <v>2.2999999999999998</v>
      </c>
      <c r="Z43" s="31">
        <v>2.2999999999999998</v>
      </c>
      <c r="AA43" s="29">
        <v>2.2999999999999998</v>
      </c>
      <c r="AB43" s="30">
        <v>2.2999999999999998</v>
      </c>
      <c r="AC43" s="30">
        <v>2.2999999999999998</v>
      </c>
      <c r="AD43" s="31">
        <v>2.2999999999999998</v>
      </c>
      <c r="AE43" s="29">
        <v>2.2999999999999998</v>
      </c>
      <c r="AF43" s="30">
        <v>2.4000000000000012</v>
      </c>
      <c r="AG43" s="30">
        <v>2.6</v>
      </c>
      <c r="AH43" s="31">
        <v>2.6</v>
      </c>
      <c r="AI43" s="30">
        <v>2.6</v>
      </c>
      <c r="AJ43" s="30">
        <v>2.6</v>
      </c>
      <c r="AK43" s="30">
        <v>2.6</v>
      </c>
      <c r="AL43" s="31">
        <v>2.6</v>
      </c>
      <c r="AM43" s="30">
        <v>2.5</v>
      </c>
      <c r="AN43" s="30">
        <v>2.5</v>
      </c>
      <c r="AO43" s="30">
        <v>2.2999999999999998</v>
      </c>
      <c r="AP43" s="31">
        <v>2.2999999999999998</v>
      </c>
      <c r="AQ43" s="30">
        <v>2.1</v>
      </c>
      <c r="AR43" s="30">
        <v>0</v>
      </c>
      <c r="AS43" s="30">
        <v>0</v>
      </c>
      <c r="AT43" s="30">
        <v>0</v>
      </c>
      <c r="AU43" s="29">
        <v>0</v>
      </c>
      <c r="AV43" s="30">
        <v>0</v>
      </c>
      <c r="AW43" s="30">
        <v>0</v>
      </c>
      <c r="AX43" s="30">
        <v>0</v>
      </c>
    </row>
    <row r="44" spans="1:50" s="19" customFormat="1" ht="6" customHeight="1">
      <c r="A44" s="64"/>
      <c r="B44" s="64"/>
      <c r="C44" s="29"/>
      <c r="D44" s="30"/>
      <c r="E44" s="30"/>
      <c r="F44" s="30"/>
      <c r="G44" s="29"/>
      <c r="H44" s="30"/>
      <c r="I44" s="30"/>
      <c r="J44" s="31"/>
      <c r="K44" s="29"/>
      <c r="L44" s="30"/>
      <c r="M44" s="30"/>
      <c r="N44" s="31"/>
      <c r="O44" s="29"/>
      <c r="P44" s="30"/>
      <c r="Q44" s="30"/>
      <c r="R44" s="31"/>
      <c r="S44" s="29"/>
      <c r="T44" s="30"/>
      <c r="U44" s="30"/>
      <c r="V44" s="31"/>
      <c r="W44" s="30"/>
      <c r="X44" s="30"/>
      <c r="Y44" s="30"/>
      <c r="Z44" s="31"/>
      <c r="AA44" s="29"/>
      <c r="AB44" s="30"/>
      <c r="AC44" s="30"/>
      <c r="AD44" s="31"/>
      <c r="AE44" s="29"/>
      <c r="AF44" s="30"/>
      <c r="AG44" s="30"/>
      <c r="AH44" s="31"/>
      <c r="AI44" s="30"/>
      <c r="AJ44" s="30"/>
      <c r="AK44" s="30"/>
      <c r="AL44" s="31"/>
      <c r="AM44" s="30"/>
      <c r="AN44" s="30"/>
      <c r="AO44" s="30"/>
      <c r="AP44" s="31"/>
      <c r="AQ44" s="30"/>
      <c r="AR44" s="30"/>
      <c r="AS44" s="30"/>
      <c r="AT44" s="30"/>
      <c r="AU44" s="29"/>
      <c r="AV44" s="30"/>
      <c r="AW44" s="30"/>
      <c r="AX44" s="30"/>
    </row>
    <row r="45" spans="1:50" s="271" customFormat="1" ht="11.25">
      <c r="A45" s="57" t="s">
        <v>209</v>
      </c>
      <c r="B45" s="57" t="s">
        <v>32</v>
      </c>
      <c r="C45" s="42">
        <f>C41+C43</f>
        <v>3928.2</v>
      </c>
      <c r="D45" s="43">
        <f t="shared" ref="D45:W45" si="7">D41+D43</f>
        <v>3650.9</v>
      </c>
      <c r="E45" s="43">
        <f t="shared" si="7"/>
        <v>3822.0999999999995</v>
      </c>
      <c r="F45" s="43">
        <f t="shared" si="7"/>
        <v>3840.4999999999995</v>
      </c>
      <c r="G45" s="42">
        <f t="shared" si="7"/>
        <v>4015.3999999999996</v>
      </c>
      <c r="H45" s="43">
        <f t="shared" si="7"/>
        <v>3979.2999999999993</v>
      </c>
      <c r="I45" s="43">
        <f t="shared" si="7"/>
        <v>4279.7</v>
      </c>
      <c r="J45" s="43">
        <f t="shared" si="7"/>
        <v>4224.5</v>
      </c>
      <c r="K45" s="42">
        <f t="shared" si="7"/>
        <v>4283.2</v>
      </c>
      <c r="L45" s="43">
        <f t="shared" si="7"/>
        <v>4516.9000000000005</v>
      </c>
      <c r="M45" s="43">
        <f t="shared" si="7"/>
        <v>4744.3999999999996</v>
      </c>
      <c r="N45" s="43">
        <f t="shared" si="7"/>
        <v>4886.7</v>
      </c>
      <c r="O45" s="42">
        <f t="shared" si="7"/>
        <v>5134</v>
      </c>
      <c r="P45" s="43">
        <f t="shared" si="7"/>
        <v>5282.5000000000009</v>
      </c>
      <c r="Q45" s="43">
        <f t="shared" si="7"/>
        <v>5531.8999999999987</v>
      </c>
      <c r="R45" s="43">
        <f t="shared" si="7"/>
        <v>5653.1</v>
      </c>
      <c r="S45" s="42">
        <f t="shared" si="7"/>
        <v>5784.3</v>
      </c>
      <c r="T45" s="43">
        <f t="shared" si="7"/>
        <v>5953.8</v>
      </c>
      <c r="U45" s="43">
        <f t="shared" si="7"/>
        <v>6196.9000000000005</v>
      </c>
      <c r="V45" s="43">
        <f t="shared" si="7"/>
        <v>6416</v>
      </c>
      <c r="W45" s="42">
        <f t="shared" si="7"/>
        <v>6753.4000000000005</v>
      </c>
      <c r="X45" s="43">
        <f>X41+X43</f>
        <v>6981.1</v>
      </c>
      <c r="Y45" s="43">
        <f t="shared" ref="Y45:AU45" si="8">Y41+Y43</f>
        <v>7427.2</v>
      </c>
      <c r="Z45" s="44">
        <f t="shared" si="8"/>
        <v>8136.0999999999995</v>
      </c>
      <c r="AA45" s="42">
        <f t="shared" si="8"/>
        <v>8238.7999999999993</v>
      </c>
      <c r="AB45" s="43">
        <f t="shared" si="8"/>
        <v>8133.5</v>
      </c>
      <c r="AC45" s="43">
        <f t="shared" si="8"/>
        <v>8271.5</v>
      </c>
      <c r="AD45" s="44">
        <f t="shared" si="8"/>
        <v>8628.5999999999985</v>
      </c>
      <c r="AE45" s="42">
        <f t="shared" si="8"/>
        <v>8887.8999999999978</v>
      </c>
      <c r="AF45" s="43">
        <f t="shared" si="8"/>
        <v>9161.0999999999985</v>
      </c>
      <c r="AG45" s="43">
        <f t="shared" si="8"/>
        <v>9934.1999999999989</v>
      </c>
      <c r="AH45" s="44">
        <f t="shared" si="8"/>
        <v>10456.6</v>
      </c>
      <c r="AI45" s="43">
        <f t="shared" si="8"/>
        <v>10232.1</v>
      </c>
      <c r="AJ45" s="43">
        <f t="shared" si="8"/>
        <v>9558.7000000000007</v>
      </c>
      <c r="AK45" s="43">
        <f t="shared" si="8"/>
        <v>10304.4</v>
      </c>
      <c r="AL45" s="44">
        <f t="shared" si="8"/>
        <v>10680.499999999998</v>
      </c>
      <c r="AM45" s="43">
        <f t="shared" si="8"/>
        <v>10670.2</v>
      </c>
      <c r="AN45" s="43">
        <f t="shared" si="8"/>
        <v>10812.599999999999</v>
      </c>
      <c r="AO45" s="43">
        <f t="shared" si="8"/>
        <v>10979</v>
      </c>
      <c r="AP45" s="44">
        <f t="shared" si="8"/>
        <v>10477.199999999999</v>
      </c>
      <c r="AQ45" s="43">
        <f t="shared" si="8"/>
        <v>10789.4</v>
      </c>
      <c r="AR45" s="43">
        <f t="shared" si="8"/>
        <v>11154.1</v>
      </c>
      <c r="AS45" s="43">
        <f t="shared" si="8"/>
        <v>11486.199999999997</v>
      </c>
      <c r="AT45" s="43">
        <f t="shared" si="8"/>
        <v>11794.800000000001</v>
      </c>
      <c r="AU45" s="42">
        <f t="shared" si="8"/>
        <v>12058.9</v>
      </c>
      <c r="AV45" s="43">
        <f t="shared" ref="AV45:AW45" si="9">AV41+AV43</f>
        <v>11889.499999999998</v>
      </c>
      <c r="AW45" s="43">
        <f t="shared" si="9"/>
        <v>12161.900000000001</v>
      </c>
      <c r="AX45" s="43">
        <f t="shared" ref="AX45" si="10">AX41+AX43</f>
        <v>13336.300000000001</v>
      </c>
    </row>
    <row r="46" spans="1:50" s="19" customFormat="1" ht="11.25">
      <c r="A46" s="64"/>
      <c r="B46" s="64"/>
      <c r="C46" s="29"/>
      <c r="D46" s="30"/>
      <c r="E46" s="30"/>
      <c r="F46" s="30"/>
      <c r="G46" s="29"/>
      <c r="H46" s="30"/>
      <c r="I46" s="30"/>
      <c r="J46" s="31"/>
      <c r="K46" s="29"/>
      <c r="L46" s="30"/>
      <c r="M46" s="30"/>
      <c r="N46" s="31"/>
      <c r="O46" s="29"/>
      <c r="P46" s="30"/>
      <c r="Q46" s="30"/>
      <c r="R46" s="31"/>
      <c r="S46" s="29"/>
      <c r="T46" s="30"/>
      <c r="U46" s="30"/>
      <c r="V46" s="31"/>
      <c r="W46" s="30"/>
      <c r="X46" s="30"/>
      <c r="Y46" s="30"/>
      <c r="Z46" s="31"/>
      <c r="AA46" s="29"/>
      <c r="AB46" s="30"/>
      <c r="AC46" s="30"/>
      <c r="AD46" s="31"/>
      <c r="AE46" s="29"/>
      <c r="AF46" s="30"/>
      <c r="AG46" s="30"/>
      <c r="AH46" s="31"/>
      <c r="AI46" s="30"/>
      <c r="AJ46" s="30"/>
      <c r="AK46" s="30"/>
      <c r="AL46" s="31"/>
      <c r="AM46" s="30"/>
      <c r="AN46" s="30"/>
      <c r="AO46" s="30"/>
      <c r="AP46" s="31"/>
      <c r="AQ46" s="30"/>
      <c r="AR46" s="30"/>
      <c r="AS46" s="30"/>
      <c r="AT46" s="30"/>
      <c r="AU46" s="29"/>
      <c r="AV46" s="30"/>
      <c r="AW46" s="30"/>
      <c r="AX46" s="30"/>
    </row>
    <row r="47" spans="1:50" s="271" customFormat="1" ht="11.25">
      <c r="A47" s="57" t="s">
        <v>210</v>
      </c>
      <c r="B47" s="57" t="s">
        <v>33</v>
      </c>
      <c r="C47" s="42">
        <f t="shared" ref="C47:AU47" si="11">C35+C45</f>
        <v>56616.9</v>
      </c>
      <c r="D47" s="43">
        <f t="shared" si="11"/>
        <v>53203.1</v>
      </c>
      <c r="E47" s="43">
        <f t="shared" si="11"/>
        <v>53246.6</v>
      </c>
      <c r="F47" s="43">
        <f t="shared" si="11"/>
        <v>52010.799999999996</v>
      </c>
      <c r="G47" s="42">
        <f t="shared" si="11"/>
        <v>60234.400000000009</v>
      </c>
      <c r="H47" s="43">
        <f t="shared" si="11"/>
        <v>60513.2</v>
      </c>
      <c r="I47" s="43">
        <f t="shared" si="11"/>
        <v>65262.599999999991</v>
      </c>
      <c r="J47" s="43">
        <f t="shared" si="11"/>
        <v>69610.5</v>
      </c>
      <c r="K47" s="42">
        <f t="shared" si="11"/>
        <v>68205.8</v>
      </c>
      <c r="L47" s="43">
        <f t="shared" si="11"/>
        <v>64516.5</v>
      </c>
      <c r="M47" s="43">
        <f t="shared" si="11"/>
        <v>64256.4</v>
      </c>
      <c r="N47" s="43">
        <f t="shared" si="11"/>
        <v>59883.399999999994</v>
      </c>
      <c r="O47" s="42">
        <f t="shared" si="11"/>
        <v>62099.1</v>
      </c>
      <c r="P47" s="43">
        <f t="shared" si="11"/>
        <v>61583</v>
      </c>
      <c r="Q47" s="43">
        <f t="shared" si="11"/>
        <v>62165.500000000007</v>
      </c>
      <c r="R47" s="43">
        <f t="shared" si="11"/>
        <v>64517.500000000007</v>
      </c>
      <c r="S47" s="42">
        <f t="shared" si="11"/>
        <v>65839.800000000017</v>
      </c>
      <c r="T47" s="43">
        <f t="shared" si="11"/>
        <v>67500.899999999994</v>
      </c>
      <c r="U47" s="43">
        <f t="shared" si="11"/>
        <v>73696.099999999991</v>
      </c>
      <c r="V47" s="43">
        <f t="shared" si="11"/>
        <v>69723.399999999994</v>
      </c>
      <c r="W47" s="42">
        <f t="shared" si="11"/>
        <v>72263.099999999991</v>
      </c>
      <c r="X47" s="43">
        <f t="shared" si="11"/>
        <v>70260.100000000006</v>
      </c>
      <c r="Y47" s="43">
        <f t="shared" si="11"/>
        <v>73637.8</v>
      </c>
      <c r="Z47" s="44">
        <f t="shared" si="11"/>
        <v>78266.8</v>
      </c>
      <c r="AA47" s="42">
        <f t="shared" si="11"/>
        <v>77753.799999999988</v>
      </c>
      <c r="AB47" s="43">
        <f t="shared" si="11"/>
        <v>81790.600000000006</v>
      </c>
      <c r="AC47" s="43">
        <f t="shared" si="11"/>
        <v>84639.5</v>
      </c>
      <c r="AD47" s="44">
        <f t="shared" si="11"/>
        <v>86750.599999999977</v>
      </c>
      <c r="AE47" s="42">
        <f t="shared" si="11"/>
        <v>92244.699999999983</v>
      </c>
      <c r="AF47" s="43">
        <f t="shared" si="11"/>
        <v>98261.800000000017</v>
      </c>
      <c r="AG47" s="43">
        <f t="shared" si="11"/>
        <v>96848.500000000015</v>
      </c>
      <c r="AH47" s="44">
        <f t="shared" si="11"/>
        <v>99860.7</v>
      </c>
      <c r="AI47" s="43">
        <f t="shared" si="11"/>
        <v>102568.30000000003</v>
      </c>
      <c r="AJ47" s="43">
        <f t="shared" si="11"/>
        <v>105318.9</v>
      </c>
      <c r="AK47" s="43">
        <f t="shared" si="11"/>
        <v>112180.69999999998</v>
      </c>
      <c r="AL47" s="44">
        <f t="shared" si="11"/>
        <v>108893.1</v>
      </c>
      <c r="AM47" s="43">
        <f t="shared" si="11"/>
        <v>112732.7</v>
      </c>
      <c r="AN47" s="43">
        <f t="shared" si="11"/>
        <v>115639.70000000001</v>
      </c>
      <c r="AO47" s="43">
        <f t="shared" si="11"/>
        <v>116550</v>
      </c>
      <c r="AP47" s="44">
        <f t="shared" si="11"/>
        <v>117477.69999999998</v>
      </c>
      <c r="AQ47" s="43">
        <f t="shared" si="11"/>
        <v>118850.5</v>
      </c>
      <c r="AR47" s="43">
        <f t="shared" si="11"/>
        <v>120197.6</v>
      </c>
      <c r="AS47" s="43">
        <f t="shared" si="11"/>
        <v>122290.00000000001</v>
      </c>
      <c r="AT47" s="43">
        <f t="shared" si="11"/>
        <v>126013.9</v>
      </c>
      <c r="AU47" s="42">
        <f t="shared" si="11"/>
        <v>127310.3</v>
      </c>
      <c r="AV47" s="43">
        <f t="shared" ref="AV47:AW47" si="12">AV35+AV45</f>
        <v>130758.6</v>
      </c>
      <c r="AW47" s="43">
        <f t="shared" si="12"/>
        <v>134098.19999999998</v>
      </c>
      <c r="AX47" s="43">
        <f t="shared" ref="AX47" si="13">AX35+AX45</f>
        <v>141589.59999999998</v>
      </c>
    </row>
    <row r="48" spans="1:50">
      <c r="A48" s="13"/>
      <c r="B48" s="13"/>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280"/>
      <c r="AE48" s="280"/>
      <c r="AF48" s="280"/>
      <c r="AG48" s="280"/>
      <c r="AH48" s="280"/>
      <c r="AI48" s="280"/>
      <c r="AJ48" s="280"/>
      <c r="AK48" s="280"/>
      <c r="AL48" s="280"/>
      <c r="AM48" s="280"/>
      <c r="AN48" s="280"/>
      <c r="AO48" s="280"/>
      <c r="AP48" s="280"/>
      <c r="AQ48" s="280"/>
      <c r="AR48" s="280"/>
      <c r="AS48" s="280"/>
      <c r="AT48" s="280"/>
      <c r="AU48" s="280"/>
      <c r="AV48" s="280"/>
      <c r="AW48" s="280"/>
      <c r="AX48" s="280"/>
    </row>
    <row r="49" spans="27:50">
      <c r="AA49" s="280"/>
      <c r="AB49" s="280"/>
      <c r="AC49" s="280"/>
      <c r="AD49" s="280"/>
      <c r="AE49" s="280"/>
      <c r="AF49" s="280"/>
      <c r="AG49" s="280"/>
      <c r="AH49" s="280"/>
      <c r="AI49" s="280"/>
      <c r="AJ49" s="280"/>
      <c r="AK49" s="280"/>
      <c r="AL49" s="280"/>
      <c r="AM49" s="280"/>
      <c r="AN49" s="280"/>
      <c r="AO49" s="280"/>
      <c r="AP49" s="280"/>
      <c r="AQ49" s="280"/>
      <c r="AS49" s="280"/>
      <c r="AT49" s="280"/>
      <c r="AU49" s="280"/>
      <c r="AW49" s="280"/>
      <c r="AX49" s="280"/>
    </row>
  </sheetData>
  <mergeCells count="14">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2"/>
  <sheetViews>
    <sheetView showGridLines="0" view="pageBreakPreview" zoomScaleNormal="100" zoomScaleSheetLayoutView="100" workbookViewId="0">
      <pane xSplit="41" ySplit="4" topLeftCell="AT5" activePane="bottomRight" state="frozen"/>
      <selection pane="topRight" activeCell="AP1" sqref="AP1"/>
      <selection pane="bottomLeft" activeCell="A5" sqref="A5"/>
      <selection pane="bottomRight" activeCell="A2" sqref="A2:A3"/>
    </sheetView>
  </sheetViews>
  <sheetFormatPr defaultRowHeight="15" outlineLevelCol="1"/>
  <cols>
    <col min="1" max="1" width="57.140625" style="294" bestFit="1" customWidth="1" outlineLevel="1"/>
    <col min="2" max="2" width="60.85546875" style="293" customWidth="1"/>
    <col min="3" max="41" width="2.85546875" style="293" hidden="1" customWidth="1"/>
    <col min="42" max="46" width="11.5703125" style="294" customWidth="1"/>
    <col min="47" max="50" width="11.5703125" style="293" customWidth="1"/>
    <col min="51" max="16384" width="9.140625" style="293"/>
  </cols>
  <sheetData>
    <row r="1" spans="1:50">
      <c r="A1" s="59" t="s">
        <v>430</v>
      </c>
      <c r="B1" s="59" t="s">
        <v>431</v>
      </c>
    </row>
    <row r="2" spans="1:50" s="296" customFormat="1">
      <c r="A2" s="499" t="s">
        <v>597</v>
      </c>
      <c r="B2" s="499" t="s">
        <v>75</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295">
        <v>2016</v>
      </c>
      <c r="AQ2" s="498">
        <v>2017</v>
      </c>
      <c r="AR2" s="498"/>
      <c r="AS2" s="498"/>
      <c r="AT2" s="498"/>
      <c r="AU2" s="490">
        <v>2018</v>
      </c>
      <c r="AV2" s="491"/>
      <c r="AW2" s="491"/>
      <c r="AX2" s="492"/>
    </row>
    <row r="3" spans="1:50" s="296" customFormat="1">
      <c r="A3" s="499"/>
      <c r="B3" s="499"/>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297" t="s">
        <v>154</v>
      </c>
      <c r="AQ3" s="298" t="s">
        <v>151</v>
      </c>
      <c r="AR3" s="298" t="s">
        <v>152</v>
      </c>
      <c r="AS3" s="298" t="s">
        <v>153</v>
      </c>
      <c r="AT3" s="298" t="s">
        <v>154</v>
      </c>
      <c r="AU3" s="455" t="s">
        <v>151</v>
      </c>
      <c r="AV3" s="298" t="s">
        <v>152</v>
      </c>
      <c r="AW3" s="298" t="s">
        <v>153</v>
      </c>
      <c r="AX3" s="298" t="s">
        <v>154</v>
      </c>
    </row>
    <row r="4" spans="1:50" s="340" customFormat="1" ht="22.5">
      <c r="A4" s="299" t="s">
        <v>156</v>
      </c>
      <c r="B4" s="300" t="s">
        <v>11</v>
      </c>
      <c r="C4" s="301"/>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338" t="s">
        <v>742</v>
      </c>
      <c r="AQ4" s="339" t="s">
        <v>742</v>
      </c>
      <c r="AR4" s="339" t="s">
        <v>742</v>
      </c>
      <c r="AS4" s="339" t="s">
        <v>742</v>
      </c>
      <c r="AT4" s="339" t="s">
        <v>742</v>
      </c>
      <c r="AU4" s="456" t="s">
        <v>743</v>
      </c>
      <c r="AV4" s="339" t="s">
        <v>743</v>
      </c>
      <c r="AW4" s="339" t="s">
        <v>743</v>
      </c>
      <c r="AX4" s="339" t="s">
        <v>743</v>
      </c>
    </row>
    <row r="5" spans="1:50" s="340" customFormat="1" ht="11.25">
      <c r="A5" s="302" t="s">
        <v>598</v>
      </c>
      <c r="B5" s="303" t="s">
        <v>599</v>
      </c>
      <c r="C5" s="304"/>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120">
        <f t="shared" ref="AP5:AU5" si="0">AP60</f>
        <v>81979.5</v>
      </c>
      <c r="AQ5" s="119">
        <f t="shared" si="0"/>
        <v>84399.5</v>
      </c>
      <c r="AR5" s="119">
        <f t="shared" si="0"/>
        <v>86922.299999999988</v>
      </c>
      <c r="AS5" s="119">
        <f t="shared" si="0"/>
        <v>90106.999999999985</v>
      </c>
      <c r="AT5" s="119">
        <f t="shared" si="0"/>
        <v>91108.10000000002</v>
      </c>
      <c r="AU5" s="457">
        <f t="shared" si="0"/>
        <v>90028.2</v>
      </c>
      <c r="AV5" s="119">
        <f>AV60</f>
        <v>94475.3</v>
      </c>
      <c r="AW5" s="119">
        <f>AW60</f>
        <v>98986</v>
      </c>
      <c r="AX5" s="119">
        <f>AX60</f>
        <v>102907.40000000001</v>
      </c>
    </row>
    <row r="6" spans="1:50" s="340" customFormat="1" ht="11.25">
      <c r="A6" s="302" t="s">
        <v>600</v>
      </c>
      <c r="B6" s="303" t="s">
        <v>601</v>
      </c>
      <c r="C6" s="304"/>
      <c r="D6" s="305"/>
      <c r="E6" s="305"/>
      <c r="F6" s="305"/>
      <c r="G6" s="305"/>
      <c r="H6" s="305"/>
      <c r="I6" s="305"/>
      <c r="J6" s="305"/>
      <c r="K6" s="305"/>
      <c r="L6" s="305"/>
      <c r="M6" s="305"/>
      <c r="N6" s="305"/>
      <c r="O6" s="305"/>
      <c r="P6" s="305"/>
      <c r="Q6" s="305"/>
      <c r="R6" s="305"/>
      <c r="S6" s="305"/>
      <c r="T6" s="305"/>
      <c r="U6" s="305"/>
      <c r="V6" s="305"/>
      <c r="W6" s="305"/>
      <c r="X6" s="305"/>
      <c r="Y6" s="305"/>
      <c r="Z6" s="305"/>
      <c r="AA6" s="305"/>
      <c r="AB6" s="305"/>
      <c r="AC6" s="305"/>
      <c r="AD6" s="305"/>
      <c r="AE6" s="305"/>
      <c r="AF6" s="305"/>
      <c r="AG6" s="305"/>
      <c r="AH6" s="305"/>
      <c r="AI6" s="305"/>
      <c r="AJ6" s="305"/>
      <c r="AK6" s="305"/>
      <c r="AL6" s="305"/>
      <c r="AM6" s="305"/>
      <c r="AN6" s="305"/>
      <c r="AO6" s="305"/>
      <c r="AP6" s="120" t="s">
        <v>337</v>
      </c>
      <c r="AQ6" s="119" t="s">
        <v>337</v>
      </c>
      <c r="AR6" s="119" t="s">
        <v>337</v>
      </c>
      <c r="AS6" s="119" t="s">
        <v>337</v>
      </c>
      <c r="AT6" s="119" t="s">
        <v>337</v>
      </c>
      <c r="AU6" s="457">
        <v>262.3</v>
      </c>
      <c r="AV6" s="119">
        <v>249</v>
      </c>
      <c r="AW6" s="119">
        <v>237.8</v>
      </c>
      <c r="AX6" s="119">
        <v>218.4</v>
      </c>
    </row>
    <row r="7" spans="1:50" s="341" customFormat="1" ht="11.25">
      <c r="A7" s="306" t="s">
        <v>259</v>
      </c>
      <c r="B7" s="307" t="s">
        <v>88</v>
      </c>
      <c r="C7" s="308"/>
      <c r="D7" s="306"/>
      <c r="E7" s="306"/>
      <c r="F7" s="306"/>
      <c r="G7" s="306"/>
      <c r="H7" s="306"/>
      <c r="I7" s="306"/>
      <c r="J7" s="306"/>
      <c r="K7" s="306"/>
      <c r="L7" s="306"/>
      <c r="M7" s="306"/>
      <c r="N7" s="306"/>
      <c r="O7" s="306"/>
      <c r="P7" s="306"/>
      <c r="Q7" s="306"/>
      <c r="R7" s="306"/>
      <c r="S7" s="306"/>
      <c r="T7" s="306"/>
      <c r="U7" s="306"/>
      <c r="V7" s="306"/>
      <c r="W7" s="306"/>
      <c r="X7" s="306"/>
      <c r="Y7" s="306"/>
      <c r="Z7" s="306"/>
      <c r="AA7" s="306"/>
      <c r="AB7" s="306"/>
      <c r="AC7" s="306"/>
      <c r="AD7" s="306"/>
      <c r="AE7" s="306"/>
      <c r="AF7" s="306"/>
      <c r="AG7" s="306"/>
      <c r="AH7" s="306"/>
      <c r="AI7" s="306"/>
      <c r="AJ7" s="306"/>
      <c r="AK7" s="306"/>
      <c r="AL7" s="306"/>
      <c r="AM7" s="306"/>
      <c r="AN7" s="306"/>
      <c r="AO7" s="306"/>
      <c r="AP7" s="121">
        <f>SUM(AP5:AP6)</f>
        <v>81979.5</v>
      </c>
      <c r="AQ7" s="116">
        <f t="shared" ref="AQ7:AV7" si="1">SUM(AQ5:AQ6)</f>
        <v>84399.5</v>
      </c>
      <c r="AR7" s="116">
        <f t="shared" si="1"/>
        <v>86922.299999999988</v>
      </c>
      <c r="AS7" s="116">
        <f t="shared" si="1"/>
        <v>90106.999999999985</v>
      </c>
      <c r="AT7" s="116">
        <f t="shared" si="1"/>
        <v>91108.10000000002</v>
      </c>
      <c r="AU7" s="458">
        <f t="shared" si="1"/>
        <v>90290.5</v>
      </c>
      <c r="AV7" s="116">
        <f t="shared" si="1"/>
        <v>94724.3</v>
      </c>
      <c r="AW7" s="116">
        <f t="shared" ref="AW7:AX7" si="2">SUM(AW5:AW6)</f>
        <v>99223.8</v>
      </c>
      <c r="AX7" s="116">
        <f t="shared" si="2"/>
        <v>103125.8</v>
      </c>
    </row>
    <row r="8" spans="1:50" s="340" customFormat="1" ht="11.25">
      <c r="A8" s="342"/>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c r="AJ8" s="342"/>
      <c r="AK8" s="342"/>
      <c r="AL8" s="342"/>
      <c r="AM8" s="342"/>
      <c r="AN8" s="342"/>
      <c r="AO8" s="342"/>
      <c r="AP8" s="342"/>
      <c r="AQ8" s="342"/>
      <c r="AR8" s="342"/>
      <c r="AS8" s="342"/>
      <c r="AT8" s="342"/>
      <c r="AU8" s="459"/>
      <c r="AV8" s="342"/>
      <c r="AW8" s="342"/>
      <c r="AX8" s="342"/>
    </row>
    <row r="9" spans="1:50" s="296" customFormat="1">
      <c r="A9" s="496" t="s">
        <v>602</v>
      </c>
      <c r="B9" s="497" t="s">
        <v>603</v>
      </c>
      <c r="C9" s="117"/>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8"/>
      <c r="AJ9" s="118"/>
      <c r="AK9" s="118"/>
      <c r="AL9" s="118"/>
      <c r="AM9" s="118"/>
      <c r="AN9" s="118"/>
      <c r="AO9" s="118"/>
      <c r="AP9" s="295">
        <v>2016</v>
      </c>
      <c r="AQ9" s="498">
        <v>2017</v>
      </c>
      <c r="AR9" s="498"/>
      <c r="AS9" s="498"/>
      <c r="AT9" s="498"/>
      <c r="AU9" s="493">
        <v>2018</v>
      </c>
      <c r="AV9" s="494"/>
      <c r="AW9" s="494"/>
      <c r="AX9" s="495"/>
    </row>
    <row r="10" spans="1:50" s="296" customFormat="1">
      <c r="A10" s="496"/>
      <c r="B10" s="497"/>
      <c r="C10" s="117"/>
      <c r="D10" s="118"/>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297" t="s">
        <v>154</v>
      </c>
      <c r="AQ10" s="298" t="s">
        <v>151</v>
      </c>
      <c r="AR10" s="298" t="s">
        <v>152</v>
      </c>
      <c r="AS10" s="298" t="s">
        <v>153</v>
      </c>
      <c r="AT10" s="298" t="s">
        <v>154</v>
      </c>
      <c r="AU10" s="455" t="s">
        <v>151</v>
      </c>
      <c r="AV10" s="298" t="s">
        <v>152</v>
      </c>
      <c r="AW10" s="298" t="s">
        <v>153</v>
      </c>
      <c r="AX10" s="298" t="s">
        <v>153</v>
      </c>
    </row>
    <row r="11" spans="1:50" s="340" customFormat="1" ht="6" customHeight="1">
      <c r="A11" s="309"/>
      <c r="B11" s="310"/>
      <c r="C11" s="311"/>
      <c r="D11" s="309"/>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309"/>
      <c r="AK11" s="309"/>
      <c r="AL11" s="309"/>
      <c r="AM11" s="309"/>
      <c r="AN11" s="309"/>
      <c r="AO11" s="309"/>
      <c r="AP11" s="343"/>
      <c r="AQ11" s="344"/>
      <c r="AR11" s="344"/>
      <c r="AS11" s="344"/>
      <c r="AT11" s="344"/>
      <c r="AU11" s="460"/>
      <c r="AV11" s="344"/>
      <c r="AW11" s="344"/>
      <c r="AX11" s="344"/>
    </row>
    <row r="12" spans="1:50" s="341" customFormat="1" ht="11.25">
      <c r="A12" s="312" t="s">
        <v>745</v>
      </c>
      <c r="B12" s="313" t="s">
        <v>744</v>
      </c>
      <c r="C12" s="314"/>
      <c r="D12" s="312"/>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312"/>
      <c r="AH12" s="312"/>
      <c r="AI12" s="312"/>
      <c r="AJ12" s="312"/>
      <c r="AK12" s="312"/>
      <c r="AL12" s="312"/>
      <c r="AM12" s="312"/>
      <c r="AN12" s="312"/>
      <c r="AO12" s="312"/>
      <c r="AP12" s="315">
        <f t="shared" ref="AP12:AU12" si="3">SUM(AP14,AP30)</f>
        <v>83447.199999999997</v>
      </c>
      <c r="AQ12" s="316">
        <f t="shared" si="3"/>
        <v>85915.6</v>
      </c>
      <c r="AR12" s="316">
        <f t="shared" si="3"/>
        <v>88458.2</v>
      </c>
      <c r="AS12" s="316">
        <f t="shared" si="3"/>
        <v>91699.7</v>
      </c>
      <c r="AT12" s="316">
        <f t="shared" si="3"/>
        <v>92775.6</v>
      </c>
      <c r="AU12" s="461">
        <f t="shared" si="3"/>
        <v>92114.4</v>
      </c>
      <c r="AV12" s="316">
        <f t="shared" ref="AV12:AW12" si="4">SUM(AV14,AV30)</f>
        <v>96711.299999999988</v>
      </c>
      <c r="AW12" s="316">
        <f t="shared" si="4"/>
        <v>101189.90000000001</v>
      </c>
      <c r="AX12" s="316">
        <f t="shared" ref="AX12" si="5">SUM(AX14,AX30)</f>
        <v>105177.40000000001</v>
      </c>
    </row>
    <row r="13" spans="1:50" s="340" customFormat="1" ht="6" customHeight="1">
      <c r="A13" s="309"/>
      <c r="B13" s="310"/>
      <c r="C13" s="311"/>
      <c r="D13" s="309"/>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c r="AE13" s="309"/>
      <c r="AF13" s="309"/>
      <c r="AG13" s="309"/>
      <c r="AH13" s="309"/>
      <c r="AI13" s="309"/>
      <c r="AJ13" s="309"/>
      <c r="AK13" s="309"/>
      <c r="AL13" s="309"/>
      <c r="AM13" s="309"/>
      <c r="AN13" s="309"/>
      <c r="AO13" s="309"/>
      <c r="AP13" s="343"/>
      <c r="AQ13" s="344"/>
      <c r="AR13" s="344"/>
      <c r="AS13" s="344"/>
      <c r="AT13" s="344"/>
      <c r="AU13" s="460"/>
      <c r="AV13" s="344"/>
      <c r="AW13" s="344"/>
      <c r="AX13" s="344"/>
    </row>
    <row r="14" spans="1:50" s="341" customFormat="1" ht="11.25">
      <c r="A14" s="317" t="s">
        <v>746</v>
      </c>
      <c r="B14" s="318" t="s">
        <v>747</v>
      </c>
      <c r="C14" s="319"/>
      <c r="D14" s="317"/>
      <c r="E14" s="317"/>
      <c r="F14" s="317"/>
      <c r="G14" s="317"/>
      <c r="H14" s="317"/>
      <c r="I14" s="317"/>
      <c r="J14" s="317"/>
      <c r="K14" s="317"/>
      <c r="L14" s="317"/>
      <c r="M14" s="317"/>
      <c r="N14" s="317"/>
      <c r="O14" s="317"/>
      <c r="P14" s="317"/>
      <c r="Q14" s="317"/>
      <c r="R14" s="317"/>
      <c r="S14" s="317"/>
      <c r="T14" s="317"/>
      <c r="U14" s="317"/>
      <c r="V14" s="317"/>
      <c r="W14" s="317"/>
      <c r="X14" s="317"/>
      <c r="Y14" s="317"/>
      <c r="Z14" s="317"/>
      <c r="AA14" s="317"/>
      <c r="AB14" s="317"/>
      <c r="AC14" s="317"/>
      <c r="AD14" s="317"/>
      <c r="AE14" s="317"/>
      <c r="AF14" s="317"/>
      <c r="AG14" s="317"/>
      <c r="AH14" s="317"/>
      <c r="AI14" s="317"/>
      <c r="AJ14" s="317"/>
      <c r="AK14" s="317"/>
      <c r="AL14" s="317"/>
      <c r="AM14" s="317"/>
      <c r="AN14" s="317"/>
      <c r="AO14" s="317"/>
      <c r="AP14" s="320">
        <f>SUM(AP15:AP17)</f>
        <v>79100.599999999991</v>
      </c>
      <c r="AQ14" s="321">
        <f t="shared" ref="AQ14:AU14" si="6">SUM(AQ15:AQ17)</f>
        <v>81785.8</v>
      </c>
      <c r="AR14" s="321">
        <f t="shared" si="6"/>
        <v>84277.2</v>
      </c>
      <c r="AS14" s="321">
        <f t="shared" si="6"/>
        <v>87356.3</v>
      </c>
      <c r="AT14" s="321">
        <f t="shared" si="6"/>
        <v>88483.8</v>
      </c>
      <c r="AU14" s="462">
        <f t="shared" si="6"/>
        <v>91367.2</v>
      </c>
      <c r="AV14" s="321">
        <f t="shared" ref="AV14:AW14" si="7">SUM(AV15:AV17)</f>
        <v>95902.299999999988</v>
      </c>
      <c r="AW14" s="321">
        <f t="shared" si="7"/>
        <v>100398.8</v>
      </c>
      <c r="AX14" s="321">
        <f t="shared" ref="AX14" si="8">SUM(AX15:AX17)</f>
        <v>104226.8</v>
      </c>
    </row>
    <row r="15" spans="1:50" s="340" customFormat="1" ht="11.25">
      <c r="A15" s="322" t="s">
        <v>604</v>
      </c>
      <c r="B15" s="323" t="s">
        <v>605</v>
      </c>
      <c r="C15" s="324"/>
      <c r="D15" s="322"/>
      <c r="E15" s="322"/>
      <c r="F15" s="322"/>
      <c r="G15" s="322"/>
      <c r="H15" s="322"/>
      <c r="I15" s="322"/>
      <c r="J15" s="322"/>
      <c r="K15" s="322"/>
      <c r="L15" s="322"/>
      <c r="M15" s="322"/>
      <c r="N15" s="322"/>
      <c r="O15" s="322"/>
      <c r="P15" s="322"/>
      <c r="Q15" s="322"/>
      <c r="R15" s="322"/>
      <c r="S15" s="322"/>
      <c r="T15" s="322"/>
      <c r="U15" s="322"/>
      <c r="V15" s="322"/>
      <c r="W15" s="322"/>
      <c r="X15" s="322"/>
      <c r="Y15" s="322"/>
      <c r="Z15" s="322"/>
      <c r="AA15" s="322"/>
      <c r="AB15" s="322"/>
      <c r="AC15" s="322"/>
      <c r="AD15" s="322"/>
      <c r="AE15" s="322"/>
      <c r="AF15" s="322"/>
      <c r="AG15" s="322"/>
      <c r="AH15" s="322"/>
      <c r="AI15" s="322"/>
      <c r="AJ15" s="322"/>
      <c r="AK15" s="322"/>
      <c r="AL15" s="322"/>
      <c r="AM15" s="322"/>
      <c r="AN15" s="322"/>
      <c r="AO15" s="322"/>
      <c r="AP15" s="325">
        <v>33450</v>
      </c>
      <c r="AQ15" s="326">
        <v>34675.199999999997</v>
      </c>
      <c r="AR15" s="326">
        <v>36236.1</v>
      </c>
      <c r="AS15" s="326">
        <v>38046.5</v>
      </c>
      <c r="AT15" s="326">
        <v>39755.4</v>
      </c>
      <c r="AU15" s="463">
        <v>42477.4</v>
      </c>
      <c r="AV15" s="326">
        <v>44811.199999999997</v>
      </c>
      <c r="AW15" s="326">
        <v>46785.7</v>
      </c>
      <c r="AX15" s="326">
        <v>48631.3</v>
      </c>
    </row>
    <row r="16" spans="1:50" s="340" customFormat="1" ht="11.25">
      <c r="A16" s="322" t="s">
        <v>606</v>
      </c>
      <c r="B16" s="323" t="s">
        <v>607</v>
      </c>
      <c r="C16" s="324"/>
      <c r="D16" s="322"/>
      <c r="E16" s="322"/>
      <c r="F16" s="322"/>
      <c r="G16" s="322"/>
      <c r="H16" s="322"/>
      <c r="I16" s="322"/>
      <c r="J16" s="322"/>
      <c r="K16" s="322"/>
      <c r="L16" s="322"/>
      <c r="M16" s="322"/>
      <c r="N16" s="322"/>
      <c r="O16" s="322"/>
      <c r="P16" s="322"/>
      <c r="Q16" s="322"/>
      <c r="R16" s="322"/>
      <c r="S16" s="322"/>
      <c r="T16" s="322"/>
      <c r="U16" s="322"/>
      <c r="V16" s="322"/>
      <c r="W16" s="322"/>
      <c r="X16" s="322"/>
      <c r="Y16" s="322"/>
      <c r="Z16" s="322"/>
      <c r="AA16" s="322"/>
      <c r="AB16" s="322"/>
      <c r="AC16" s="322"/>
      <c r="AD16" s="322"/>
      <c r="AE16" s="322"/>
      <c r="AF16" s="322"/>
      <c r="AG16" s="322"/>
      <c r="AH16" s="322"/>
      <c r="AI16" s="322"/>
      <c r="AJ16" s="322"/>
      <c r="AK16" s="322"/>
      <c r="AL16" s="322"/>
      <c r="AM16" s="322"/>
      <c r="AN16" s="322"/>
      <c r="AO16" s="322"/>
      <c r="AP16" s="325">
        <v>42233.4</v>
      </c>
      <c r="AQ16" s="326">
        <v>43730</v>
      </c>
      <c r="AR16" s="326">
        <v>44806.6</v>
      </c>
      <c r="AS16" s="326">
        <v>46243.1</v>
      </c>
      <c r="AT16" s="326">
        <v>45879.9</v>
      </c>
      <c r="AU16" s="463">
        <v>46239.5</v>
      </c>
      <c r="AV16" s="326">
        <v>48533.7</v>
      </c>
      <c r="AW16" s="326">
        <v>50952.299999999996</v>
      </c>
      <c r="AX16" s="326">
        <v>52388.2</v>
      </c>
    </row>
    <row r="17" spans="1:50" s="340" customFormat="1" ht="11.25">
      <c r="A17" s="322" t="s">
        <v>608</v>
      </c>
      <c r="B17" s="323" t="s">
        <v>609</v>
      </c>
      <c r="C17" s="324"/>
      <c r="D17" s="322"/>
      <c r="E17" s="322"/>
      <c r="F17" s="322"/>
      <c r="G17" s="322"/>
      <c r="H17" s="322"/>
      <c r="I17" s="322"/>
      <c r="J17" s="322"/>
      <c r="K17" s="322"/>
      <c r="L17" s="322"/>
      <c r="M17" s="322"/>
      <c r="N17" s="322"/>
      <c r="O17" s="322"/>
      <c r="P17" s="322"/>
      <c r="Q17" s="322"/>
      <c r="R17" s="322"/>
      <c r="S17" s="322"/>
      <c r="T17" s="322"/>
      <c r="U17" s="322"/>
      <c r="V17" s="322"/>
      <c r="W17" s="322"/>
      <c r="X17" s="322"/>
      <c r="Y17" s="322"/>
      <c r="Z17" s="322"/>
      <c r="AA17" s="322"/>
      <c r="AB17" s="322"/>
      <c r="AC17" s="322"/>
      <c r="AD17" s="322"/>
      <c r="AE17" s="322"/>
      <c r="AF17" s="322"/>
      <c r="AG17" s="322"/>
      <c r="AH17" s="322"/>
      <c r="AI17" s="322"/>
      <c r="AJ17" s="322"/>
      <c r="AK17" s="322"/>
      <c r="AL17" s="322"/>
      <c r="AM17" s="322"/>
      <c r="AN17" s="322"/>
      <c r="AO17" s="322"/>
      <c r="AP17" s="325">
        <v>3417.2</v>
      </c>
      <c r="AQ17" s="326">
        <v>3380.6</v>
      </c>
      <c r="AR17" s="326">
        <v>3234.5</v>
      </c>
      <c r="AS17" s="326">
        <v>3066.7</v>
      </c>
      <c r="AT17" s="326">
        <v>2848.5</v>
      </c>
      <c r="AU17" s="463">
        <v>2650.3</v>
      </c>
      <c r="AV17" s="326">
        <v>2557.4</v>
      </c>
      <c r="AW17" s="326">
        <v>2660.8</v>
      </c>
      <c r="AX17" s="326">
        <v>3207.3</v>
      </c>
    </row>
    <row r="18" spans="1:50" s="340" customFormat="1" ht="11.25">
      <c r="A18" s="327" t="s">
        <v>610</v>
      </c>
      <c r="B18" s="328" t="s">
        <v>611</v>
      </c>
      <c r="C18" s="329"/>
      <c r="D18" s="327"/>
      <c r="E18" s="327"/>
      <c r="F18" s="327"/>
      <c r="G18" s="327"/>
      <c r="H18" s="327"/>
      <c r="I18" s="327"/>
      <c r="J18" s="327"/>
      <c r="K18" s="327"/>
      <c r="L18" s="327"/>
      <c r="M18" s="327"/>
      <c r="N18" s="327"/>
      <c r="O18" s="327"/>
      <c r="P18" s="327"/>
      <c r="Q18" s="327"/>
      <c r="R18" s="327"/>
      <c r="S18" s="327"/>
      <c r="T18" s="327"/>
      <c r="U18" s="327"/>
      <c r="V18" s="327"/>
      <c r="W18" s="327"/>
      <c r="X18" s="327"/>
      <c r="Y18" s="327"/>
      <c r="Z18" s="327"/>
      <c r="AA18" s="327"/>
      <c r="AB18" s="327"/>
      <c r="AC18" s="327"/>
      <c r="AD18" s="327"/>
      <c r="AE18" s="327"/>
      <c r="AF18" s="327"/>
      <c r="AG18" s="327"/>
      <c r="AH18" s="327"/>
      <c r="AI18" s="327"/>
      <c r="AJ18" s="327"/>
      <c r="AK18" s="327"/>
      <c r="AL18" s="327"/>
      <c r="AM18" s="327"/>
      <c r="AN18" s="327"/>
      <c r="AO18" s="327"/>
      <c r="AP18" s="330">
        <f t="shared" ref="AP18:AU18" si="9">SUM(AP19,AP25)</f>
        <v>79100.599999999991</v>
      </c>
      <c r="AQ18" s="331">
        <f t="shared" si="9"/>
        <v>81785.8</v>
      </c>
      <c r="AR18" s="331">
        <f t="shared" si="9"/>
        <v>84277.2</v>
      </c>
      <c r="AS18" s="331">
        <f t="shared" si="9"/>
        <v>87356.299999999988</v>
      </c>
      <c r="AT18" s="331">
        <f t="shared" si="9"/>
        <v>88483.8</v>
      </c>
      <c r="AU18" s="464">
        <f t="shared" si="9"/>
        <v>91367.2</v>
      </c>
      <c r="AV18" s="331">
        <f t="shared" ref="AV18:AW18" si="10">SUM(AV19,AV25)</f>
        <v>95902.3</v>
      </c>
      <c r="AW18" s="331">
        <f t="shared" si="10"/>
        <v>100398.79999999999</v>
      </c>
      <c r="AX18" s="331">
        <f t="shared" ref="AX18" si="11">SUM(AX19,AX25)</f>
        <v>104226.79999999999</v>
      </c>
    </row>
    <row r="19" spans="1:50" s="340" customFormat="1" ht="11.25">
      <c r="A19" s="332" t="s">
        <v>612</v>
      </c>
      <c r="B19" s="333" t="s">
        <v>613</v>
      </c>
      <c r="C19" s="334"/>
      <c r="D19" s="332"/>
      <c r="E19" s="332"/>
      <c r="F19" s="332"/>
      <c r="G19" s="332"/>
      <c r="H19" s="332"/>
      <c r="I19" s="332"/>
      <c r="J19" s="332"/>
      <c r="K19" s="332"/>
      <c r="L19" s="332"/>
      <c r="M19" s="332"/>
      <c r="N19" s="332"/>
      <c r="O19" s="332"/>
      <c r="P19" s="332"/>
      <c r="Q19" s="332"/>
      <c r="R19" s="332"/>
      <c r="S19" s="332"/>
      <c r="T19" s="332"/>
      <c r="U19" s="332"/>
      <c r="V19" s="332"/>
      <c r="W19" s="332"/>
      <c r="X19" s="332"/>
      <c r="Y19" s="332"/>
      <c r="Z19" s="332"/>
      <c r="AA19" s="332"/>
      <c r="AB19" s="332"/>
      <c r="AC19" s="332"/>
      <c r="AD19" s="332"/>
      <c r="AE19" s="332"/>
      <c r="AF19" s="332"/>
      <c r="AG19" s="332"/>
      <c r="AH19" s="332"/>
      <c r="AI19" s="332"/>
      <c r="AJ19" s="332"/>
      <c r="AK19" s="332"/>
      <c r="AL19" s="332"/>
      <c r="AM19" s="332"/>
      <c r="AN19" s="332"/>
      <c r="AO19" s="332"/>
      <c r="AP19" s="330">
        <f t="shared" ref="AP19:AU19" si="12">SUM(AP20:AP24)</f>
        <v>47459.999999999993</v>
      </c>
      <c r="AQ19" s="331">
        <f t="shared" si="12"/>
        <v>48999.6</v>
      </c>
      <c r="AR19" s="331">
        <f t="shared" si="12"/>
        <v>49955.9</v>
      </c>
      <c r="AS19" s="331">
        <f t="shared" si="12"/>
        <v>51561</v>
      </c>
      <c r="AT19" s="331">
        <f t="shared" si="12"/>
        <v>50974.8</v>
      </c>
      <c r="AU19" s="464">
        <f t="shared" si="12"/>
        <v>51942.5</v>
      </c>
      <c r="AV19" s="331">
        <f t="shared" ref="AV19:AW19" si="13">SUM(AV20:AV24)</f>
        <v>54179.199999999997</v>
      </c>
      <c r="AW19" s="331">
        <f t="shared" si="13"/>
        <v>56859</v>
      </c>
      <c r="AX19" s="331">
        <f t="shared" ref="AX19" si="14">SUM(AX20:AX24)</f>
        <v>58863.500000000007</v>
      </c>
    </row>
    <row r="20" spans="1:50" s="340" customFormat="1" ht="11.25">
      <c r="A20" s="335" t="s">
        <v>614</v>
      </c>
      <c r="B20" s="336" t="s">
        <v>615</v>
      </c>
      <c r="C20" s="337"/>
      <c r="D20" s="335"/>
      <c r="E20" s="335"/>
      <c r="F20" s="335"/>
      <c r="G20" s="335"/>
      <c r="H20" s="335"/>
      <c r="I20" s="335"/>
      <c r="J20" s="335"/>
      <c r="K20" s="335"/>
      <c r="L20" s="335"/>
      <c r="M20" s="335"/>
      <c r="N20" s="335"/>
      <c r="O20" s="335"/>
      <c r="P20" s="335"/>
      <c r="Q20" s="335"/>
      <c r="R20" s="335"/>
      <c r="S20" s="335"/>
      <c r="T20" s="335"/>
      <c r="U20" s="335"/>
      <c r="V20" s="335"/>
      <c r="W20" s="335"/>
      <c r="X20" s="335"/>
      <c r="Y20" s="335"/>
      <c r="Z20" s="335"/>
      <c r="AA20" s="335"/>
      <c r="AB20" s="335"/>
      <c r="AC20" s="335"/>
      <c r="AD20" s="335"/>
      <c r="AE20" s="335"/>
      <c r="AF20" s="335"/>
      <c r="AG20" s="335"/>
      <c r="AH20" s="335"/>
      <c r="AI20" s="335"/>
      <c r="AJ20" s="335"/>
      <c r="AK20" s="335"/>
      <c r="AL20" s="335"/>
      <c r="AM20" s="335"/>
      <c r="AN20" s="335"/>
      <c r="AO20" s="335"/>
      <c r="AP20" s="325">
        <v>7544.2000000000007</v>
      </c>
      <c r="AQ20" s="326">
        <v>9431</v>
      </c>
      <c r="AR20" s="326">
        <v>9538.6</v>
      </c>
      <c r="AS20" s="326">
        <v>9904.2000000000007</v>
      </c>
      <c r="AT20" s="326">
        <v>9230.7000000000007</v>
      </c>
      <c r="AU20" s="463">
        <v>10622.500000000002</v>
      </c>
      <c r="AV20" s="326">
        <v>10393.199999999999</v>
      </c>
      <c r="AW20" s="326">
        <v>11222.6</v>
      </c>
      <c r="AX20" s="326">
        <v>10782.9</v>
      </c>
    </row>
    <row r="21" spans="1:50" s="340" customFormat="1" ht="11.25">
      <c r="A21" s="335" t="s">
        <v>616</v>
      </c>
      <c r="B21" s="336" t="s">
        <v>617</v>
      </c>
      <c r="C21" s="337"/>
      <c r="D21" s="335"/>
      <c r="E21" s="335"/>
      <c r="F21" s="335"/>
      <c r="G21" s="335"/>
      <c r="H21" s="335"/>
      <c r="I21" s="335"/>
      <c r="J21" s="335"/>
      <c r="K21" s="335"/>
      <c r="L21" s="335"/>
      <c r="M21" s="335"/>
      <c r="N21" s="335"/>
      <c r="O21" s="335"/>
      <c r="P21" s="335"/>
      <c r="Q21" s="335"/>
      <c r="R21" s="335"/>
      <c r="S21" s="335"/>
      <c r="T21" s="335"/>
      <c r="U21" s="335"/>
      <c r="V21" s="335"/>
      <c r="W21" s="335"/>
      <c r="X21" s="335"/>
      <c r="Y21" s="335"/>
      <c r="Z21" s="335"/>
      <c r="AA21" s="335"/>
      <c r="AB21" s="335"/>
      <c r="AC21" s="335"/>
      <c r="AD21" s="335"/>
      <c r="AE21" s="335"/>
      <c r="AF21" s="335"/>
      <c r="AG21" s="335"/>
      <c r="AH21" s="335"/>
      <c r="AI21" s="335"/>
      <c r="AJ21" s="335"/>
      <c r="AK21" s="335"/>
      <c r="AL21" s="335"/>
      <c r="AM21" s="335"/>
      <c r="AN21" s="335"/>
      <c r="AO21" s="335"/>
      <c r="AP21" s="325">
        <v>27754</v>
      </c>
      <c r="AQ21" s="326">
        <v>27293.1</v>
      </c>
      <c r="AR21" s="326">
        <v>27919.200000000001</v>
      </c>
      <c r="AS21" s="326">
        <v>28932.800000000003</v>
      </c>
      <c r="AT21" s="326">
        <v>28673.800000000003</v>
      </c>
      <c r="AU21" s="463">
        <v>28311.799999999996</v>
      </c>
      <c r="AV21" s="326">
        <v>30441.599999999999</v>
      </c>
      <c r="AW21" s="326">
        <v>31819.8</v>
      </c>
      <c r="AX21" s="326">
        <v>33243.9</v>
      </c>
    </row>
    <row r="22" spans="1:50" s="340" customFormat="1" ht="11.25">
      <c r="A22" s="335" t="s">
        <v>618</v>
      </c>
      <c r="B22" s="336" t="s">
        <v>619</v>
      </c>
      <c r="C22" s="337"/>
      <c r="D22" s="335"/>
      <c r="E22" s="335"/>
      <c r="F22" s="335"/>
      <c r="G22" s="335"/>
      <c r="H22" s="335"/>
      <c r="I22" s="335"/>
      <c r="J22" s="335"/>
      <c r="K22" s="335"/>
      <c r="L22" s="335"/>
      <c r="M22" s="335"/>
      <c r="N22" s="335"/>
      <c r="O22" s="335"/>
      <c r="P22" s="335"/>
      <c r="Q22" s="335"/>
      <c r="R22" s="335"/>
      <c r="S22" s="335"/>
      <c r="T22" s="335"/>
      <c r="U22" s="335"/>
      <c r="V22" s="335"/>
      <c r="W22" s="335"/>
      <c r="X22" s="335"/>
      <c r="Y22" s="335"/>
      <c r="Z22" s="335"/>
      <c r="AA22" s="335"/>
      <c r="AB22" s="335"/>
      <c r="AC22" s="335"/>
      <c r="AD22" s="335"/>
      <c r="AE22" s="335"/>
      <c r="AF22" s="335"/>
      <c r="AG22" s="335"/>
      <c r="AH22" s="335"/>
      <c r="AI22" s="335"/>
      <c r="AJ22" s="335"/>
      <c r="AK22" s="335"/>
      <c r="AL22" s="335"/>
      <c r="AM22" s="335"/>
      <c r="AN22" s="335"/>
      <c r="AO22" s="335"/>
      <c r="AP22" s="325">
        <v>5258.2000000000007</v>
      </c>
      <c r="AQ22" s="326">
        <v>5278</v>
      </c>
      <c r="AR22" s="326">
        <v>5549.6</v>
      </c>
      <c r="AS22" s="326">
        <v>5725</v>
      </c>
      <c r="AT22" s="326">
        <v>5902.2999999999993</v>
      </c>
      <c r="AU22" s="463">
        <v>6116.6</v>
      </c>
      <c r="AV22" s="326">
        <v>6481.0999999999995</v>
      </c>
      <c r="AW22" s="326">
        <v>6782.5999999999995</v>
      </c>
      <c r="AX22" s="326">
        <v>7165.0000000000009</v>
      </c>
    </row>
    <row r="23" spans="1:50" s="340" customFormat="1" ht="11.25">
      <c r="A23" s="335" t="s">
        <v>620</v>
      </c>
      <c r="B23" s="336" t="s">
        <v>621</v>
      </c>
      <c r="C23" s="337"/>
      <c r="D23" s="335"/>
      <c r="E23" s="335"/>
      <c r="F23" s="335"/>
      <c r="G23" s="335"/>
      <c r="H23" s="335"/>
      <c r="I23" s="335"/>
      <c r="J23" s="335"/>
      <c r="K23" s="335"/>
      <c r="L23" s="335"/>
      <c r="M23" s="335"/>
      <c r="N23" s="335"/>
      <c r="O23" s="335"/>
      <c r="P23" s="335"/>
      <c r="Q23" s="335"/>
      <c r="R23" s="335"/>
      <c r="S23" s="335"/>
      <c r="T23" s="335"/>
      <c r="U23" s="335"/>
      <c r="V23" s="335"/>
      <c r="W23" s="335"/>
      <c r="X23" s="335"/>
      <c r="Y23" s="335"/>
      <c r="Z23" s="335"/>
      <c r="AA23" s="335"/>
      <c r="AB23" s="335"/>
      <c r="AC23" s="335"/>
      <c r="AD23" s="335"/>
      <c r="AE23" s="335"/>
      <c r="AF23" s="335"/>
      <c r="AG23" s="335"/>
      <c r="AH23" s="335"/>
      <c r="AI23" s="335"/>
      <c r="AJ23" s="335"/>
      <c r="AK23" s="335"/>
      <c r="AL23" s="335"/>
      <c r="AM23" s="335"/>
      <c r="AN23" s="335"/>
      <c r="AO23" s="335"/>
      <c r="AP23" s="325">
        <v>4373.7000000000007</v>
      </c>
      <c r="AQ23" s="326">
        <v>4536.8999999999996</v>
      </c>
      <c r="AR23" s="326">
        <v>4643.2</v>
      </c>
      <c r="AS23" s="326">
        <v>4742.6000000000004</v>
      </c>
      <c r="AT23" s="326">
        <v>4619.8</v>
      </c>
      <c r="AU23" s="463">
        <v>4583.8</v>
      </c>
      <c r="AV23" s="326">
        <v>4773.9000000000005</v>
      </c>
      <c r="AW23" s="326">
        <v>4793.2999999999993</v>
      </c>
      <c r="AX23" s="326">
        <v>4861.8999999999996</v>
      </c>
    </row>
    <row r="24" spans="1:50" s="340" customFormat="1" ht="11.25">
      <c r="A24" s="335" t="s">
        <v>622</v>
      </c>
      <c r="B24" s="336" t="s">
        <v>623</v>
      </c>
      <c r="C24" s="337"/>
      <c r="D24" s="335"/>
      <c r="E24" s="335"/>
      <c r="F24" s="335"/>
      <c r="G24" s="335"/>
      <c r="H24" s="335"/>
      <c r="I24" s="335"/>
      <c r="J24" s="335"/>
      <c r="K24" s="335"/>
      <c r="L24" s="335"/>
      <c r="M24" s="335"/>
      <c r="N24" s="335"/>
      <c r="O24" s="335"/>
      <c r="P24" s="335"/>
      <c r="Q24" s="335"/>
      <c r="R24" s="335"/>
      <c r="S24" s="335"/>
      <c r="T24" s="335"/>
      <c r="U24" s="335"/>
      <c r="V24" s="335"/>
      <c r="W24" s="335"/>
      <c r="X24" s="335"/>
      <c r="Y24" s="335"/>
      <c r="Z24" s="335"/>
      <c r="AA24" s="335"/>
      <c r="AB24" s="335"/>
      <c r="AC24" s="335"/>
      <c r="AD24" s="335"/>
      <c r="AE24" s="335"/>
      <c r="AF24" s="335"/>
      <c r="AG24" s="335"/>
      <c r="AH24" s="335"/>
      <c r="AI24" s="335"/>
      <c r="AJ24" s="335"/>
      <c r="AK24" s="335"/>
      <c r="AL24" s="335"/>
      <c r="AM24" s="335"/>
      <c r="AN24" s="335"/>
      <c r="AO24" s="335"/>
      <c r="AP24" s="325">
        <v>2529.8999999999996</v>
      </c>
      <c r="AQ24" s="326">
        <v>2460.6000000000004</v>
      </c>
      <c r="AR24" s="326">
        <v>2305.3000000000002</v>
      </c>
      <c r="AS24" s="326">
        <v>2256.4</v>
      </c>
      <c r="AT24" s="326">
        <v>2548.1999999999998</v>
      </c>
      <c r="AU24" s="463">
        <v>2307.8000000000002</v>
      </c>
      <c r="AV24" s="326">
        <v>2089.4</v>
      </c>
      <c r="AW24" s="326">
        <v>2240.6999999999998</v>
      </c>
      <c r="AX24" s="326">
        <v>2809.8</v>
      </c>
    </row>
    <row r="25" spans="1:50" s="340" customFormat="1" ht="11.25">
      <c r="A25" s="332" t="s">
        <v>624</v>
      </c>
      <c r="B25" s="333" t="s">
        <v>625</v>
      </c>
      <c r="C25" s="334"/>
      <c r="D25" s="332"/>
      <c r="E25" s="332"/>
      <c r="F25" s="332"/>
      <c r="G25" s="332"/>
      <c r="H25" s="332"/>
      <c r="I25" s="332"/>
      <c r="J25" s="332"/>
      <c r="K25" s="332"/>
      <c r="L25" s="332"/>
      <c r="M25" s="332"/>
      <c r="N25" s="332"/>
      <c r="O25" s="332"/>
      <c r="P25" s="332"/>
      <c r="Q25" s="332"/>
      <c r="R25" s="332"/>
      <c r="S25" s="332"/>
      <c r="T25" s="332"/>
      <c r="U25" s="332"/>
      <c r="V25" s="332"/>
      <c r="W25" s="332"/>
      <c r="X25" s="332"/>
      <c r="Y25" s="332"/>
      <c r="Z25" s="332"/>
      <c r="AA25" s="332"/>
      <c r="AB25" s="332"/>
      <c r="AC25" s="332"/>
      <c r="AD25" s="332"/>
      <c r="AE25" s="332"/>
      <c r="AF25" s="332"/>
      <c r="AG25" s="332"/>
      <c r="AH25" s="332"/>
      <c r="AI25" s="332"/>
      <c r="AJ25" s="332"/>
      <c r="AK25" s="332"/>
      <c r="AL25" s="332"/>
      <c r="AM25" s="332"/>
      <c r="AN25" s="332"/>
      <c r="AO25" s="332"/>
      <c r="AP25" s="330">
        <f t="shared" ref="AP25" si="15">SUM(AP26:AP29)</f>
        <v>31640.600000000002</v>
      </c>
      <c r="AQ25" s="331">
        <f t="shared" ref="AQ25:AU25" si="16">SUM(AQ26:AQ29)</f>
        <v>32786.200000000004</v>
      </c>
      <c r="AR25" s="331">
        <f t="shared" si="16"/>
        <v>34321.299999999996</v>
      </c>
      <c r="AS25" s="331">
        <f t="shared" si="16"/>
        <v>35795.299999999996</v>
      </c>
      <c r="AT25" s="331">
        <f t="shared" si="16"/>
        <v>37509</v>
      </c>
      <c r="AU25" s="464">
        <f t="shared" si="16"/>
        <v>39424.699999999997</v>
      </c>
      <c r="AV25" s="331">
        <f t="shared" ref="AV25:AW25" si="17">SUM(AV26:AV29)</f>
        <v>41723.100000000006</v>
      </c>
      <c r="AW25" s="331">
        <f t="shared" si="17"/>
        <v>43539.799999999996</v>
      </c>
      <c r="AX25" s="331">
        <f t="shared" ref="AX25" si="18">SUM(AX26:AX29)</f>
        <v>45363.299999999988</v>
      </c>
    </row>
    <row r="26" spans="1:50" s="340" customFormat="1" ht="11.25">
      <c r="A26" s="335" t="s">
        <v>626</v>
      </c>
      <c r="B26" s="336" t="s">
        <v>627</v>
      </c>
      <c r="C26" s="337"/>
      <c r="D26" s="335"/>
      <c r="E26" s="335"/>
      <c r="F26" s="335"/>
      <c r="G26" s="335"/>
      <c r="H26" s="335"/>
      <c r="I26" s="335"/>
      <c r="J26" s="335"/>
      <c r="K26" s="335"/>
      <c r="L26" s="335"/>
      <c r="M26" s="335"/>
      <c r="N26" s="335"/>
      <c r="O26" s="335"/>
      <c r="P26" s="335"/>
      <c r="Q26" s="335"/>
      <c r="R26" s="335"/>
      <c r="S26" s="335"/>
      <c r="T26" s="335"/>
      <c r="U26" s="335"/>
      <c r="V26" s="335"/>
      <c r="W26" s="335"/>
      <c r="X26" s="335"/>
      <c r="Y26" s="335"/>
      <c r="Z26" s="335"/>
      <c r="AA26" s="335"/>
      <c r="AB26" s="335"/>
      <c r="AC26" s="335"/>
      <c r="AD26" s="335"/>
      <c r="AE26" s="335"/>
      <c r="AF26" s="335"/>
      <c r="AG26" s="335"/>
      <c r="AH26" s="335"/>
      <c r="AI26" s="335"/>
      <c r="AJ26" s="335"/>
      <c r="AK26" s="335"/>
      <c r="AL26" s="335"/>
      <c r="AM26" s="335"/>
      <c r="AN26" s="335"/>
      <c r="AO26" s="335"/>
      <c r="AP26" s="325">
        <v>23469.3</v>
      </c>
      <c r="AQ26" s="326">
        <v>24171.600000000002</v>
      </c>
      <c r="AR26" s="326">
        <v>25179.599999999999</v>
      </c>
      <c r="AS26" s="326">
        <v>26234.600000000002</v>
      </c>
      <c r="AT26" s="326">
        <v>27539.8</v>
      </c>
      <c r="AU26" s="463">
        <v>28892.1</v>
      </c>
      <c r="AV26" s="326">
        <v>30540.9</v>
      </c>
      <c r="AW26" s="326">
        <v>31988.899999999998</v>
      </c>
      <c r="AX26" s="326">
        <v>33371.699999999997</v>
      </c>
    </row>
    <row r="27" spans="1:50" s="340" customFormat="1" ht="11.25">
      <c r="A27" s="335" t="s">
        <v>614</v>
      </c>
      <c r="B27" s="336" t="s">
        <v>615</v>
      </c>
      <c r="C27" s="337"/>
      <c r="D27" s="335"/>
      <c r="E27" s="335"/>
      <c r="F27" s="335"/>
      <c r="G27" s="335"/>
      <c r="H27" s="335"/>
      <c r="I27" s="335"/>
      <c r="J27" s="335"/>
      <c r="K27" s="335"/>
      <c r="L27" s="335"/>
      <c r="M27" s="335"/>
      <c r="N27" s="335"/>
      <c r="O27" s="335"/>
      <c r="P27" s="335"/>
      <c r="Q27" s="335"/>
      <c r="R27" s="335"/>
      <c r="S27" s="335"/>
      <c r="T27" s="335"/>
      <c r="U27" s="335"/>
      <c r="V27" s="335"/>
      <c r="W27" s="335"/>
      <c r="X27" s="335"/>
      <c r="Y27" s="335"/>
      <c r="Z27" s="335"/>
      <c r="AA27" s="335"/>
      <c r="AB27" s="335"/>
      <c r="AC27" s="335"/>
      <c r="AD27" s="335"/>
      <c r="AE27" s="335"/>
      <c r="AF27" s="335"/>
      <c r="AG27" s="335"/>
      <c r="AH27" s="335"/>
      <c r="AI27" s="335"/>
      <c r="AJ27" s="335"/>
      <c r="AK27" s="335"/>
      <c r="AL27" s="335"/>
      <c r="AM27" s="335"/>
      <c r="AN27" s="335"/>
      <c r="AO27" s="335"/>
      <c r="AP27" s="325">
        <v>1217.9000000000001</v>
      </c>
      <c r="AQ27" s="326">
        <v>1281.0999999999999</v>
      </c>
      <c r="AR27" s="326">
        <v>1328.1</v>
      </c>
      <c r="AS27" s="326">
        <v>1367.6</v>
      </c>
      <c r="AT27" s="326">
        <v>1315</v>
      </c>
      <c r="AU27" s="463">
        <v>1394.1999999999998</v>
      </c>
      <c r="AV27" s="326">
        <v>1403.4</v>
      </c>
      <c r="AW27" s="326">
        <v>1376.8000000000002</v>
      </c>
      <c r="AX27" s="326">
        <v>1329.2</v>
      </c>
    </row>
    <row r="28" spans="1:50" s="340" customFormat="1" ht="11.25">
      <c r="A28" s="335" t="s">
        <v>618</v>
      </c>
      <c r="B28" s="336" t="s">
        <v>619</v>
      </c>
      <c r="C28" s="337"/>
      <c r="D28" s="335"/>
      <c r="E28" s="335"/>
      <c r="F28" s="335"/>
      <c r="G28" s="335"/>
      <c r="H28" s="335"/>
      <c r="I28" s="335"/>
      <c r="J28" s="335"/>
      <c r="K28" s="335"/>
      <c r="L28" s="335"/>
      <c r="M28" s="335"/>
      <c r="N28" s="335"/>
      <c r="O28" s="335"/>
      <c r="P28" s="335"/>
      <c r="Q28" s="335"/>
      <c r="R28" s="335"/>
      <c r="S28" s="335"/>
      <c r="T28" s="335"/>
      <c r="U28" s="335"/>
      <c r="V28" s="335"/>
      <c r="W28" s="335"/>
      <c r="X28" s="335"/>
      <c r="Y28" s="335"/>
      <c r="Z28" s="335"/>
      <c r="AA28" s="335"/>
      <c r="AB28" s="335"/>
      <c r="AC28" s="335"/>
      <c r="AD28" s="335"/>
      <c r="AE28" s="335"/>
      <c r="AF28" s="335"/>
      <c r="AG28" s="335"/>
      <c r="AH28" s="335"/>
      <c r="AI28" s="335"/>
      <c r="AJ28" s="335"/>
      <c r="AK28" s="335"/>
      <c r="AL28" s="335"/>
      <c r="AM28" s="335"/>
      <c r="AN28" s="335"/>
      <c r="AO28" s="335"/>
      <c r="AP28" s="325">
        <v>502.4</v>
      </c>
      <c r="AQ28" s="326">
        <v>536.4</v>
      </c>
      <c r="AR28" s="326">
        <v>576.9</v>
      </c>
      <c r="AS28" s="326">
        <v>631.1</v>
      </c>
      <c r="AT28" s="326">
        <v>690.7</v>
      </c>
      <c r="AU28" s="463">
        <v>753</v>
      </c>
      <c r="AV28" s="326">
        <v>811.2</v>
      </c>
      <c r="AW28" s="326">
        <v>872.9</v>
      </c>
      <c r="AX28" s="326">
        <v>979.1</v>
      </c>
    </row>
    <row r="29" spans="1:50" s="340" customFormat="1" ht="11.25">
      <c r="A29" s="335" t="s">
        <v>628</v>
      </c>
      <c r="B29" s="336" t="s">
        <v>629</v>
      </c>
      <c r="C29" s="337"/>
      <c r="D29" s="335"/>
      <c r="E29" s="335"/>
      <c r="F29" s="335"/>
      <c r="G29" s="335"/>
      <c r="H29" s="335"/>
      <c r="I29" s="335"/>
      <c r="J29" s="335"/>
      <c r="K29" s="335"/>
      <c r="L29" s="335"/>
      <c r="M29" s="335"/>
      <c r="N29" s="335"/>
      <c r="O29" s="335"/>
      <c r="P29" s="335"/>
      <c r="Q29" s="335"/>
      <c r="R29" s="335"/>
      <c r="S29" s="335"/>
      <c r="T29" s="335"/>
      <c r="U29" s="335"/>
      <c r="V29" s="335"/>
      <c r="W29" s="335"/>
      <c r="X29" s="335"/>
      <c r="Y29" s="335"/>
      <c r="Z29" s="335"/>
      <c r="AA29" s="335"/>
      <c r="AB29" s="335"/>
      <c r="AC29" s="335"/>
      <c r="AD29" s="335"/>
      <c r="AE29" s="335"/>
      <c r="AF29" s="335"/>
      <c r="AG29" s="335"/>
      <c r="AH29" s="335"/>
      <c r="AI29" s="335"/>
      <c r="AJ29" s="335"/>
      <c r="AK29" s="335"/>
      <c r="AL29" s="335"/>
      <c r="AM29" s="335"/>
      <c r="AN29" s="335"/>
      <c r="AO29" s="335"/>
      <c r="AP29" s="325">
        <v>6451</v>
      </c>
      <c r="AQ29" s="326">
        <v>6797.1</v>
      </c>
      <c r="AR29" s="326">
        <v>7236.7</v>
      </c>
      <c r="AS29" s="326">
        <v>7561.9999999999991</v>
      </c>
      <c r="AT29" s="326">
        <v>7963.5000000000009</v>
      </c>
      <c r="AU29" s="463">
        <v>8385.4</v>
      </c>
      <c r="AV29" s="326">
        <v>8967.6</v>
      </c>
      <c r="AW29" s="326">
        <v>9301.1999999999989</v>
      </c>
      <c r="AX29" s="326">
        <v>9683.2999999999975</v>
      </c>
    </row>
    <row r="30" spans="1:50" s="341" customFormat="1" ht="11.25">
      <c r="A30" s="317" t="s">
        <v>759</v>
      </c>
      <c r="B30" s="318" t="s">
        <v>748</v>
      </c>
      <c r="C30" s="319"/>
      <c r="D30" s="317"/>
      <c r="E30" s="317"/>
      <c r="F30" s="317"/>
      <c r="G30" s="317"/>
      <c r="H30" s="317"/>
      <c r="I30" s="317"/>
      <c r="J30" s="317"/>
      <c r="K30" s="317"/>
      <c r="L30" s="317"/>
      <c r="M30" s="317"/>
      <c r="N30" s="317"/>
      <c r="O30" s="317"/>
      <c r="P30" s="317"/>
      <c r="Q30" s="317"/>
      <c r="R30" s="317"/>
      <c r="S30" s="317"/>
      <c r="T30" s="317"/>
      <c r="U30" s="317"/>
      <c r="V30" s="317"/>
      <c r="W30" s="317"/>
      <c r="X30" s="317"/>
      <c r="Y30" s="317"/>
      <c r="Z30" s="317"/>
      <c r="AA30" s="317"/>
      <c r="AB30" s="317"/>
      <c r="AC30" s="317"/>
      <c r="AD30" s="317"/>
      <c r="AE30" s="317"/>
      <c r="AF30" s="317"/>
      <c r="AG30" s="317"/>
      <c r="AH30" s="317"/>
      <c r="AI30" s="317"/>
      <c r="AJ30" s="317"/>
      <c r="AK30" s="317"/>
      <c r="AL30" s="317"/>
      <c r="AM30" s="317"/>
      <c r="AN30" s="317"/>
      <c r="AO30" s="317"/>
      <c r="AP30" s="320">
        <f t="shared" ref="AP30" si="19">SUM(AP31:AP34)</f>
        <v>4346.5999999999995</v>
      </c>
      <c r="AQ30" s="321">
        <f t="shared" ref="AQ30:AU30" si="20">SUM(AQ31:AQ34)</f>
        <v>4129.8</v>
      </c>
      <c r="AR30" s="321">
        <f t="shared" si="20"/>
        <v>4181</v>
      </c>
      <c r="AS30" s="321">
        <f t="shared" si="20"/>
        <v>4343.4000000000005</v>
      </c>
      <c r="AT30" s="321">
        <f t="shared" si="20"/>
        <v>4291.8000000000011</v>
      </c>
      <c r="AU30" s="462">
        <f t="shared" si="20"/>
        <v>747.2</v>
      </c>
      <c r="AV30" s="321">
        <f t="shared" ref="AV30:AW30" si="21">SUM(AV31:AV34)</f>
        <v>809</v>
      </c>
      <c r="AW30" s="321">
        <f t="shared" si="21"/>
        <v>791.1</v>
      </c>
      <c r="AX30" s="321">
        <f t="shared" ref="AX30" si="22">SUM(AX31:AX34)</f>
        <v>950.6</v>
      </c>
    </row>
    <row r="31" spans="1:50" s="340" customFormat="1" ht="11.25">
      <c r="A31" s="335" t="s">
        <v>740</v>
      </c>
      <c r="B31" s="336" t="s">
        <v>630</v>
      </c>
      <c r="C31" s="337"/>
      <c r="D31" s="335"/>
      <c r="E31" s="335"/>
      <c r="F31" s="335"/>
      <c r="G31" s="335"/>
      <c r="H31" s="335"/>
      <c r="I31" s="335"/>
      <c r="J31" s="335"/>
      <c r="K31" s="335"/>
      <c r="L31" s="335"/>
      <c r="M31" s="335"/>
      <c r="N31" s="335"/>
      <c r="O31" s="335"/>
      <c r="P31" s="335"/>
      <c r="Q31" s="335"/>
      <c r="R31" s="335"/>
      <c r="S31" s="335"/>
      <c r="T31" s="335"/>
      <c r="U31" s="335"/>
      <c r="V31" s="335"/>
      <c r="W31" s="335"/>
      <c r="X31" s="335"/>
      <c r="Y31" s="335"/>
      <c r="Z31" s="335"/>
      <c r="AA31" s="335"/>
      <c r="AB31" s="335"/>
      <c r="AC31" s="335"/>
      <c r="AD31" s="335"/>
      <c r="AE31" s="335"/>
      <c r="AF31" s="335"/>
      <c r="AG31" s="335"/>
      <c r="AH31" s="335"/>
      <c r="AI31" s="335"/>
      <c r="AJ31" s="335"/>
      <c r="AK31" s="335"/>
      <c r="AL31" s="335"/>
      <c r="AM31" s="335"/>
      <c r="AN31" s="335"/>
      <c r="AO31" s="335"/>
      <c r="AP31" s="325">
        <v>3910.7</v>
      </c>
      <c r="AQ31" s="326">
        <v>3686.4</v>
      </c>
      <c r="AR31" s="326">
        <v>3589.8</v>
      </c>
      <c r="AS31" s="326">
        <v>3674.4</v>
      </c>
      <c r="AT31" s="326">
        <v>3564.8</v>
      </c>
      <c r="AU31" s="463">
        <v>0</v>
      </c>
      <c r="AV31" s="326">
        <v>0</v>
      </c>
      <c r="AW31" s="326">
        <v>0</v>
      </c>
      <c r="AX31" s="326">
        <v>0</v>
      </c>
    </row>
    <row r="32" spans="1:50" s="340" customFormat="1" ht="11.25">
      <c r="A32" s="335" t="s">
        <v>631</v>
      </c>
      <c r="B32" s="336" t="s">
        <v>632</v>
      </c>
      <c r="C32" s="337"/>
      <c r="D32" s="335"/>
      <c r="E32" s="335"/>
      <c r="F32" s="335"/>
      <c r="G32" s="335"/>
      <c r="H32" s="335"/>
      <c r="I32" s="335"/>
      <c r="J32" s="335"/>
      <c r="K32" s="335"/>
      <c r="L32" s="335"/>
      <c r="M32" s="335"/>
      <c r="N32" s="335"/>
      <c r="O32" s="335"/>
      <c r="P32" s="335"/>
      <c r="Q32" s="335"/>
      <c r="R32" s="335"/>
      <c r="S32" s="335"/>
      <c r="T32" s="335"/>
      <c r="U32" s="335"/>
      <c r="V32" s="335"/>
      <c r="W32" s="335"/>
      <c r="X32" s="335"/>
      <c r="Y32" s="335"/>
      <c r="Z32" s="335"/>
      <c r="AA32" s="335"/>
      <c r="AB32" s="335"/>
      <c r="AC32" s="335"/>
      <c r="AD32" s="335"/>
      <c r="AE32" s="335"/>
      <c r="AF32" s="335"/>
      <c r="AG32" s="335"/>
      <c r="AH32" s="335"/>
      <c r="AI32" s="335"/>
      <c r="AJ32" s="335"/>
      <c r="AK32" s="335"/>
      <c r="AL32" s="335"/>
      <c r="AM32" s="335"/>
      <c r="AN32" s="335"/>
      <c r="AO32" s="335"/>
      <c r="AP32" s="325">
        <v>329</v>
      </c>
      <c r="AQ32" s="326">
        <v>324.60000000000002</v>
      </c>
      <c r="AR32" s="326">
        <v>483.4</v>
      </c>
      <c r="AS32" s="326">
        <v>521.20000000000005</v>
      </c>
      <c r="AT32" s="326">
        <v>540.1</v>
      </c>
      <c r="AU32" s="463">
        <v>603</v>
      </c>
      <c r="AV32" s="326">
        <v>651.70000000000005</v>
      </c>
      <c r="AW32" s="326">
        <v>612</v>
      </c>
      <c r="AX32" s="326">
        <v>733</v>
      </c>
    </row>
    <row r="33" spans="1:50" s="340" customFormat="1" ht="11.25">
      <c r="A33" s="335" t="s">
        <v>633</v>
      </c>
      <c r="B33" s="336" t="s">
        <v>634</v>
      </c>
      <c r="C33" s="337"/>
      <c r="D33" s="335"/>
      <c r="E33" s="335"/>
      <c r="F33" s="335"/>
      <c r="G33" s="335"/>
      <c r="H33" s="335"/>
      <c r="I33" s="335"/>
      <c r="J33" s="335"/>
      <c r="K33" s="335"/>
      <c r="L33" s="335"/>
      <c r="M33" s="335"/>
      <c r="N33" s="335"/>
      <c r="O33" s="335"/>
      <c r="P33" s="335"/>
      <c r="Q33" s="335"/>
      <c r="R33" s="335"/>
      <c r="S33" s="335"/>
      <c r="T33" s="335"/>
      <c r="U33" s="335"/>
      <c r="V33" s="335"/>
      <c r="W33" s="335"/>
      <c r="X33" s="335"/>
      <c r="Y33" s="335"/>
      <c r="Z33" s="335"/>
      <c r="AA33" s="335"/>
      <c r="AB33" s="335"/>
      <c r="AC33" s="335"/>
      <c r="AD33" s="335"/>
      <c r="AE33" s="335"/>
      <c r="AF33" s="335"/>
      <c r="AG33" s="335"/>
      <c r="AH33" s="335"/>
      <c r="AI33" s="335"/>
      <c r="AJ33" s="335"/>
      <c r="AK33" s="335"/>
      <c r="AL33" s="335"/>
      <c r="AM33" s="335"/>
      <c r="AN33" s="335"/>
      <c r="AO33" s="335"/>
      <c r="AP33" s="325">
        <v>0</v>
      </c>
      <c r="AQ33" s="326">
        <v>19.899999999999999</v>
      </c>
      <c r="AR33" s="326">
        <v>20</v>
      </c>
      <c r="AS33" s="326">
        <v>19.7</v>
      </c>
      <c r="AT33" s="326">
        <v>19.8</v>
      </c>
      <c r="AU33" s="463">
        <v>0</v>
      </c>
      <c r="AV33" s="326">
        <v>0</v>
      </c>
      <c r="AW33" s="326">
        <v>0</v>
      </c>
      <c r="AX33" s="326">
        <v>0</v>
      </c>
    </row>
    <row r="34" spans="1:50" s="340" customFormat="1" ht="11.25">
      <c r="A34" s="335" t="s">
        <v>741</v>
      </c>
      <c r="B34" s="336" t="s">
        <v>635</v>
      </c>
      <c r="C34" s="337"/>
      <c r="D34" s="335"/>
      <c r="E34" s="335"/>
      <c r="F34" s="335"/>
      <c r="G34" s="335"/>
      <c r="H34" s="335"/>
      <c r="I34" s="335"/>
      <c r="J34" s="335"/>
      <c r="K34" s="335"/>
      <c r="L34" s="335"/>
      <c r="M34" s="335"/>
      <c r="N34" s="335"/>
      <c r="O34" s="335"/>
      <c r="P34" s="335"/>
      <c r="Q34" s="335"/>
      <c r="R34" s="335"/>
      <c r="S34" s="335"/>
      <c r="T34" s="335"/>
      <c r="U34" s="335"/>
      <c r="V34" s="335"/>
      <c r="W34" s="335"/>
      <c r="X34" s="335"/>
      <c r="Y34" s="335"/>
      <c r="Z34" s="335"/>
      <c r="AA34" s="335"/>
      <c r="AB34" s="335"/>
      <c r="AC34" s="335"/>
      <c r="AD34" s="335"/>
      <c r="AE34" s="335"/>
      <c r="AF34" s="335"/>
      <c r="AG34" s="335"/>
      <c r="AH34" s="335"/>
      <c r="AI34" s="335"/>
      <c r="AJ34" s="335"/>
      <c r="AK34" s="335"/>
      <c r="AL34" s="335"/>
      <c r="AM34" s="335"/>
      <c r="AN34" s="335"/>
      <c r="AO34" s="335"/>
      <c r="AP34" s="325">
        <v>106.9</v>
      </c>
      <c r="AQ34" s="326">
        <v>98.9</v>
      </c>
      <c r="AR34" s="326">
        <v>87.8</v>
      </c>
      <c r="AS34" s="326">
        <v>128.1</v>
      </c>
      <c r="AT34" s="326">
        <v>167.1</v>
      </c>
      <c r="AU34" s="463">
        <v>144.19999999999999</v>
      </c>
      <c r="AV34" s="326">
        <v>157.30000000000001</v>
      </c>
      <c r="AW34" s="326">
        <v>179.1</v>
      </c>
      <c r="AX34" s="326">
        <v>217.6</v>
      </c>
    </row>
    <row r="35" spans="1:50" s="341" customFormat="1" ht="6" customHeight="1">
      <c r="A35" s="345"/>
      <c r="B35" s="346"/>
      <c r="C35" s="347"/>
      <c r="D35" s="345"/>
      <c r="E35" s="345"/>
      <c r="F35" s="345"/>
      <c r="G35" s="345"/>
      <c r="H35" s="345"/>
      <c r="I35" s="345"/>
      <c r="J35" s="345"/>
      <c r="K35" s="345"/>
      <c r="L35" s="345"/>
      <c r="M35" s="345"/>
      <c r="N35" s="345"/>
      <c r="O35" s="345"/>
      <c r="P35" s="345"/>
      <c r="Q35" s="345"/>
      <c r="R35" s="345"/>
      <c r="S35" s="345"/>
      <c r="T35" s="345"/>
      <c r="U35" s="345"/>
      <c r="V35" s="345"/>
      <c r="W35" s="345"/>
      <c r="X35" s="345"/>
      <c r="Y35" s="345"/>
      <c r="Z35" s="345"/>
      <c r="AA35" s="345"/>
      <c r="AB35" s="345"/>
      <c r="AC35" s="345"/>
      <c r="AD35" s="345"/>
      <c r="AE35" s="345"/>
      <c r="AF35" s="345"/>
      <c r="AG35" s="345"/>
      <c r="AH35" s="345"/>
      <c r="AI35" s="345"/>
      <c r="AJ35" s="345"/>
      <c r="AK35" s="345"/>
      <c r="AL35" s="345"/>
      <c r="AM35" s="345"/>
      <c r="AN35" s="345"/>
      <c r="AO35" s="345"/>
      <c r="AP35" s="348"/>
      <c r="AQ35" s="349"/>
      <c r="AR35" s="349"/>
      <c r="AS35" s="349"/>
      <c r="AT35" s="349"/>
      <c r="AU35" s="465"/>
      <c r="AV35" s="349"/>
      <c r="AW35" s="349"/>
      <c r="AX35" s="349"/>
    </row>
    <row r="36" spans="1:50" s="341" customFormat="1" ht="21" customHeight="1">
      <c r="A36" s="312" t="s">
        <v>758</v>
      </c>
      <c r="B36" s="313" t="s">
        <v>754</v>
      </c>
      <c r="C36" s="314"/>
      <c r="D36" s="312"/>
      <c r="E36" s="312"/>
      <c r="F36" s="312"/>
      <c r="G36" s="312"/>
      <c r="H36" s="312"/>
      <c r="I36" s="312"/>
      <c r="J36" s="312"/>
      <c r="K36" s="312"/>
      <c r="L36" s="312"/>
      <c r="M36" s="312"/>
      <c r="N36" s="312"/>
      <c r="O36" s="312"/>
      <c r="P36" s="312"/>
      <c r="Q36" s="312"/>
      <c r="R36" s="312"/>
      <c r="S36" s="312"/>
      <c r="T36" s="312"/>
      <c r="U36" s="312"/>
      <c r="V36" s="312"/>
      <c r="W36" s="312"/>
      <c r="X36" s="312"/>
      <c r="Y36" s="312"/>
      <c r="Z36" s="312"/>
      <c r="AA36" s="312"/>
      <c r="AB36" s="312"/>
      <c r="AC36" s="312"/>
      <c r="AD36" s="312"/>
      <c r="AE36" s="312"/>
      <c r="AF36" s="312"/>
      <c r="AG36" s="312"/>
      <c r="AH36" s="312"/>
      <c r="AI36" s="312"/>
      <c r="AJ36" s="312"/>
      <c r="AK36" s="312"/>
      <c r="AL36" s="312"/>
      <c r="AM36" s="312"/>
      <c r="AN36" s="312"/>
      <c r="AO36" s="312"/>
      <c r="AP36" s="315">
        <f t="shared" ref="AP36:AU36" si="23">SUM(AP38,AP54)</f>
        <v>-1467.7000000000003</v>
      </c>
      <c r="AQ36" s="316">
        <f t="shared" si="23"/>
        <v>-1516.1</v>
      </c>
      <c r="AR36" s="316">
        <f t="shared" si="23"/>
        <v>-1535.9</v>
      </c>
      <c r="AS36" s="316">
        <f t="shared" si="23"/>
        <v>-1592.7</v>
      </c>
      <c r="AT36" s="316">
        <f t="shared" si="23"/>
        <v>-1667.5</v>
      </c>
      <c r="AU36" s="461">
        <f t="shared" si="23"/>
        <v>-2086.1999999999998</v>
      </c>
      <c r="AV36" s="316">
        <f t="shared" ref="AV36:AW36" si="24">SUM(AV38,AV54)</f>
        <v>-2235.9999999999995</v>
      </c>
      <c r="AW36" s="316">
        <f t="shared" si="24"/>
        <v>-2203.9</v>
      </c>
      <c r="AX36" s="316">
        <f t="shared" ref="AX36" si="25">SUM(AX38,AX54)</f>
        <v>-2269.9999999999995</v>
      </c>
    </row>
    <row r="37" spans="1:50" s="341" customFormat="1" ht="6" customHeight="1">
      <c r="A37" s="345"/>
      <c r="B37" s="346"/>
      <c r="C37" s="347"/>
      <c r="D37" s="345"/>
      <c r="E37" s="345"/>
      <c r="F37" s="345"/>
      <c r="G37" s="345"/>
      <c r="H37" s="345"/>
      <c r="I37" s="345"/>
      <c r="J37" s="345"/>
      <c r="K37" s="345"/>
      <c r="L37" s="345"/>
      <c r="M37" s="345"/>
      <c r="N37" s="345"/>
      <c r="O37" s="345"/>
      <c r="P37" s="345"/>
      <c r="Q37" s="345"/>
      <c r="R37" s="345"/>
      <c r="S37" s="345"/>
      <c r="T37" s="345"/>
      <c r="U37" s="345"/>
      <c r="V37" s="345"/>
      <c r="W37" s="345"/>
      <c r="X37" s="345"/>
      <c r="Y37" s="345"/>
      <c r="Z37" s="345"/>
      <c r="AA37" s="345"/>
      <c r="AB37" s="345"/>
      <c r="AC37" s="345"/>
      <c r="AD37" s="345"/>
      <c r="AE37" s="345"/>
      <c r="AF37" s="345"/>
      <c r="AG37" s="345"/>
      <c r="AH37" s="345"/>
      <c r="AI37" s="345"/>
      <c r="AJ37" s="345"/>
      <c r="AK37" s="345"/>
      <c r="AL37" s="345"/>
      <c r="AM37" s="345"/>
      <c r="AN37" s="345"/>
      <c r="AO37" s="345"/>
      <c r="AP37" s="348"/>
      <c r="AQ37" s="349"/>
      <c r="AR37" s="349"/>
      <c r="AS37" s="349"/>
      <c r="AT37" s="349"/>
      <c r="AU37" s="465"/>
      <c r="AV37" s="349"/>
      <c r="AW37" s="349"/>
      <c r="AX37" s="349"/>
    </row>
    <row r="38" spans="1:50" s="341" customFormat="1" ht="11.25">
      <c r="A38" s="317" t="s">
        <v>760</v>
      </c>
      <c r="B38" s="318" t="s">
        <v>755</v>
      </c>
      <c r="C38" s="319"/>
      <c r="D38" s="317"/>
      <c r="E38" s="317"/>
      <c r="F38" s="317"/>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17"/>
      <c r="AE38" s="317"/>
      <c r="AF38" s="317"/>
      <c r="AG38" s="317"/>
      <c r="AH38" s="317"/>
      <c r="AI38" s="317"/>
      <c r="AJ38" s="317"/>
      <c r="AK38" s="317"/>
      <c r="AL38" s="317"/>
      <c r="AM38" s="317"/>
      <c r="AN38" s="317"/>
      <c r="AO38" s="317"/>
      <c r="AP38" s="320">
        <f t="shared" ref="AP38:AU38" si="26">SUM(AP39:AP41)</f>
        <v>-1467.0000000000002</v>
      </c>
      <c r="AQ38" s="321">
        <f t="shared" si="26"/>
        <v>-1515.3999999999999</v>
      </c>
      <c r="AR38" s="321">
        <f t="shared" si="26"/>
        <v>-1535.2</v>
      </c>
      <c r="AS38" s="321">
        <f t="shared" si="26"/>
        <v>-1592</v>
      </c>
      <c r="AT38" s="321">
        <f t="shared" si="26"/>
        <v>-1666.8</v>
      </c>
      <c r="AU38" s="462">
        <f t="shared" si="26"/>
        <v>-2086.1999999999998</v>
      </c>
      <c r="AV38" s="321">
        <f t="shared" ref="AV38:AW38" si="27">SUM(AV39:AV41)</f>
        <v>-2235.9999999999995</v>
      </c>
      <c r="AW38" s="321">
        <f t="shared" si="27"/>
        <v>-2203.9</v>
      </c>
      <c r="AX38" s="321">
        <f t="shared" ref="AX38" si="28">SUM(AX39:AX41)</f>
        <v>-2269.9999999999995</v>
      </c>
    </row>
    <row r="39" spans="1:50" s="340" customFormat="1" ht="11.25">
      <c r="A39" s="322" t="s">
        <v>604</v>
      </c>
      <c r="B39" s="323" t="s">
        <v>605</v>
      </c>
      <c r="C39" s="324"/>
      <c r="D39" s="322"/>
      <c r="E39" s="322"/>
      <c r="F39" s="322"/>
      <c r="G39" s="322"/>
      <c r="H39" s="322"/>
      <c r="I39" s="322"/>
      <c r="J39" s="322"/>
      <c r="K39" s="322"/>
      <c r="L39" s="322"/>
      <c r="M39" s="322"/>
      <c r="N39" s="322"/>
      <c r="O39" s="322"/>
      <c r="P39" s="322"/>
      <c r="Q39" s="322"/>
      <c r="R39" s="322"/>
      <c r="S39" s="322"/>
      <c r="T39" s="322"/>
      <c r="U39" s="322"/>
      <c r="V39" s="322"/>
      <c r="W39" s="322"/>
      <c r="X39" s="322"/>
      <c r="Y39" s="322"/>
      <c r="Z39" s="322"/>
      <c r="AA39" s="322"/>
      <c r="AB39" s="322"/>
      <c r="AC39" s="322"/>
      <c r="AD39" s="322"/>
      <c r="AE39" s="322"/>
      <c r="AF39" s="322"/>
      <c r="AG39" s="322"/>
      <c r="AH39" s="322"/>
      <c r="AI39" s="322"/>
      <c r="AJ39" s="322"/>
      <c r="AK39" s="322"/>
      <c r="AL39" s="322"/>
      <c r="AM39" s="322"/>
      <c r="AN39" s="322"/>
      <c r="AO39" s="322"/>
      <c r="AP39" s="325">
        <v>-584.6</v>
      </c>
      <c r="AQ39" s="326">
        <v>-623.29999999999995</v>
      </c>
      <c r="AR39" s="326">
        <v>-659.4</v>
      </c>
      <c r="AS39" s="326">
        <v>-664.6</v>
      </c>
      <c r="AT39" s="326">
        <v>-695.6</v>
      </c>
      <c r="AU39" s="463">
        <v>-1004.4</v>
      </c>
      <c r="AV39" s="326">
        <v>-1103.8</v>
      </c>
      <c r="AW39" s="326">
        <v>-1021.7</v>
      </c>
      <c r="AX39" s="326">
        <v>-1105.5999999999999</v>
      </c>
    </row>
    <row r="40" spans="1:50" s="340" customFormat="1" ht="11.25">
      <c r="A40" s="322" t="s">
        <v>606</v>
      </c>
      <c r="B40" s="323" t="s">
        <v>607</v>
      </c>
      <c r="C40" s="324"/>
      <c r="D40" s="322"/>
      <c r="E40" s="322"/>
      <c r="F40" s="322"/>
      <c r="G40" s="322"/>
      <c r="H40" s="322"/>
      <c r="I40" s="322"/>
      <c r="J40" s="322"/>
      <c r="K40" s="322"/>
      <c r="L40" s="322"/>
      <c r="M40" s="322"/>
      <c r="N40" s="322"/>
      <c r="O40" s="322"/>
      <c r="P40" s="322"/>
      <c r="Q40" s="322"/>
      <c r="R40" s="322"/>
      <c r="S40" s="322"/>
      <c r="T40" s="322"/>
      <c r="U40" s="322"/>
      <c r="V40" s="322"/>
      <c r="W40" s="322"/>
      <c r="X40" s="322"/>
      <c r="Y40" s="322"/>
      <c r="Z40" s="322"/>
      <c r="AA40" s="322"/>
      <c r="AB40" s="322"/>
      <c r="AC40" s="322"/>
      <c r="AD40" s="322"/>
      <c r="AE40" s="322"/>
      <c r="AF40" s="322"/>
      <c r="AG40" s="322"/>
      <c r="AH40" s="322"/>
      <c r="AI40" s="322"/>
      <c r="AJ40" s="322"/>
      <c r="AK40" s="322"/>
      <c r="AL40" s="322"/>
      <c r="AM40" s="322"/>
      <c r="AN40" s="322"/>
      <c r="AO40" s="322"/>
      <c r="AP40" s="325">
        <v>-881.2</v>
      </c>
      <c r="AQ40" s="326">
        <v>-890.9</v>
      </c>
      <c r="AR40" s="326">
        <v>-874.5</v>
      </c>
      <c r="AS40" s="326">
        <v>-926.1</v>
      </c>
      <c r="AT40" s="326">
        <v>-970</v>
      </c>
      <c r="AU40" s="463">
        <v>-1080.3</v>
      </c>
      <c r="AV40" s="326">
        <v>-1131.5999999999999</v>
      </c>
      <c r="AW40" s="326">
        <v>-1181.8</v>
      </c>
      <c r="AX40" s="326">
        <v>-1164.3</v>
      </c>
    </row>
    <row r="41" spans="1:50" s="340" customFormat="1" ht="11.25">
      <c r="A41" s="322" t="s">
        <v>608</v>
      </c>
      <c r="B41" s="323" t="s">
        <v>609</v>
      </c>
      <c r="C41" s="324"/>
      <c r="D41" s="322"/>
      <c r="E41" s="322"/>
      <c r="F41" s="322"/>
      <c r="G41" s="322"/>
      <c r="H41" s="322"/>
      <c r="I41" s="322"/>
      <c r="J41" s="322"/>
      <c r="K41" s="322"/>
      <c r="L41" s="322"/>
      <c r="M41" s="322"/>
      <c r="N41" s="322"/>
      <c r="O41" s="322"/>
      <c r="P41" s="322"/>
      <c r="Q41" s="322"/>
      <c r="R41" s="322"/>
      <c r="S41" s="322"/>
      <c r="T41" s="322"/>
      <c r="U41" s="322"/>
      <c r="V41" s="322"/>
      <c r="W41" s="322"/>
      <c r="X41" s="322"/>
      <c r="Y41" s="322"/>
      <c r="Z41" s="322"/>
      <c r="AA41" s="322"/>
      <c r="AB41" s="322"/>
      <c r="AC41" s="322"/>
      <c r="AD41" s="322"/>
      <c r="AE41" s="322"/>
      <c r="AF41" s="322"/>
      <c r="AG41" s="322"/>
      <c r="AH41" s="322"/>
      <c r="AI41" s="322"/>
      <c r="AJ41" s="322"/>
      <c r="AK41" s="322"/>
      <c r="AL41" s="322"/>
      <c r="AM41" s="322"/>
      <c r="AN41" s="322"/>
      <c r="AO41" s="322"/>
      <c r="AP41" s="325">
        <v>-1.2</v>
      </c>
      <c r="AQ41" s="326">
        <v>-1.2</v>
      </c>
      <c r="AR41" s="326">
        <v>-1.3</v>
      </c>
      <c r="AS41" s="326">
        <v>-1.3</v>
      </c>
      <c r="AT41" s="326">
        <v>-1.2</v>
      </c>
      <c r="AU41" s="463">
        <v>-1.5</v>
      </c>
      <c r="AV41" s="326">
        <v>-0.6</v>
      </c>
      <c r="AW41" s="326">
        <v>-0.4</v>
      </c>
      <c r="AX41" s="326">
        <v>-0.1</v>
      </c>
    </row>
    <row r="42" spans="1:50" s="340" customFormat="1" ht="11.25">
      <c r="A42" s="327" t="s">
        <v>610</v>
      </c>
      <c r="B42" s="328" t="s">
        <v>611</v>
      </c>
      <c r="C42" s="329"/>
      <c r="D42" s="327"/>
      <c r="E42" s="327"/>
      <c r="F42" s="327"/>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330">
        <f t="shared" ref="AP42:AU42" si="29">SUM(AP43,AP49)</f>
        <v>-1467</v>
      </c>
      <c r="AQ42" s="331">
        <f t="shared" si="29"/>
        <v>-1515.3999999999999</v>
      </c>
      <c r="AR42" s="331">
        <f t="shared" si="29"/>
        <v>-1535.2</v>
      </c>
      <c r="AS42" s="331">
        <f t="shared" si="29"/>
        <v>-1592</v>
      </c>
      <c r="AT42" s="331">
        <f t="shared" si="29"/>
        <v>-1666.8</v>
      </c>
      <c r="AU42" s="464">
        <f t="shared" si="29"/>
        <v>-2086.2000000000003</v>
      </c>
      <c r="AV42" s="331">
        <f>SUM(AV43,AV49)</f>
        <v>-2236</v>
      </c>
      <c r="AW42" s="331">
        <f>SUM(AW43,AW49)</f>
        <v>-2203.8999999999996</v>
      </c>
      <c r="AX42" s="331">
        <f>SUM(AX43,AX49)</f>
        <v>-2270</v>
      </c>
    </row>
    <row r="43" spans="1:50" s="340" customFormat="1" ht="11.25">
      <c r="A43" s="332" t="s">
        <v>612</v>
      </c>
      <c r="B43" s="333" t="s">
        <v>613</v>
      </c>
      <c r="C43" s="334"/>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332"/>
      <c r="AD43" s="332"/>
      <c r="AE43" s="332"/>
      <c r="AF43" s="332"/>
      <c r="AG43" s="332"/>
      <c r="AH43" s="332"/>
      <c r="AI43" s="332"/>
      <c r="AJ43" s="332"/>
      <c r="AK43" s="332"/>
      <c r="AL43" s="332"/>
      <c r="AM43" s="332"/>
      <c r="AN43" s="332"/>
      <c r="AO43" s="332"/>
      <c r="AP43" s="330">
        <f t="shared" ref="AP43:AU43" si="30">SUM(AP44:AP48)</f>
        <v>-939.9</v>
      </c>
      <c r="AQ43" s="331">
        <f t="shared" si="30"/>
        <v>-952.39999999999986</v>
      </c>
      <c r="AR43" s="331">
        <f t="shared" si="30"/>
        <v>-933.60000000000014</v>
      </c>
      <c r="AS43" s="331">
        <f t="shared" si="30"/>
        <v>-989.9</v>
      </c>
      <c r="AT43" s="331">
        <f t="shared" si="30"/>
        <v>-1039</v>
      </c>
      <c r="AU43" s="464">
        <f t="shared" si="30"/>
        <v>-1157.5</v>
      </c>
      <c r="AV43" s="331">
        <f>SUM(AV44:AV48)</f>
        <v>-1211.5999999999999</v>
      </c>
      <c r="AW43" s="331">
        <f>SUM(AW44:AW48)</f>
        <v>-1275.8</v>
      </c>
      <c r="AX43" s="331">
        <f>SUM(AX44:AX48)</f>
        <v>-1261.5</v>
      </c>
    </row>
    <row r="44" spans="1:50" s="340" customFormat="1" ht="11.25">
      <c r="A44" s="335" t="s">
        <v>614</v>
      </c>
      <c r="B44" s="336" t="s">
        <v>615</v>
      </c>
      <c r="C44" s="337"/>
      <c r="D44" s="335"/>
      <c r="E44" s="335"/>
      <c r="F44" s="335"/>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5"/>
      <c r="AE44" s="335"/>
      <c r="AF44" s="335"/>
      <c r="AG44" s="335"/>
      <c r="AH44" s="335"/>
      <c r="AI44" s="335"/>
      <c r="AJ44" s="335"/>
      <c r="AK44" s="335"/>
      <c r="AL44" s="335"/>
      <c r="AM44" s="335"/>
      <c r="AN44" s="335"/>
      <c r="AO44" s="335"/>
      <c r="AP44" s="325">
        <v>-265.29999999999995</v>
      </c>
      <c r="AQ44" s="326">
        <v>-289.89999999999998</v>
      </c>
      <c r="AR44" s="326">
        <v>-287.5</v>
      </c>
      <c r="AS44" s="326">
        <v>-287.60000000000002</v>
      </c>
      <c r="AT44" s="326">
        <v>-310.59999999999997</v>
      </c>
      <c r="AU44" s="463">
        <v>-390.4</v>
      </c>
      <c r="AV44" s="326">
        <v>-406.20000000000005</v>
      </c>
      <c r="AW44" s="326">
        <v>-423</v>
      </c>
      <c r="AX44" s="326">
        <v>-460.1</v>
      </c>
    </row>
    <row r="45" spans="1:50" s="340" customFormat="1" ht="11.25">
      <c r="A45" s="335" t="s">
        <v>616</v>
      </c>
      <c r="B45" s="336" t="s">
        <v>617</v>
      </c>
      <c r="C45" s="337"/>
      <c r="D45" s="335"/>
      <c r="E45" s="335"/>
      <c r="F45" s="335"/>
      <c r="G45" s="335"/>
      <c r="H45" s="335"/>
      <c r="I45" s="335"/>
      <c r="J45" s="335"/>
      <c r="K45" s="335"/>
      <c r="L45" s="335"/>
      <c r="M45" s="335"/>
      <c r="N45" s="335"/>
      <c r="O45" s="335"/>
      <c r="P45" s="335"/>
      <c r="Q45" s="335"/>
      <c r="R45" s="335"/>
      <c r="S45" s="335"/>
      <c r="T45" s="335"/>
      <c r="U45" s="335"/>
      <c r="V45" s="335"/>
      <c r="W45" s="335"/>
      <c r="X45" s="335"/>
      <c r="Y45" s="335"/>
      <c r="Z45" s="335"/>
      <c r="AA45" s="335"/>
      <c r="AB45" s="335"/>
      <c r="AC45" s="335"/>
      <c r="AD45" s="335"/>
      <c r="AE45" s="335"/>
      <c r="AF45" s="335"/>
      <c r="AG45" s="335"/>
      <c r="AH45" s="335"/>
      <c r="AI45" s="335"/>
      <c r="AJ45" s="335"/>
      <c r="AK45" s="335"/>
      <c r="AL45" s="335"/>
      <c r="AM45" s="335"/>
      <c r="AN45" s="335"/>
      <c r="AO45" s="335"/>
      <c r="AP45" s="325">
        <v>-585.20000000000005</v>
      </c>
      <c r="AQ45" s="326">
        <v>-583.19999999999993</v>
      </c>
      <c r="AR45" s="326">
        <v>-582.20000000000005</v>
      </c>
      <c r="AS45" s="326">
        <v>-631.79999999999995</v>
      </c>
      <c r="AT45" s="326">
        <v>-650.6</v>
      </c>
      <c r="AU45" s="463">
        <v>-702.5</v>
      </c>
      <c r="AV45" s="326">
        <v>-740.2</v>
      </c>
      <c r="AW45" s="326">
        <v>-782.2</v>
      </c>
      <c r="AX45" s="326">
        <v>-726.59999999999991</v>
      </c>
    </row>
    <row r="46" spans="1:50" s="340" customFormat="1" ht="11.25">
      <c r="A46" s="335" t="s">
        <v>618</v>
      </c>
      <c r="B46" s="336" t="s">
        <v>619</v>
      </c>
      <c r="C46" s="337"/>
      <c r="D46" s="335"/>
      <c r="E46" s="335"/>
      <c r="F46" s="335"/>
      <c r="G46" s="335"/>
      <c r="H46" s="335"/>
      <c r="I46" s="335"/>
      <c r="J46" s="335"/>
      <c r="K46" s="335"/>
      <c r="L46" s="335"/>
      <c r="M46" s="335"/>
      <c r="N46" s="335"/>
      <c r="O46" s="335"/>
      <c r="P46" s="335"/>
      <c r="Q46" s="335"/>
      <c r="R46" s="335"/>
      <c r="S46" s="335"/>
      <c r="T46" s="335"/>
      <c r="U46" s="335"/>
      <c r="V46" s="335"/>
      <c r="W46" s="335"/>
      <c r="X46" s="335"/>
      <c r="Y46" s="335"/>
      <c r="Z46" s="335"/>
      <c r="AA46" s="335"/>
      <c r="AB46" s="335"/>
      <c r="AC46" s="335"/>
      <c r="AD46" s="335"/>
      <c r="AE46" s="335"/>
      <c r="AF46" s="335"/>
      <c r="AG46" s="335"/>
      <c r="AH46" s="335"/>
      <c r="AI46" s="335"/>
      <c r="AJ46" s="335"/>
      <c r="AK46" s="335"/>
      <c r="AL46" s="335"/>
      <c r="AM46" s="335"/>
      <c r="AN46" s="335"/>
      <c r="AO46" s="335"/>
      <c r="AP46" s="325">
        <v>-49</v>
      </c>
      <c r="AQ46" s="326">
        <v>-39.299999999999997</v>
      </c>
      <c r="AR46" s="326">
        <v>-26.700000000000003</v>
      </c>
      <c r="AS46" s="326">
        <v>-26.9</v>
      </c>
      <c r="AT46" s="326">
        <v>-30.9</v>
      </c>
      <c r="AU46" s="463">
        <v>-42.3</v>
      </c>
      <c r="AV46" s="326">
        <v>-42.6</v>
      </c>
      <c r="AW46" s="326">
        <v>-43.5</v>
      </c>
      <c r="AX46" s="326">
        <v>-46.9</v>
      </c>
    </row>
    <row r="47" spans="1:50" s="340" customFormat="1" ht="11.25">
      <c r="A47" s="335" t="s">
        <v>620</v>
      </c>
      <c r="B47" s="336" t="s">
        <v>621</v>
      </c>
      <c r="C47" s="337"/>
      <c r="D47" s="335"/>
      <c r="E47" s="335"/>
      <c r="F47" s="335"/>
      <c r="G47" s="335"/>
      <c r="H47" s="335"/>
      <c r="I47" s="335"/>
      <c r="J47" s="335"/>
      <c r="K47" s="335"/>
      <c r="L47" s="335"/>
      <c r="M47" s="335"/>
      <c r="N47" s="335"/>
      <c r="O47" s="335"/>
      <c r="P47" s="335"/>
      <c r="Q47" s="335"/>
      <c r="R47" s="335"/>
      <c r="S47" s="335"/>
      <c r="T47" s="335"/>
      <c r="U47" s="335"/>
      <c r="V47" s="335"/>
      <c r="W47" s="335"/>
      <c r="X47" s="335"/>
      <c r="Y47" s="335"/>
      <c r="Z47" s="335"/>
      <c r="AA47" s="335"/>
      <c r="AB47" s="335"/>
      <c r="AC47" s="335"/>
      <c r="AD47" s="335"/>
      <c r="AE47" s="335"/>
      <c r="AF47" s="335"/>
      <c r="AG47" s="335"/>
      <c r="AH47" s="335"/>
      <c r="AI47" s="335"/>
      <c r="AJ47" s="335"/>
      <c r="AK47" s="335"/>
      <c r="AL47" s="335"/>
      <c r="AM47" s="335"/>
      <c r="AN47" s="335"/>
      <c r="AO47" s="335"/>
      <c r="AP47" s="325">
        <v>-23.3</v>
      </c>
      <c r="AQ47" s="326">
        <v>-23.5</v>
      </c>
      <c r="AR47" s="326">
        <v>-21</v>
      </c>
      <c r="AS47" s="326">
        <v>-27.5</v>
      </c>
      <c r="AT47" s="326">
        <v>-30.8</v>
      </c>
      <c r="AU47" s="463">
        <v>-21.2</v>
      </c>
      <c r="AV47" s="326">
        <v>-22.3</v>
      </c>
      <c r="AW47" s="326">
        <v>-26.3</v>
      </c>
      <c r="AX47" s="326">
        <v>-27.4</v>
      </c>
    </row>
    <row r="48" spans="1:50" s="340" customFormat="1" ht="11.25">
      <c r="A48" s="335" t="s">
        <v>622</v>
      </c>
      <c r="B48" s="336" t="s">
        <v>623</v>
      </c>
      <c r="C48" s="337"/>
      <c r="D48" s="335"/>
      <c r="E48" s="335"/>
      <c r="F48" s="335"/>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5"/>
      <c r="AE48" s="335"/>
      <c r="AF48" s="335"/>
      <c r="AG48" s="335"/>
      <c r="AH48" s="335"/>
      <c r="AI48" s="335"/>
      <c r="AJ48" s="335"/>
      <c r="AK48" s="335"/>
      <c r="AL48" s="335"/>
      <c r="AM48" s="335"/>
      <c r="AN48" s="335"/>
      <c r="AO48" s="335"/>
      <c r="AP48" s="325">
        <v>-17.100000000000001</v>
      </c>
      <c r="AQ48" s="326">
        <v>-16.5</v>
      </c>
      <c r="AR48" s="326">
        <v>-16.2</v>
      </c>
      <c r="AS48" s="326">
        <v>-16.100000000000001</v>
      </c>
      <c r="AT48" s="326">
        <v>-16.099999999999998</v>
      </c>
      <c r="AU48" s="463">
        <v>-1.1000000000000001</v>
      </c>
      <c r="AV48" s="326">
        <v>-0.30000000000000004</v>
      </c>
      <c r="AW48" s="326">
        <v>-0.8</v>
      </c>
      <c r="AX48" s="326">
        <v>-0.5</v>
      </c>
    </row>
    <row r="49" spans="1:50" s="340" customFormat="1" ht="11.25">
      <c r="A49" s="332" t="s">
        <v>624</v>
      </c>
      <c r="B49" s="333" t="s">
        <v>625</v>
      </c>
      <c r="C49" s="334"/>
      <c r="D49" s="332"/>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2"/>
      <c r="AD49" s="332"/>
      <c r="AE49" s="332"/>
      <c r="AF49" s="332"/>
      <c r="AG49" s="332"/>
      <c r="AH49" s="332"/>
      <c r="AI49" s="332"/>
      <c r="AJ49" s="332"/>
      <c r="AK49" s="332"/>
      <c r="AL49" s="332"/>
      <c r="AM49" s="332"/>
      <c r="AN49" s="332"/>
      <c r="AO49" s="332"/>
      <c r="AP49" s="330">
        <f t="shared" ref="AP49:AU49" si="31">SUM(AP50:AP53)</f>
        <v>-527.1</v>
      </c>
      <c r="AQ49" s="331">
        <f t="shared" si="31"/>
        <v>-563</v>
      </c>
      <c r="AR49" s="331">
        <f t="shared" si="31"/>
        <v>-601.59999999999991</v>
      </c>
      <c r="AS49" s="331">
        <f t="shared" si="31"/>
        <v>-602.1</v>
      </c>
      <c r="AT49" s="331">
        <f t="shared" si="31"/>
        <v>-627.79999999999995</v>
      </c>
      <c r="AU49" s="464">
        <f t="shared" si="31"/>
        <v>-928.70000000000016</v>
      </c>
      <c r="AV49" s="331">
        <f t="shared" ref="AV49:AW49" si="32">SUM(AV50:AV53)</f>
        <v>-1024.4000000000001</v>
      </c>
      <c r="AW49" s="331">
        <f t="shared" si="32"/>
        <v>-928.09999999999991</v>
      </c>
      <c r="AX49" s="331">
        <f t="shared" ref="AX49" si="33">SUM(AX50:AX53)</f>
        <v>-1008.5</v>
      </c>
    </row>
    <row r="50" spans="1:50" s="340" customFormat="1" ht="11.25">
      <c r="A50" s="335" t="s">
        <v>626</v>
      </c>
      <c r="B50" s="336" t="s">
        <v>627</v>
      </c>
      <c r="C50" s="337"/>
      <c r="D50" s="335"/>
      <c r="E50" s="335"/>
      <c r="F50" s="335"/>
      <c r="G50" s="335"/>
      <c r="H50" s="335"/>
      <c r="I50" s="335"/>
      <c r="J50" s="335"/>
      <c r="K50" s="335"/>
      <c r="L50" s="335"/>
      <c r="M50" s="335"/>
      <c r="N50" s="335"/>
      <c r="O50" s="335"/>
      <c r="P50" s="335"/>
      <c r="Q50" s="335"/>
      <c r="R50" s="335"/>
      <c r="S50" s="335"/>
      <c r="T50" s="335"/>
      <c r="U50" s="335"/>
      <c r="V50" s="335"/>
      <c r="W50" s="335"/>
      <c r="X50" s="335"/>
      <c r="Y50" s="335"/>
      <c r="Z50" s="335"/>
      <c r="AA50" s="335"/>
      <c r="AB50" s="335"/>
      <c r="AC50" s="335"/>
      <c r="AD50" s="335"/>
      <c r="AE50" s="335"/>
      <c r="AF50" s="335"/>
      <c r="AG50" s="335"/>
      <c r="AH50" s="335"/>
      <c r="AI50" s="335"/>
      <c r="AJ50" s="335"/>
      <c r="AK50" s="335"/>
      <c r="AL50" s="335"/>
      <c r="AM50" s="335"/>
      <c r="AN50" s="335"/>
      <c r="AO50" s="335"/>
      <c r="AP50" s="325">
        <v>-185.3</v>
      </c>
      <c r="AQ50" s="326">
        <v>-189.1</v>
      </c>
      <c r="AR50" s="326">
        <v>-181.20000000000002</v>
      </c>
      <c r="AS50" s="326">
        <v>-176.3</v>
      </c>
      <c r="AT50" s="326">
        <v>-170.39999999999998</v>
      </c>
      <c r="AU50" s="463">
        <v>-231</v>
      </c>
      <c r="AV50" s="326">
        <v>-245.5</v>
      </c>
      <c r="AW50" s="326">
        <v>-232.39999999999998</v>
      </c>
      <c r="AX50" s="326">
        <v>-224.9</v>
      </c>
    </row>
    <row r="51" spans="1:50" s="340" customFormat="1" ht="11.25">
      <c r="A51" s="335" t="s">
        <v>614</v>
      </c>
      <c r="B51" s="336" t="s">
        <v>615</v>
      </c>
      <c r="C51" s="337"/>
      <c r="D51" s="335"/>
      <c r="E51" s="335"/>
      <c r="F51" s="335"/>
      <c r="G51" s="335"/>
      <c r="H51" s="335"/>
      <c r="I51" s="335"/>
      <c r="J51" s="335"/>
      <c r="K51" s="335"/>
      <c r="L51" s="335"/>
      <c r="M51" s="335"/>
      <c r="N51" s="335"/>
      <c r="O51" s="335"/>
      <c r="P51" s="335"/>
      <c r="Q51" s="335"/>
      <c r="R51" s="335"/>
      <c r="S51" s="335"/>
      <c r="T51" s="335"/>
      <c r="U51" s="335"/>
      <c r="V51" s="335"/>
      <c r="W51" s="335"/>
      <c r="X51" s="335"/>
      <c r="Y51" s="335"/>
      <c r="Z51" s="335"/>
      <c r="AA51" s="335"/>
      <c r="AB51" s="335"/>
      <c r="AC51" s="335"/>
      <c r="AD51" s="335"/>
      <c r="AE51" s="335"/>
      <c r="AF51" s="335"/>
      <c r="AG51" s="335"/>
      <c r="AH51" s="335"/>
      <c r="AI51" s="335"/>
      <c r="AJ51" s="335"/>
      <c r="AK51" s="335"/>
      <c r="AL51" s="335"/>
      <c r="AM51" s="335"/>
      <c r="AN51" s="335"/>
      <c r="AO51" s="335"/>
      <c r="AP51" s="325">
        <v>-74</v>
      </c>
      <c r="AQ51" s="326">
        <v>-77.3</v>
      </c>
      <c r="AR51" s="326">
        <v>-83.300000000000011</v>
      </c>
      <c r="AS51" s="326">
        <v>-72.5</v>
      </c>
      <c r="AT51" s="326">
        <v>-75.2</v>
      </c>
      <c r="AU51" s="463">
        <v>-98.8</v>
      </c>
      <c r="AV51" s="326">
        <v>-104</v>
      </c>
      <c r="AW51" s="326">
        <v>-71.900000000000006</v>
      </c>
      <c r="AX51" s="326">
        <v>-105.8</v>
      </c>
    </row>
    <row r="52" spans="1:50" s="340" customFormat="1" ht="11.25">
      <c r="A52" s="335" t="s">
        <v>618</v>
      </c>
      <c r="B52" s="336" t="s">
        <v>619</v>
      </c>
      <c r="C52" s="337"/>
      <c r="D52" s="335"/>
      <c r="E52" s="335"/>
      <c r="F52" s="335"/>
      <c r="G52" s="335"/>
      <c r="H52" s="335"/>
      <c r="I52" s="335"/>
      <c r="J52" s="335"/>
      <c r="K52" s="335"/>
      <c r="L52" s="335"/>
      <c r="M52" s="335"/>
      <c r="N52" s="335"/>
      <c r="O52" s="335"/>
      <c r="P52" s="335"/>
      <c r="Q52" s="335"/>
      <c r="R52" s="335"/>
      <c r="S52" s="335"/>
      <c r="T52" s="335"/>
      <c r="U52" s="335"/>
      <c r="V52" s="335"/>
      <c r="W52" s="335"/>
      <c r="X52" s="335"/>
      <c r="Y52" s="335"/>
      <c r="Z52" s="335"/>
      <c r="AA52" s="335"/>
      <c r="AB52" s="335"/>
      <c r="AC52" s="335"/>
      <c r="AD52" s="335"/>
      <c r="AE52" s="335"/>
      <c r="AF52" s="335"/>
      <c r="AG52" s="335"/>
      <c r="AH52" s="335"/>
      <c r="AI52" s="335"/>
      <c r="AJ52" s="335"/>
      <c r="AK52" s="335"/>
      <c r="AL52" s="335"/>
      <c r="AM52" s="335"/>
      <c r="AN52" s="335"/>
      <c r="AO52" s="335"/>
      <c r="AP52" s="325">
        <v>-1</v>
      </c>
      <c r="AQ52" s="326">
        <v>-1</v>
      </c>
      <c r="AR52" s="326">
        <v>-1.2</v>
      </c>
      <c r="AS52" s="326">
        <v>-1.8</v>
      </c>
      <c r="AT52" s="326">
        <v>-2</v>
      </c>
      <c r="AU52" s="463">
        <v>-2.2999999999999998</v>
      </c>
      <c r="AV52" s="326">
        <v>-3.4</v>
      </c>
      <c r="AW52" s="326">
        <v>-3.7</v>
      </c>
      <c r="AX52" s="326">
        <v>-3.6</v>
      </c>
    </row>
    <row r="53" spans="1:50" s="340" customFormat="1" ht="11.25">
      <c r="A53" s="335" t="s">
        <v>628</v>
      </c>
      <c r="B53" s="336" t="s">
        <v>629</v>
      </c>
      <c r="C53" s="337"/>
      <c r="D53" s="335"/>
      <c r="E53" s="335"/>
      <c r="F53" s="335"/>
      <c r="G53" s="335"/>
      <c r="H53" s="335"/>
      <c r="I53" s="335"/>
      <c r="J53" s="335"/>
      <c r="K53" s="335"/>
      <c r="L53" s="335"/>
      <c r="M53" s="335"/>
      <c r="N53" s="335"/>
      <c r="O53" s="335"/>
      <c r="P53" s="335"/>
      <c r="Q53" s="335"/>
      <c r="R53" s="335"/>
      <c r="S53" s="335"/>
      <c r="T53" s="335"/>
      <c r="U53" s="335"/>
      <c r="V53" s="335"/>
      <c r="W53" s="335"/>
      <c r="X53" s="335"/>
      <c r="Y53" s="335"/>
      <c r="Z53" s="335"/>
      <c r="AA53" s="335"/>
      <c r="AB53" s="335"/>
      <c r="AC53" s="335"/>
      <c r="AD53" s="335"/>
      <c r="AE53" s="335"/>
      <c r="AF53" s="335"/>
      <c r="AG53" s="335"/>
      <c r="AH53" s="335"/>
      <c r="AI53" s="335"/>
      <c r="AJ53" s="335"/>
      <c r="AK53" s="335"/>
      <c r="AL53" s="335"/>
      <c r="AM53" s="335"/>
      <c r="AN53" s="335"/>
      <c r="AO53" s="335"/>
      <c r="AP53" s="325">
        <v>-266.8</v>
      </c>
      <c r="AQ53" s="326">
        <v>-295.59999999999997</v>
      </c>
      <c r="AR53" s="326">
        <v>-335.9</v>
      </c>
      <c r="AS53" s="326">
        <v>-351.5</v>
      </c>
      <c r="AT53" s="326">
        <v>-380.2</v>
      </c>
      <c r="AU53" s="463">
        <v>-596.60000000000014</v>
      </c>
      <c r="AV53" s="326">
        <v>-671.5</v>
      </c>
      <c r="AW53" s="326">
        <v>-620.1</v>
      </c>
      <c r="AX53" s="326">
        <v>-674.2</v>
      </c>
    </row>
    <row r="54" spans="1:50" s="341" customFormat="1" ht="11.25">
      <c r="A54" s="317" t="s">
        <v>757</v>
      </c>
      <c r="B54" s="318" t="s">
        <v>756</v>
      </c>
      <c r="C54" s="319"/>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20">
        <f t="shared" ref="AP54:AU54" si="34">SUM(AP55:AP58)</f>
        <v>-0.7</v>
      </c>
      <c r="AQ54" s="321">
        <f t="shared" si="34"/>
        <v>-0.7</v>
      </c>
      <c r="AR54" s="321">
        <f t="shared" si="34"/>
        <v>-0.7</v>
      </c>
      <c r="AS54" s="321">
        <f t="shared" si="34"/>
        <v>-0.7</v>
      </c>
      <c r="AT54" s="321">
        <f t="shared" si="34"/>
        <v>-0.7</v>
      </c>
      <c r="AU54" s="462">
        <f t="shared" si="34"/>
        <v>0</v>
      </c>
      <c r="AV54" s="321">
        <f t="shared" ref="AV54:AW54" si="35">SUM(AV55:AV58)</f>
        <v>0</v>
      </c>
      <c r="AW54" s="321">
        <f t="shared" si="35"/>
        <v>0</v>
      </c>
      <c r="AX54" s="321">
        <f t="shared" ref="AX54" si="36">SUM(AX55:AX58)</f>
        <v>0</v>
      </c>
    </row>
    <row r="55" spans="1:50" s="340" customFormat="1" ht="11.25">
      <c r="A55" s="335" t="s">
        <v>740</v>
      </c>
      <c r="B55" s="336" t="s">
        <v>630</v>
      </c>
      <c r="C55" s="337"/>
      <c r="D55" s="335"/>
      <c r="E55" s="335"/>
      <c r="F55" s="335"/>
      <c r="G55" s="335"/>
      <c r="H55" s="335"/>
      <c r="I55" s="335"/>
      <c r="J55" s="335"/>
      <c r="K55" s="335"/>
      <c r="L55" s="335"/>
      <c r="M55" s="335"/>
      <c r="N55" s="335"/>
      <c r="O55" s="335"/>
      <c r="P55" s="335"/>
      <c r="Q55" s="335"/>
      <c r="R55" s="335"/>
      <c r="S55" s="335"/>
      <c r="T55" s="335"/>
      <c r="U55" s="335"/>
      <c r="V55" s="335"/>
      <c r="W55" s="335"/>
      <c r="X55" s="335"/>
      <c r="Y55" s="335"/>
      <c r="Z55" s="335"/>
      <c r="AA55" s="335"/>
      <c r="AB55" s="335"/>
      <c r="AC55" s="335"/>
      <c r="AD55" s="335"/>
      <c r="AE55" s="335"/>
      <c r="AF55" s="335"/>
      <c r="AG55" s="335"/>
      <c r="AH55" s="335"/>
      <c r="AI55" s="335"/>
      <c r="AJ55" s="335"/>
      <c r="AK55" s="335"/>
      <c r="AL55" s="335"/>
      <c r="AM55" s="335"/>
      <c r="AN55" s="335"/>
      <c r="AO55" s="335"/>
      <c r="AP55" s="325">
        <v>-0.7</v>
      </c>
      <c r="AQ55" s="326">
        <v>-0.7</v>
      </c>
      <c r="AR55" s="326">
        <v>-0.7</v>
      </c>
      <c r="AS55" s="326">
        <v>-0.7</v>
      </c>
      <c r="AT55" s="326">
        <v>-0.7</v>
      </c>
      <c r="AU55" s="463">
        <v>0</v>
      </c>
      <c r="AV55" s="326">
        <v>0</v>
      </c>
      <c r="AW55" s="326">
        <v>0</v>
      </c>
      <c r="AX55" s="326">
        <v>0</v>
      </c>
    </row>
    <row r="56" spans="1:50" s="340" customFormat="1" ht="11.25">
      <c r="A56" s="335" t="s">
        <v>631</v>
      </c>
      <c r="B56" s="336" t="s">
        <v>632</v>
      </c>
      <c r="C56" s="337"/>
      <c r="D56" s="335"/>
      <c r="E56" s="335"/>
      <c r="F56" s="335"/>
      <c r="G56" s="335"/>
      <c r="H56" s="335"/>
      <c r="I56" s="335"/>
      <c r="J56" s="335"/>
      <c r="K56" s="335"/>
      <c r="L56" s="335"/>
      <c r="M56" s="335"/>
      <c r="N56" s="335"/>
      <c r="O56" s="335"/>
      <c r="P56" s="335"/>
      <c r="Q56" s="335"/>
      <c r="R56" s="335"/>
      <c r="S56" s="335"/>
      <c r="T56" s="335"/>
      <c r="U56" s="335"/>
      <c r="V56" s="335"/>
      <c r="W56" s="335"/>
      <c r="X56" s="335"/>
      <c r="Y56" s="335"/>
      <c r="Z56" s="335"/>
      <c r="AA56" s="335"/>
      <c r="AB56" s="335"/>
      <c r="AC56" s="335"/>
      <c r="AD56" s="335"/>
      <c r="AE56" s="335"/>
      <c r="AF56" s="335"/>
      <c r="AG56" s="335"/>
      <c r="AH56" s="335"/>
      <c r="AI56" s="335"/>
      <c r="AJ56" s="335"/>
      <c r="AK56" s="335"/>
      <c r="AL56" s="335"/>
      <c r="AM56" s="335"/>
      <c r="AN56" s="335"/>
      <c r="AO56" s="335"/>
      <c r="AP56" s="325">
        <v>0</v>
      </c>
      <c r="AQ56" s="326">
        <v>0</v>
      </c>
      <c r="AR56" s="326">
        <v>0</v>
      </c>
      <c r="AS56" s="326">
        <v>0</v>
      </c>
      <c r="AT56" s="326">
        <v>0</v>
      </c>
      <c r="AU56" s="463">
        <v>0</v>
      </c>
      <c r="AV56" s="326">
        <v>0</v>
      </c>
      <c r="AW56" s="326">
        <v>0</v>
      </c>
      <c r="AX56" s="326">
        <v>0</v>
      </c>
    </row>
    <row r="57" spans="1:50" s="340" customFormat="1" ht="11.25">
      <c r="A57" s="335" t="s">
        <v>633</v>
      </c>
      <c r="B57" s="336" t="s">
        <v>634</v>
      </c>
      <c r="C57" s="337"/>
      <c r="D57" s="335"/>
      <c r="E57" s="335"/>
      <c r="F57" s="335"/>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5"/>
      <c r="AE57" s="335"/>
      <c r="AF57" s="335"/>
      <c r="AG57" s="335"/>
      <c r="AH57" s="335"/>
      <c r="AI57" s="335"/>
      <c r="AJ57" s="335"/>
      <c r="AK57" s="335"/>
      <c r="AL57" s="335"/>
      <c r="AM57" s="335"/>
      <c r="AN57" s="335"/>
      <c r="AO57" s="335"/>
      <c r="AP57" s="325">
        <v>0</v>
      </c>
      <c r="AQ57" s="326">
        <v>0</v>
      </c>
      <c r="AR57" s="326">
        <v>0</v>
      </c>
      <c r="AS57" s="326">
        <v>0</v>
      </c>
      <c r="AT57" s="326">
        <v>0</v>
      </c>
      <c r="AU57" s="463">
        <v>0</v>
      </c>
      <c r="AV57" s="326">
        <v>0</v>
      </c>
      <c r="AW57" s="326">
        <v>0</v>
      </c>
      <c r="AX57" s="326">
        <v>0</v>
      </c>
    </row>
    <row r="58" spans="1:50" s="340" customFormat="1" ht="11.25">
      <c r="A58" s="335" t="s">
        <v>741</v>
      </c>
      <c r="B58" s="336" t="s">
        <v>635</v>
      </c>
      <c r="C58" s="337"/>
      <c r="D58" s="335"/>
      <c r="E58" s="335"/>
      <c r="F58" s="335"/>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5"/>
      <c r="AE58" s="335"/>
      <c r="AF58" s="335"/>
      <c r="AG58" s="335"/>
      <c r="AH58" s="335"/>
      <c r="AI58" s="335"/>
      <c r="AJ58" s="335"/>
      <c r="AK58" s="335"/>
      <c r="AL58" s="335"/>
      <c r="AM58" s="335"/>
      <c r="AN58" s="335"/>
      <c r="AO58" s="335"/>
      <c r="AP58" s="325">
        <v>0</v>
      </c>
      <c r="AQ58" s="326">
        <v>0</v>
      </c>
      <c r="AR58" s="326">
        <v>0</v>
      </c>
      <c r="AS58" s="326">
        <v>0</v>
      </c>
      <c r="AT58" s="326">
        <v>0</v>
      </c>
      <c r="AU58" s="463">
        <v>0</v>
      </c>
      <c r="AV58" s="326">
        <v>0</v>
      </c>
      <c r="AW58" s="326">
        <v>0</v>
      </c>
      <c r="AX58" s="326">
        <v>0</v>
      </c>
    </row>
    <row r="59" spans="1:50" s="341" customFormat="1" ht="6" customHeight="1">
      <c r="A59" s="345"/>
      <c r="B59" s="346"/>
      <c r="C59" s="347"/>
      <c r="D59" s="345"/>
      <c r="E59" s="345"/>
      <c r="F59" s="345"/>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5"/>
      <c r="AE59" s="345"/>
      <c r="AF59" s="345"/>
      <c r="AG59" s="345"/>
      <c r="AH59" s="345"/>
      <c r="AI59" s="345"/>
      <c r="AJ59" s="345"/>
      <c r="AK59" s="345"/>
      <c r="AL59" s="345"/>
      <c r="AM59" s="345"/>
      <c r="AN59" s="345"/>
      <c r="AO59" s="345"/>
      <c r="AP59" s="348"/>
      <c r="AQ59" s="349"/>
      <c r="AR59" s="349"/>
      <c r="AS59" s="349"/>
      <c r="AT59" s="349"/>
      <c r="AU59" s="465"/>
      <c r="AV59" s="349"/>
      <c r="AW59" s="349"/>
      <c r="AX59" s="349"/>
    </row>
    <row r="60" spans="1:50" s="341" customFormat="1" ht="15" customHeight="1">
      <c r="A60" s="312" t="s">
        <v>749</v>
      </c>
      <c r="B60" s="313" t="s">
        <v>750</v>
      </c>
      <c r="C60" s="314"/>
      <c r="D60" s="312"/>
      <c r="E60" s="312"/>
      <c r="F60" s="312"/>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2"/>
      <c r="AE60" s="312"/>
      <c r="AF60" s="312"/>
      <c r="AG60" s="312"/>
      <c r="AH60" s="312"/>
      <c r="AI60" s="312"/>
      <c r="AJ60" s="312"/>
      <c r="AK60" s="312"/>
      <c r="AL60" s="312"/>
      <c r="AM60" s="312"/>
      <c r="AN60" s="312"/>
      <c r="AO60" s="312"/>
      <c r="AP60" s="315">
        <f t="shared" ref="AP60:AU60" si="37">SUM(AP62,AP78)</f>
        <v>81979.5</v>
      </c>
      <c r="AQ60" s="316">
        <f t="shared" si="37"/>
        <v>84399.5</v>
      </c>
      <c r="AR60" s="316">
        <f t="shared" si="37"/>
        <v>86922.299999999988</v>
      </c>
      <c r="AS60" s="316">
        <f t="shared" si="37"/>
        <v>90106.999999999985</v>
      </c>
      <c r="AT60" s="316">
        <f t="shared" si="37"/>
        <v>91108.10000000002</v>
      </c>
      <c r="AU60" s="461">
        <f t="shared" si="37"/>
        <v>90028.2</v>
      </c>
      <c r="AV60" s="316">
        <f t="shared" ref="AV60:AX60" si="38">SUM(AV62,AV78)</f>
        <v>94475.3</v>
      </c>
      <c r="AW60" s="316">
        <f t="shared" si="38"/>
        <v>98986</v>
      </c>
      <c r="AX60" s="316">
        <f t="shared" si="38"/>
        <v>102907.40000000001</v>
      </c>
    </row>
    <row r="61" spans="1:50" s="341" customFormat="1" ht="6" customHeight="1">
      <c r="A61" s="345"/>
      <c r="B61" s="346"/>
      <c r="C61" s="347"/>
      <c r="D61" s="345"/>
      <c r="E61" s="345"/>
      <c r="F61" s="345"/>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5"/>
      <c r="AE61" s="345"/>
      <c r="AF61" s="345"/>
      <c r="AG61" s="345"/>
      <c r="AH61" s="345"/>
      <c r="AI61" s="345"/>
      <c r="AJ61" s="345"/>
      <c r="AK61" s="345"/>
      <c r="AL61" s="345"/>
      <c r="AM61" s="345"/>
      <c r="AN61" s="345"/>
      <c r="AO61" s="345"/>
      <c r="AP61" s="348"/>
      <c r="AQ61" s="349"/>
      <c r="AR61" s="349"/>
      <c r="AS61" s="349"/>
      <c r="AT61" s="349"/>
      <c r="AU61" s="465"/>
      <c r="AV61" s="349"/>
      <c r="AW61" s="349"/>
      <c r="AX61" s="349"/>
    </row>
    <row r="62" spans="1:50" s="341" customFormat="1" ht="11.25">
      <c r="A62" s="317" t="s">
        <v>751</v>
      </c>
      <c r="B62" s="318" t="s">
        <v>752</v>
      </c>
      <c r="C62" s="319"/>
      <c r="D62" s="317"/>
      <c r="E62" s="317"/>
      <c r="F62" s="317"/>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7"/>
      <c r="AE62" s="317"/>
      <c r="AF62" s="317"/>
      <c r="AG62" s="317"/>
      <c r="AH62" s="317"/>
      <c r="AI62" s="317"/>
      <c r="AJ62" s="317"/>
      <c r="AK62" s="317"/>
      <c r="AL62" s="317"/>
      <c r="AM62" s="317"/>
      <c r="AN62" s="317"/>
      <c r="AO62" s="317"/>
      <c r="AP62" s="320">
        <f>SUM(AP63:AP65)</f>
        <v>77633.600000000006</v>
      </c>
      <c r="AQ62" s="321">
        <f t="shared" ref="AQ62:AU62" si="39">SUM(AQ63:AQ65)</f>
        <v>80270.399999999994</v>
      </c>
      <c r="AR62" s="321">
        <f t="shared" si="39"/>
        <v>82741.999999999985</v>
      </c>
      <c r="AS62" s="321">
        <f t="shared" si="39"/>
        <v>85764.299999999988</v>
      </c>
      <c r="AT62" s="321">
        <f t="shared" si="39"/>
        <v>86817.000000000015</v>
      </c>
      <c r="AU62" s="462">
        <f t="shared" si="39"/>
        <v>89281</v>
      </c>
      <c r="AV62" s="321">
        <f t="shared" ref="AV62:AX62" si="40">SUM(AV63:AV65)</f>
        <v>93666.3</v>
      </c>
      <c r="AW62" s="321">
        <f t="shared" si="40"/>
        <v>98194.9</v>
      </c>
      <c r="AX62" s="321">
        <f t="shared" si="40"/>
        <v>101956.8</v>
      </c>
    </row>
    <row r="63" spans="1:50" s="340" customFormat="1" ht="11.25">
      <c r="A63" s="322" t="s">
        <v>604</v>
      </c>
      <c r="B63" s="323" t="s">
        <v>605</v>
      </c>
      <c r="C63" s="324"/>
      <c r="D63" s="322"/>
      <c r="E63" s="322"/>
      <c r="F63" s="322"/>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2"/>
      <c r="AE63" s="322"/>
      <c r="AF63" s="322"/>
      <c r="AG63" s="322"/>
      <c r="AH63" s="322"/>
      <c r="AI63" s="322"/>
      <c r="AJ63" s="322"/>
      <c r="AK63" s="322"/>
      <c r="AL63" s="322"/>
      <c r="AM63" s="322"/>
      <c r="AN63" s="322"/>
      <c r="AO63" s="322"/>
      <c r="AP63" s="325">
        <f t="shared" ref="AP63:AU65" si="41">SUM(AP15,AP39)</f>
        <v>32865.4</v>
      </c>
      <c r="AQ63" s="326">
        <f t="shared" si="41"/>
        <v>34051.899999999994</v>
      </c>
      <c r="AR63" s="326">
        <f t="shared" si="41"/>
        <v>35576.699999999997</v>
      </c>
      <c r="AS63" s="326">
        <f t="shared" si="41"/>
        <v>37381.9</v>
      </c>
      <c r="AT63" s="326">
        <f t="shared" si="41"/>
        <v>39059.800000000003</v>
      </c>
      <c r="AU63" s="463">
        <f t="shared" si="41"/>
        <v>41473</v>
      </c>
      <c r="AV63" s="326">
        <f t="shared" ref="AV63:AX63" si="42">SUM(AV15,AV39)</f>
        <v>43707.399999999994</v>
      </c>
      <c r="AW63" s="326">
        <f t="shared" si="42"/>
        <v>45764</v>
      </c>
      <c r="AX63" s="326">
        <f t="shared" si="42"/>
        <v>47525.700000000004</v>
      </c>
    </row>
    <row r="64" spans="1:50" s="340" customFormat="1" ht="11.25">
      <c r="A64" s="322" t="s">
        <v>606</v>
      </c>
      <c r="B64" s="323" t="s">
        <v>607</v>
      </c>
      <c r="C64" s="324"/>
      <c r="D64" s="322"/>
      <c r="E64" s="322"/>
      <c r="F64" s="322"/>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2"/>
      <c r="AE64" s="322"/>
      <c r="AF64" s="322"/>
      <c r="AG64" s="322"/>
      <c r="AH64" s="322"/>
      <c r="AI64" s="322"/>
      <c r="AJ64" s="322"/>
      <c r="AK64" s="322"/>
      <c r="AL64" s="322"/>
      <c r="AM64" s="322"/>
      <c r="AN64" s="322"/>
      <c r="AO64" s="322"/>
      <c r="AP64" s="325">
        <f t="shared" si="41"/>
        <v>41352.200000000004</v>
      </c>
      <c r="AQ64" s="326">
        <f t="shared" si="41"/>
        <v>42839.1</v>
      </c>
      <c r="AR64" s="326">
        <f t="shared" si="41"/>
        <v>43932.1</v>
      </c>
      <c r="AS64" s="326">
        <f t="shared" si="41"/>
        <v>45317</v>
      </c>
      <c r="AT64" s="326">
        <f t="shared" si="41"/>
        <v>44909.9</v>
      </c>
      <c r="AU64" s="463">
        <f t="shared" si="41"/>
        <v>45159.199999999997</v>
      </c>
      <c r="AV64" s="326">
        <f t="shared" ref="AV64:AX64" si="43">SUM(AV16,AV40)</f>
        <v>47402.1</v>
      </c>
      <c r="AW64" s="326">
        <f t="shared" si="43"/>
        <v>49770.499999999993</v>
      </c>
      <c r="AX64" s="326">
        <f t="shared" si="43"/>
        <v>51223.899999999994</v>
      </c>
    </row>
    <row r="65" spans="1:50" s="340" customFormat="1" ht="11.25">
      <c r="A65" s="322" t="s">
        <v>608</v>
      </c>
      <c r="B65" s="323" t="s">
        <v>609</v>
      </c>
      <c r="C65" s="324"/>
      <c r="D65" s="322"/>
      <c r="E65" s="322"/>
      <c r="F65" s="322"/>
      <c r="G65" s="322"/>
      <c r="H65" s="322"/>
      <c r="I65" s="322"/>
      <c r="J65" s="322"/>
      <c r="K65" s="322"/>
      <c r="L65" s="322"/>
      <c r="M65" s="322"/>
      <c r="N65" s="322"/>
      <c r="O65" s="322"/>
      <c r="P65" s="322"/>
      <c r="Q65" s="322"/>
      <c r="R65" s="322"/>
      <c r="S65" s="322"/>
      <c r="T65" s="322"/>
      <c r="U65" s="322"/>
      <c r="V65" s="322"/>
      <c r="W65" s="322"/>
      <c r="X65" s="322"/>
      <c r="Y65" s="322"/>
      <c r="Z65" s="322"/>
      <c r="AA65" s="322"/>
      <c r="AB65" s="322"/>
      <c r="AC65" s="322"/>
      <c r="AD65" s="322"/>
      <c r="AE65" s="322"/>
      <c r="AF65" s="322"/>
      <c r="AG65" s="322"/>
      <c r="AH65" s="322"/>
      <c r="AI65" s="322"/>
      <c r="AJ65" s="322"/>
      <c r="AK65" s="322"/>
      <c r="AL65" s="322"/>
      <c r="AM65" s="322"/>
      <c r="AN65" s="322"/>
      <c r="AO65" s="322"/>
      <c r="AP65" s="325">
        <f t="shared" si="41"/>
        <v>3416</v>
      </c>
      <c r="AQ65" s="326">
        <f t="shared" si="41"/>
        <v>3379.4</v>
      </c>
      <c r="AR65" s="326">
        <f t="shared" si="41"/>
        <v>3233.2</v>
      </c>
      <c r="AS65" s="326">
        <f t="shared" si="41"/>
        <v>3065.3999999999996</v>
      </c>
      <c r="AT65" s="326">
        <f t="shared" si="41"/>
        <v>2847.3</v>
      </c>
      <c r="AU65" s="463">
        <f t="shared" si="41"/>
        <v>2648.8</v>
      </c>
      <c r="AV65" s="326">
        <f t="shared" ref="AV65:AX65" si="44">SUM(AV17,AV41)</f>
        <v>2556.8000000000002</v>
      </c>
      <c r="AW65" s="326">
        <f t="shared" si="44"/>
        <v>2660.4</v>
      </c>
      <c r="AX65" s="326">
        <f t="shared" si="44"/>
        <v>3207.2000000000003</v>
      </c>
    </row>
    <row r="66" spans="1:50" s="340" customFormat="1" ht="11.25">
      <c r="A66" s="327" t="s">
        <v>610</v>
      </c>
      <c r="B66" s="328" t="s">
        <v>611</v>
      </c>
      <c r="C66" s="329"/>
      <c r="D66" s="327"/>
      <c r="E66" s="327"/>
      <c r="F66" s="327"/>
      <c r="G66" s="327"/>
      <c r="H66" s="327"/>
      <c r="I66" s="327"/>
      <c r="J66" s="327"/>
      <c r="K66" s="327"/>
      <c r="L66" s="327"/>
      <c r="M66" s="327"/>
      <c r="N66" s="327"/>
      <c r="O66" s="327"/>
      <c r="P66" s="327"/>
      <c r="Q66" s="327"/>
      <c r="R66" s="327"/>
      <c r="S66" s="327"/>
      <c r="T66" s="327"/>
      <c r="U66" s="327"/>
      <c r="V66" s="327"/>
      <c r="W66" s="327"/>
      <c r="X66" s="327"/>
      <c r="Y66" s="327"/>
      <c r="Z66" s="327"/>
      <c r="AA66" s="327"/>
      <c r="AB66" s="327"/>
      <c r="AC66" s="327"/>
      <c r="AD66" s="327"/>
      <c r="AE66" s="327"/>
      <c r="AF66" s="327"/>
      <c r="AG66" s="327"/>
      <c r="AH66" s="327"/>
      <c r="AI66" s="327"/>
      <c r="AJ66" s="327"/>
      <c r="AK66" s="327"/>
      <c r="AL66" s="327"/>
      <c r="AM66" s="327"/>
      <c r="AN66" s="327"/>
      <c r="AO66" s="327"/>
      <c r="AP66" s="330">
        <f>SUM(AP67,AP73)</f>
        <v>77633.600000000006</v>
      </c>
      <c r="AQ66" s="331">
        <f t="shared" ref="AQ66:AU66" si="45">SUM(AQ67,AQ73)</f>
        <v>80270.399999999994</v>
      </c>
      <c r="AR66" s="331">
        <f t="shared" si="45"/>
        <v>82742</v>
      </c>
      <c r="AS66" s="331">
        <f t="shared" si="45"/>
        <v>85764.3</v>
      </c>
      <c r="AT66" s="331">
        <f t="shared" si="45"/>
        <v>86817</v>
      </c>
      <c r="AU66" s="464">
        <f t="shared" si="45"/>
        <v>89281</v>
      </c>
      <c r="AV66" s="331">
        <f t="shared" ref="AV66:AX66" si="46">SUM(AV67,AV73)</f>
        <v>93666.299999999988</v>
      </c>
      <c r="AW66" s="331">
        <f t="shared" si="46"/>
        <v>98194.9</v>
      </c>
      <c r="AX66" s="331">
        <f t="shared" si="46"/>
        <v>101956.8</v>
      </c>
    </row>
    <row r="67" spans="1:50" s="340" customFormat="1" ht="11.25">
      <c r="A67" s="332" t="s">
        <v>612</v>
      </c>
      <c r="B67" s="333" t="s">
        <v>613</v>
      </c>
      <c r="C67" s="334"/>
      <c r="D67" s="332"/>
      <c r="E67" s="332"/>
      <c r="F67" s="332"/>
      <c r="G67" s="332"/>
      <c r="H67" s="332"/>
      <c r="I67" s="332"/>
      <c r="J67" s="332"/>
      <c r="K67" s="332"/>
      <c r="L67" s="332"/>
      <c r="M67" s="332"/>
      <c r="N67" s="332"/>
      <c r="O67" s="332"/>
      <c r="P67" s="332"/>
      <c r="Q67" s="332"/>
      <c r="R67" s="332"/>
      <c r="S67" s="332"/>
      <c r="T67" s="332"/>
      <c r="U67" s="332"/>
      <c r="V67" s="332"/>
      <c r="W67" s="332"/>
      <c r="X67" s="332"/>
      <c r="Y67" s="332"/>
      <c r="Z67" s="332"/>
      <c r="AA67" s="332"/>
      <c r="AB67" s="332"/>
      <c r="AC67" s="332"/>
      <c r="AD67" s="332"/>
      <c r="AE67" s="332"/>
      <c r="AF67" s="332"/>
      <c r="AG67" s="332"/>
      <c r="AH67" s="332"/>
      <c r="AI67" s="332"/>
      <c r="AJ67" s="332"/>
      <c r="AK67" s="332"/>
      <c r="AL67" s="332"/>
      <c r="AM67" s="332"/>
      <c r="AN67" s="332"/>
      <c r="AO67" s="332"/>
      <c r="AP67" s="330">
        <f>SUM(AP68:AP72)</f>
        <v>46520.1</v>
      </c>
      <c r="AQ67" s="331">
        <f t="shared" ref="AQ67:AU67" si="47">SUM(AQ68:AQ72)</f>
        <v>48047.199999999997</v>
      </c>
      <c r="AR67" s="331">
        <f t="shared" si="47"/>
        <v>49022.299999999996</v>
      </c>
      <c r="AS67" s="331">
        <f t="shared" si="47"/>
        <v>50571.100000000006</v>
      </c>
      <c r="AT67" s="331">
        <f t="shared" si="47"/>
        <v>49935.8</v>
      </c>
      <c r="AU67" s="464">
        <f t="shared" si="47"/>
        <v>50784.999999999993</v>
      </c>
      <c r="AV67" s="331">
        <f t="shared" ref="AV67:AX67" si="48">SUM(AV68:AV72)</f>
        <v>52967.599999999991</v>
      </c>
      <c r="AW67" s="331">
        <f t="shared" si="48"/>
        <v>55583.199999999997</v>
      </c>
      <c r="AX67" s="331">
        <f t="shared" si="48"/>
        <v>57602.000000000007</v>
      </c>
    </row>
    <row r="68" spans="1:50" s="340" customFormat="1" ht="11.25">
      <c r="A68" s="335" t="s">
        <v>614</v>
      </c>
      <c r="B68" s="336" t="s">
        <v>615</v>
      </c>
      <c r="C68" s="337"/>
      <c r="D68" s="335"/>
      <c r="E68" s="335"/>
      <c r="F68" s="335"/>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5"/>
      <c r="AE68" s="335"/>
      <c r="AF68" s="335"/>
      <c r="AG68" s="335"/>
      <c r="AH68" s="335"/>
      <c r="AI68" s="335"/>
      <c r="AJ68" s="335"/>
      <c r="AK68" s="335"/>
      <c r="AL68" s="335"/>
      <c r="AM68" s="335"/>
      <c r="AN68" s="335"/>
      <c r="AO68" s="335"/>
      <c r="AP68" s="325">
        <f t="shared" ref="AP68:AU72" si="49">SUM(AP20,AP44)</f>
        <v>7278.9000000000005</v>
      </c>
      <c r="AQ68" s="326">
        <f t="shared" si="49"/>
        <v>9141.1</v>
      </c>
      <c r="AR68" s="326">
        <f t="shared" si="49"/>
        <v>9251.1</v>
      </c>
      <c r="AS68" s="326">
        <f t="shared" si="49"/>
        <v>9616.6</v>
      </c>
      <c r="AT68" s="326">
        <f t="shared" si="49"/>
        <v>8920.1</v>
      </c>
      <c r="AU68" s="463">
        <f t="shared" si="49"/>
        <v>10232.100000000002</v>
      </c>
      <c r="AV68" s="326">
        <f t="shared" ref="AV68:AX68" si="50">SUM(AV20,AV44)</f>
        <v>9986.9999999999982</v>
      </c>
      <c r="AW68" s="326">
        <f t="shared" si="50"/>
        <v>10799.6</v>
      </c>
      <c r="AX68" s="326">
        <f t="shared" si="50"/>
        <v>10322.799999999999</v>
      </c>
    </row>
    <row r="69" spans="1:50" s="340" customFormat="1" ht="11.25">
      <c r="A69" s="335" t="s">
        <v>616</v>
      </c>
      <c r="B69" s="336" t="s">
        <v>617</v>
      </c>
      <c r="C69" s="337"/>
      <c r="D69" s="335"/>
      <c r="E69" s="335"/>
      <c r="F69" s="335"/>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5"/>
      <c r="AE69" s="335"/>
      <c r="AF69" s="335"/>
      <c r="AG69" s="335"/>
      <c r="AH69" s="335"/>
      <c r="AI69" s="335"/>
      <c r="AJ69" s="335"/>
      <c r="AK69" s="335"/>
      <c r="AL69" s="335"/>
      <c r="AM69" s="335"/>
      <c r="AN69" s="335"/>
      <c r="AO69" s="335"/>
      <c r="AP69" s="325">
        <f t="shared" si="49"/>
        <v>27168.799999999999</v>
      </c>
      <c r="AQ69" s="326">
        <f t="shared" si="49"/>
        <v>26709.899999999998</v>
      </c>
      <c r="AR69" s="326">
        <f t="shared" si="49"/>
        <v>27337</v>
      </c>
      <c r="AS69" s="326">
        <f t="shared" si="49"/>
        <v>28301.000000000004</v>
      </c>
      <c r="AT69" s="326">
        <f t="shared" si="49"/>
        <v>28023.200000000004</v>
      </c>
      <c r="AU69" s="463">
        <f t="shared" si="49"/>
        <v>27609.299999999996</v>
      </c>
      <c r="AV69" s="326">
        <f t="shared" ref="AV69:AX69" si="51">SUM(AV21,AV45)</f>
        <v>29701.399999999998</v>
      </c>
      <c r="AW69" s="326">
        <f t="shared" si="51"/>
        <v>31037.599999999999</v>
      </c>
      <c r="AX69" s="326">
        <f t="shared" si="51"/>
        <v>32517.300000000003</v>
      </c>
    </row>
    <row r="70" spans="1:50" s="340" customFormat="1" ht="11.25">
      <c r="A70" s="335" t="s">
        <v>618</v>
      </c>
      <c r="B70" s="336" t="s">
        <v>619</v>
      </c>
      <c r="C70" s="337"/>
      <c r="D70" s="335"/>
      <c r="E70" s="335"/>
      <c r="F70" s="335"/>
      <c r="G70" s="335"/>
      <c r="H70" s="335"/>
      <c r="I70" s="335"/>
      <c r="J70" s="335"/>
      <c r="K70" s="335"/>
      <c r="L70" s="335"/>
      <c r="M70" s="335"/>
      <c r="N70" s="335"/>
      <c r="O70" s="335"/>
      <c r="P70" s="335"/>
      <c r="Q70" s="335"/>
      <c r="R70" s="335"/>
      <c r="S70" s="335"/>
      <c r="T70" s="335"/>
      <c r="U70" s="335"/>
      <c r="V70" s="335"/>
      <c r="W70" s="335"/>
      <c r="X70" s="335"/>
      <c r="Y70" s="335"/>
      <c r="Z70" s="335"/>
      <c r="AA70" s="335"/>
      <c r="AB70" s="335"/>
      <c r="AC70" s="335"/>
      <c r="AD70" s="335"/>
      <c r="AE70" s="335"/>
      <c r="AF70" s="335"/>
      <c r="AG70" s="335"/>
      <c r="AH70" s="335"/>
      <c r="AI70" s="335"/>
      <c r="AJ70" s="335"/>
      <c r="AK70" s="335"/>
      <c r="AL70" s="335"/>
      <c r="AM70" s="335"/>
      <c r="AN70" s="335"/>
      <c r="AO70" s="335"/>
      <c r="AP70" s="325">
        <f t="shared" si="49"/>
        <v>5209.2000000000007</v>
      </c>
      <c r="AQ70" s="326">
        <f t="shared" si="49"/>
        <v>5238.7</v>
      </c>
      <c r="AR70" s="326">
        <f t="shared" si="49"/>
        <v>5522.9000000000005</v>
      </c>
      <c r="AS70" s="326">
        <f t="shared" si="49"/>
        <v>5698.1</v>
      </c>
      <c r="AT70" s="326">
        <f t="shared" si="49"/>
        <v>5871.4</v>
      </c>
      <c r="AU70" s="463">
        <f t="shared" si="49"/>
        <v>6074.3</v>
      </c>
      <c r="AV70" s="326">
        <f t="shared" ref="AV70:AX70" si="52">SUM(AV22,AV46)</f>
        <v>6438.4999999999991</v>
      </c>
      <c r="AW70" s="326">
        <f t="shared" si="52"/>
        <v>6739.0999999999995</v>
      </c>
      <c r="AX70" s="326">
        <f t="shared" si="52"/>
        <v>7118.1000000000013</v>
      </c>
    </row>
    <row r="71" spans="1:50" s="340" customFormat="1" ht="11.25">
      <c r="A71" s="335" t="s">
        <v>620</v>
      </c>
      <c r="B71" s="336" t="s">
        <v>621</v>
      </c>
      <c r="C71" s="337"/>
      <c r="D71" s="335"/>
      <c r="E71" s="335"/>
      <c r="F71" s="335"/>
      <c r="G71" s="335"/>
      <c r="H71" s="335"/>
      <c r="I71" s="335"/>
      <c r="J71" s="335"/>
      <c r="K71" s="335"/>
      <c r="L71" s="335"/>
      <c r="M71" s="335"/>
      <c r="N71" s="335"/>
      <c r="O71" s="335"/>
      <c r="P71" s="335"/>
      <c r="Q71" s="335"/>
      <c r="R71" s="335"/>
      <c r="S71" s="335"/>
      <c r="T71" s="335"/>
      <c r="U71" s="335"/>
      <c r="V71" s="335"/>
      <c r="W71" s="335"/>
      <c r="X71" s="335"/>
      <c r="Y71" s="335"/>
      <c r="Z71" s="335"/>
      <c r="AA71" s="335"/>
      <c r="AB71" s="335"/>
      <c r="AC71" s="335"/>
      <c r="AD71" s="335"/>
      <c r="AE71" s="335"/>
      <c r="AF71" s="335"/>
      <c r="AG71" s="335"/>
      <c r="AH71" s="335"/>
      <c r="AI71" s="335"/>
      <c r="AJ71" s="335"/>
      <c r="AK71" s="335"/>
      <c r="AL71" s="335"/>
      <c r="AM71" s="335"/>
      <c r="AN71" s="335"/>
      <c r="AO71" s="335"/>
      <c r="AP71" s="325">
        <f t="shared" si="49"/>
        <v>4350.4000000000005</v>
      </c>
      <c r="AQ71" s="326">
        <f t="shared" si="49"/>
        <v>4513.3999999999996</v>
      </c>
      <c r="AR71" s="326">
        <f t="shared" si="49"/>
        <v>4622.2</v>
      </c>
      <c r="AS71" s="326">
        <f t="shared" si="49"/>
        <v>4715.1000000000004</v>
      </c>
      <c r="AT71" s="326">
        <f t="shared" si="49"/>
        <v>4589</v>
      </c>
      <c r="AU71" s="463">
        <f t="shared" si="49"/>
        <v>4562.6000000000004</v>
      </c>
      <c r="AV71" s="326">
        <f t="shared" ref="AV71:AX71" si="53">SUM(AV23,AV47)</f>
        <v>4751.6000000000004</v>
      </c>
      <c r="AW71" s="326">
        <f t="shared" si="53"/>
        <v>4766.9999999999991</v>
      </c>
      <c r="AX71" s="326">
        <f t="shared" si="53"/>
        <v>4834.5</v>
      </c>
    </row>
    <row r="72" spans="1:50" s="340" customFormat="1" ht="11.25">
      <c r="A72" s="335" t="s">
        <v>622</v>
      </c>
      <c r="B72" s="336" t="s">
        <v>623</v>
      </c>
      <c r="C72" s="337"/>
      <c r="D72" s="335"/>
      <c r="E72" s="335"/>
      <c r="F72" s="335"/>
      <c r="G72" s="335"/>
      <c r="H72" s="335"/>
      <c r="I72" s="335"/>
      <c r="J72" s="335"/>
      <c r="K72" s="335"/>
      <c r="L72" s="335"/>
      <c r="M72" s="335"/>
      <c r="N72" s="335"/>
      <c r="O72" s="335"/>
      <c r="P72" s="335"/>
      <c r="Q72" s="335"/>
      <c r="R72" s="335"/>
      <c r="S72" s="335"/>
      <c r="T72" s="335"/>
      <c r="U72" s="335"/>
      <c r="V72" s="335"/>
      <c r="W72" s="335"/>
      <c r="X72" s="335"/>
      <c r="Y72" s="335"/>
      <c r="Z72" s="335"/>
      <c r="AA72" s="335"/>
      <c r="AB72" s="335"/>
      <c r="AC72" s="335"/>
      <c r="AD72" s="335"/>
      <c r="AE72" s="335"/>
      <c r="AF72" s="335"/>
      <c r="AG72" s="335"/>
      <c r="AH72" s="335"/>
      <c r="AI72" s="335"/>
      <c r="AJ72" s="335"/>
      <c r="AK72" s="335"/>
      <c r="AL72" s="335"/>
      <c r="AM72" s="335"/>
      <c r="AN72" s="335"/>
      <c r="AO72" s="335"/>
      <c r="AP72" s="325">
        <f t="shared" si="49"/>
        <v>2512.7999999999997</v>
      </c>
      <c r="AQ72" s="326">
        <f t="shared" si="49"/>
        <v>2444.1000000000004</v>
      </c>
      <c r="AR72" s="326">
        <f t="shared" si="49"/>
        <v>2289.1000000000004</v>
      </c>
      <c r="AS72" s="326">
        <f t="shared" si="49"/>
        <v>2240.3000000000002</v>
      </c>
      <c r="AT72" s="326">
        <f t="shared" si="49"/>
        <v>2532.1</v>
      </c>
      <c r="AU72" s="463">
        <f t="shared" si="49"/>
        <v>2306.7000000000003</v>
      </c>
      <c r="AV72" s="326">
        <f t="shared" ref="AV72:AX72" si="54">SUM(AV24,AV48)</f>
        <v>2089.1</v>
      </c>
      <c r="AW72" s="326">
        <f t="shared" si="54"/>
        <v>2239.8999999999996</v>
      </c>
      <c r="AX72" s="326">
        <f t="shared" si="54"/>
        <v>2809.3</v>
      </c>
    </row>
    <row r="73" spans="1:50" s="340" customFormat="1" ht="11.25">
      <c r="A73" s="332" t="s">
        <v>624</v>
      </c>
      <c r="B73" s="333" t="s">
        <v>625</v>
      </c>
      <c r="C73" s="334"/>
      <c r="D73" s="332"/>
      <c r="E73" s="332"/>
      <c r="F73" s="332"/>
      <c r="G73" s="332"/>
      <c r="H73" s="332"/>
      <c r="I73" s="332"/>
      <c r="J73" s="332"/>
      <c r="K73" s="332"/>
      <c r="L73" s="332"/>
      <c r="M73" s="332"/>
      <c r="N73" s="332"/>
      <c r="O73" s="332"/>
      <c r="P73" s="332"/>
      <c r="Q73" s="332"/>
      <c r="R73" s="332"/>
      <c r="S73" s="332"/>
      <c r="T73" s="332"/>
      <c r="U73" s="332"/>
      <c r="V73" s="332"/>
      <c r="W73" s="332"/>
      <c r="X73" s="332"/>
      <c r="Y73" s="332"/>
      <c r="Z73" s="332"/>
      <c r="AA73" s="332"/>
      <c r="AB73" s="332"/>
      <c r="AC73" s="332"/>
      <c r="AD73" s="332"/>
      <c r="AE73" s="332"/>
      <c r="AF73" s="332"/>
      <c r="AG73" s="332"/>
      <c r="AH73" s="332"/>
      <c r="AI73" s="332"/>
      <c r="AJ73" s="332"/>
      <c r="AK73" s="332"/>
      <c r="AL73" s="332"/>
      <c r="AM73" s="332"/>
      <c r="AN73" s="332"/>
      <c r="AO73" s="332"/>
      <c r="AP73" s="330">
        <f>SUM(AP74:AP77)</f>
        <v>31113.500000000004</v>
      </c>
      <c r="AQ73" s="331">
        <f t="shared" ref="AQ73:AU73" si="55">SUM(AQ74:AQ77)</f>
        <v>32223.200000000004</v>
      </c>
      <c r="AR73" s="331">
        <f t="shared" si="55"/>
        <v>33719.699999999997</v>
      </c>
      <c r="AS73" s="331">
        <f t="shared" si="55"/>
        <v>35193.199999999997</v>
      </c>
      <c r="AT73" s="331">
        <f t="shared" si="55"/>
        <v>36881.199999999997</v>
      </c>
      <c r="AU73" s="464">
        <f t="shared" si="55"/>
        <v>38496</v>
      </c>
      <c r="AV73" s="331">
        <f t="shared" ref="AV73:AX73" si="56">SUM(AV74:AV77)</f>
        <v>40698.700000000004</v>
      </c>
      <c r="AW73" s="331">
        <f t="shared" si="56"/>
        <v>42611.69999999999</v>
      </c>
      <c r="AX73" s="331">
        <f t="shared" si="56"/>
        <v>44354.799999999996</v>
      </c>
    </row>
    <row r="74" spans="1:50" s="340" customFormat="1" ht="11.25">
      <c r="A74" s="335" t="s">
        <v>626</v>
      </c>
      <c r="B74" s="336" t="s">
        <v>627</v>
      </c>
      <c r="C74" s="337"/>
      <c r="D74" s="335"/>
      <c r="E74" s="335"/>
      <c r="F74" s="335"/>
      <c r="G74" s="335"/>
      <c r="H74" s="335"/>
      <c r="I74" s="335"/>
      <c r="J74" s="335"/>
      <c r="K74" s="335"/>
      <c r="L74" s="335"/>
      <c r="M74" s="335"/>
      <c r="N74" s="335"/>
      <c r="O74" s="335"/>
      <c r="P74" s="335"/>
      <c r="Q74" s="335"/>
      <c r="R74" s="335"/>
      <c r="S74" s="335"/>
      <c r="T74" s="335"/>
      <c r="U74" s="335"/>
      <c r="V74" s="335"/>
      <c r="W74" s="335"/>
      <c r="X74" s="335"/>
      <c r="Y74" s="335"/>
      <c r="Z74" s="335"/>
      <c r="AA74" s="335"/>
      <c r="AB74" s="335"/>
      <c r="AC74" s="335"/>
      <c r="AD74" s="335"/>
      <c r="AE74" s="335"/>
      <c r="AF74" s="335"/>
      <c r="AG74" s="335"/>
      <c r="AH74" s="335"/>
      <c r="AI74" s="335"/>
      <c r="AJ74" s="335"/>
      <c r="AK74" s="335"/>
      <c r="AL74" s="335"/>
      <c r="AM74" s="335"/>
      <c r="AN74" s="335"/>
      <c r="AO74" s="335"/>
      <c r="AP74" s="325">
        <f t="shared" ref="AP74:AU77" si="57">SUM(AP26,AP50)</f>
        <v>23284</v>
      </c>
      <c r="AQ74" s="326">
        <f t="shared" si="57"/>
        <v>23982.500000000004</v>
      </c>
      <c r="AR74" s="326">
        <f t="shared" si="57"/>
        <v>24998.399999999998</v>
      </c>
      <c r="AS74" s="326">
        <f t="shared" si="57"/>
        <v>26058.300000000003</v>
      </c>
      <c r="AT74" s="326">
        <f t="shared" si="57"/>
        <v>27369.399999999998</v>
      </c>
      <c r="AU74" s="463">
        <f t="shared" si="57"/>
        <v>28661.1</v>
      </c>
      <c r="AV74" s="326">
        <f t="shared" ref="AV74:AX74" si="58">SUM(AV26,AV50)</f>
        <v>30295.4</v>
      </c>
      <c r="AW74" s="326">
        <f t="shared" si="58"/>
        <v>31756.499999999996</v>
      </c>
      <c r="AX74" s="326">
        <f t="shared" si="58"/>
        <v>33146.799999999996</v>
      </c>
    </row>
    <row r="75" spans="1:50" s="340" customFormat="1" ht="11.25">
      <c r="A75" s="335" t="s">
        <v>614</v>
      </c>
      <c r="B75" s="336" t="s">
        <v>615</v>
      </c>
      <c r="C75" s="337"/>
      <c r="D75" s="335"/>
      <c r="E75" s="335"/>
      <c r="F75" s="335"/>
      <c r="G75" s="335"/>
      <c r="H75" s="335"/>
      <c r="I75" s="335"/>
      <c r="J75" s="335"/>
      <c r="K75" s="335"/>
      <c r="L75" s="335"/>
      <c r="M75" s="335"/>
      <c r="N75" s="335"/>
      <c r="O75" s="335"/>
      <c r="P75" s="335"/>
      <c r="Q75" s="335"/>
      <c r="R75" s="335"/>
      <c r="S75" s="335"/>
      <c r="T75" s="335"/>
      <c r="U75" s="335"/>
      <c r="V75" s="335"/>
      <c r="W75" s="335"/>
      <c r="X75" s="335"/>
      <c r="Y75" s="335"/>
      <c r="Z75" s="335"/>
      <c r="AA75" s="335"/>
      <c r="AB75" s="335"/>
      <c r="AC75" s="335"/>
      <c r="AD75" s="335"/>
      <c r="AE75" s="335"/>
      <c r="AF75" s="335"/>
      <c r="AG75" s="335"/>
      <c r="AH75" s="335"/>
      <c r="AI75" s="335"/>
      <c r="AJ75" s="335"/>
      <c r="AK75" s="335"/>
      <c r="AL75" s="335"/>
      <c r="AM75" s="335"/>
      <c r="AN75" s="335"/>
      <c r="AO75" s="335"/>
      <c r="AP75" s="325">
        <f t="shared" si="57"/>
        <v>1143.9000000000001</v>
      </c>
      <c r="AQ75" s="326">
        <f t="shared" si="57"/>
        <v>1203.8</v>
      </c>
      <c r="AR75" s="326">
        <f t="shared" si="57"/>
        <v>1244.8</v>
      </c>
      <c r="AS75" s="326">
        <f t="shared" si="57"/>
        <v>1295.0999999999999</v>
      </c>
      <c r="AT75" s="326">
        <f t="shared" si="57"/>
        <v>1239.8</v>
      </c>
      <c r="AU75" s="463">
        <f t="shared" si="57"/>
        <v>1295.3999999999999</v>
      </c>
      <c r="AV75" s="326">
        <f t="shared" ref="AV75:AX75" si="59">SUM(AV27,AV51)</f>
        <v>1299.4000000000001</v>
      </c>
      <c r="AW75" s="326">
        <f t="shared" si="59"/>
        <v>1304.9000000000001</v>
      </c>
      <c r="AX75" s="326">
        <f t="shared" si="59"/>
        <v>1223.4000000000001</v>
      </c>
    </row>
    <row r="76" spans="1:50" s="340" customFormat="1" ht="11.25">
      <c r="A76" s="335" t="s">
        <v>618</v>
      </c>
      <c r="B76" s="336" t="s">
        <v>619</v>
      </c>
      <c r="C76" s="337"/>
      <c r="D76" s="335"/>
      <c r="E76" s="335"/>
      <c r="F76" s="335"/>
      <c r="G76" s="335"/>
      <c r="H76" s="335"/>
      <c r="I76" s="335"/>
      <c r="J76" s="335"/>
      <c r="K76" s="335"/>
      <c r="L76" s="335"/>
      <c r="M76" s="335"/>
      <c r="N76" s="335"/>
      <c r="O76" s="335"/>
      <c r="P76" s="335"/>
      <c r="Q76" s="335"/>
      <c r="R76" s="335"/>
      <c r="S76" s="335"/>
      <c r="T76" s="335"/>
      <c r="U76" s="335"/>
      <c r="V76" s="335"/>
      <c r="W76" s="335"/>
      <c r="X76" s="335"/>
      <c r="Y76" s="335"/>
      <c r="Z76" s="335"/>
      <c r="AA76" s="335"/>
      <c r="AB76" s="335"/>
      <c r="AC76" s="335"/>
      <c r="AD76" s="335"/>
      <c r="AE76" s="335"/>
      <c r="AF76" s="335"/>
      <c r="AG76" s="335"/>
      <c r="AH76" s="335"/>
      <c r="AI76" s="335"/>
      <c r="AJ76" s="335"/>
      <c r="AK76" s="335"/>
      <c r="AL76" s="335"/>
      <c r="AM76" s="335"/>
      <c r="AN76" s="335"/>
      <c r="AO76" s="335"/>
      <c r="AP76" s="325">
        <f t="shared" si="57"/>
        <v>501.4</v>
      </c>
      <c r="AQ76" s="326">
        <f t="shared" si="57"/>
        <v>535.4</v>
      </c>
      <c r="AR76" s="326">
        <f t="shared" si="57"/>
        <v>575.69999999999993</v>
      </c>
      <c r="AS76" s="326">
        <f t="shared" si="57"/>
        <v>629.30000000000007</v>
      </c>
      <c r="AT76" s="326">
        <f t="shared" si="57"/>
        <v>688.7</v>
      </c>
      <c r="AU76" s="463">
        <f t="shared" si="57"/>
        <v>750.7</v>
      </c>
      <c r="AV76" s="326">
        <f t="shared" ref="AV76:AX76" si="60">SUM(AV28,AV52)</f>
        <v>807.80000000000007</v>
      </c>
      <c r="AW76" s="326">
        <f t="shared" si="60"/>
        <v>869.19999999999993</v>
      </c>
      <c r="AX76" s="326">
        <f t="shared" si="60"/>
        <v>975.5</v>
      </c>
    </row>
    <row r="77" spans="1:50" s="340" customFormat="1" ht="11.25">
      <c r="A77" s="335" t="s">
        <v>628</v>
      </c>
      <c r="B77" s="336" t="s">
        <v>629</v>
      </c>
      <c r="C77" s="337"/>
      <c r="D77" s="335"/>
      <c r="E77" s="335"/>
      <c r="F77" s="335"/>
      <c r="G77" s="335"/>
      <c r="H77" s="335"/>
      <c r="I77" s="335"/>
      <c r="J77" s="335"/>
      <c r="K77" s="335"/>
      <c r="L77" s="335"/>
      <c r="M77" s="335"/>
      <c r="N77" s="335"/>
      <c r="O77" s="335"/>
      <c r="P77" s="335"/>
      <c r="Q77" s="335"/>
      <c r="R77" s="335"/>
      <c r="S77" s="335"/>
      <c r="T77" s="335"/>
      <c r="U77" s="335"/>
      <c r="V77" s="335"/>
      <c r="W77" s="335"/>
      <c r="X77" s="335"/>
      <c r="Y77" s="335"/>
      <c r="Z77" s="335"/>
      <c r="AA77" s="335"/>
      <c r="AB77" s="335"/>
      <c r="AC77" s="335"/>
      <c r="AD77" s="335"/>
      <c r="AE77" s="335"/>
      <c r="AF77" s="335"/>
      <c r="AG77" s="335"/>
      <c r="AH77" s="335"/>
      <c r="AI77" s="335"/>
      <c r="AJ77" s="335"/>
      <c r="AK77" s="335"/>
      <c r="AL77" s="335"/>
      <c r="AM77" s="335"/>
      <c r="AN77" s="335"/>
      <c r="AO77" s="335"/>
      <c r="AP77" s="325">
        <f t="shared" si="57"/>
        <v>6184.2</v>
      </c>
      <c r="AQ77" s="326">
        <f t="shared" si="57"/>
        <v>6501.5</v>
      </c>
      <c r="AR77" s="326">
        <f t="shared" si="57"/>
        <v>6900.8</v>
      </c>
      <c r="AS77" s="326">
        <f t="shared" si="57"/>
        <v>7210.4999999999991</v>
      </c>
      <c r="AT77" s="326">
        <f t="shared" si="57"/>
        <v>7583.3000000000011</v>
      </c>
      <c r="AU77" s="463">
        <f t="shared" si="57"/>
        <v>7788.7999999999993</v>
      </c>
      <c r="AV77" s="326">
        <f t="shared" ref="AV77:AX77" si="61">SUM(AV29,AV53)</f>
        <v>8296.1</v>
      </c>
      <c r="AW77" s="326">
        <f t="shared" si="61"/>
        <v>8681.0999999999985</v>
      </c>
      <c r="AX77" s="326">
        <f t="shared" si="61"/>
        <v>9009.0999999999967</v>
      </c>
    </row>
    <row r="78" spans="1:50" s="341" customFormat="1" ht="11.25">
      <c r="A78" s="317" t="s">
        <v>761</v>
      </c>
      <c r="B78" s="318" t="s">
        <v>753</v>
      </c>
      <c r="C78" s="319"/>
      <c r="D78" s="317"/>
      <c r="E78" s="317"/>
      <c r="F78" s="317"/>
      <c r="G78" s="317"/>
      <c r="H78" s="317"/>
      <c r="I78" s="317"/>
      <c r="J78" s="317"/>
      <c r="K78" s="317"/>
      <c r="L78" s="317"/>
      <c r="M78" s="317"/>
      <c r="N78" s="317"/>
      <c r="O78" s="317"/>
      <c r="P78" s="317"/>
      <c r="Q78" s="317"/>
      <c r="R78" s="317"/>
      <c r="S78" s="317"/>
      <c r="T78" s="317"/>
      <c r="U78" s="317"/>
      <c r="V78" s="317"/>
      <c r="W78" s="317"/>
      <c r="X78" s="317"/>
      <c r="Y78" s="317"/>
      <c r="Z78" s="317"/>
      <c r="AA78" s="317"/>
      <c r="AB78" s="317"/>
      <c r="AC78" s="317"/>
      <c r="AD78" s="317"/>
      <c r="AE78" s="317"/>
      <c r="AF78" s="317"/>
      <c r="AG78" s="317"/>
      <c r="AH78" s="317"/>
      <c r="AI78" s="317"/>
      <c r="AJ78" s="317"/>
      <c r="AK78" s="317"/>
      <c r="AL78" s="317"/>
      <c r="AM78" s="317"/>
      <c r="AN78" s="317"/>
      <c r="AO78" s="317"/>
      <c r="AP78" s="320">
        <f>SUM(AP79:AP82)</f>
        <v>4345.8999999999996</v>
      </c>
      <c r="AQ78" s="321">
        <f t="shared" ref="AQ78:AU78" si="62">SUM(AQ79:AQ82)</f>
        <v>4129.1000000000004</v>
      </c>
      <c r="AR78" s="321">
        <f t="shared" si="62"/>
        <v>4180.3</v>
      </c>
      <c r="AS78" s="321">
        <f t="shared" si="62"/>
        <v>4342.7000000000007</v>
      </c>
      <c r="AT78" s="321">
        <f t="shared" si="62"/>
        <v>4291.1000000000013</v>
      </c>
      <c r="AU78" s="462">
        <f t="shared" si="62"/>
        <v>747.2</v>
      </c>
      <c r="AV78" s="321">
        <f t="shared" ref="AV78:AX78" si="63">SUM(AV79:AV82)</f>
        <v>809</v>
      </c>
      <c r="AW78" s="321">
        <f t="shared" si="63"/>
        <v>791.1</v>
      </c>
      <c r="AX78" s="321">
        <f t="shared" si="63"/>
        <v>950.6</v>
      </c>
    </row>
    <row r="79" spans="1:50" s="340" customFormat="1" ht="11.25">
      <c r="A79" s="335" t="s">
        <v>740</v>
      </c>
      <c r="B79" s="336" t="s">
        <v>630</v>
      </c>
      <c r="C79" s="337"/>
      <c r="D79" s="335"/>
      <c r="E79" s="335"/>
      <c r="F79" s="335"/>
      <c r="G79" s="335"/>
      <c r="H79" s="335"/>
      <c r="I79" s="335"/>
      <c r="J79" s="335"/>
      <c r="K79" s="335"/>
      <c r="L79" s="335"/>
      <c r="M79" s="335"/>
      <c r="N79" s="335"/>
      <c r="O79" s="335"/>
      <c r="P79" s="335"/>
      <c r="Q79" s="335"/>
      <c r="R79" s="335"/>
      <c r="S79" s="335"/>
      <c r="T79" s="335"/>
      <c r="U79" s="335"/>
      <c r="V79" s="335"/>
      <c r="W79" s="335"/>
      <c r="X79" s="335"/>
      <c r="Y79" s="335"/>
      <c r="Z79" s="335"/>
      <c r="AA79" s="335"/>
      <c r="AB79" s="335"/>
      <c r="AC79" s="335"/>
      <c r="AD79" s="335"/>
      <c r="AE79" s="335"/>
      <c r="AF79" s="335"/>
      <c r="AG79" s="335"/>
      <c r="AH79" s="335"/>
      <c r="AI79" s="335"/>
      <c r="AJ79" s="335"/>
      <c r="AK79" s="335"/>
      <c r="AL79" s="335"/>
      <c r="AM79" s="335"/>
      <c r="AN79" s="335"/>
      <c r="AO79" s="335"/>
      <c r="AP79" s="325">
        <f t="shared" ref="AP79:AU82" si="64">SUM(AP31,AP55)</f>
        <v>3910</v>
      </c>
      <c r="AQ79" s="326">
        <f t="shared" si="64"/>
        <v>3685.7000000000003</v>
      </c>
      <c r="AR79" s="326">
        <f t="shared" si="64"/>
        <v>3589.1000000000004</v>
      </c>
      <c r="AS79" s="326">
        <f t="shared" si="64"/>
        <v>3673.7000000000003</v>
      </c>
      <c r="AT79" s="326">
        <f t="shared" si="64"/>
        <v>3564.1000000000004</v>
      </c>
      <c r="AU79" s="463">
        <f t="shared" si="64"/>
        <v>0</v>
      </c>
      <c r="AV79" s="326">
        <f t="shared" ref="AV79:AX79" si="65">SUM(AV31,AV55)</f>
        <v>0</v>
      </c>
      <c r="AW79" s="326">
        <f t="shared" si="65"/>
        <v>0</v>
      </c>
      <c r="AX79" s="326">
        <f t="shared" si="65"/>
        <v>0</v>
      </c>
    </row>
    <row r="80" spans="1:50" s="340" customFormat="1" ht="11.25">
      <c r="A80" s="335" t="s">
        <v>631</v>
      </c>
      <c r="B80" s="336" t="s">
        <v>632</v>
      </c>
      <c r="C80" s="337"/>
      <c r="D80" s="335"/>
      <c r="E80" s="335"/>
      <c r="F80" s="335"/>
      <c r="G80" s="335"/>
      <c r="H80" s="335"/>
      <c r="I80" s="335"/>
      <c r="J80" s="335"/>
      <c r="K80" s="335"/>
      <c r="L80" s="335"/>
      <c r="M80" s="335"/>
      <c r="N80" s="335"/>
      <c r="O80" s="335"/>
      <c r="P80" s="335"/>
      <c r="Q80" s="335"/>
      <c r="R80" s="335"/>
      <c r="S80" s="335"/>
      <c r="T80" s="335"/>
      <c r="U80" s="335"/>
      <c r="V80" s="335"/>
      <c r="W80" s="335"/>
      <c r="X80" s="335"/>
      <c r="Y80" s="335"/>
      <c r="Z80" s="335"/>
      <c r="AA80" s="335"/>
      <c r="AB80" s="335"/>
      <c r="AC80" s="335"/>
      <c r="AD80" s="335"/>
      <c r="AE80" s="335"/>
      <c r="AF80" s="335"/>
      <c r="AG80" s="335"/>
      <c r="AH80" s="335"/>
      <c r="AI80" s="335"/>
      <c r="AJ80" s="335"/>
      <c r="AK80" s="335"/>
      <c r="AL80" s="335"/>
      <c r="AM80" s="335"/>
      <c r="AN80" s="335"/>
      <c r="AO80" s="335"/>
      <c r="AP80" s="325">
        <f t="shared" si="64"/>
        <v>329</v>
      </c>
      <c r="AQ80" s="326">
        <f t="shared" si="64"/>
        <v>324.60000000000002</v>
      </c>
      <c r="AR80" s="326">
        <f t="shared" si="64"/>
        <v>483.4</v>
      </c>
      <c r="AS80" s="326">
        <f t="shared" si="64"/>
        <v>521.20000000000005</v>
      </c>
      <c r="AT80" s="326">
        <f t="shared" si="64"/>
        <v>540.1</v>
      </c>
      <c r="AU80" s="463">
        <f t="shared" si="64"/>
        <v>603</v>
      </c>
      <c r="AV80" s="326">
        <f t="shared" ref="AV80:AX80" si="66">SUM(AV32,AV56)</f>
        <v>651.70000000000005</v>
      </c>
      <c r="AW80" s="326">
        <f t="shared" si="66"/>
        <v>612</v>
      </c>
      <c r="AX80" s="326">
        <f t="shared" si="66"/>
        <v>733</v>
      </c>
    </row>
    <row r="81" spans="1:50" s="340" customFormat="1" ht="11.25">
      <c r="A81" s="335" t="s">
        <v>633</v>
      </c>
      <c r="B81" s="336" t="s">
        <v>634</v>
      </c>
      <c r="C81" s="337"/>
      <c r="D81" s="335"/>
      <c r="E81" s="335"/>
      <c r="F81" s="335"/>
      <c r="G81" s="335"/>
      <c r="H81" s="335"/>
      <c r="I81" s="335"/>
      <c r="J81" s="335"/>
      <c r="K81" s="335"/>
      <c r="L81" s="335"/>
      <c r="M81" s="335"/>
      <c r="N81" s="335"/>
      <c r="O81" s="335"/>
      <c r="P81" s="335"/>
      <c r="Q81" s="335"/>
      <c r="R81" s="335"/>
      <c r="S81" s="335"/>
      <c r="T81" s="335"/>
      <c r="U81" s="335"/>
      <c r="V81" s="335"/>
      <c r="W81" s="335"/>
      <c r="X81" s="335"/>
      <c r="Y81" s="335"/>
      <c r="Z81" s="335"/>
      <c r="AA81" s="335"/>
      <c r="AB81" s="335"/>
      <c r="AC81" s="335"/>
      <c r="AD81" s="335"/>
      <c r="AE81" s="335"/>
      <c r="AF81" s="335"/>
      <c r="AG81" s="335"/>
      <c r="AH81" s="335"/>
      <c r="AI81" s="335"/>
      <c r="AJ81" s="335"/>
      <c r="AK81" s="335"/>
      <c r="AL81" s="335"/>
      <c r="AM81" s="335"/>
      <c r="AN81" s="335"/>
      <c r="AO81" s="335"/>
      <c r="AP81" s="325">
        <f t="shared" si="64"/>
        <v>0</v>
      </c>
      <c r="AQ81" s="326">
        <f t="shared" si="64"/>
        <v>19.899999999999999</v>
      </c>
      <c r="AR81" s="326">
        <f t="shared" si="64"/>
        <v>20</v>
      </c>
      <c r="AS81" s="326">
        <f t="shared" si="64"/>
        <v>19.7</v>
      </c>
      <c r="AT81" s="326">
        <f t="shared" si="64"/>
        <v>19.8</v>
      </c>
      <c r="AU81" s="463">
        <f t="shared" si="64"/>
        <v>0</v>
      </c>
      <c r="AV81" s="326">
        <f t="shared" ref="AV81:AX81" si="67">SUM(AV33,AV57)</f>
        <v>0</v>
      </c>
      <c r="AW81" s="326">
        <f t="shared" si="67"/>
        <v>0</v>
      </c>
      <c r="AX81" s="326">
        <f t="shared" si="67"/>
        <v>0</v>
      </c>
    </row>
    <row r="82" spans="1:50" s="340" customFormat="1" ht="11.25">
      <c r="A82" s="335" t="s">
        <v>741</v>
      </c>
      <c r="B82" s="336" t="s">
        <v>635</v>
      </c>
      <c r="C82" s="337"/>
      <c r="D82" s="335"/>
      <c r="E82" s="335"/>
      <c r="F82" s="335"/>
      <c r="G82" s="335"/>
      <c r="H82" s="335"/>
      <c r="I82" s="335"/>
      <c r="J82" s="335"/>
      <c r="K82" s="335"/>
      <c r="L82" s="335"/>
      <c r="M82" s="335"/>
      <c r="N82" s="335"/>
      <c r="O82" s="335"/>
      <c r="P82" s="335"/>
      <c r="Q82" s="335"/>
      <c r="R82" s="335"/>
      <c r="S82" s="335"/>
      <c r="T82" s="335"/>
      <c r="U82" s="335"/>
      <c r="V82" s="335"/>
      <c r="W82" s="335"/>
      <c r="X82" s="335"/>
      <c r="Y82" s="335"/>
      <c r="Z82" s="335"/>
      <c r="AA82" s="335"/>
      <c r="AB82" s="335"/>
      <c r="AC82" s="335"/>
      <c r="AD82" s="335"/>
      <c r="AE82" s="335"/>
      <c r="AF82" s="335"/>
      <c r="AG82" s="335"/>
      <c r="AH82" s="335"/>
      <c r="AI82" s="335"/>
      <c r="AJ82" s="335"/>
      <c r="AK82" s="335"/>
      <c r="AL82" s="335"/>
      <c r="AM82" s="335"/>
      <c r="AN82" s="335"/>
      <c r="AO82" s="335"/>
      <c r="AP82" s="325">
        <f t="shared" si="64"/>
        <v>106.9</v>
      </c>
      <c r="AQ82" s="326">
        <f t="shared" si="64"/>
        <v>98.9</v>
      </c>
      <c r="AR82" s="326">
        <f t="shared" si="64"/>
        <v>87.8</v>
      </c>
      <c r="AS82" s="326">
        <f t="shared" si="64"/>
        <v>128.1</v>
      </c>
      <c r="AT82" s="326">
        <f t="shared" si="64"/>
        <v>167.1</v>
      </c>
      <c r="AU82" s="463">
        <f t="shared" si="64"/>
        <v>144.19999999999999</v>
      </c>
      <c r="AV82" s="326">
        <f t="shared" ref="AV82:AX82" si="68">SUM(AV34,AV58)</f>
        <v>157.30000000000001</v>
      </c>
      <c r="AW82" s="326">
        <f t="shared" si="68"/>
        <v>179.1</v>
      </c>
      <c r="AX82" s="326">
        <f t="shared" si="68"/>
        <v>217.6</v>
      </c>
    </row>
  </sheetData>
  <mergeCells count="8">
    <mergeCell ref="AU2:AX2"/>
    <mergeCell ref="AU9:AX9"/>
    <mergeCell ref="A9:A10"/>
    <mergeCell ref="B9:B10"/>
    <mergeCell ref="AQ9:AT9"/>
    <mergeCell ref="A2:A3"/>
    <mergeCell ref="B2:B3"/>
    <mergeCell ref="AQ2:AT2"/>
  </mergeCells>
  <pageMargins left="0.7" right="0.7" top="0.75" bottom="0.75" header="0.3" footer="0.3"/>
  <pageSetup paperSize="9" scale="41" orientation="landscape" r:id="rId1"/>
  <ignoredErrors>
    <ignoredError sqref="AP73:AU82"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94"/>
  <sheetViews>
    <sheetView showGridLines="0" view="pageBreakPreview" zoomScaleNormal="100" zoomScaleSheetLayoutView="100" workbookViewId="0">
      <pane xSplit="6" ySplit="5" topLeftCell="AT6" activePane="bottomRight" state="frozen"/>
      <selection pane="topRight" activeCell="G1" sqref="G1"/>
      <selection pane="bottomLeft" activeCell="A6" sqref="A6"/>
      <selection pane="bottomRight" activeCell="A2" sqref="A2:A3"/>
    </sheetView>
  </sheetViews>
  <sheetFormatPr defaultColWidth="8.85546875" defaultRowHeight="12.75" outlineLevelCol="1"/>
  <cols>
    <col min="1" max="1" width="61.85546875" style="1" customWidth="1" outlineLevel="1"/>
    <col min="2" max="2" width="56.42578125" style="1" bestFit="1" customWidth="1"/>
    <col min="3" max="6" width="7.85546875" style="2" hidden="1" customWidth="1" outlineLevel="1"/>
    <col min="7" max="7" width="7" style="2" bestFit="1" customWidth="1" collapsed="1"/>
    <col min="8" max="8" width="7" style="2" customWidth="1"/>
    <col min="9" max="42" width="7" style="2" bestFit="1" customWidth="1"/>
    <col min="43" max="43" width="7.42578125" style="2" bestFit="1" customWidth="1"/>
    <col min="44" max="46" width="7" style="2" bestFit="1" customWidth="1"/>
    <col min="47" max="16384" width="8.85546875" style="2"/>
  </cols>
  <sheetData>
    <row r="1" spans="1:50" s="3" customFormat="1" ht="12.75" customHeight="1">
      <c r="A1" s="11"/>
      <c r="B1" s="11"/>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S1" s="12"/>
      <c r="AT1" s="12"/>
    </row>
    <row r="2" spans="1:50" ht="12.75" customHeight="1">
      <c r="A2" s="505" t="s">
        <v>670</v>
      </c>
      <c r="B2" s="505" t="s">
        <v>671</v>
      </c>
      <c r="C2" s="507" t="s">
        <v>398</v>
      </c>
      <c r="D2" s="501"/>
      <c r="E2" s="501"/>
      <c r="F2" s="501"/>
      <c r="G2" s="507">
        <v>2008</v>
      </c>
      <c r="H2" s="501"/>
      <c r="I2" s="501"/>
      <c r="J2" s="502"/>
      <c r="K2" s="511">
        <v>2009</v>
      </c>
      <c r="L2" s="501"/>
      <c r="M2" s="501"/>
      <c r="N2" s="501"/>
      <c r="O2" s="507">
        <v>2010</v>
      </c>
      <c r="P2" s="501"/>
      <c r="Q2" s="501"/>
      <c r="R2" s="502"/>
      <c r="S2" s="511">
        <v>2011</v>
      </c>
      <c r="T2" s="501"/>
      <c r="U2" s="501"/>
      <c r="V2" s="501"/>
      <c r="W2" s="508">
        <v>2012</v>
      </c>
      <c r="X2" s="509"/>
      <c r="Y2" s="509"/>
      <c r="Z2" s="510"/>
      <c r="AA2" s="509">
        <v>2013</v>
      </c>
      <c r="AB2" s="509"/>
      <c r="AC2" s="509"/>
      <c r="AD2" s="509"/>
      <c r="AE2" s="500">
        <v>2014</v>
      </c>
      <c r="AF2" s="501"/>
      <c r="AG2" s="501"/>
      <c r="AH2" s="502"/>
      <c r="AI2" s="501">
        <v>2015</v>
      </c>
      <c r="AJ2" s="501"/>
      <c r="AK2" s="501"/>
      <c r="AL2" s="501"/>
      <c r="AM2" s="500">
        <v>2016</v>
      </c>
      <c r="AN2" s="501"/>
      <c r="AO2" s="501"/>
      <c r="AP2" s="502"/>
      <c r="AQ2" s="513">
        <v>2017</v>
      </c>
      <c r="AR2" s="513"/>
      <c r="AS2" s="513"/>
      <c r="AT2" s="514"/>
      <c r="AU2" s="503">
        <v>2018</v>
      </c>
      <c r="AV2" s="504"/>
      <c r="AW2" s="504"/>
      <c r="AX2" s="480"/>
    </row>
    <row r="3" spans="1:50" s="3" customFormat="1">
      <c r="A3" s="506"/>
      <c r="B3" s="506"/>
      <c r="C3" s="5" t="s">
        <v>397</v>
      </c>
      <c r="D3" s="6" t="s">
        <v>152</v>
      </c>
      <c r="E3" s="6" t="s">
        <v>153</v>
      </c>
      <c r="F3" s="6" t="s">
        <v>154</v>
      </c>
      <c r="G3" s="5" t="s">
        <v>396</v>
      </c>
      <c r="H3" s="6" t="s">
        <v>152</v>
      </c>
      <c r="I3" s="6" t="s">
        <v>153</v>
      </c>
      <c r="J3" s="7" t="s">
        <v>154</v>
      </c>
      <c r="K3" s="6" t="s">
        <v>151</v>
      </c>
      <c r="L3" s="6" t="s">
        <v>152</v>
      </c>
      <c r="M3" s="6" t="s">
        <v>153</v>
      </c>
      <c r="N3" s="6" t="s">
        <v>154</v>
      </c>
      <c r="O3" s="5" t="s">
        <v>151</v>
      </c>
      <c r="P3" s="6" t="s">
        <v>152</v>
      </c>
      <c r="Q3" s="6" t="s">
        <v>153</v>
      </c>
      <c r="R3" s="7" t="s">
        <v>154</v>
      </c>
      <c r="S3" s="6" t="s">
        <v>151</v>
      </c>
      <c r="T3" s="6" t="s">
        <v>152</v>
      </c>
      <c r="U3" s="6" t="s">
        <v>153</v>
      </c>
      <c r="V3" s="6" t="s">
        <v>154</v>
      </c>
      <c r="W3" s="5" t="s">
        <v>151</v>
      </c>
      <c r="X3" s="6" t="s">
        <v>152</v>
      </c>
      <c r="Y3" s="6" t="s">
        <v>153</v>
      </c>
      <c r="Z3" s="7" t="s">
        <v>154</v>
      </c>
      <c r="AA3" s="6" t="s">
        <v>151</v>
      </c>
      <c r="AB3" s="6" t="s">
        <v>152</v>
      </c>
      <c r="AC3" s="6" t="s">
        <v>153</v>
      </c>
      <c r="AD3" s="6" t="s">
        <v>154</v>
      </c>
      <c r="AE3" s="8" t="s">
        <v>151</v>
      </c>
      <c r="AF3" s="9" t="s">
        <v>152</v>
      </c>
      <c r="AG3" s="9" t="s">
        <v>153</v>
      </c>
      <c r="AH3" s="10" t="s">
        <v>154</v>
      </c>
      <c r="AI3" s="9" t="s">
        <v>151</v>
      </c>
      <c r="AJ3" s="9" t="s">
        <v>152</v>
      </c>
      <c r="AK3" s="9" t="s">
        <v>153</v>
      </c>
      <c r="AL3" s="9" t="s">
        <v>154</v>
      </c>
      <c r="AM3" s="8" t="s">
        <v>151</v>
      </c>
      <c r="AN3" s="9" t="s">
        <v>152</v>
      </c>
      <c r="AO3" s="9" t="s">
        <v>153</v>
      </c>
      <c r="AP3" s="10" t="s">
        <v>154</v>
      </c>
      <c r="AQ3" s="9" t="s">
        <v>151</v>
      </c>
      <c r="AR3" s="9" t="s">
        <v>152</v>
      </c>
      <c r="AS3" s="9" t="s">
        <v>153</v>
      </c>
      <c r="AT3" s="10" t="s">
        <v>154</v>
      </c>
      <c r="AU3" s="9" t="s">
        <v>151</v>
      </c>
      <c r="AV3" s="9" t="s">
        <v>152</v>
      </c>
      <c r="AW3" s="9" t="s">
        <v>153</v>
      </c>
      <c r="AX3" s="9" t="s">
        <v>154</v>
      </c>
    </row>
    <row r="4" spans="1:50" s="267" customFormat="1" ht="11.25">
      <c r="A4" s="24" t="s">
        <v>156</v>
      </c>
      <c r="B4" s="24" t="s">
        <v>11</v>
      </c>
      <c r="C4" s="128"/>
      <c r="D4" s="129"/>
      <c r="E4" s="61"/>
      <c r="F4" s="129"/>
      <c r="G4" s="128"/>
      <c r="H4" s="129"/>
      <c r="I4" s="61"/>
      <c r="J4" s="130"/>
      <c r="K4" s="61"/>
      <c r="L4" s="129"/>
      <c r="M4" s="61"/>
      <c r="N4" s="129"/>
      <c r="O4" s="128"/>
      <c r="P4" s="129"/>
      <c r="Q4" s="61"/>
      <c r="R4" s="130"/>
      <c r="S4" s="61"/>
      <c r="T4" s="129"/>
      <c r="U4" s="61"/>
      <c r="V4" s="129"/>
      <c r="W4" s="128"/>
      <c r="X4" s="61"/>
      <c r="Y4" s="61"/>
      <c r="Z4" s="272"/>
      <c r="AA4" s="61"/>
      <c r="AB4" s="61"/>
      <c r="AC4" s="61"/>
      <c r="AD4" s="61"/>
      <c r="AE4" s="350"/>
      <c r="AF4" s="19"/>
      <c r="AG4" s="19"/>
      <c r="AH4" s="351"/>
      <c r="AI4" s="19"/>
      <c r="AJ4" s="19"/>
      <c r="AK4" s="19"/>
      <c r="AL4" s="19"/>
      <c r="AM4" s="350"/>
      <c r="AN4" s="19"/>
      <c r="AO4" s="19"/>
      <c r="AP4" s="351"/>
      <c r="AQ4" s="19"/>
      <c r="AR4" s="19"/>
      <c r="AS4" s="19"/>
      <c r="AT4" s="351"/>
      <c r="AU4" s="91"/>
      <c r="AV4" s="91"/>
      <c r="AW4" s="91"/>
      <c r="AX4" s="91"/>
    </row>
    <row r="5" spans="1:50" s="271" customFormat="1" ht="11.25">
      <c r="A5" s="57" t="s">
        <v>612</v>
      </c>
      <c r="B5" s="57" t="s">
        <v>96</v>
      </c>
      <c r="C5" s="352"/>
      <c r="D5" s="43"/>
      <c r="E5" s="43"/>
      <c r="F5" s="44"/>
      <c r="G5" s="352"/>
      <c r="H5" s="43"/>
      <c r="I5" s="43"/>
      <c r="J5" s="44"/>
      <c r="K5" s="43"/>
      <c r="L5" s="43"/>
      <c r="M5" s="43"/>
      <c r="N5" s="43"/>
      <c r="O5" s="42"/>
      <c r="P5" s="43"/>
      <c r="Q5" s="43"/>
      <c r="R5" s="44"/>
      <c r="S5" s="43"/>
      <c r="T5" s="43"/>
      <c r="U5" s="43"/>
      <c r="V5" s="43"/>
      <c r="W5" s="42"/>
      <c r="X5" s="43"/>
      <c r="Y5" s="43"/>
      <c r="Z5" s="44"/>
      <c r="AA5" s="43"/>
      <c r="AB5" s="43"/>
      <c r="AC5" s="43"/>
      <c r="AD5" s="43"/>
      <c r="AE5" s="42"/>
      <c r="AF5" s="43"/>
      <c r="AG5" s="43"/>
      <c r="AH5" s="44"/>
      <c r="AI5" s="43"/>
      <c r="AJ5" s="43"/>
      <c r="AK5" s="43"/>
      <c r="AL5" s="43"/>
      <c r="AM5" s="42"/>
      <c r="AN5" s="43"/>
      <c r="AO5" s="43"/>
      <c r="AP5" s="44"/>
      <c r="AQ5" s="43"/>
      <c r="AR5" s="43"/>
      <c r="AS5" s="43"/>
      <c r="AT5" s="44"/>
      <c r="AU5" s="87"/>
      <c r="AV5" s="87"/>
      <c r="AW5" s="87"/>
      <c r="AX5" s="87"/>
    </row>
    <row r="6" spans="1:50" s="268" customFormat="1" ht="11.25">
      <c r="A6" s="32" t="s">
        <v>672</v>
      </c>
      <c r="B6" s="32" t="s">
        <v>673</v>
      </c>
      <c r="C6" s="69" t="s">
        <v>337</v>
      </c>
      <c r="D6" s="70" t="s">
        <v>337</v>
      </c>
      <c r="E6" s="70" t="s">
        <v>337</v>
      </c>
      <c r="F6" s="78" t="s">
        <v>337</v>
      </c>
      <c r="G6" s="69" t="s">
        <v>337</v>
      </c>
      <c r="H6" s="70" t="s">
        <v>337</v>
      </c>
      <c r="I6" s="70" t="s">
        <v>337</v>
      </c>
      <c r="J6" s="78" t="s">
        <v>337</v>
      </c>
      <c r="K6" s="70" t="s">
        <v>337</v>
      </c>
      <c r="L6" s="70" t="s">
        <v>337</v>
      </c>
      <c r="M6" s="70" t="s">
        <v>337</v>
      </c>
      <c r="N6" s="70" t="s">
        <v>337</v>
      </c>
      <c r="O6" s="69" t="s">
        <v>337</v>
      </c>
      <c r="P6" s="70" t="s">
        <v>337</v>
      </c>
      <c r="Q6" s="70" t="s">
        <v>337</v>
      </c>
      <c r="R6" s="78" t="s">
        <v>337</v>
      </c>
      <c r="S6" s="70" t="s">
        <v>337</v>
      </c>
      <c r="T6" s="70" t="s">
        <v>337</v>
      </c>
      <c r="U6" s="70" t="s">
        <v>337</v>
      </c>
      <c r="V6" s="70" t="s">
        <v>337</v>
      </c>
      <c r="W6" s="69" t="s">
        <v>337</v>
      </c>
      <c r="X6" s="70" t="s">
        <v>337</v>
      </c>
      <c r="Y6" s="70" t="s">
        <v>337</v>
      </c>
      <c r="Z6" s="78" t="s">
        <v>337</v>
      </c>
      <c r="AA6" s="70" t="s">
        <v>337</v>
      </c>
      <c r="AB6" s="70" t="s">
        <v>337</v>
      </c>
      <c r="AC6" s="70" t="s">
        <v>337</v>
      </c>
      <c r="AD6" s="70" t="s">
        <v>337</v>
      </c>
      <c r="AE6" s="69" t="s">
        <v>337</v>
      </c>
      <c r="AF6" s="70" t="s">
        <v>337</v>
      </c>
      <c r="AG6" s="70" t="s">
        <v>337</v>
      </c>
      <c r="AH6" s="78" t="s">
        <v>337</v>
      </c>
      <c r="AI6" s="70" t="s">
        <v>337</v>
      </c>
      <c r="AJ6" s="70" t="s">
        <v>337</v>
      </c>
      <c r="AK6" s="70" t="s">
        <v>337</v>
      </c>
      <c r="AL6" s="70" t="s">
        <v>337</v>
      </c>
      <c r="AM6" s="69" t="s">
        <v>337</v>
      </c>
      <c r="AN6" s="70" t="s">
        <v>337</v>
      </c>
      <c r="AO6" s="70" t="s">
        <v>337</v>
      </c>
      <c r="AP6" s="78" t="s">
        <v>337</v>
      </c>
      <c r="AQ6" s="70" t="s">
        <v>337</v>
      </c>
      <c r="AR6" s="70" t="s">
        <v>337</v>
      </c>
      <c r="AS6" s="70" t="s">
        <v>337</v>
      </c>
      <c r="AT6" s="78" t="s">
        <v>337</v>
      </c>
      <c r="AU6" s="70">
        <f>SUM(AU7:AU9)</f>
        <v>51942.5</v>
      </c>
      <c r="AV6" s="70">
        <f>SUM(AV7:AV9)</f>
        <v>54179.200000000004</v>
      </c>
      <c r="AW6" s="70">
        <f>SUM(AW7:AW9)</f>
        <v>56859</v>
      </c>
      <c r="AX6" s="70">
        <f>SUM(AX7:AX9)</f>
        <v>58863.5</v>
      </c>
    </row>
    <row r="7" spans="1:50" s="19" customFormat="1" ht="11.25">
      <c r="A7" s="28" t="s">
        <v>762</v>
      </c>
      <c r="B7" s="28" t="s">
        <v>674</v>
      </c>
      <c r="C7" s="69" t="s">
        <v>337</v>
      </c>
      <c r="D7" s="70" t="s">
        <v>337</v>
      </c>
      <c r="E7" s="70" t="s">
        <v>337</v>
      </c>
      <c r="F7" s="78" t="s">
        <v>337</v>
      </c>
      <c r="G7" s="69" t="s">
        <v>337</v>
      </c>
      <c r="H7" s="70" t="s">
        <v>337</v>
      </c>
      <c r="I7" s="70" t="s">
        <v>337</v>
      </c>
      <c r="J7" s="78" t="s">
        <v>337</v>
      </c>
      <c r="K7" s="70" t="s">
        <v>337</v>
      </c>
      <c r="L7" s="70" t="s">
        <v>337</v>
      </c>
      <c r="M7" s="70" t="s">
        <v>337</v>
      </c>
      <c r="N7" s="70" t="s">
        <v>337</v>
      </c>
      <c r="O7" s="69" t="s">
        <v>337</v>
      </c>
      <c r="P7" s="70" t="s">
        <v>337</v>
      </c>
      <c r="Q7" s="70" t="s">
        <v>337</v>
      </c>
      <c r="R7" s="78" t="s">
        <v>337</v>
      </c>
      <c r="S7" s="70" t="s">
        <v>337</v>
      </c>
      <c r="T7" s="70" t="s">
        <v>337</v>
      </c>
      <c r="U7" s="70" t="s">
        <v>337</v>
      </c>
      <c r="V7" s="70" t="s">
        <v>337</v>
      </c>
      <c r="W7" s="69" t="s">
        <v>337</v>
      </c>
      <c r="X7" s="70" t="s">
        <v>337</v>
      </c>
      <c r="Y7" s="70" t="s">
        <v>337</v>
      </c>
      <c r="Z7" s="78" t="s">
        <v>337</v>
      </c>
      <c r="AA7" s="70" t="s">
        <v>337</v>
      </c>
      <c r="AB7" s="70" t="s">
        <v>337</v>
      </c>
      <c r="AC7" s="70" t="s">
        <v>337</v>
      </c>
      <c r="AD7" s="70" t="s">
        <v>337</v>
      </c>
      <c r="AE7" s="69" t="s">
        <v>337</v>
      </c>
      <c r="AF7" s="70" t="s">
        <v>337</v>
      </c>
      <c r="AG7" s="70" t="s">
        <v>337</v>
      </c>
      <c r="AH7" s="78" t="s">
        <v>337</v>
      </c>
      <c r="AI7" s="70" t="s">
        <v>337</v>
      </c>
      <c r="AJ7" s="70" t="s">
        <v>337</v>
      </c>
      <c r="AK7" s="70" t="s">
        <v>337</v>
      </c>
      <c r="AL7" s="70" t="s">
        <v>337</v>
      </c>
      <c r="AM7" s="69" t="s">
        <v>337</v>
      </c>
      <c r="AN7" s="70" t="s">
        <v>337</v>
      </c>
      <c r="AO7" s="70" t="s">
        <v>337</v>
      </c>
      <c r="AP7" s="78" t="s">
        <v>337</v>
      </c>
      <c r="AQ7" s="70" t="s">
        <v>337</v>
      </c>
      <c r="AR7" s="70" t="s">
        <v>337</v>
      </c>
      <c r="AS7" s="70" t="s">
        <v>337</v>
      </c>
      <c r="AT7" s="78" t="s">
        <v>337</v>
      </c>
      <c r="AU7" s="70">
        <v>45083.8</v>
      </c>
      <c r="AV7" s="70">
        <v>47295.4</v>
      </c>
      <c r="AW7" s="70">
        <v>49796.799999999996</v>
      </c>
      <c r="AX7" s="70">
        <v>51733.2</v>
      </c>
    </row>
    <row r="8" spans="1:50" s="19" customFormat="1" ht="11.25">
      <c r="A8" s="28" t="s">
        <v>763</v>
      </c>
      <c r="B8" s="28" t="s">
        <v>675</v>
      </c>
      <c r="C8" s="69" t="s">
        <v>337</v>
      </c>
      <c r="D8" s="70" t="s">
        <v>337</v>
      </c>
      <c r="E8" s="70" t="s">
        <v>337</v>
      </c>
      <c r="F8" s="78" t="s">
        <v>337</v>
      </c>
      <c r="G8" s="69" t="s">
        <v>337</v>
      </c>
      <c r="H8" s="70" t="s">
        <v>337</v>
      </c>
      <c r="I8" s="70" t="s">
        <v>337</v>
      </c>
      <c r="J8" s="78" t="s">
        <v>337</v>
      </c>
      <c r="K8" s="70" t="s">
        <v>337</v>
      </c>
      <c r="L8" s="70" t="s">
        <v>337</v>
      </c>
      <c r="M8" s="70" t="s">
        <v>337</v>
      </c>
      <c r="N8" s="70" t="s">
        <v>337</v>
      </c>
      <c r="O8" s="69" t="s">
        <v>337</v>
      </c>
      <c r="P8" s="70" t="s">
        <v>337</v>
      </c>
      <c r="Q8" s="70" t="s">
        <v>337</v>
      </c>
      <c r="R8" s="78" t="s">
        <v>337</v>
      </c>
      <c r="S8" s="70" t="s">
        <v>337</v>
      </c>
      <c r="T8" s="70" t="s">
        <v>337</v>
      </c>
      <c r="U8" s="70" t="s">
        <v>337</v>
      </c>
      <c r="V8" s="70" t="s">
        <v>337</v>
      </c>
      <c r="W8" s="69" t="s">
        <v>337</v>
      </c>
      <c r="X8" s="70" t="s">
        <v>337</v>
      </c>
      <c r="Y8" s="70" t="s">
        <v>337</v>
      </c>
      <c r="Z8" s="78" t="s">
        <v>337</v>
      </c>
      <c r="AA8" s="70" t="s">
        <v>337</v>
      </c>
      <c r="AB8" s="70" t="s">
        <v>337</v>
      </c>
      <c r="AC8" s="70" t="s">
        <v>337</v>
      </c>
      <c r="AD8" s="70" t="s">
        <v>337</v>
      </c>
      <c r="AE8" s="69" t="s">
        <v>337</v>
      </c>
      <c r="AF8" s="70" t="s">
        <v>337</v>
      </c>
      <c r="AG8" s="70" t="s">
        <v>337</v>
      </c>
      <c r="AH8" s="78" t="s">
        <v>337</v>
      </c>
      <c r="AI8" s="70" t="s">
        <v>337</v>
      </c>
      <c r="AJ8" s="70" t="s">
        <v>337</v>
      </c>
      <c r="AK8" s="70" t="s">
        <v>337</v>
      </c>
      <c r="AL8" s="70" t="s">
        <v>337</v>
      </c>
      <c r="AM8" s="69" t="s">
        <v>337</v>
      </c>
      <c r="AN8" s="70" t="s">
        <v>337</v>
      </c>
      <c r="AO8" s="70" t="s">
        <v>337</v>
      </c>
      <c r="AP8" s="78" t="s">
        <v>337</v>
      </c>
      <c r="AQ8" s="70" t="s">
        <v>337</v>
      </c>
      <c r="AR8" s="70" t="s">
        <v>337</v>
      </c>
      <c r="AS8" s="70" t="s">
        <v>337</v>
      </c>
      <c r="AT8" s="78" t="s">
        <v>337</v>
      </c>
      <c r="AU8" s="70">
        <v>4904.2</v>
      </c>
      <c r="AV8" s="70">
        <v>4870.3999999999996</v>
      </c>
      <c r="AW8" s="70">
        <v>4969.8999999999996</v>
      </c>
      <c r="AX8" s="70">
        <v>5038.8999999999996</v>
      </c>
    </row>
    <row r="9" spans="1:50" s="19" customFormat="1" ht="11.25">
      <c r="A9" s="28" t="s">
        <v>764</v>
      </c>
      <c r="B9" s="28" t="s">
        <v>676</v>
      </c>
      <c r="C9" s="69" t="s">
        <v>337</v>
      </c>
      <c r="D9" s="70" t="s">
        <v>337</v>
      </c>
      <c r="E9" s="70" t="s">
        <v>337</v>
      </c>
      <c r="F9" s="78" t="s">
        <v>337</v>
      </c>
      <c r="G9" s="69" t="s">
        <v>337</v>
      </c>
      <c r="H9" s="70" t="s">
        <v>337</v>
      </c>
      <c r="I9" s="70" t="s">
        <v>337</v>
      </c>
      <c r="J9" s="78" t="s">
        <v>337</v>
      </c>
      <c r="K9" s="70" t="s">
        <v>337</v>
      </c>
      <c r="L9" s="70" t="s">
        <v>337</v>
      </c>
      <c r="M9" s="70" t="s">
        <v>337</v>
      </c>
      <c r="N9" s="70" t="s">
        <v>337</v>
      </c>
      <c r="O9" s="69" t="s">
        <v>337</v>
      </c>
      <c r="P9" s="70" t="s">
        <v>337</v>
      </c>
      <c r="Q9" s="70" t="s">
        <v>337</v>
      </c>
      <c r="R9" s="78" t="s">
        <v>337</v>
      </c>
      <c r="S9" s="70" t="s">
        <v>337</v>
      </c>
      <c r="T9" s="70" t="s">
        <v>337</v>
      </c>
      <c r="U9" s="70" t="s">
        <v>337</v>
      </c>
      <c r="V9" s="70" t="s">
        <v>337</v>
      </c>
      <c r="W9" s="69" t="s">
        <v>337</v>
      </c>
      <c r="X9" s="70" t="s">
        <v>337</v>
      </c>
      <c r="Y9" s="70" t="s">
        <v>337</v>
      </c>
      <c r="Z9" s="78" t="s">
        <v>337</v>
      </c>
      <c r="AA9" s="70" t="s">
        <v>337</v>
      </c>
      <c r="AB9" s="70" t="s">
        <v>337</v>
      </c>
      <c r="AC9" s="70" t="s">
        <v>337</v>
      </c>
      <c r="AD9" s="70" t="s">
        <v>337</v>
      </c>
      <c r="AE9" s="69" t="s">
        <v>337</v>
      </c>
      <c r="AF9" s="70" t="s">
        <v>337</v>
      </c>
      <c r="AG9" s="70" t="s">
        <v>337</v>
      </c>
      <c r="AH9" s="78" t="s">
        <v>337</v>
      </c>
      <c r="AI9" s="70" t="s">
        <v>337</v>
      </c>
      <c r="AJ9" s="70" t="s">
        <v>337</v>
      </c>
      <c r="AK9" s="70" t="s">
        <v>337</v>
      </c>
      <c r="AL9" s="70" t="s">
        <v>337</v>
      </c>
      <c r="AM9" s="69" t="s">
        <v>337</v>
      </c>
      <c r="AN9" s="70" t="s">
        <v>337</v>
      </c>
      <c r="AO9" s="70" t="s">
        <v>337</v>
      </c>
      <c r="AP9" s="78" t="s">
        <v>337</v>
      </c>
      <c r="AQ9" s="70" t="s">
        <v>337</v>
      </c>
      <c r="AR9" s="70" t="s">
        <v>337</v>
      </c>
      <c r="AS9" s="70" t="s">
        <v>337</v>
      </c>
      <c r="AT9" s="78" t="s">
        <v>337</v>
      </c>
      <c r="AU9" s="70">
        <v>1954.5</v>
      </c>
      <c r="AV9" s="70">
        <v>2013.4</v>
      </c>
      <c r="AW9" s="70">
        <v>2092.3000000000002</v>
      </c>
      <c r="AX9" s="70">
        <v>2091.4</v>
      </c>
    </row>
    <row r="10" spans="1:50" s="19" customFormat="1" ht="11.25">
      <c r="A10" s="32" t="s">
        <v>677</v>
      </c>
      <c r="B10" s="32" t="s">
        <v>678</v>
      </c>
      <c r="C10" s="69" t="s">
        <v>337</v>
      </c>
      <c r="D10" s="70" t="s">
        <v>337</v>
      </c>
      <c r="E10" s="70" t="s">
        <v>337</v>
      </c>
      <c r="F10" s="78" t="s">
        <v>337</v>
      </c>
      <c r="G10" s="69" t="s">
        <v>337</v>
      </c>
      <c r="H10" s="70" t="s">
        <v>337</v>
      </c>
      <c r="I10" s="70" t="s">
        <v>337</v>
      </c>
      <c r="J10" s="78" t="s">
        <v>337</v>
      </c>
      <c r="K10" s="70" t="s">
        <v>337</v>
      </c>
      <c r="L10" s="70" t="s">
        <v>337</v>
      </c>
      <c r="M10" s="70" t="s">
        <v>337</v>
      </c>
      <c r="N10" s="70" t="s">
        <v>337</v>
      </c>
      <c r="O10" s="69" t="s">
        <v>337</v>
      </c>
      <c r="P10" s="70" t="s">
        <v>337</v>
      </c>
      <c r="Q10" s="70" t="s">
        <v>337</v>
      </c>
      <c r="R10" s="78" t="s">
        <v>337</v>
      </c>
      <c r="S10" s="70" t="s">
        <v>337</v>
      </c>
      <c r="T10" s="70" t="s">
        <v>337</v>
      </c>
      <c r="U10" s="70" t="s">
        <v>337</v>
      </c>
      <c r="V10" s="70" t="s">
        <v>337</v>
      </c>
      <c r="W10" s="69" t="s">
        <v>337</v>
      </c>
      <c r="X10" s="70" t="s">
        <v>337</v>
      </c>
      <c r="Y10" s="70" t="s">
        <v>337</v>
      </c>
      <c r="Z10" s="78" t="s">
        <v>337</v>
      </c>
      <c r="AA10" s="70" t="s">
        <v>337</v>
      </c>
      <c r="AB10" s="70" t="s">
        <v>337</v>
      </c>
      <c r="AC10" s="70" t="s">
        <v>337</v>
      </c>
      <c r="AD10" s="70" t="s">
        <v>337</v>
      </c>
      <c r="AE10" s="69" t="s">
        <v>337</v>
      </c>
      <c r="AF10" s="70" t="s">
        <v>337</v>
      </c>
      <c r="AG10" s="70" t="s">
        <v>337</v>
      </c>
      <c r="AH10" s="78" t="s">
        <v>337</v>
      </c>
      <c r="AI10" s="70" t="s">
        <v>337</v>
      </c>
      <c r="AJ10" s="70" t="s">
        <v>337</v>
      </c>
      <c r="AK10" s="70" t="s">
        <v>337</v>
      </c>
      <c r="AL10" s="70" t="s">
        <v>337</v>
      </c>
      <c r="AM10" s="69" t="s">
        <v>337</v>
      </c>
      <c r="AN10" s="70" t="s">
        <v>337</v>
      </c>
      <c r="AO10" s="70" t="s">
        <v>337</v>
      </c>
      <c r="AP10" s="78" t="s">
        <v>337</v>
      </c>
      <c r="AQ10" s="70" t="s">
        <v>337</v>
      </c>
      <c r="AR10" s="70" t="s">
        <v>337</v>
      </c>
      <c r="AS10" s="70" t="s">
        <v>337</v>
      </c>
      <c r="AT10" s="78" t="s">
        <v>337</v>
      </c>
      <c r="AU10" s="70">
        <f>SUM(AU11:AU13)</f>
        <v>-1157.4999999999998</v>
      </c>
      <c r="AV10" s="70">
        <f>SUM(AV11:AV13)</f>
        <v>-1211.5999999999999</v>
      </c>
      <c r="AW10" s="70">
        <f>SUM(AW11:AW13)</f>
        <v>-1275.8</v>
      </c>
      <c r="AX10" s="70">
        <f>SUM(AX11:AX13)</f>
        <v>-1261.5</v>
      </c>
    </row>
    <row r="11" spans="1:50" s="19" customFormat="1" ht="11.25">
      <c r="A11" s="28" t="s">
        <v>765</v>
      </c>
      <c r="B11" s="28" t="s">
        <v>679</v>
      </c>
      <c r="C11" s="69" t="s">
        <v>337</v>
      </c>
      <c r="D11" s="70" t="s">
        <v>337</v>
      </c>
      <c r="E11" s="70" t="s">
        <v>337</v>
      </c>
      <c r="F11" s="78" t="s">
        <v>337</v>
      </c>
      <c r="G11" s="69" t="s">
        <v>337</v>
      </c>
      <c r="H11" s="70" t="s">
        <v>337</v>
      </c>
      <c r="I11" s="70" t="s">
        <v>337</v>
      </c>
      <c r="J11" s="78" t="s">
        <v>337</v>
      </c>
      <c r="K11" s="70" t="s">
        <v>337</v>
      </c>
      <c r="L11" s="70" t="s">
        <v>337</v>
      </c>
      <c r="M11" s="70" t="s">
        <v>337</v>
      </c>
      <c r="N11" s="70" t="s">
        <v>337</v>
      </c>
      <c r="O11" s="69" t="s">
        <v>337</v>
      </c>
      <c r="P11" s="70" t="s">
        <v>337</v>
      </c>
      <c r="Q11" s="70" t="s">
        <v>337</v>
      </c>
      <c r="R11" s="78" t="s">
        <v>337</v>
      </c>
      <c r="S11" s="70" t="s">
        <v>337</v>
      </c>
      <c r="T11" s="70" t="s">
        <v>337</v>
      </c>
      <c r="U11" s="70" t="s">
        <v>337</v>
      </c>
      <c r="V11" s="70" t="s">
        <v>337</v>
      </c>
      <c r="W11" s="69" t="s">
        <v>337</v>
      </c>
      <c r="X11" s="70" t="s">
        <v>337</v>
      </c>
      <c r="Y11" s="70" t="s">
        <v>337</v>
      </c>
      <c r="Z11" s="78" t="s">
        <v>337</v>
      </c>
      <c r="AA11" s="70" t="s">
        <v>337</v>
      </c>
      <c r="AB11" s="70" t="s">
        <v>337</v>
      </c>
      <c r="AC11" s="70" t="s">
        <v>337</v>
      </c>
      <c r="AD11" s="70" t="s">
        <v>337</v>
      </c>
      <c r="AE11" s="69" t="s">
        <v>337</v>
      </c>
      <c r="AF11" s="70" t="s">
        <v>337</v>
      </c>
      <c r="AG11" s="70" t="s">
        <v>337</v>
      </c>
      <c r="AH11" s="78" t="s">
        <v>337</v>
      </c>
      <c r="AI11" s="70" t="s">
        <v>337</v>
      </c>
      <c r="AJ11" s="70" t="s">
        <v>337</v>
      </c>
      <c r="AK11" s="70" t="s">
        <v>337</v>
      </c>
      <c r="AL11" s="70" t="s">
        <v>337</v>
      </c>
      <c r="AM11" s="69" t="s">
        <v>337</v>
      </c>
      <c r="AN11" s="70" t="s">
        <v>337</v>
      </c>
      <c r="AO11" s="70" t="s">
        <v>337</v>
      </c>
      <c r="AP11" s="78" t="s">
        <v>337</v>
      </c>
      <c r="AQ11" s="70" t="s">
        <v>337</v>
      </c>
      <c r="AR11" s="70" t="s">
        <v>337</v>
      </c>
      <c r="AS11" s="70" t="s">
        <v>337</v>
      </c>
      <c r="AT11" s="78" t="s">
        <v>337</v>
      </c>
      <c r="AU11" s="70">
        <v>-53.199999999999996</v>
      </c>
      <c r="AV11" s="70">
        <v>-66.400000000000006</v>
      </c>
      <c r="AW11" s="70">
        <v>-61.9</v>
      </c>
      <c r="AX11" s="70">
        <v>-56</v>
      </c>
    </row>
    <row r="12" spans="1:50" s="19" customFormat="1" ht="11.25">
      <c r="A12" s="28" t="s">
        <v>766</v>
      </c>
      <c r="B12" s="28" t="s">
        <v>680</v>
      </c>
      <c r="C12" s="69" t="s">
        <v>337</v>
      </c>
      <c r="D12" s="70" t="s">
        <v>337</v>
      </c>
      <c r="E12" s="70" t="s">
        <v>337</v>
      </c>
      <c r="F12" s="78" t="s">
        <v>337</v>
      </c>
      <c r="G12" s="69" t="s">
        <v>337</v>
      </c>
      <c r="H12" s="70" t="s">
        <v>337</v>
      </c>
      <c r="I12" s="70" t="s">
        <v>337</v>
      </c>
      <c r="J12" s="78" t="s">
        <v>337</v>
      </c>
      <c r="K12" s="70" t="s">
        <v>337</v>
      </c>
      <c r="L12" s="70" t="s">
        <v>337</v>
      </c>
      <c r="M12" s="70" t="s">
        <v>337</v>
      </c>
      <c r="N12" s="70" t="s">
        <v>337</v>
      </c>
      <c r="O12" s="69" t="s">
        <v>337</v>
      </c>
      <c r="P12" s="70" t="s">
        <v>337</v>
      </c>
      <c r="Q12" s="70" t="s">
        <v>337</v>
      </c>
      <c r="R12" s="78" t="s">
        <v>337</v>
      </c>
      <c r="S12" s="70" t="s">
        <v>337</v>
      </c>
      <c r="T12" s="70" t="s">
        <v>337</v>
      </c>
      <c r="U12" s="70" t="s">
        <v>337</v>
      </c>
      <c r="V12" s="70" t="s">
        <v>337</v>
      </c>
      <c r="W12" s="69" t="s">
        <v>337</v>
      </c>
      <c r="X12" s="70" t="s">
        <v>337</v>
      </c>
      <c r="Y12" s="70" t="s">
        <v>337</v>
      </c>
      <c r="Z12" s="78" t="s">
        <v>337</v>
      </c>
      <c r="AA12" s="70" t="s">
        <v>337</v>
      </c>
      <c r="AB12" s="70" t="s">
        <v>337</v>
      </c>
      <c r="AC12" s="70" t="s">
        <v>337</v>
      </c>
      <c r="AD12" s="70" t="s">
        <v>337</v>
      </c>
      <c r="AE12" s="69" t="s">
        <v>337</v>
      </c>
      <c r="AF12" s="70" t="s">
        <v>337</v>
      </c>
      <c r="AG12" s="70" t="s">
        <v>337</v>
      </c>
      <c r="AH12" s="78" t="s">
        <v>337</v>
      </c>
      <c r="AI12" s="70" t="s">
        <v>337</v>
      </c>
      <c r="AJ12" s="70" t="s">
        <v>337</v>
      </c>
      <c r="AK12" s="70" t="s">
        <v>337</v>
      </c>
      <c r="AL12" s="70" t="s">
        <v>337</v>
      </c>
      <c r="AM12" s="69" t="s">
        <v>337</v>
      </c>
      <c r="AN12" s="70" t="s">
        <v>337</v>
      </c>
      <c r="AO12" s="70" t="s">
        <v>337</v>
      </c>
      <c r="AP12" s="78" t="s">
        <v>337</v>
      </c>
      <c r="AQ12" s="70" t="s">
        <v>337</v>
      </c>
      <c r="AR12" s="70" t="s">
        <v>337</v>
      </c>
      <c r="AS12" s="70" t="s">
        <v>337</v>
      </c>
      <c r="AT12" s="78" t="s">
        <v>337</v>
      </c>
      <c r="AU12" s="70">
        <v>-58.4</v>
      </c>
      <c r="AV12" s="70">
        <v>-69.2</v>
      </c>
      <c r="AW12" s="70">
        <v>-64.8</v>
      </c>
      <c r="AX12" s="70">
        <v>-62.8</v>
      </c>
    </row>
    <row r="13" spans="1:50" s="19" customFormat="1" ht="11.25">
      <c r="A13" s="28" t="s">
        <v>767</v>
      </c>
      <c r="B13" s="28" t="s">
        <v>681</v>
      </c>
      <c r="C13" s="69" t="s">
        <v>337</v>
      </c>
      <c r="D13" s="70" t="s">
        <v>337</v>
      </c>
      <c r="E13" s="70" t="s">
        <v>337</v>
      </c>
      <c r="F13" s="78" t="s">
        <v>337</v>
      </c>
      <c r="G13" s="69" t="s">
        <v>337</v>
      </c>
      <c r="H13" s="70" t="s">
        <v>337</v>
      </c>
      <c r="I13" s="70" t="s">
        <v>337</v>
      </c>
      <c r="J13" s="78" t="s">
        <v>337</v>
      </c>
      <c r="K13" s="70" t="s">
        <v>337</v>
      </c>
      <c r="L13" s="70" t="s">
        <v>337</v>
      </c>
      <c r="M13" s="70" t="s">
        <v>337</v>
      </c>
      <c r="N13" s="70" t="s">
        <v>337</v>
      </c>
      <c r="O13" s="69" t="s">
        <v>337</v>
      </c>
      <c r="P13" s="70" t="s">
        <v>337</v>
      </c>
      <c r="Q13" s="70" t="s">
        <v>337</v>
      </c>
      <c r="R13" s="78" t="s">
        <v>337</v>
      </c>
      <c r="S13" s="70" t="s">
        <v>337</v>
      </c>
      <c r="T13" s="70" t="s">
        <v>337</v>
      </c>
      <c r="U13" s="70" t="s">
        <v>337</v>
      </c>
      <c r="V13" s="70" t="s">
        <v>337</v>
      </c>
      <c r="W13" s="69" t="s">
        <v>337</v>
      </c>
      <c r="X13" s="70" t="s">
        <v>337</v>
      </c>
      <c r="Y13" s="70" t="s">
        <v>337</v>
      </c>
      <c r="Z13" s="78" t="s">
        <v>337</v>
      </c>
      <c r="AA13" s="70" t="s">
        <v>337</v>
      </c>
      <c r="AB13" s="70" t="s">
        <v>337</v>
      </c>
      <c r="AC13" s="70" t="s">
        <v>337</v>
      </c>
      <c r="AD13" s="70" t="s">
        <v>337</v>
      </c>
      <c r="AE13" s="69" t="s">
        <v>337</v>
      </c>
      <c r="AF13" s="70" t="s">
        <v>337</v>
      </c>
      <c r="AG13" s="70" t="s">
        <v>337</v>
      </c>
      <c r="AH13" s="78" t="s">
        <v>337</v>
      </c>
      <c r="AI13" s="70" t="s">
        <v>337</v>
      </c>
      <c r="AJ13" s="70" t="s">
        <v>337</v>
      </c>
      <c r="AK13" s="70" t="s">
        <v>337</v>
      </c>
      <c r="AL13" s="70" t="s">
        <v>337</v>
      </c>
      <c r="AM13" s="69" t="s">
        <v>337</v>
      </c>
      <c r="AN13" s="70" t="s">
        <v>337</v>
      </c>
      <c r="AO13" s="70" t="s">
        <v>337</v>
      </c>
      <c r="AP13" s="78" t="s">
        <v>337</v>
      </c>
      <c r="AQ13" s="70" t="s">
        <v>337</v>
      </c>
      <c r="AR13" s="70" t="s">
        <v>337</v>
      </c>
      <c r="AS13" s="70" t="s">
        <v>337</v>
      </c>
      <c r="AT13" s="78" t="s">
        <v>337</v>
      </c>
      <c r="AU13" s="70">
        <v>-1045.8999999999999</v>
      </c>
      <c r="AV13" s="70">
        <v>-1076</v>
      </c>
      <c r="AW13" s="70">
        <v>-1149.0999999999999</v>
      </c>
      <c r="AX13" s="70">
        <v>-1142.7</v>
      </c>
    </row>
    <row r="14" spans="1:50" s="19" customFormat="1" ht="11.25">
      <c r="A14" s="32" t="s">
        <v>682</v>
      </c>
      <c r="B14" s="32" t="s">
        <v>683</v>
      </c>
      <c r="C14" s="69" t="s">
        <v>337</v>
      </c>
      <c r="D14" s="70" t="s">
        <v>337</v>
      </c>
      <c r="E14" s="70" t="s">
        <v>337</v>
      </c>
      <c r="F14" s="78" t="s">
        <v>337</v>
      </c>
      <c r="G14" s="69" t="s">
        <v>337</v>
      </c>
      <c r="H14" s="70" t="s">
        <v>337</v>
      </c>
      <c r="I14" s="70" t="s">
        <v>337</v>
      </c>
      <c r="J14" s="78" t="s">
        <v>337</v>
      </c>
      <c r="K14" s="70" t="s">
        <v>337</v>
      </c>
      <c r="L14" s="70" t="s">
        <v>337</v>
      </c>
      <c r="M14" s="70" t="s">
        <v>337</v>
      </c>
      <c r="N14" s="70" t="s">
        <v>337</v>
      </c>
      <c r="O14" s="69" t="s">
        <v>337</v>
      </c>
      <c r="P14" s="70" t="s">
        <v>337</v>
      </c>
      <c r="Q14" s="70" t="s">
        <v>337</v>
      </c>
      <c r="R14" s="78" t="s">
        <v>337</v>
      </c>
      <c r="S14" s="70" t="s">
        <v>337</v>
      </c>
      <c r="T14" s="70" t="s">
        <v>337</v>
      </c>
      <c r="U14" s="70" t="s">
        <v>337</v>
      </c>
      <c r="V14" s="70" t="s">
        <v>337</v>
      </c>
      <c r="W14" s="69" t="s">
        <v>337</v>
      </c>
      <c r="X14" s="70" t="s">
        <v>337</v>
      </c>
      <c r="Y14" s="70" t="s">
        <v>337</v>
      </c>
      <c r="Z14" s="78" t="s">
        <v>337</v>
      </c>
      <c r="AA14" s="70" t="s">
        <v>337</v>
      </c>
      <c r="AB14" s="70" t="s">
        <v>337</v>
      </c>
      <c r="AC14" s="70" t="s">
        <v>337</v>
      </c>
      <c r="AD14" s="70" t="s">
        <v>337</v>
      </c>
      <c r="AE14" s="69" t="s">
        <v>337</v>
      </c>
      <c r="AF14" s="70" t="s">
        <v>337</v>
      </c>
      <c r="AG14" s="70" t="s">
        <v>337</v>
      </c>
      <c r="AH14" s="78" t="s">
        <v>337</v>
      </c>
      <c r="AI14" s="70" t="s">
        <v>337</v>
      </c>
      <c r="AJ14" s="70" t="s">
        <v>337</v>
      </c>
      <c r="AK14" s="70" t="s">
        <v>337</v>
      </c>
      <c r="AL14" s="70" t="s">
        <v>337</v>
      </c>
      <c r="AM14" s="69" t="s">
        <v>337</v>
      </c>
      <c r="AN14" s="70" t="s">
        <v>337</v>
      </c>
      <c r="AO14" s="70" t="s">
        <v>337</v>
      </c>
      <c r="AP14" s="78" t="s">
        <v>337</v>
      </c>
      <c r="AQ14" s="70" t="s">
        <v>337</v>
      </c>
      <c r="AR14" s="70" t="s">
        <v>337</v>
      </c>
      <c r="AS14" s="70" t="s">
        <v>337</v>
      </c>
      <c r="AT14" s="78" t="s">
        <v>337</v>
      </c>
      <c r="AU14" s="70">
        <f>SUM(AU15:AU17)</f>
        <v>50785.000000000007</v>
      </c>
      <c r="AV14" s="70">
        <f>SUM(AV15:AV17)</f>
        <v>52967.6</v>
      </c>
      <c r="AW14" s="70">
        <f>SUM(AW15:AW17)</f>
        <v>55583.19999999999</v>
      </c>
      <c r="AX14" s="70">
        <f>SUM(AX15:AX17)</f>
        <v>57601.999999999993</v>
      </c>
    </row>
    <row r="15" spans="1:50" s="19" customFormat="1" ht="11.25">
      <c r="A15" s="28" t="s">
        <v>762</v>
      </c>
      <c r="B15" s="28" t="s">
        <v>674</v>
      </c>
      <c r="C15" s="69" t="s">
        <v>337</v>
      </c>
      <c r="D15" s="70" t="s">
        <v>337</v>
      </c>
      <c r="E15" s="70" t="s">
        <v>337</v>
      </c>
      <c r="F15" s="78" t="s">
        <v>337</v>
      </c>
      <c r="G15" s="69" t="s">
        <v>337</v>
      </c>
      <c r="H15" s="70" t="s">
        <v>337</v>
      </c>
      <c r="I15" s="70" t="s">
        <v>337</v>
      </c>
      <c r="J15" s="78" t="s">
        <v>337</v>
      </c>
      <c r="K15" s="70" t="s">
        <v>337</v>
      </c>
      <c r="L15" s="70" t="s">
        <v>337</v>
      </c>
      <c r="M15" s="70" t="s">
        <v>337</v>
      </c>
      <c r="N15" s="70" t="s">
        <v>337</v>
      </c>
      <c r="O15" s="69" t="s">
        <v>337</v>
      </c>
      <c r="P15" s="70" t="s">
        <v>337</v>
      </c>
      <c r="Q15" s="70" t="s">
        <v>337</v>
      </c>
      <c r="R15" s="78" t="s">
        <v>337</v>
      </c>
      <c r="S15" s="70" t="s">
        <v>337</v>
      </c>
      <c r="T15" s="70" t="s">
        <v>337</v>
      </c>
      <c r="U15" s="70" t="s">
        <v>337</v>
      </c>
      <c r="V15" s="70" t="s">
        <v>337</v>
      </c>
      <c r="W15" s="69" t="s">
        <v>337</v>
      </c>
      <c r="X15" s="70" t="s">
        <v>337</v>
      </c>
      <c r="Y15" s="70" t="s">
        <v>337</v>
      </c>
      <c r="Z15" s="78" t="s">
        <v>337</v>
      </c>
      <c r="AA15" s="70" t="s">
        <v>337</v>
      </c>
      <c r="AB15" s="70" t="s">
        <v>337</v>
      </c>
      <c r="AC15" s="70" t="s">
        <v>337</v>
      </c>
      <c r="AD15" s="70" t="s">
        <v>337</v>
      </c>
      <c r="AE15" s="69" t="s">
        <v>337</v>
      </c>
      <c r="AF15" s="70" t="s">
        <v>337</v>
      </c>
      <c r="AG15" s="70" t="s">
        <v>337</v>
      </c>
      <c r="AH15" s="78" t="s">
        <v>337</v>
      </c>
      <c r="AI15" s="70" t="s">
        <v>337</v>
      </c>
      <c r="AJ15" s="70" t="s">
        <v>337</v>
      </c>
      <c r="AK15" s="70" t="s">
        <v>337</v>
      </c>
      <c r="AL15" s="70" t="s">
        <v>337</v>
      </c>
      <c r="AM15" s="69" t="s">
        <v>337</v>
      </c>
      <c r="AN15" s="70" t="s">
        <v>337</v>
      </c>
      <c r="AO15" s="70" t="s">
        <v>337</v>
      </c>
      <c r="AP15" s="78" t="s">
        <v>337</v>
      </c>
      <c r="AQ15" s="70" t="s">
        <v>337</v>
      </c>
      <c r="AR15" s="70" t="s">
        <v>337</v>
      </c>
      <c r="AS15" s="70" t="s">
        <v>337</v>
      </c>
      <c r="AT15" s="78" t="s">
        <v>337</v>
      </c>
      <c r="AU15" s="70">
        <f t="shared" ref="AU15" si="0">AU7+AU11</f>
        <v>45030.600000000006</v>
      </c>
      <c r="AV15" s="70">
        <f t="shared" ref="AV15:AW17" si="1">AV7+AV11</f>
        <v>47229</v>
      </c>
      <c r="AW15" s="70">
        <f t="shared" si="1"/>
        <v>49734.899999999994</v>
      </c>
      <c r="AX15" s="70">
        <f t="shared" ref="AX15" si="2">AX7+AX11</f>
        <v>51677.2</v>
      </c>
    </row>
    <row r="16" spans="1:50" s="19" customFormat="1" ht="11.25">
      <c r="A16" s="28" t="s">
        <v>763</v>
      </c>
      <c r="B16" s="28" t="s">
        <v>675</v>
      </c>
      <c r="C16" s="69" t="s">
        <v>337</v>
      </c>
      <c r="D16" s="70" t="s">
        <v>337</v>
      </c>
      <c r="E16" s="70" t="s">
        <v>337</v>
      </c>
      <c r="F16" s="78" t="s">
        <v>337</v>
      </c>
      <c r="G16" s="69" t="s">
        <v>337</v>
      </c>
      <c r="H16" s="70" t="s">
        <v>337</v>
      </c>
      <c r="I16" s="70" t="s">
        <v>337</v>
      </c>
      <c r="J16" s="78" t="s">
        <v>337</v>
      </c>
      <c r="K16" s="70" t="s">
        <v>337</v>
      </c>
      <c r="L16" s="70" t="s">
        <v>337</v>
      </c>
      <c r="M16" s="70" t="s">
        <v>337</v>
      </c>
      <c r="N16" s="70" t="s">
        <v>337</v>
      </c>
      <c r="O16" s="69" t="s">
        <v>337</v>
      </c>
      <c r="P16" s="70" t="s">
        <v>337</v>
      </c>
      <c r="Q16" s="70" t="s">
        <v>337</v>
      </c>
      <c r="R16" s="78" t="s">
        <v>337</v>
      </c>
      <c r="S16" s="70" t="s">
        <v>337</v>
      </c>
      <c r="T16" s="70" t="s">
        <v>337</v>
      </c>
      <c r="U16" s="70" t="s">
        <v>337</v>
      </c>
      <c r="V16" s="70" t="s">
        <v>337</v>
      </c>
      <c r="W16" s="69" t="s">
        <v>337</v>
      </c>
      <c r="X16" s="70" t="s">
        <v>337</v>
      </c>
      <c r="Y16" s="70" t="s">
        <v>337</v>
      </c>
      <c r="Z16" s="78" t="s">
        <v>337</v>
      </c>
      <c r="AA16" s="70" t="s">
        <v>337</v>
      </c>
      <c r="AB16" s="70" t="s">
        <v>337</v>
      </c>
      <c r="AC16" s="70" t="s">
        <v>337</v>
      </c>
      <c r="AD16" s="70" t="s">
        <v>337</v>
      </c>
      <c r="AE16" s="69" t="s">
        <v>337</v>
      </c>
      <c r="AF16" s="70" t="s">
        <v>337</v>
      </c>
      <c r="AG16" s="70" t="s">
        <v>337</v>
      </c>
      <c r="AH16" s="78" t="s">
        <v>337</v>
      </c>
      <c r="AI16" s="70" t="s">
        <v>337</v>
      </c>
      <c r="AJ16" s="70" t="s">
        <v>337</v>
      </c>
      <c r="AK16" s="70" t="s">
        <v>337</v>
      </c>
      <c r="AL16" s="70" t="s">
        <v>337</v>
      </c>
      <c r="AM16" s="69" t="s">
        <v>337</v>
      </c>
      <c r="AN16" s="70" t="s">
        <v>337</v>
      </c>
      <c r="AO16" s="70" t="s">
        <v>337</v>
      </c>
      <c r="AP16" s="78" t="s">
        <v>337</v>
      </c>
      <c r="AQ16" s="70" t="s">
        <v>337</v>
      </c>
      <c r="AR16" s="70" t="s">
        <v>337</v>
      </c>
      <c r="AS16" s="70" t="s">
        <v>337</v>
      </c>
      <c r="AT16" s="78" t="s">
        <v>337</v>
      </c>
      <c r="AU16" s="70">
        <f t="shared" ref="AU16" si="3">AU8+AU12</f>
        <v>4845.8</v>
      </c>
      <c r="AV16" s="70">
        <f t="shared" si="1"/>
        <v>4801.2</v>
      </c>
      <c r="AW16" s="70">
        <f t="shared" si="1"/>
        <v>4905.0999999999995</v>
      </c>
      <c r="AX16" s="70">
        <f t="shared" ref="AX16" si="4">AX8+AX12</f>
        <v>4976.0999999999995</v>
      </c>
    </row>
    <row r="17" spans="1:50" s="19" customFormat="1" ht="11.25">
      <c r="A17" s="28" t="s">
        <v>764</v>
      </c>
      <c r="B17" s="28" t="s">
        <v>676</v>
      </c>
      <c r="C17" s="69" t="s">
        <v>337</v>
      </c>
      <c r="D17" s="70" t="s">
        <v>337</v>
      </c>
      <c r="E17" s="70" t="s">
        <v>337</v>
      </c>
      <c r="F17" s="78" t="s">
        <v>337</v>
      </c>
      <c r="G17" s="69" t="s">
        <v>337</v>
      </c>
      <c r="H17" s="70" t="s">
        <v>337</v>
      </c>
      <c r="I17" s="70" t="s">
        <v>337</v>
      </c>
      <c r="J17" s="78" t="s">
        <v>337</v>
      </c>
      <c r="K17" s="70" t="s">
        <v>337</v>
      </c>
      <c r="L17" s="70" t="s">
        <v>337</v>
      </c>
      <c r="M17" s="70" t="s">
        <v>337</v>
      </c>
      <c r="N17" s="70" t="s">
        <v>337</v>
      </c>
      <c r="O17" s="69" t="s">
        <v>337</v>
      </c>
      <c r="P17" s="70" t="s">
        <v>337</v>
      </c>
      <c r="Q17" s="70" t="s">
        <v>337</v>
      </c>
      <c r="R17" s="78" t="s">
        <v>337</v>
      </c>
      <c r="S17" s="70" t="s">
        <v>337</v>
      </c>
      <c r="T17" s="70" t="s">
        <v>337</v>
      </c>
      <c r="U17" s="70" t="s">
        <v>337</v>
      </c>
      <c r="V17" s="70" t="s">
        <v>337</v>
      </c>
      <c r="W17" s="69" t="s">
        <v>337</v>
      </c>
      <c r="X17" s="70" t="s">
        <v>337</v>
      </c>
      <c r="Y17" s="70" t="s">
        <v>337</v>
      </c>
      <c r="Z17" s="78" t="s">
        <v>337</v>
      </c>
      <c r="AA17" s="70" t="s">
        <v>337</v>
      </c>
      <c r="AB17" s="70" t="s">
        <v>337</v>
      </c>
      <c r="AC17" s="70" t="s">
        <v>337</v>
      </c>
      <c r="AD17" s="70" t="s">
        <v>337</v>
      </c>
      <c r="AE17" s="69" t="s">
        <v>337</v>
      </c>
      <c r="AF17" s="70" t="s">
        <v>337</v>
      </c>
      <c r="AG17" s="70" t="s">
        <v>337</v>
      </c>
      <c r="AH17" s="78" t="s">
        <v>337</v>
      </c>
      <c r="AI17" s="70" t="s">
        <v>337</v>
      </c>
      <c r="AJ17" s="70" t="s">
        <v>337</v>
      </c>
      <c r="AK17" s="70" t="s">
        <v>337</v>
      </c>
      <c r="AL17" s="70" t="s">
        <v>337</v>
      </c>
      <c r="AM17" s="69" t="s">
        <v>337</v>
      </c>
      <c r="AN17" s="70" t="s">
        <v>337</v>
      </c>
      <c r="AO17" s="70" t="s">
        <v>337</v>
      </c>
      <c r="AP17" s="78" t="s">
        <v>337</v>
      </c>
      <c r="AQ17" s="70" t="s">
        <v>337</v>
      </c>
      <c r="AR17" s="70" t="s">
        <v>337</v>
      </c>
      <c r="AS17" s="70" t="s">
        <v>337</v>
      </c>
      <c r="AT17" s="78" t="s">
        <v>337</v>
      </c>
      <c r="AU17" s="70">
        <f t="shared" ref="AU17" si="5">AU9+AU13</f>
        <v>908.60000000000014</v>
      </c>
      <c r="AV17" s="70">
        <f t="shared" si="1"/>
        <v>937.40000000000009</v>
      </c>
      <c r="AW17" s="70">
        <f t="shared" si="1"/>
        <v>943.20000000000027</v>
      </c>
      <c r="AX17" s="70">
        <f t="shared" ref="AX17" si="6">AX9+AX13</f>
        <v>948.7</v>
      </c>
    </row>
    <row r="18" spans="1:50" s="19" customFormat="1" ht="11.25">
      <c r="A18" s="353"/>
      <c r="B18" s="353"/>
      <c r="C18" s="29"/>
      <c r="D18" s="30"/>
      <c r="E18" s="30"/>
      <c r="F18" s="31"/>
      <c r="G18" s="29"/>
      <c r="H18" s="30"/>
      <c r="I18" s="30"/>
      <c r="J18" s="31"/>
      <c r="K18" s="30"/>
      <c r="L18" s="30"/>
      <c r="M18" s="30"/>
      <c r="N18" s="30"/>
      <c r="O18" s="29"/>
      <c r="P18" s="30"/>
      <c r="Q18" s="30"/>
      <c r="R18" s="31"/>
      <c r="S18" s="30"/>
      <c r="T18" s="30"/>
      <c r="U18" s="30"/>
      <c r="V18" s="30"/>
      <c r="W18" s="29"/>
      <c r="X18" s="30"/>
      <c r="Y18" s="30"/>
      <c r="Z18" s="31"/>
      <c r="AA18" s="30"/>
      <c r="AB18" s="30"/>
      <c r="AC18" s="30"/>
      <c r="AD18" s="30"/>
      <c r="AE18" s="29"/>
      <c r="AF18" s="30"/>
      <c r="AG18" s="30"/>
      <c r="AH18" s="31"/>
      <c r="AI18" s="30"/>
      <c r="AJ18" s="30"/>
      <c r="AK18" s="30"/>
      <c r="AL18" s="30"/>
      <c r="AM18" s="29"/>
      <c r="AN18" s="30"/>
      <c r="AO18" s="30"/>
      <c r="AP18" s="31"/>
      <c r="AQ18" s="30"/>
      <c r="AR18" s="30"/>
      <c r="AS18" s="30"/>
      <c r="AT18" s="31"/>
      <c r="AU18" s="70"/>
      <c r="AV18" s="70"/>
      <c r="AW18" s="70"/>
      <c r="AX18" s="70"/>
    </row>
    <row r="19" spans="1:50" s="271" customFormat="1" ht="11.25">
      <c r="A19" s="57" t="s">
        <v>624</v>
      </c>
      <c r="B19" s="57" t="s">
        <v>104</v>
      </c>
      <c r="C19" s="42"/>
      <c r="D19" s="43"/>
      <c r="E19" s="43"/>
      <c r="F19" s="44"/>
      <c r="G19" s="42"/>
      <c r="H19" s="43"/>
      <c r="I19" s="43"/>
      <c r="J19" s="44"/>
      <c r="K19" s="43"/>
      <c r="L19" s="43"/>
      <c r="M19" s="43"/>
      <c r="N19" s="43"/>
      <c r="O19" s="42"/>
      <c r="P19" s="43"/>
      <c r="Q19" s="43"/>
      <c r="R19" s="44"/>
      <c r="S19" s="43"/>
      <c r="T19" s="43"/>
      <c r="U19" s="43"/>
      <c r="V19" s="43"/>
      <c r="W19" s="42"/>
      <c r="X19" s="43"/>
      <c r="Y19" s="43"/>
      <c r="Z19" s="44"/>
      <c r="AA19" s="43"/>
      <c r="AB19" s="43"/>
      <c r="AC19" s="43"/>
      <c r="AD19" s="43"/>
      <c r="AE19" s="42"/>
      <c r="AF19" s="43"/>
      <c r="AG19" s="43"/>
      <c r="AH19" s="44"/>
      <c r="AI19" s="43"/>
      <c r="AJ19" s="43"/>
      <c r="AK19" s="43"/>
      <c r="AL19" s="43"/>
      <c r="AM19" s="42"/>
      <c r="AN19" s="43"/>
      <c r="AO19" s="43"/>
      <c r="AP19" s="44"/>
      <c r="AQ19" s="43"/>
      <c r="AR19" s="43"/>
      <c r="AS19" s="43"/>
      <c r="AT19" s="44"/>
      <c r="AU19" s="525"/>
      <c r="AV19" s="525"/>
      <c r="AW19" s="525"/>
      <c r="AX19" s="525"/>
    </row>
    <row r="20" spans="1:50" s="19" customFormat="1" ht="11.25">
      <c r="A20" s="32" t="s">
        <v>672</v>
      </c>
      <c r="B20" s="32" t="s">
        <v>673</v>
      </c>
      <c r="C20" s="69" t="s">
        <v>337</v>
      </c>
      <c r="D20" s="70" t="s">
        <v>337</v>
      </c>
      <c r="E20" s="70" t="s">
        <v>337</v>
      </c>
      <c r="F20" s="78" t="s">
        <v>337</v>
      </c>
      <c r="G20" s="69" t="s">
        <v>337</v>
      </c>
      <c r="H20" s="70" t="s">
        <v>337</v>
      </c>
      <c r="I20" s="70" t="s">
        <v>337</v>
      </c>
      <c r="J20" s="78" t="s">
        <v>337</v>
      </c>
      <c r="K20" s="70" t="s">
        <v>337</v>
      </c>
      <c r="L20" s="70" t="s">
        <v>337</v>
      </c>
      <c r="M20" s="70" t="s">
        <v>337</v>
      </c>
      <c r="N20" s="70" t="s">
        <v>337</v>
      </c>
      <c r="O20" s="69" t="s">
        <v>337</v>
      </c>
      <c r="P20" s="70" t="s">
        <v>337</v>
      </c>
      <c r="Q20" s="70" t="s">
        <v>337</v>
      </c>
      <c r="R20" s="78" t="s">
        <v>337</v>
      </c>
      <c r="S20" s="70" t="s">
        <v>337</v>
      </c>
      <c r="T20" s="70" t="s">
        <v>337</v>
      </c>
      <c r="U20" s="70" t="s">
        <v>337</v>
      </c>
      <c r="V20" s="70" t="s">
        <v>337</v>
      </c>
      <c r="W20" s="69" t="s">
        <v>337</v>
      </c>
      <c r="X20" s="70" t="s">
        <v>337</v>
      </c>
      <c r="Y20" s="70" t="s">
        <v>337</v>
      </c>
      <c r="Z20" s="78" t="s">
        <v>337</v>
      </c>
      <c r="AA20" s="70" t="s">
        <v>337</v>
      </c>
      <c r="AB20" s="70" t="s">
        <v>337</v>
      </c>
      <c r="AC20" s="70" t="s">
        <v>337</v>
      </c>
      <c r="AD20" s="70" t="s">
        <v>337</v>
      </c>
      <c r="AE20" s="69" t="s">
        <v>337</v>
      </c>
      <c r="AF20" s="70" t="s">
        <v>337</v>
      </c>
      <c r="AG20" s="70" t="s">
        <v>337</v>
      </c>
      <c r="AH20" s="78" t="s">
        <v>337</v>
      </c>
      <c r="AI20" s="70" t="s">
        <v>337</v>
      </c>
      <c r="AJ20" s="70" t="s">
        <v>337</v>
      </c>
      <c r="AK20" s="70" t="s">
        <v>337</v>
      </c>
      <c r="AL20" s="70" t="s">
        <v>337</v>
      </c>
      <c r="AM20" s="69" t="s">
        <v>337</v>
      </c>
      <c r="AN20" s="70" t="s">
        <v>337</v>
      </c>
      <c r="AO20" s="70" t="s">
        <v>337</v>
      </c>
      <c r="AP20" s="78" t="s">
        <v>337</v>
      </c>
      <c r="AQ20" s="70" t="s">
        <v>337</v>
      </c>
      <c r="AR20" s="70" t="s">
        <v>337</v>
      </c>
      <c r="AS20" s="70" t="s">
        <v>337</v>
      </c>
      <c r="AT20" s="78" t="s">
        <v>337</v>
      </c>
      <c r="AU20" s="70">
        <f>SUM(AU21:AU23)</f>
        <v>39424.699999999997</v>
      </c>
      <c r="AV20" s="70">
        <f>SUM(AV21:AV23)</f>
        <v>41723.1</v>
      </c>
      <c r="AW20" s="70">
        <f>SUM(AW21:AW23)</f>
        <v>43539.8</v>
      </c>
      <c r="AX20" s="70">
        <f>SUM(AX21:AX23)</f>
        <v>45363.299999999996</v>
      </c>
    </row>
    <row r="21" spans="1:50" s="19" customFormat="1" ht="11.25">
      <c r="A21" s="28" t="s">
        <v>762</v>
      </c>
      <c r="B21" s="28" t="s">
        <v>674</v>
      </c>
      <c r="C21" s="69" t="s">
        <v>337</v>
      </c>
      <c r="D21" s="70" t="s">
        <v>337</v>
      </c>
      <c r="E21" s="70" t="s">
        <v>337</v>
      </c>
      <c r="F21" s="78" t="s">
        <v>337</v>
      </c>
      <c r="G21" s="69" t="s">
        <v>337</v>
      </c>
      <c r="H21" s="70" t="s">
        <v>337</v>
      </c>
      <c r="I21" s="70" t="s">
        <v>337</v>
      </c>
      <c r="J21" s="78" t="s">
        <v>337</v>
      </c>
      <c r="K21" s="70" t="s">
        <v>337</v>
      </c>
      <c r="L21" s="70" t="s">
        <v>337</v>
      </c>
      <c r="M21" s="70" t="s">
        <v>337</v>
      </c>
      <c r="N21" s="70" t="s">
        <v>337</v>
      </c>
      <c r="O21" s="69" t="s">
        <v>337</v>
      </c>
      <c r="P21" s="70" t="s">
        <v>337</v>
      </c>
      <c r="Q21" s="70" t="s">
        <v>337</v>
      </c>
      <c r="R21" s="78" t="s">
        <v>337</v>
      </c>
      <c r="S21" s="70" t="s">
        <v>337</v>
      </c>
      <c r="T21" s="70" t="s">
        <v>337</v>
      </c>
      <c r="U21" s="70" t="s">
        <v>337</v>
      </c>
      <c r="V21" s="70" t="s">
        <v>337</v>
      </c>
      <c r="W21" s="69" t="s">
        <v>337</v>
      </c>
      <c r="X21" s="70" t="s">
        <v>337</v>
      </c>
      <c r="Y21" s="70" t="s">
        <v>337</v>
      </c>
      <c r="Z21" s="78" t="s">
        <v>337</v>
      </c>
      <c r="AA21" s="70" t="s">
        <v>337</v>
      </c>
      <c r="AB21" s="70" t="s">
        <v>337</v>
      </c>
      <c r="AC21" s="70" t="s">
        <v>337</v>
      </c>
      <c r="AD21" s="70" t="s">
        <v>337</v>
      </c>
      <c r="AE21" s="69" t="s">
        <v>337</v>
      </c>
      <c r="AF21" s="70" t="s">
        <v>337</v>
      </c>
      <c r="AG21" s="70" t="s">
        <v>337</v>
      </c>
      <c r="AH21" s="78" t="s">
        <v>337</v>
      </c>
      <c r="AI21" s="70" t="s">
        <v>337</v>
      </c>
      <c r="AJ21" s="70" t="s">
        <v>337</v>
      </c>
      <c r="AK21" s="70" t="s">
        <v>337</v>
      </c>
      <c r="AL21" s="70" t="s">
        <v>337</v>
      </c>
      <c r="AM21" s="69" t="s">
        <v>337</v>
      </c>
      <c r="AN21" s="70" t="s">
        <v>337</v>
      </c>
      <c r="AO21" s="70" t="s">
        <v>337</v>
      </c>
      <c r="AP21" s="78" t="s">
        <v>337</v>
      </c>
      <c r="AQ21" s="70" t="s">
        <v>337</v>
      </c>
      <c r="AR21" s="70" t="s">
        <v>337</v>
      </c>
      <c r="AS21" s="70" t="s">
        <v>337</v>
      </c>
      <c r="AT21" s="78" t="s">
        <v>337</v>
      </c>
      <c r="AU21" s="70">
        <v>33565.199999999997</v>
      </c>
      <c r="AV21" s="70">
        <v>35539.4</v>
      </c>
      <c r="AW21" s="70">
        <v>37281.199999999997</v>
      </c>
      <c r="AX21" s="70">
        <v>38633</v>
      </c>
    </row>
    <row r="22" spans="1:50" s="19" customFormat="1" ht="11.25">
      <c r="A22" s="28" t="s">
        <v>763</v>
      </c>
      <c r="B22" s="28" t="s">
        <v>675</v>
      </c>
      <c r="C22" s="69" t="s">
        <v>337</v>
      </c>
      <c r="D22" s="70" t="s">
        <v>337</v>
      </c>
      <c r="E22" s="70" t="s">
        <v>337</v>
      </c>
      <c r="F22" s="78" t="s">
        <v>337</v>
      </c>
      <c r="G22" s="69" t="s">
        <v>337</v>
      </c>
      <c r="H22" s="70" t="s">
        <v>337</v>
      </c>
      <c r="I22" s="70" t="s">
        <v>337</v>
      </c>
      <c r="J22" s="78" t="s">
        <v>337</v>
      </c>
      <c r="K22" s="70" t="s">
        <v>337</v>
      </c>
      <c r="L22" s="70" t="s">
        <v>337</v>
      </c>
      <c r="M22" s="70" t="s">
        <v>337</v>
      </c>
      <c r="N22" s="70" t="s">
        <v>337</v>
      </c>
      <c r="O22" s="69" t="s">
        <v>337</v>
      </c>
      <c r="P22" s="70" t="s">
        <v>337</v>
      </c>
      <c r="Q22" s="70" t="s">
        <v>337</v>
      </c>
      <c r="R22" s="78" t="s">
        <v>337</v>
      </c>
      <c r="S22" s="70" t="s">
        <v>337</v>
      </c>
      <c r="T22" s="70" t="s">
        <v>337</v>
      </c>
      <c r="U22" s="70" t="s">
        <v>337</v>
      </c>
      <c r="V22" s="70" t="s">
        <v>337</v>
      </c>
      <c r="W22" s="69" t="s">
        <v>337</v>
      </c>
      <c r="X22" s="70" t="s">
        <v>337</v>
      </c>
      <c r="Y22" s="70" t="s">
        <v>337</v>
      </c>
      <c r="Z22" s="78" t="s">
        <v>337</v>
      </c>
      <c r="AA22" s="70" t="s">
        <v>337</v>
      </c>
      <c r="AB22" s="70" t="s">
        <v>337</v>
      </c>
      <c r="AC22" s="70" t="s">
        <v>337</v>
      </c>
      <c r="AD22" s="70" t="s">
        <v>337</v>
      </c>
      <c r="AE22" s="69" t="s">
        <v>337</v>
      </c>
      <c r="AF22" s="70" t="s">
        <v>337</v>
      </c>
      <c r="AG22" s="70" t="s">
        <v>337</v>
      </c>
      <c r="AH22" s="78" t="s">
        <v>337</v>
      </c>
      <c r="AI22" s="70" t="s">
        <v>337</v>
      </c>
      <c r="AJ22" s="70" t="s">
        <v>337</v>
      </c>
      <c r="AK22" s="70" t="s">
        <v>337</v>
      </c>
      <c r="AL22" s="70" t="s">
        <v>337</v>
      </c>
      <c r="AM22" s="69" t="s">
        <v>337</v>
      </c>
      <c r="AN22" s="70" t="s">
        <v>337</v>
      </c>
      <c r="AO22" s="70" t="s">
        <v>337</v>
      </c>
      <c r="AP22" s="78" t="s">
        <v>337</v>
      </c>
      <c r="AQ22" s="70" t="s">
        <v>337</v>
      </c>
      <c r="AR22" s="70" t="s">
        <v>337</v>
      </c>
      <c r="AS22" s="70" t="s">
        <v>337</v>
      </c>
      <c r="AT22" s="78" t="s">
        <v>337</v>
      </c>
      <c r="AU22" s="70">
        <v>5072.8999999999996</v>
      </c>
      <c r="AV22" s="70">
        <v>5324.2</v>
      </c>
      <c r="AW22" s="70">
        <v>5505.3</v>
      </c>
      <c r="AX22" s="70">
        <v>5916.7000000000007</v>
      </c>
    </row>
    <row r="23" spans="1:50" s="19" customFormat="1" ht="11.25">
      <c r="A23" s="28" t="s">
        <v>764</v>
      </c>
      <c r="B23" s="28" t="s">
        <v>676</v>
      </c>
      <c r="C23" s="69" t="s">
        <v>337</v>
      </c>
      <c r="D23" s="70" t="s">
        <v>337</v>
      </c>
      <c r="E23" s="70" t="s">
        <v>337</v>
      </c>
      <c r="F23" s="78" t="s">
        <v>337</v>
      </c>
      <c r="G23" s="69" t="s">
        <v>337</v>
      </c>
      <c r="H23" s="70" t="s">
        <v>337</v>
      </c>
      <c r="I23" s="70" t="s">
        <v>337</v>
      </c>
      <c r="J23" s="78" t="s">
        <v>337</v>
      </c>
      <c r="K23" s="70" t="s">
        <v>337</v>
      </c>
      <c r="L23" s="70" t="s">
        <v>337</v>
      </c>
      <c r="M23" s="70" t="s">
        <v>337</v>
      </c>
      <c r="N23" s="70" t="s">
        <v>337</v>
      </c>
      <c r="O23" s="69" t="s">
        <v>337</v>
      </c>
      <c r="P23" s="70" t="s">
        <v>337</v>
      </c>
      <c r="Q23" s="70" t="s">
        <v>337</v>
      </c>
      <c r="R23" s="78" t="s">
        <v>337</v>
      </c>
      <c r="S23" s="70" t="s">
        <v>337</v>
      </c>
      <c r="T23" s="70" t="s">
        <v>337</v>
      </c>
      <c r="U23" s="70" t="s">
        <v>337</v>
      </c>
      <c r="V23" s="70" t="s">
        <v>337</v>
      </c>
      <c r="W23" s="69" t="s">
        <v>337</v>
      </c>
      <c r="X23" s="70" t="s">
        <v>337</v>
      </c>
      <c r="Y23" s="70" t="s">
        <v>337</v>
      </c>
      <c r="Z23" s="78" t="s">
        <v>337</v>
      </c>
      <c r="AA23" s="70" t="s">
        <v>337</v>
      </c>
      <c r="AB23" s="70" t="s">
        <v>337</v>
      </c>
      <c r="AC23" s="70" t="s">
        <v>337</v>
      </c>
      <c r="AD23" s="70" t="s">
        <v>337</v>
      </c>
      <c r="AE23" s="69" t="s">
        <v>337</v>
      </c>
      <c r="AF23" s="70" t="s">
        <v>337</v>
      </c>
      <c r="AG23" s="70" t="s">
        <v>337</v>
      </c>
      <c r="AH23" s="78" t="s">
        <v>337</v>
      </c>
      <c r="AI23" s="70" t="s">
        <v>337</v>
      </c>
      <c r="AJ23" s="70" t="s">
        <v>337</v>
      </c>
      <c r="AK23" s="70" t="s">
        <v>337</v>
      </c>
      <c r="AL23" s="70" t="s">
        <v>337</v>
      </c>
      <c r="AM23" s="69" t="s">
        <v>337</v>
      </c>
      <c r="AN23" s="70" t="s">
        <v>337</v>
      </c>
      <c r="AO23" s="70" t="s">
        <v>337</v>
      </c>
      <c r="AP23" s="78" t="s">
        <v>337</v>
      </c>
      <c r="AQ23" s="70" t="s">
        <v>337</v>
      </c>
      <c r="AR23" s="70" t="s">
        <v>337</v>
      </c>
      <c r="AS23" s="70" t="s">
        <v>337</v>
      </c>
      <c r="AT23" s="78" t="s">
        <v>337</v>
      </c>
      <c r="AU23" s="70">
        <v>786.6</v>
      </c>
      <c r="AV23" s="70">
        <v>859.5</v>
      </c>
      <c r="AW23" s="70">
        <v>753.3</v>
      </c>
      <c r="AX23" s="70">
        <v>813.6</v>
      </c>
    </row>
    <row r="24" spans="1:50" s="19" customFormat="1" ht="11.25">
      <c r="A24" s="32" t="s">
        <v>677</v>
      </c>
      <c r="B24" s="32" t="s">
        <v>678</v>
      </c>
      <c r="C24" s="69" t="s">
        <v>337</v>
      </c>
      <c r="D24" s="70" t="s">
        <v>337</v>
      </c>
      <c r="E24" s="70" t="s">
        <v>337</v>
      </c>
      <c r="F24" s="78" t="s">
        <v>337</v>
      </c>
      <c r="G24" s="69" t="s">
        <v>337</v>
      </c>
      <c r="H24" s="70" t="s">
        <v>337</v>
      </c>
      <c r="I24" s="70" t="s">
        <v>337</v>
      </c>
      <c r="J24" s="78" t="s">
        <v>337</v>
      </c>
      <c r="K24" s="70" t="s">
        <v>337</v>
      </c>
      <c r="L24" s="70" t="s">
        <v>337</v>
      </c>
      <c r="M24" s="70" t="s">
        <v>337</v>
      </c>
      <c r="N24" s="70" t="s">
        <v>337</v>
      </c>
      <c r="O24" s="69" t="s">
        <v>337</v>
      </c>
      <c r="P24" s="70" t="s">
        <v>337</v>
      </c>
      <c r="Q24" s="70" t="s">
        <v>337</v>
      </c>
      <c r="R24" s="78" t="s">
        <v>337</v>
      </c>
      <c r="S24" s="70" t="s">
        <v>337</v>
      </c>
      <c r="T24" s="70" t="s">
        <v>337</v>
      </c>
      <c r="U24" s="70" t="s">
        <v>337</v>
      </c>
      <c r="V24" s="70" t="s">
        <v>337</v>
      </c>
      <c r="W24" s="69" t="s">
        <v>337</v>
      </c>
      <c r="X24" s="70" t="s">
        <v>337</v>
      </c>
      <c r="Y24" s="70" t="s">
        <v>337</v>
      </c>
      <c r="Z24" s="78" t="s">
        <v>337</v>
      </c>
      <c r="AA24" s="70" t="s">
        <v>337</v>
      </c>
      <c r="AB24" s="70" t="s">
        <v>337</v>
      </c>
      <c r="AC24" s="70" t="s">
        <v>337</v>
      </c>
      <c r="AD24" s="70" t="s">
        <v>337</v>
      </c>
      <c r="AE24" s="69" t="s">
        <v>337</v>
      </c>
      <c r="AF24" s="70" t="s">
        <v>337</v>
      </c>
      <c r="AG24" s="70" t="s">
        <v>337</v>
      </c>
      <c r="AH24" s="78" t="s">
        <v>337</v>
      </c>
      <c r="AI24" s="70" t="s">
        <v>337</v>
      </c>
      <c r="AJ24" s="70" t="s">
        <v>337</v>
      </c>
      <c r="AK24" s="70" t="s">
        <v>337</v>
      </c>
      <c r="AL24" s="70" t="s">
        <v>337</v>
      </c>
      <c r="AM24" s="69" t="s">
        <v>337</v>
      </c>
      <c r="AN24" s="70" t="s">
        <v>337</v>
      </c>
      <c r="AO24" s="70" t="s">
        <v>337</v>
      </c>
      <c r="AP24" s="78" t="s">
        <v>337</v>
      </c>
      <c r="AQ24" s="70" t="s">
        <v>337</v>
      </c>
      <c r="AR24" s="70" t="s">
        <v>337</v>
      </c>
      <c r="AS24" s="70" t="s">
        <v>337</v>
      </c>
      <c r="AT24" s="78" t="s">
        <v>337</v>
      </c>
      <c r="AU24" s="70">
        <f>SUM(AU25:AU27)</f>
        <v>-928.7</v>
      </c>
      <c r="AV24" s="70">
        <f>SUM(AV25:AV27)</f>
        <v>-1024.3999999999999</v>
      </c>
      <c r="AW24" s="70">
        <f>SUM(AW25:AW27)</f>
        <v>-928.1</v>
      </c>
      <c r="AX24" s="70">
        <f>SUM(AX25:AX27)</f>
        <v>-1008.5</v>
      </c>
    </row>
    <row r="25" spans="1:50" s="19" customFormat="1" ht="11.25">
      <c r="A25" s="28" t="s">
        <v>765</v>
      </c>
      <c r="B25" s="28" t="s">
        <v>679</v>
      </c>
      <c r="C25" s="69" t="s">
        <v>337</v>
      </c>
      <c r="D25" s="70" t="s">
        <v>337</v>
      </c>
      <c r="E25" s="70" t="s">
        <v>337</v>
      </c>
      <c r="F25" s="78" t="s">
        <v>337</v>
      </c>
      <c r="G25" s="69" t="s">
        <v>337</v>
      </c>
      <c r="H25" s="70" t="s">
        <v>337</v>
      </c>
      <c r="I25" s="70" t="s">
        <v>337</v>
      </c>
      <c r="J25" s="78" t="s">
        <v>337</v>
      </c>
      <c r="K25" s="70" t="s">
        <v>337</v>
      </c>
      <c r="L25" s="70" t="s">
        <v>337</v>
      </c>
      <c r="M25" s="70" t="s">
        <v>337</v>
      </c>
      <c r="N25" s="70" t="s">
        <v>337</v>
      </c>
      <c r="O25" s="69" t="s">
        <v>337</v>
      </c>
      <c r="P25" s="70" t="s">
        <v>337</v>
      </c>
      <c r="Q25" s="70" t="s">
        <v>337</v>
      </c>
      <c r="R25" s="78" t="s">
        <v>337</v>
      </c>
      <c r="S25" s="70" t="s">
        <v>337</v>
      </c>
      <c r="T25" s="70" t="s">
        <v>337</v>
      </c>
      <c r="U25" s="70" t="s">
        <v>337</v>
      </c>
      <c r="V25" s="70" t="s">
        <v>337</v>
      </c>
      <c r="W25" s="69" t="s">
        <v>337</v>
      </c>
      <c r="X25" s="70" t="s">
        <v>337</v>
      </c>
      <c r="Y25" s="70" t="s">
        <v>337</v>
      </c>
      <c r="Z25" s="78" t="s">
        <v>337</v>
      </c>
      <c r="AA25" s="70" t="s">
        <v>337</v>
      </c>
      <c r="AB25" s="70" t="s">
        <v>337</v>
      </c>
      <c r="AC25" s="70" t="s">
        <v>337</v>
      </c>
      <c r="AD25" s="70" t="s">
        <v>337</v>
      </c>
      <c r="AE25" s="69" t="s">
        <v>337</v>
      </c>
      <c r="AF25" s="70" t="s">
        <v>337</v>
      </c>
      <c r="AG25" s="70" t="s">
        <v>337</v>
      </c>
      <c r="AH25" s="78" t="s">
        <v>337</v>
      </c>
      <c r="AI25" s="70" t="s">
        <v>337</v>
      </c>
      <c r="AJ25" s="70" t="s">
        <v>337</v>
      </c>
      <c r="AK25" s="70" t="s">
        <v>337</v>
      </c>
      <c r="AL25" s="70" t="s">
        <v>337</v>
      </c>
      <c r="AM25" s="69" t="s">
        <v>337</v>
      </c>
      <c r="AN25" s="70" t="s">
        <v>337</v>
      </c>
      <c r="AO25" s="70" t="s">
        <v>337</v>
      </c>
      <c r="AP25" s="78" t="s">
        <v>337</v>
      </c>
      <c r="AQ25" s="70" t="s">
        <v>337</v>
      </c>
      <c r="AR25" s="70" t="s">
        <v>337</v>
      </c>
      <c r="AS25" s="70" t="s">
        <v>337</v>
      </c>
      <c r="AT25" s="78" t="s">
        <v>337</v>
      </c>
      <c r="AU25" s="70">
        <v>-57.4</v>
      </c>
      <c r="AV25" s="70">
        <v>-67.7</v>
      </c>
      <c r="AW25" s="70">
        <v>-65.100000000000009</v>
      </c>
      <c r="AX25" s="70">
        <v>-58.2</v>
      </c>
    </row>
    <row r="26" spans="1:50" s="19" customFormat="1" ht="11.25">
      <c r="A26" s="28" t="s">
        <v>766</v>
      </c>
      <c r="B26" s="28" t="s">
        <v>680</v>
      </c>
      <c r="C26" s="69" t="s">
        <v>337</v>
      </c>
      <c r="D26" s="70" t="s">
        <v>337</v>
      </c>
      <c r="E26" s="70" t="s">
        <v>337</v>
      </c>
      <c r="F26" s="78" t="s">
        <v>337</v>
      </c>
      <c r="G26" s="69" t="s">
        <v>337</v>
      </c>
      <c r="H26" s="70" t="s">
        <v>337</v>
      </c>
      <c r="I26" s="70" t="s">
        <v>337</v>
      </c>
      <c r="J26" s="78" t="s">
        <v>337</v>
      </c>
      <c r="K26" s="70" t="s">
        <v>337</v>
      </c>
      <c r="L26" s="70" t="s">
        <v>337</v>
      </c>
      <c r="M26" s="70" t="s">
        <v>337</v>
      </c>
      <c r="N26" s="70" t="s">
        <v>337</v>
      </c>
      <c r="O26" s="69" t="s">
        <v>337</v>
      </c>
      <c r="P26" s="70" t="s">
        <v>337</v>
      </c>
      <c r="Q26" s="70" t="s">
        <v>337</v>
      </c>
      <c r="R26" s="78" t="s">
        <v>337</v>
      </c>
      <c r="S26" s="70" t="s">
        <v>337</v>
      </c>
      <c r="T26" s="70" t="s">
        <v>337</v>
      </c>
      <c r="U26" s="70" t="s">
        <v>337</v>
      </c>
      <c r="V26" s="70" t="s">
        <v>337</v>
      </c>
      <c r="W26" s="69" t="s">
        <v>337</v>
      </c>
      <c r="X26" s="70" t="s">
        <v>337</v>
      </c>
      <c r="Y26" s="70" t="s">
        <v>337</v>
      </c>
      <c r="Z26" s="78" t="s">
        <v>337</v>
      </c>
      <c r="AA26" s="70" t="s">
        <v>337</v>
      </c>
      <c r="AB26" s="70" t="s">
        <v>337</v>
      </c>
      <c r="AC26" s="70" t="s">
        <v>337</v>
      </c>
      <c r="AD26" s="70" t="s">
        <v>337</v>
      </c>
      <c r="AE26" s="69" t="s">
        <v>337</v>
      </c>
      <c r="AF26" s="70" t="s">
        <v>337</v>
      </c>
      <c r="AG26" s="70" t="s">
        <v>337</v>
      </c>
      <c r="AH26" s="78" t="s">
        <v>337</v>
      </c>
      <c r="AI26" s="70" t="s">
        <v>337</v>
      </c>
      <c r="AJ26" s="70" t="s">
        <v>337</v>
      </c>
      <c r="AK26" s="70" t="s">
        <v>337</v>
      </c>
      <c r="AL26" s="70" t="s">
        <v>337</v>
      </c>
      <c r="AM26" s="69" t="s">
        <v>337</v>
      </c>
      <c r="AN26" s="70" t="s">
        <v>337</v>
      </c>
      <c r="AO26" s="70" t="s">
        <v>337</v>
      </c>
      <c r="AP26" s="78" t="s">
        <v>337</v>
      </c>
      <c r="AQ26" s="70" t="s">
        <v>337</v>
      </c>
      <c r="AR26" s="70" t="s">
        <v>337</v>
      </c>
      <c r="AS26" s="70" t="s">
        <v>337</v>
      </c>
      <c r="AT26" s="78" t="s">
        <v>337</v>
      </c>
      <c r="AU26" s="70">
        <v>-285.10000000000002</v>
      </c>
      <c r="AV26" s="70">
        <v>-314.39999999999998</v>
      </c>
      <c r="AW26" s="70">
        <v>-331.4</v>
      </c>
      <c r="AX26" s="70">
        <v>-362</v>
      </c>
    </row>
    <row r="27" spans="1:50" s="19" customFormat="1" ht="11.25">
      <c r="A27" s="28" t="s">
        <v>767</v>
      </c>
      <c r="B27" s="28" t="s">
        <v>681</v>
      </c>
      <c r="C27" s="69" t="s">
        <v>337</v>
      </c>
      <c r="D27" s="70" t="s">
        <v>337</v>
      </c>
      <c r="E27" s="70" t="s">
        <v>337</v>
      </c>
      <c r="F27" s="78" t="s">
        <v>337</v>
      </c>
      <c r="G27" s="69" t="s">
        <v>337</v>
      </c>
      <c r="H27" s="70" t="s">
        <v>337</v>
      </c>
      <c r="I27" s="70" t="s">
        <v>337</v>
      </c>
      <c r="J27" s="78" t="s">
        <v>337</v>
      </c>
      <c r="K27" s="70" t="s">
        <v>337</v>
      </c>
      <c r="L27" s="70" t="s">
        <v>337</v>
      </c>
      <c r="M27" s="70" t="s">
        <v>337</v>
      </c>
      <c r="N27" s="70" t="s">
        <v>337</v>
      </c>
      <c r="O27" s="69" t="s">
        <v>337</v>
      </c>
      <c r="P27" s="70" t="s">
        <v>337</v>
      </c>
      <c r="Q27" s="70" t="s">
        <v>337</v>
      </c>
      <c r="R27" s="78" t="s">
        <v>337</v>
      </c>
      <c r="S27" s="70" t="s">
        <v>337</v>
      </c>
      <c r="T27" s="70" t="s">
        <v>337</v>
      </c>
      <c r="U27" s="70" t="s">
        <v>337</v>
      </c>
      <c r="V27" s="70" t="s">
        <v>337</v>
      </c>
      <c r="W27" s="69" t="s">
        <v>337</v>
      </c>
      <c r="X27" s="70" t="s">
        <v>337</v>
      </c>
      <c r="Y27" s="70" t="s">
        <v>337</v>
      </c>
      <c r="Z27" s="78" t="s">
        <v>337</v>
      </c>
      <c r="AA27" s="70" t="s">
        <v>337</v>
      </c>
      <c r="AB27" s="70" t="s">
        <v>337</v>
      </c>
      <c r="AC27" s="70" t="s">
        <v>337</v>
      </c>
      <c r="AD27" s="70" t="s">
        <v>337</v>
      </c>
      <c r="AE27" s="69" t="s">
        <v>337</v>
      </c>
      <c r="AF27" s="70" t="s">
        <v>337</v>
      </c>
      <c r="AG27" s="70" t="s">
        <v>337</v>
      </c>
      <c r="AH27" s="78" t="s">
        <v>337</v>
      </c>
      <c r="AI27" s="70" t="s">
        <v>337</v>
      </c>
      <c r="AJ27" s="70" t="s">
        <v>337</v>
      </c>
      <c r="AK27" s="70" t="s">
        <v>337</v>
      </c>
      <c r="AL27" s="70" t="s">
        <v>337</v>
      </c>
      <c r="AM27" s="69" t="s">
        <v>337</v>
      </c>
      <c r="AN27" s="70" t="s">
        <v>337</v>
      </c>
      <c r="AO27" s="70" t="s">
        <v>337</v>
      </c>
      <c r="AP27" s="78" t="s">
        <v>337</v>
      </c>
      <c r="AQ27" s="70" t="s">
        <v>337</v>
      </c>
      <c r="AR27" s="70" t="s">
        <v>337</v>
      </c>
      <c r="AS27" s="70" t="s">
        <v>337</v>
      </c>
      <c r="AT27" s="78" t="s">
        <v>337</v>
      </c>
      <c r="AU27" s="70">
        <v>-586.20000000000005</v>
      </c>
      <c r="AV27" s="70">
        <v>-642.29999999999995</v>
      </c>
      <c r="AW27" s="70">
        <v>-531.6</v>
      </c>
      <c r="AX27" s="70">
        <v>-588.29999999999995</v>
      </c>
    </row>
    <row r="28" spans="1:50" s="19" customFormat="1" ht="11.25">
      <c r="A28" s="32" t="s">
        <v>682</v>
      </c>
      <c r="B28" s="32" t="s">
        <v>683</v>
      </c>
      <c r="C28" s="69" t="s">
        <v>337</v>
      </c>
      <c r="D28" s="70" t="s">
        <v>337</v>
      </c>
      <c r="E28" s="70" t="s">
        <v>337</v>
      </c>
      <c r="F28" s="78" t="s">
        <v>337</v>
      </c>
      <c r="G28" s="69" t="s">
        <v>337</v>
      </c>
      <c r="H28" s="70" t="s">
        <v>337</v>
      </c>
      <c r="I28" s="70" t="s">
        <v>337</v>
      </c>
      <c r="J28" s="78" t="s">
        <v>337</v>
      </c>
      <c r="K28" s="70" t="s">
        <v>337</v>
      </c>
      <c r="L28" s="70" t="s">
        <v>337</v>
      </c>
      <c r="M28" s="70" t="s">
        <v>337</v>
      </c>
      <c r="N28" s="70" t="s">
        <v>337</v>
      </c>
      <c r="O28" s="69" t="s">
        <v>337</v>
      </c>
      <c r="P28" s="70" t="s">
        <v>337</v>
      </c>
      <c r="Q28" s="70" t="s">
        <v>337</v>
      </c>
      <c r="R28" s="78" t="s">
        <v>337</v>
      </c>
      <c r="S28" s="70" t="s">
        <v>337</v>
      </c>
      <c r="T28" s="70" t="s">
        <v>337</v>
      </c>
      <c r="U28" s="70" t="s">
        <v>337</v>
      </c>
      <c r="V28" s="70" t="s">
        <v>337</v>
      </c>
      <c r="W28" s="69" t="s">
        <v>337</v>
      </c>
      <c r="X28" s="70" t="s">
        <v>337</v>
      </c>
      <c r="Y28" s="70" t="s">
        <v>337</v>
      </c>
      <c r="Z28" s="78" t="s">
        <v>337</v>
      </c>
      <c r="AA28" s="70" t="s">
        <v>337</v>
      </c>
      <c r="AB28" s="70" t="s">
        <v>337</v>
      </c>
      <c r="AC28" s="70" t="s">
        <v>337</v>
      </c>
      <c r="AD28" s="70" t="s">
        <v>337</v>
      </c>
      <c r="AE28" s="69" t="s">
        <v>337</v>
      </c>
      <c r="AF28" s="70" t="s">
        <v>337</v>
      </c>
      <c r="AG28" s="70" t="s">
        <v>337</v>
      </c>
      <c r="AH28" s="78" t="s">
        <v>337</v>
      </c>
      <c r="AI28" s="70" t="s">
        <v>337</v>
      </c>
      <c r="AJ28" s="70" t="s">
        <v>337</v>
      </c>
      <c r="AK28" s="70" t="s">
        <v>337</v>
      </c>
      <c r="AL28" s="70" t="s">
        <v>337</v>
      </c>
      <c r="AM28" s="69" t="s">
        <v>337</v>
      </c>
      <c r="AN28" s="70" t="s">
        <v>337</v>
      </c>
      <c r="AO28" s="70" t="s">
        <v>337</v>
      </c>
      <c r="AP28" s="78" t="s">
        <v>337</v>
      </c>
      <c r="AQ28" s="70" t="s">
        <v>337</v>
      </c>
      <c r="AR28" s="70" t="s">
        <v>337</v>
      </c>
      <c r="AS28" s="70" t="s">
        <v>337</v>
      </c>
      <c r="AT28" s="78" t="s">
        <v>337</v>
      </c>
      <c r="AU28" s="70">
        <f>SUM(AU29:AU31)</f>
        <v>38495.999999999993</v>
      </c>
      <c r="AV28" s="70">
        <f>SUM(AV29:AV31)</f>
        <v>40698.700000000004</v>
      </c>
      <c r="AW28" s="70">
        <f>SUM(AW29:AW31)</f>
        <v>42611.7</v>
      </c>
      <c r="AX28" s="70">
        <f>SUM(AX29:AX31)</f>
        <v>44354.8</v>
      </c>
    </row>
    <row r="29" spans="1:50" s="19" customFormat="1" ht="11.25">
      <c r="A29" s="28" t="s">
        <v>762</v>
      </c>
      <c r="B29" s="28" t="s">
        <v>674</v>
      </c>
      <c r="C29" s="69" t="s">
        <v>337</v>
      </c>
      <c r="D29" s="70" t="s">
        <v>337</v>
      </c>
      <c r="E29" s="70" t="s">
        <v>337</v>
      </c>
      <c r="F29" s="78" t="s">
        <v>337</v>
      </c>
      <c r="G29" s="69" t="s">
        <v>337</v>
      </c>
      <c r="H29" s="70" t="s">
        <v>337</v>
      </c>
      <c r="I29" s="70" t="s">
        <v>337</v>
      </c>
      <c r="J29" s="78" t="s">
        <v>337</v>
      </c>
      <c r="K29" s="70" t="s">
        <v>337</v>
      </c>
      <c r="L29" s="70" t="s">
        <v>337</v>
      </c>
      <c r="M29" s="70" t="s">
        <v>337</v>
      </c>
      <c r="N29" s="70" t="s">
        <v>337</v>
      </c>
      <c r="O29" s="69" t="s">
        <v>337</v>
      </c>
      <c r="P29" s="70" t="s">
        <v>337</v>
      </c>
      <c r="Q29" s="70" t="s">
        <v>337</v>
      </c>
      <c r="R29" s="78" t="s">
        <v>337</v>
      </c>
      <c r="S29" s="70" t="s">
        <v>337</v>
      </c>
      <c r="T29" s="70" t="s">
        <v>337</v>
      </c>
      <c r="U29" s="70" t="s">
        <v>337</v>
      </c>
      <c r="V29" s="70" t="s">
        <v>337</v>
      </c>
      <c r="W29" s="69" t="s">
        <v>337</v>
      </c>
      <c r="X29" s="70" t="s">
        <v>337</v>
      </c>
      <c r="Y29" s="70" t="s">
        <v>337</v>
      </c>
      <c r="Z29" s="78" t="s">
        <v>337</v>
      </c>
      <c r="AA29" s="70" t="s">
        <v>337</v>
      </c>
      <c r="AB29" s="70" t="s">
        <v>337</v>
      </c>
      <c r="AC29" s="70" t="s">
        <v>337</v>
      </c>
      <c r="AD29" s="70" t="s">
        <v>337</v>
      </c>
      <c r="AE29" s="69" t="s">
        <v>337</v>
      </c>
      <c r="AF29" s="70" t="s">
        <v>337</v>
      </c>
      <c r="AG29" s="70" t="s">
        <v>337</v>
      </c>
      <c r="AH29" s="78" t="s">
        <v>337</v>
      </c>
      <c r="AI29" s="70" t="s">
        <v>337</v>
      </c>
      <c r="AJ29" s="70" t="s">
        <v>337</v>
      </c>
      <c r="AK29" s="70" t="s">
        <v>337</v>
      </c>
      <c r="AL29" s="70" t="s">
        <v>337</v>
      </c>
      <c r="AM29" s="69" t="s">
        <v>337</v>
      </c>
      <c r="AN29" s="70" t="s">
        <v>337</v>
      </c>
      <c r="AO29" s="70" t="s">
        <v>337</v>
      </c>
      <c r="AP29" s="78" t="s">
        <v>337</v>
      </c>
      <c r="AQ29" s="70" t="s">
        <v>337</v>
      </c>
      <c r="AR29" s="70" t="s">
        <v>337</v>
      </c>
      <c r="AS29" s="70" t="s">
        <v>337</v>
      </c>
      <c r="AT29" s="78" t="s">
        <v>337</v>
      </c>
      <c r="AU29" s="70">
        <f t="shared" ref="AU29" si="7">AU21+AU25</f>
        <v>33507.799999999996</v>
      </c>
      <c r="AV29" s="70">
        <f t="shared" ref="AV29:AW31" si="8">AV21+AV25</f>
        <v>35471.700000000004</v>
      </c>
      <c r="AW29" s="70">
        <f t="shared" si="8"/>
        <v>37216.1</v>
      </c>
      <c r="AX29" s="70">
        <f t="shared" ref="AX29" si="9">AX21+AX25</f>
        <v>38574.800000000003</v>
      </c>
    </row>
    <row r="30" spans="1:50" s="19" customFormat="1" ht="11.25">
      <c r="A30" s="28" t="s">
        <v>763</v>
      </c>
      <c r="B30" s="28" t="s">
        <v>675</v>
      </c>
      <c r="C30" s="69" t="s">
        <v>337</v>
      </c>
      <c r="D30" s="70" t="s">
        <v>337</v>
      </c>
      <c r="E30" s="70" t="s">
        <v>337</v>
      </c>
      <c r="F30" s="78" t="s">
        <v>337</v>
      </c>
      <c r="G30" s="69" t="s">
        <v>337</v>
      </c>
      <c r="H30" s="70" t="s">
        <v>337</v>
      </c>
      <c r="I30" s="70" t="s">
        <v>337</v>
      </c>
      <c r="J30" s="78" t="s">
        <v>337</v>
      </c>
      <c r="K30" s="70" t="s">
        <v>337</v>
      </c>
      <c r="L30" s="70" t="s">
        <v>337</v>
      </c>
      <c r="M30" s="70" t="s">
        <v>337</v>
      </c>
      <c r="N30" s="70" t="s">
        <v>337</v>
      </c>
      <c r="O30" s="69" t="s">
        <v>337</v>
      </c>
      <c r="P30" s="70" t="s">
        <v>337</v>
      </c>
      <c r="Q30" s="70" t="s">
        <v>337</v>
      </c>
      <c r="R30" s="78" t="s">
        <v>337</v>
      </c>
      <c r="S30" s="70" t="s">
        <v>337</v>
      </c>
      <c r="T30" s="70" t="s">
        <v>337</v>
      </c>
      <c r="U30" s="70" t="s">
        <v>337</v>
      </c>
      <c r="V30" s="70" t="s">
        <v>337</v>
      </c>
      <c r="W30" s="69" t="s">
        <v>337</v>
      </c>
      <c r="X30" s="70" t="s">
        <v>337</v>
      </c>
      <c r="Y30" s="70" t="s">
        <v>337</v>
      </c>
      <c r="Z30" s="78" t="s">
        <v>337</v>
      </c>
      <c r="AA30" s="70" t="s">
        <v>337</v>
      </c>
      <c r="AB30" s="70" t="s">
        <v>337</v>
      </c>
      <c r="AC30" s="70" t="s">
        <v>337</v>
      </c>
      <c r="AD30" s="70" t="s">
        <v>337</v>
      </c>
      <c r="AE30" s="69" t="s">
        <v>337</v>
      </c>
      <c r="AF30" s="70" t="s">
        <v>337</v>
      </c>
      <c r="AG30" s="70" t="s">
        <v>337</v>
      </c>
      <c r="AH30" s="78" t="s">
        <v>337</v>
      </c>
      <c r="AI30" s="70" t="s">
        <v>337</v>
      </c>
      <c r="AJ30" s="70" t="s">
        <v>337</v>
      </c>
      <c r="AK30" s="70" t="s">
        <v>337</v>
      </c>
      <c r="AL30" s="70" t="s">
        <v>337</v>
      </c>
      <c r="AM30" s="69" t="s">
        <v>337</v>
      </c>
      <c r="AN30" s="70" t="s">
        <v>337</v>
      </c>
      <c r="AO30" s="70" t="s">
        <v>337</v>
      </c>
      <c r="AP30" s="78" t="s">
        <v>337</v>
      </c>
      <c r="AQ30" s="70" t="s">
        <v>337</v>
      </c>
      <c r="AR30" s="70" t="s">
        <v>337</v>
      </c>
      <c r="AS30" s="70" t="s">
        <v>337</v>
      </c>
      <c r="AT30" s="78" t="s">
        <v>337</v>
      </c>
      <c r="AU30" s="70">
        <f t="shared" ref="AU30" si="10">AU22+AU26</f>
        <v>4787.7999999999993</v>
      </c>
      <c r="AV30" s="70">
        <f t="shared" si="8"/>
        <v>5009.8</v>
      </c>
      <c r="AW30" s="70">
        <f t="shared" si="8"/>
        <v>5173.9000000000005</v>
      </c>
      <c r="AX30" s="70">
        <f t="shared" ref="AX30" si="11">AX22+AX26</f>
        <v>5554.7000000000007</v>
      </c>
    </row>
    <row r="31" spans="1:50" s="19" customFormat="1" ht="11.25">
      <c r="A31" s="28" t="s">
        <v>764</v>
      </c>
      <c r="B31" s="28" t="s">
        <v>676</v>
      </c>
      <c r="C31" s="69" t="s">
        <v>337</v>
      </c>
      <c r="D31" s="70" t="s">
        <v>337</v>
      </c>
      <c r="E31" s="70" t="s">
        <v>337</v>
      </c>
      <c r="F31" s="78" t="s">
        <v>337</v>
      </c>
      <c r="G31" s="69" t="s">
        <v>337</v>
      </c>
      <c r="H31" s="70" t="s">
        <v>337</v>
      </c>
      <c r="I31" s="70" t="s">
        <v>337</v>
      </c>
      <c r="J31" s="78" t="s">
        <v>337</v>
      </c>
      <c r="K31" s="70" t="s">
        <v>337</v>
      </c>
      <c r="L31" s="70" t="s">
        <v>337</v>
      </c>
      <c r="M31" s="70" t="s">
        <v>337</v>
      </c>
      <c r="N31" s="70" t="s">
        <v>337</v>
      </c>
      <c r="O31" s="69" t="s">
        <v>337</v>
      </c>
      <c r="P31" s="70" t="s">
        <v>337</v>
      </c>
      <c r="Q31" s="70" t="s">
        <v>337</v>
      </c>
      <c r="R31" s="78" t="s">
        <v>337</v>
      </c>
      <c r="S31" s="70" t="s">
        <v>337</v>
      </c>
      <c r="T31" s="70" t="s">
        <v>337</v>
      </c>
      <c r="U31" s="70" t="s">
        <v>337</v>
      </c>
      <c r="V31" s="70" t="s">
        <v>337</v>
      </c>
      <c r="W31" s="69" t="s">
        <v>337</v>
      </c>
      <c r="X31" s="70" t="s">
        <v>337</v>
      </c>
      <c r="Y31" s="70" t="s">
        <v>337</v>
      </c>
      <c r="Z31" s="78" t="s">
        <v>337</v>
      </c>
      <c r="AA31" s="70" t="s">
        <v>337</v>
      </c>
      <c r="AB31" s="70" t="s">
        <v>337</v>
      </c>
      <c r="AC31" s="70" t="s">
        <v>337</v>
      </c>
      <c r="AD31" s="70" t="s">
        <v>337</v>
      </c>
      <c r="AE31" s="69" t="s">
        <v>337</v>
      </c>
      <c r="AF31" s="70" t="s">
        <v>337</v>
      </c>
      <c r="AG31" s="70" t="s">
        <v>337</v>
      </c>
      <c r="AH31" s="78" t="s">
        <v>337</v>
      </c>
      <c r="AI31" s="70" t="s">
        <v>337</v>
      </c>
      <c r="AJ31" s="70" t="s">
        <v>337</v>
      </c>
      <c r="AK31" s="70" t="s">
        <v>337</v>
      </c>
      <c r="AL31" s="70" t="s">
        <v>337</v>
      </c>
      <c r="AM31" s="69" t="s">
        <v>337</v>
      </c>
      <c r="AN31" s="70" t="s">
        <v>337</v>
      </c>
      <c r="AO31" s="70" t="s">
        <v>337</v>
      </c>
      <c r="AP31" s="78" t="s">
        <v>337</v>
      </c>
      <c r="AQ31" s="70" t="s">
        <v>337</v>
      </c>
      <c r="AR31" s="70" t="s">
        <v>337</v>
      </c>
      <c r="AS31" s="70" t="s">
        <v>337</v>
      </c>
      <c r="AT31" s="78" t="s">
        <v>337</v>
      </c>
      <c r="AU31" s="70">
        <f t="shared" ref="AU31" si="12">AU23+AU27</f>
        <v>200.39999999999998</v>
      </c>
      <c r="AV31" s="70">
        <f t="shared" si="8"/>
        <v>217.20000000000005</v>
      </c>
      <c r="AW31" s="70">
        <f t="shared" si="8"/>
        <v>221.69999999999993</v>
      </c>
      <c r="AX31" s="70">
        <f t="shared" ref="AX31" si="13">AX23+AX27</f>
        <v>225.30000000000007</v>
      </c>
    </row>
    <row r="32" spans="1:50" s="19" customFormat="1" ht="11.25">
      <c r="A32" s="353"/>
      <c r="B32" s="353"/>
      <c r="C32" s="29"/>
      <c r="D32" s="30"/>
      <c r="E32" s="30"/>
      <c r="F32" s="31"/>
      <c r="G32" s="29"/>
      <c r="H32" s="30"/>
      <c r="I32" s="30"/>
      <c r="J32" s="31"/>
      <c r="K32" s="30"/>
      <c r="L32" s="30"/>
      <c r="M32" s="30"/>
      <c r="N32" s="30"/>
      <c r="O32" s="29"/>
      <c r="P32" s="30"/>
      <c r="Q32" s="30"/>
      <c r="R32" s="31"/>
      <c r="S32" s="30"/>
      <c r="T32" s="30"/>
      <c r="U32" s="30"/>
      <c r="V32" s="30"/>
      <c r="W32" s="29"/>
      <c r="X32" s="30"/>
      <c r="Y32" s="30"/>
      <c r="Z32" s="31"/>
      <c r="AA32" s="30"/>
      <c r="AB32" s="30"/>
      <c r="AC32" s="30"/>
      <c r="AD32" s="30"/>
      <c r="AE32" s="29"/>
      <c r="AF32" s="30"/>
      <c r="AG32" s="30"/>
      <c r="AH32" s="31"/>
      <c r="AI32" s="30"/>
      <c r="AJ32" s="30"/>
      <c r="AK32" s="30"/>
      <c r="AL32" s="30"/>
      <c r="AM32" s="29"/>
      <c r="AN32" s="30"/>
      <c r="AO32" s="30"/>
      <c r="AP32" s="31"/>
      <c r="AQ32" s="30"/>
      <c r="AR32" s="30"/>
      <c r="AS32" s="30"/>
      <c r="AT32" s="31"/>
      <c r="AU32" s="91"/>
      <c r="AV32" s="91"/>
      <c r="AW32" s="91"/>
      <c r="AX32" s="91"/>
    </row>
    <row r="33" spans="1:50" s="271" customFormat="1" ht="11.25">
      <c r="A33" s="57" t="s">
        <v>282</v>
      </c>
      <c r="B33" s="57" t="s">
        <v>684</v>
      </c>
      <c r="C33" s="42"/>
      <c r="D33" s="43"/>
      <c r="E33" s="43"/>
      <c r="F33" s="44"/>
      <c r="G33" s="42"/>
      <c r="H33" s="43"/>
      <c r="I33" s="43"/>
      <c r="J33" s="44"/>
      <c r="K33" s="43"/>
      <c r="L33" s="43"/>
      <c r="M33" s="43"/>
      <c r="N33" s="43"/>
      <c r="O33" s="42"/>
      <c r="P33" s="43"/>
      <c r="Q33" s="43"/>
      <c r="R33" s="44"/>
      <c r="S33" s="43"/>
      <c r="T33" s="43"/>
      <c r="U33" s="43"/>
      <c r="V33" s="43"/>
      <c r="W33" s="42"/>
      <c r="X33" s="43"/>
      <c r="Y33" s="43"/>
      <c r="Z33" s="44"/>
      <c r="AA33" s="43"/>
      <c r="AB33" s="43"/>
      <c r="AC33" s="43"/>
      <c r="AD33" s="43"/>
      <c r="AE33" s="42"/>
      <c r="AF33" s="43"/>
      <c r="AG33" s="43"/>
      <c r="AH33" s="44"/>
      <c r="AI33" s="43"/>
      <c r="AJ33" s="43"/>
      <c r="AK33" s="43"/>
      <c r="AL33" s="43"/>
      <c r="AM33" s="42"/>
      <c r="AN33" s="43"/>
      <c r="AO33" s="43"/>
      <c r="AP33" s="44"/>
      <c r="AQ33" s="43"/>
      <c r="AR33" s="43"/>
      <c r="AS33" s="43"/>
      <c r="AT33" s="44"/>
      <c r="AU33" s="525"/>
      <c r="AV33" s="525"/>
      <c r="AW33" s="525"/>
      <c r="AX33" s="525"/>
    </row>
    <row r="34" spans="1:50" s="19" customFormat="1" ht="11.25">
      <c r="A34" s="32" t="s">
        <v>672</v>
      </c>
      <c r="B34" s="32" t="s">
        <v>673</v>
      </c>
      <c r="C34" s="69" t="s">
        <v>337</v>
      </c>
      <c r="D34" s="70" t="s">
        <v>337</v>
      </c>
      <c r="E34" s="70" t="s">
        <v>337</v>
      </c>
      <c r="F34" s="78" t="s">
        <v>337</v>
      </c>
      <c r="G34" s="69" t="s">
        <v>337</v>
      </c>
      <c r="H34" s="70" t="s">
        <v>337</v>
      </c>
      <c r="I34" s="70" t="s">
        <v>337</v>
      </c>
      <c r="J34" s="78" t="s">
        <v>337</v>
      </c>
      <c r="K34" s="70" t="s">
        <v>337</v>
      </c>
      <c r="L34" s="70" t="s">
        <v>337</v>
      </c>
      <c r="M34" s="70" t="s">
        <v>337</v>
      </c>
      <c r="N34" s="70" t="s">
        <v>337</v>
      </c>
      <c r="O34" s="69" t="s">
        <v>337</v>
      </c>
      <c r="P34" s="70" t="s">
        <v>337</v>
      </c>
      <c r="Q34" s="70" t="s">
        <v>337</v>
      </c>
      <c r="R34" s="78" t="s">
        <v>337</v>
      </c>
      <c r="S34" s="70" t="s">
        <v>337</v>
      </c>
      <c r="T34" s="70" t="s">
        <v>337</v>
      </c>
      <c r="U34" s="70" t="s">
        <v>337</v>
      </c>
      <c r="V34" s="70" t="s">
        <v>337</v>
      </c>
      <c r="W34" s="69" t="s">
        <v>337</v>
      </c>
      <c r="X34" s="70" t="s">
        <v>337</v>
      </c>
      <c r="Y34" s="70" t="s">
        <v>337</v>
      </c>
      <c r="Z34" s="78" t="s">
        <v>337</v>
      </c>
      <c r="AA34" s="70" t="s">
        <v>337</v>
      </c>
      <c r="AB34" s="70" t="s">
        <v>337</v>
      </c>
      <c r="AC34" s="70" t="s">
        <v>337</v>
      </c>
      <c r="AD34" s="70" t="s">
        <v>337</v>
      </c>
      <c r="AE34" s="69" t="s">
        <v>337</v>
      </c>
      <c r="AF34" s="70" t="s">
        <v>337</v>
      </c>
      <c r="AG34" s="70" t="s">
        <v>337</v>
      </c>
      <c r="AH34" s="78" t="s">
        <v>337</v>
      </c>
      <c r="AI34" s="70" t="s">
        <v>337</v>
      </c>
      <c r="AJ34" s="70" t="s">
        <v>337</v>
      </c>
      <c r="AK34" s="70" t="s">
        <v>337</v>
      </c>
      <c r="AL34" s="70" t="s">
        <v>337</v>
      </c>
      <c r="AM34" s="69" t="s">
        <v>337</v>
      </c>
      <c r="AN34" s="70" t="s">
        <v>337</v>
      </c>
      <c r="AO34" s="70" t="s">
        <v>337</v>
      </c>
      <c r="AP34" s="78" t="s">
        <v>337</v>
      </c>
      <c r="AQ34" s="70" t="s">
        <v>337</v>
      </c>
      <c r="AR34" s="70" t="s">
        <v>337</v>
      </c>
      <c r="AS34" s="70" t="s">
        <v>337</v>
      </c>
      <c r="AT34" s="78" t="s">
        <v>337</v>
      </c>
      <c r="AU34" s="70">
        <f>SUM(AU35:AU37)</f>
        <v>91367.200000000012</v>
      </c>
      <c r="AV34" s="70">
        <f>SUM(AV35:AV37)</f>
        <v>95902.299999999988</v>
      </c>
      <c r="AW34" s="70">
        <f>SUM(AW35:AW37)</f>
        <v>100398.8</v>
      </c>
      <c r="AX34" s="70">
        <f>SUM(AX35:AX37)</f>
        <v>104226.8</v>
      </c>
    </row>
    <row r="35" spans="1:50" s="19" customFormat="1" ht="11.25">
      <c r="A35" s="28" t="s">
        <v>762</v>
      </c>
      <c r="B35" s="28" t="s">
        <v>674</v>
      </c>
      <c r="C35" s="69" t="s">
        <v>337</v>
      </c>
      <c r="D35" s="70" t="s">
        <v>337</v>
      </c>
      <c r="E35" s="70" t="s">
        <v>337</v>
      </c>
      <c r="F35" s="78" t="s">
        <v>337</v>
      </c>
      <c r="G35" s="69" t="s">
        <v>337</v>
      </c>
      <c r="H35" s="70" t="s">
        <v>337</v>
      </c>
      <c r="I35" s="70" t="s">
        <v>337</v>
      </c>
      <c r="J35" s="78" t="s">
        <v>337</v>
      </c>
      <c r="K35" s="70" t="s">
        <v>337</v>
      </c>
      <c r="L35" s="70" t="s">
        <v>337</v>
      </c>
      <c r="M35" s="70" t="s">
        <v>337</v>
      </c>
      <c r="N35" s="70" t="s">
        <v>337</v>
      </c>
      <c r="O35" s="69" t="s">
        <v>337</v>
      </c>
      <c r="P35" s="70" t="s">
        <v>337</v>
      </c>
      <c r="Q35" s="70" t="s">
        <v>337</v>
      </c>
      <c r="R35" s="78" t="s">
        <v>337</v>
      </c>
      <c r="S35" s="70" t="s">
        <v>337</v>
      </c>
      <c r="T35" s="70" t="s">
        <v>337</v>
      </c>
      <c r="U35" s="70" t="s">
        <v>337</v>
      </c>
      <c r="V35" s="70" t="s">
        <v>337</v>
      </c>
      <c r="W35" s="69" t="s">
        <v>337</v>
      </c>
      <c r="X35" s="70" t="s">
        <v>337</v>
      </c>
      <c r="Y35" s="70" t="s">
        <v>337</v>
      </c>
      <c r="Z35" s="78" t="s">
        <v>337</v>
      </c>
      <c r="AA35" s="70" t="s">
        <v>337</v>
      </c>
      <c r="AB35" s="70" t="s">
        <v>337</v>
      </c>
      <c r="AC35" s="70" t="s">
        <v>337</v>
      </c>
      <c r="AD35" s="70" t="s">
        <v>337</v>
      </c>
      <c r="AE35" s="69" t="s">
        <v>337</v>
      </c>
      <c r="AF35" s="70" t="s">
        <v>337</v>
      </c>
      <c r="AG35" s="70" t="s">
        <v>337</v>
      </c>
      <c r="AH35" s="78" t="s">
        <v>337</v>
      </c>
      <c r="AI35" s="70" t="s">
        <v>337</v>
      </c>
      <c r="AJ35" s="70" t="s">
        <v>337</v>
      </c>
      <c r="AK35" s="70" t="s">
        <v>337</v>
      </c>
      <c r="AL35" s="70" t="s">
        <v>337</v>
      </c>
      <c r="AM35" s="69" t="s">
        <v>337</v>
      </c>
      <c r="AN35" s="70" t="s">
        <v>337</v>
      </c>
      <c r="AO35" s="70" t="s">
        <v>337</v>
      </c>
      <c r="AP35" s="78" t="s">
        <v>337</v>
      </c>
      <c r="AQ35" s="70" t="s">
        <v>337</v>
      </c>
      <c r="AR35" s="70" t="s">
        <v>337</v>
      </c>
      <c r="AS35" s="70" t="s">
        <v>337</v>
      </c>
      <c r="AT35" s="78" t="s">
        <v>337</v>
      </c>
      <c r="AU35" s="70">
        <f t="shared" ref="AU35:AV37" si="14">AU7+AU21</f>
        <v>78649</v>
      </c>
      <c r="AV35" s="70">
        <f t="shared" si="14"/>
        <v>82834.8</v>
      </c>
      <c r="AW35" s="70">
        <f t="shared" ref="AW35:AX35" si="15">AW7+AW21</f>
        <v>87078</v>
      </c>
      <c r="AX35" s="70">
        <f t="shared" si="15"/>
        <v>90366.2</v>
      </c>
    </row>
    <row r="36" spans="1:50" s="19" customFormat="1" ht="11.25">
      <c r="A36" s="28" t="s">
        <v>763</v>
      </c>
      <c r="B36" s="28" t="s">
        <v>675</v>
      </c>
      <c r="C36" s="69" t="s">
        <v>337</v>
      </c>
      <c r="D36" s="70" t="s">
        <v>337</v>
      </c>
      <c r="E36" s="70" t="s">
        <v>337</v>
      </c>
      <c r="F36" s="78" t="s">
        <v>337</v>
      </c>
      <c r="G36" s="69" t="s">
        <v>337</v>
      </c>
      <c r="H36" s="70" t="s">
        <v>337</v>
      </c>
      <c r="I36" s="70" t="s">
        <v>337</v>
      </c>
      <c r="J36" s="78" t="s">
        <v>337</v>
      </c>
      <c r="K36" s="70" t="s">
        <v>337</v>
      </c>
      <c r="L36" s="70" t="s">
        <v>337</v>
      </c>
      <c r="M36" s="70" t="s">
        <v>337</v>
      </c>
      <c r="N36" s="70" t="s">
        <v>337</v>
      </c>
      <c r="O36" s="69" t="s">
        <v>337</v>
      </c>
      <c r="P36" s="70" t="s">
        <v>337</v>
      </c>
      <c r="Q36" s="70" t="s">
        <v>337</v>
      </c>
      <c r="R36" s="78" t="s">
        <v>337</v>
      </c>
      <c r="S36" s="70" t="s">
        <v>337</v>
      </c>
      <c r="T36" s="70" t="s">
        <v>337</v>
      </c>
      <c r="U36" s="70" t="s">
        <v>337</v>
      </c>
      <c r="V36" s="70" t="s">
        <v>337</v>
      </c>
      <c r="W36" s="69" t="s">
        <v>337</v>
      </c>
      <c r="X36" s="70" t="s">
        <v>337</v>
      </c>
      <c r="Y36" s="70" t="s">
        <v>337</v>
      </c>
      <c r="Z36" s="78" t="s">
        <v>337</v>
      </c>
      <c r="AA36" s="70" t="s">
        <v>337</v>
      </c>
      <c r="AB36" s="70" t="s">
        <v>337</v>
      </c>
      <c r="AC36" s="70" t="s">
        <v>337</v>
      </c>
      <c r="AD36" s="70" t="s">
        <v>337</v>
      </c>
      <c r="AE36" s="69" t="s">
        <v>337</v>
      </c>
      <c r="AF36" s="70" t="s">
        <v>337</v>
      </c>
      <c r="AG36" s="70" t="s">
        <v>337</v>
      </c>
      <c r="AH36" s="78" t="s">
        <v>337</v>
      </c>
      <c r="AI36" s="70" t="s">
        <v>337</v>
      </c>
      <c r="AJ36" s="70" t="s">
        <v>337</v>
      </c>
      <c r="AK36" s="70" t="s">
        <v>337</v>
      </c>
      <c r="AL36" s="70" t="s">
        <v>337</v>
      </c>
      <c r="AM36" s="69" t="s">
        <v>337</v>
      </c>
      <c r="AN36" s="70" t="s">
        <v>337</v>
      </c>
      <c r="AO36" s="70" t="s">
        <v>337</v>
      </c>
      <c r="AP36" s="78" t="s">
        <v>337</v>
      </c>
      <c r="AQ36" s="70" t="s">
        <v>337</v>
      </c>
      <c r="AR36" s="70" t="s">
        <v>337</v>
      </c>
      <c r="AS36" s="70" t="s">
        <v>337</v>
      </c>
      <c r="AT36" s="78" t="s">
        <v>337</v>
      </c>
      <c r="AU36" s="70">
        <f t="shared" si="14"/>
        <v>9977.0999999999985</v>
      </c>
      <c r="AV36" s="70">
        <f t="shared" si="14"/>
        <v>10194.599999999999</v>
      </c>
      <c r="AW36" s="70">
        <f t="shared" ref="AW36:AX36" si="16">AW8+AW22</f>
        <v>10475.200000000001</v>
      </c>
      <c r="AX36" s="70">
        <f t="shared" si="16"/>
        <v>10955.6</v>
      </c>
    </row>
    <row r="37" spans="1:50" s="19" customFormat="1" ht="11.25">
      <c r="A37" s="28" t="s">
        <v>764</v>
      </c>
      <c r="B37" s="28" t="s">
        <v>676</v>
      </c>
      <c r="C37" s="69" t="s">
        <v>337</v>
      </c>
      <c r="D37" s="70" t="s">
        <v>337</v>
      </c>
      <c r="E37" s="70" t="s">
        <v>337</v>
      </c>
      <c r="F37" s="78" t="s">
        <v>337</v>
      </c>
      <c r="G37" s="69" t="s">
        <v>337</v>
      </c>
      <c r="H37" s="70" t="s">
        <v>337</v>
      </c>
      <c r="I37" s="70" t="s">
        <v>337</v>
      </c>
      <c r="J37" s="78" t="s">
        <v>337</v>
      </c>
      <c r="K37" s="70" t="s">
        <v>337</v>
      </c>
      <c r="L37" s="70" t="s">
        <v>337</v>
      </c>
      <c r="M37" s="70" t="s">
        <v>337</v>
      </c>
      <c r="N37" s="70" t="s">
        <v>337</v>
      </c>
      <c r="O37" s="69" t="s">
        <v>337</v>
      </c>
      <c r="P37" s="70" t="s">
        <v>337</v>
      </c>
      <c r="Q37" s="70" t="s">
        <v>337</v>
      </c>
      <c r="R37" s="78" t="s">
        <v>337</v>
      </c>
      <c r="S37" s="70" t="s">
        <v>337</v>
      </c>
      <c r="T37" s="70" t="s">
        <v>337</v>
      </c>
      <c r="U37" s="70" t="s">
        <v>337</v>
      </c>
      <c r="V37" s="70" t="s">
        <v>337</v>
      </c>
      <c r="W37" s="69" t="s">
        <v>337</v>
      </c>
      <c r="X37" s="70" t="s">
        <v>337</v>
      </c>
      <c r="Y37" s="70" t="s">
        <v>337</v>
      </c>
      <c r="Z37" s="78" t="s">
        <v>337</v>
      </c>
      <c r="AA37" s="70" t="s">
        <v>337</v>
      </c>
      <c r="AB37" s="70" t="s">
        <v>337</v>
      </c>
      <c r="AC37" s="70" t="s">
        <v>337</v>
      </c>
      <c r="AD37" s="70" t="s">
        <v>337</v>
      </c>
      <c r="AE37" s="69" t="s">
        <v>337</v>
      </c>
      <c r="AF37" s="70" t="s">
        <v>337</v>
      </c>
      <c r="AG37" s="70" t="s">
        <v>337</v>
      </c>
      <c r="AH37" s="78" t="s">
        <v>337</v>
      </c>
      <c r="AI37" s="70" t="s">
        <v>337</v>
      </c>
      <c r="AJ37" s="70" t="s">
        <v>337</v>
      </c>
      <c r="AK37" s="70" t="s">
        <v>337</v>
      </c>
      <c r="AL37" s="70" t="s">
        <v>337</v>
      </c>
      <c r="AM37" s="69" t="s">
        <v>337</v>
      </c>
      <c r="AN37" s="70" t="s">
        <v>337</v>
      </c>
      <c r="AO37" s="70" t="s">
        <v>337</v>
      </c>
      <c r="AP37" s="78" t="s">
        <v>337</v>
      </c>
      <c r="AQ37" s="70" t="s">
        <v>337</v>
      </c>
      <c r="AR37" s="70" t="s">
        <v>337</v>
      </c>
      <c r="AS37" s="70" t="s">
        <v>337</v>
      </c>
      <c r="AT37" s="78" t="s">
        <v>337</v>
      </c>
      <c r="AU37" s="30">
        <f t="shared" si="14"/>
        <v>2741.1</v>
      </c>
      <c r="AV37" s="30">
        <f t="shared" si="14"/>
        <v>2872.9</v>
      </c>
      <c r="AW37" s="30">
        <f t="shared" ref="AW37:AX37" si="17">AW9+AW23</f>
        <v>2845.6000000000004</v>
      </c>
      <c r="AX37" s="30">
        <f t="shared" si="17"/>
        <v>2905</v>
      </c>
    </row>
    <row r="38" spans="1:50" s="19" customFormat="1" ht="11.25">
      <c r="A38" s="32" t="s">
        <v>677</v>
      </c>
      <c r="B38" s="32" t="s">
        <v>678</v>
      </c>
      <c r="C38" s="69" t="s">
        <v>337</v>
      </c>
      <c r="D38" s="70" t="s">
        <v>337</v>
      </c>
      <c r="E38" s="70" t="s">
        <v>337</v>
      </c>
      <c r="F38" s="78" t="s">
        <v>337</v>
      </c>
      <c r="G38" s="69" t="s">
        <v>337</v>
      </c>
      <c r="H38" s="70" t="s">
        <v>337</v>
      </c>
      <c r="I38" s="70" t="s">
        <v>337</v>
      </c>
      <c r="J38" s="78" t="s">
        <v>337</v>
      </c>
      <c r="K38" s="70" t="s">
        <v>337</v>
      </c>
      <c r="L38" s="70" t="s">
        <v>337</v>
      </c>
      <c r="M38" s="70" t="s">
        <v>337</v>
      </c>
      <c r="N38" s="70" t="s">
        <v>337</v>
      </c>
      <c r="O38" s="69" t="s">
        <v>337</v>
      </c>
      <c r="P38" s="70" t="s">
        <v>337</v>
      </c>
      <c r="Q38" s="70" t="s">
        <v>337</v>
      </c>
      <c r="R38" s="78" t="s">
        <v>337</v>
      </c>
      <c r="S38" s="70" t="s">
        <v>337</v>
      </c>
      <c r="T38" s="70" t="s">
        <v>337</v>
      </c>
      <c r="U38" s="70" t="s">
        <v>337</v>
      </c>
      <c r="V38" s="70" t="s">
        <v>337</v>
      </c>
      <c r="W38" s="69" t="s">
        <v>337</v>
      </c>
      <c r="X38" s="70" t="s">
        <v>337</v>
      </c>
      <c r="Y38" s="70" t="s">
        <v>337</v>
      </c>
      <c r="Z38" s="78" t="s">
        <v>337</v>
      </c>
      <c r="AA38" s="70" t="s">
        <v>337</v>
      </c>
      <c r="AB38" s="70" t="s">
        <v>337</v>
      </c>
      <c r="AC38" s="70" t="s">
        <v>337</v>
      </c>
      <c r="AD38" s="70" t="s">
        <v>337</v>
      </c>
      <c r="AE38" s="69" t="s">
        <v>337</v>
      </c>
      <c r="AF38" s="70" t="s">
        <v>337</v>
      </c>
      <c r="AG38" s="70" t="s">
        <v>337</v>
      </c>
      <c r="AH38" s="78" t="s">
        <v>337</v>
      </c>
      <c r="AI38" s="70" t="s">
        <v>337</v>
      </c>
      <c r="AJ38" s="70" t="s">
        <v>337</v>
      </c>
      <c r="AK38" s="70" t="s">
        <v>337</v>
      </c>
      <c r="AL38" s="70" t="s">
        <v>337</v>
      </c>
      <c r="AM38" s="69" t="s">
        <v>337</v>
      </c>
      <c r="AN38" s="70" t="s">
        <v>337</v>
      </c>
      <c r="AO38" s="70" t="s">
        <v>337</v>
      </c>
      <c r="AP38" s="78" t="s">
        <v>337</v>
      </c>
      <c r="AQ38" s="70" t="s">
        <v>337</v>
      </c>
      <c r="AR38" s="70" t="s">
        <v>337</v>
      </c>
      <c r="AS38" s="70" t="s">
        <v>337</v>
      </c>
      <c r="AT38" s="78" t="s">
        <v>337</v>
      </c>
      <c r="AU38" s="30">
        <f>SUM(AU39:AU41)</f>
        <v>-2086.1999999999998</v>
      </c>
      <c r="AV38" s="30">
        <f>SUM(AV39:AV41)</f>
        <v>-2236</v>
      </c>
      <c r="AW38" s="30">
        <f>SUM(AW39:AW41)</f>
        <v>-2203.8999999999996</v>
      </c>
      <c r="AX38" s="30">
        <f>SUM(AX39:AX41)</f>
        <v>-2270</v>
      </c>
    </row>
    <row r="39" spans="1:50" s="19" customFormat="1" ht="11.25">
      <c r="A39" s="28" t="s">
        <v>765</v>
      </c>
      <c r="B39" s="28" t="s">
        <v>679</v>
      </c>
      <c r="C39" s="69" t="s">
        <v>337</v>
      </c>
      <c r="D39" s="70" t="s">
        <v>337</v>
      </c>
      <c r="E39" s="70" t="s">
        <v>337</v>
      </c>
      <c r="F39" s="78" t="s">
        <v>337</v>
      </c>
      <c r="G39" s="69" t="s">
        <v>337</v>
      </c>
      <c r="H39" s="70" t="s">
        <v>337</v>
      </c>
      <c r="I39" s="70" t="s">
        <v>337</v>
      </c>
      <c r="J39" s="78" t="s">
        <v>337</v>
      </c>
      <c r="K39" s="70" t="s">
        <v>337</v>
      </c>
      <c r="L39" s="70" t="s">
        <v>337</v>
      </c>
      <c r="M39" s="70" t="s">
        <v>337</v>
      </c>
      <c r="N39" s="70" t="s">
        <v>337</v>
      </c>
      <c r="O39" s="69" t="s">
        <v>337</v>
      </c>
      <c r="P39" s="70" t="s">
        <v>337</v>
      </c>
      <c r="Q39" s="70" t="s">
        <v>337</v>
      </c>
      <c r="R39" s="78" t="s">
        <v>337</v>
      </c>
      <c r="S39" s="70" t="s">
        <v>337</v>
      </c>
      <c r="T39" s="70" t="s">
        <v>337</v>
      </c>
      <c r="U39" s="70" t="s">
        <v>337</v>
      </c>
      <c r="V39" s="70" t="s">
        <v>337</v>
      </c>
      <c r="W39" s="69" t="s">
        <v>337</v>
      </c>
      <c r="X39" s="70" t="s">
        <v>337</v>
      </c>
      <c r="Y39" s="70" t="s">
        <v>337</v>
      </c>
      <c r="Z39" s="78" t="s">
        <v>337</v>
      </c>
      <c r="AA39" s="70" t="s">
        <v>337</v>
      </c>
      <c r="AB39" s="70" t="s">
        <v>337</v>
      </c>
      <c r="AC39" s="70" t="s">
        <v>337</v>
      </c>
      <c r="AD39" s="70" t="s">
        <v>337</v>
      </c>
      <c r="AE39" s="69" t="s">
        <v>337</v>
      </c>
      <c r="AF39" s="70" t="s">
        <v>337</v>
      </c>
      <c r="AG39" s="70" t="s">
        <v>337</v>
      </c>
      <c r="AH39" s="78" t="s">
        <v>337</v>
      </c>
      <c r="AI39" s="70" t="s">
        <v>337</v>
      </c>
      <c r="AJ39" s="70" t="s">
        <v>337</v>
      </c>
      <c r="AK39" s="70" t="s">
        <v>337</v>
      </c>
      <c r="AL39" s="70" t="s">
        <v>337</v>
      </c>
      <c r="AM39" s="69" t="s">
        <v>337</v>
      </c>
      <c r="AN39" s="70" t="s">
        <v>337</v>
      </c>
      <c r="AO39" s="70" t="s">
        <v>337</v>
      </c>
      <c r="AP39" s="78" t="s">
        <v>337</v>
      </c>
      <c r="AQ39" s="70" t="s">
        <v>337</v>
      </c>
      <c r="AR39" s="70" t="s">
        <v>337</v>
      </c>
      <c r="AS39" s="70" t="s">
        <v>337</v>
      </c>
      <c r="AT39" s="78" t="s">
        <v>337</v>
      </c>
      <c r="AU39" s="30">
        <f t="shared" ref="AU39:AV41" si="18">AU11+AU25</f>
        <v>-110.6</v>
      </c>
      <c r="AV39" s="30">
        <f t="shared" si="18"/>
        <v>-134.10000000000002</v>
      </c>
      <c r="AW39" s="30">
        <f t="shared" ref="AW39:AX39" si="19">AW11+AW25</f>
        <v>-127</v>
      </c>
      <c r="AX39" s="30">
        <f t="shared" si="19"/>
        <v>-114.2</v>
      </c>
    </row>
    <row r="40" spans="1:50" s="19" customFormat="1" ht="11.25">
      <c r="A40" s="28" t="s">
        <v>766</v>
      </c>
      <c r="B40" s="28" t="s">
        <v>680</v>
      </c>
      <c r="C40" s="69" t="s">
        <v>337</v>
      </c>
      <c r="D40" s="70" t="s">
        <v>337</v>
      </c>
      <c r="E40" s="70" t="s">
        <v>337</v>
      </c>
      <c r="F40" s="78" t="s">
        <v>337</v>
      </c>
      <c r="G40" s="69" t="s">
        <v>337</v>
      </c>
      <c r="H40" s="70" t="s">
        <v>337</v>
      </c>
      <c r="I40" s="70" t="s">
        <v>337</v>
      </c>
      <c r="J40" s="78" t="s">
        <v>337</v>
      </c>
      <c r="K40" s="70" t="s">
        <v>337</v>
      </c>
      <c r="L40" s="70" t="s">
        <v>337</v>
      </c>
      <c r="M40" s="70" t="s">
        <v>337</v>
      </c>
      <c r="N40" s="70" t="s">
        <v>337</v>
      </c>
      <c r="O40" s="69" t="s">
        <v>337</v>
      </c>
      <c r="P40" s="70" t="s">
        <v>337</v>
      </c>
      <c r="Q40" s="70" t="s">
        <v>337</v>
      </c>
      <c r="R40" s="78" t="s">
        <v>337</v>
      </c>
      <c r="S40" s="70" t="s">
        <v>337</v>
      </c>
      <c r="T40" s="70" t="s">
        <v>337</v>
      </c>
      <c r="U40" s="70" t="s">
        <v>337</v>
      </c>
      <c r="V40" s="70" t="s">
        <v>337</v>
      </c>
      <c r="W40" s="69" t="s">
        <v>337</v>
      </c>
      <c r="X40" s="70" t="s">
        <v>337</v>
      </c>
      <c r="Y40" s="70" t="s">
        <v>337</v>
      </c>
      <c r="Z40" s="78" t="s">
        <v>337</v>
      </c>
      <c r="AA40" s="70" t="s">
        <v>337</v>
      </c>
      <c r="AB40" s="70" t="s">
        <v>337</v>
      </c>
      <c r="AC40" s="70" t="s">
        <v>337</v>
      </c>
      <c r="AD40" s="70" t="s">
        <v>337</v>
      </c>
      <c r="AE40" s="69" t="s">
        <v>337</v>
      </c>
      <c r="AF40" s="70" t="s">
        <v>337</v>
      </c>
      <c r="AG40" s="70" t="s">
        <v>337</v>
      </c>
      <c r="AH40" s="78" t="s">
        <v>337</v>
      </c>
      <c r="AI40" s="70" t="s">
        <v>337</v>
      </c>
      <c r="AJ40" s="70" t="s">
        <v>337</v>
      </c>
      <c r="AK40" s="70" t="s">
        <v>337</v>
      </c>
      <c r="AL40" s="70" t="s">
        <v>337</v>
      </c>
      <c r="AM40" s="69" t="s">
        <v>337</v>
      </c>
      <c r="AN40" s="70" t="s">
        <v>337</v>
      </c>
      <c r="AO40" s="70" t="s">
        <v>337</v>
      </c>
      <c r="AP40" s="78" t="s">
        <v>337</v>
      </c>
      <c r="AQ40" s="70" t="s">
        <v>337</v>
      </c>
      <c r="AR40" s="70" t="s">
        <v>337</v>
      </c>
      <c r="AS40" s="70" t="s">
        <v>337</v>
      </c>
      <c r="AT40" s="78" t="s">
        <v>337</v>
      </c>
      <c r="AU40" s="30">
        <f t="shared" si="18"/>
        <v>-343.5</v>
      </c>
      <c r="AV40" s="30">
        <f t="shared" si="18"/>
        <v>-383.59999999999997</v>
      </c>
      <c r="AW40" s="30">
        <f t="shared" ref="AW40:AX40" si="20">AW12+AW26</f>
        <v>-396.2</v>
      </c>
      <c r="AX40" s="30">
        <f t="shared" si="20"/>
        <v>-424.8</v>
      </c>
    </row>
    <row r="41" spans="1:50" s="19" customFormat="1" ht="11.25">
      <c r="A41" s="28" t="s">
        <v>767</v>
      </c>
      <c r="B41" s="28" t="s">
        <v>681</v>
      </c>
      <c r="C41" s="69" t="s">
        <v>337</v>
      </c>
      <c r="D41" s="70" t="s">
        <v>337</v>
      </c>
      <c r="E41" s="70" t="s">
        <v>337</v>
      </c>
      <c r="F41" s="78" t="s">
        <v>337</v>
      </c>
      <c r="G41" s="69" t="s">
        <v>337</v>
      </c>
      <c r="H41" s="70" t="s">
        <v>337</v>
      </c>
      <c r="I41" s="70" t="s">
        <v>337</v>
      </c>
      <c r="J41" s="78" t="s">
        <v>337</v>
      </c>
      <c r="K41" s="70" t="s">
        <v>337</v>
      </c>
      <c r="L41" s="70" t="s">
        <v>337</v>
      </c>
      <c r="M41" s="70" t="s">
        <v>337</v>
      </c>
      <c r="N41" s="70" t="s">
        <v>337</v>
      </c>
      <c r="O41" s="69" t="s">
        <v>337</v>
      </c>
      <c r="P41" s="70" t="s">
        <v>337</v>
      </c>
      <c r="Q41" s="70" t="s">
        <v>337</v>
      </c>
      <c r="R41" s="78" t="s">
        <v>337</v>
      </c>
      <c r="S41" s="70" t="s">
        <v>337</v>
      </c>
      <c r="T41" s="70" t="s">
        <v>337</v>
      </c>
      <c r="U41" s="70" t="s">
        <v>337</v>
      </c>
      <c r="V41" s="70" t="s">
        <v>337</v>
      </c>
      <c r="W41" s="69" t="s">
        <v>337</v>
      </c>
      <c r="X41" s="70" t="s">
        <v>337</v>
      </c>
      <c r="Y41" s="70" t="s">
        <v>337</v>
      </c>
      <c r="Z41" s="78" t="s">
        <v>337</v>
      </c>
      <c r="AA41" s="70" t="s">
        <v>337</v>
      </c>
      <c r="AB41" s="70" t="s">
        <v>337</v>
      </c>
      <c r="AC41" s="70" t="s">
        <v>337</v>
      </c>
      <c r="AD41" s="70" t="s">
        <v>337</v>
      </c>
      <c r="AE41" s="69" t="s">
        <v>337</v>
      </c>
      <c r="AF41" s="70" t="s">
        <v>337</v>
      </c>
      <c r="AG41" s="70" t="s">
        <v>337</v>
      </c>
      <c r="AH41" s="78" t="s">
        <v>337</v>
      </c>
      <c r="AI41" s="70" t="s">
        <v>337</v>
      </c>
      <c r="AJ41" s="70" t="s">
        <v>337</v>
      </c>
      <c r="AK41" s="70" t="s">
        <v>337</v>
      </c>
      <c r="AL41" s="70" t="s">
        <v>337</v>
      </c>
      <c r="AM41" s="69" t="s">
        <v>337</v>
      </c>
      <c r="AN41" s="70" t="s">
        <v>337</v>
      </c>
      <c r="AO41" s="70" t="s">
        <v>337</v>
      </c>
      <c r="AP41" s="78" t="s">
        <v>337</v>
      </c>
      <c r="AQ41" s="70" t="s">
        <v>337</v>
      </c>
      <c r="AR41" s="70" t="s">
        <v>337</v>
      </c>
      <c r="AS41" s="70" t="s">
        <v>337</v>
      </c>
      <c r="AT41" s="78" t="s">
        <v>337</v>
      </c>
      <c r="AU41" s="30">
        <f t="shared" si="18"/>
        <v>-1632.1</v>
      </c>
      <c r="AV41" s="30">
        <f t="shared" si="18"/>
        <v>-1718.3</v>
      </c>
      <c r="AW41" s="30">
        <f t="shared" ref="AW41:AX41" si="21">AW13+AW27</f>
        <v>-1680.6999999999998</v>
      </c>
      <c r="AX41" s="30">
        <f t="shared" si="21"/>
        <v>-1731</v>
      </c>
    </row>
    <row r="42" spans="1:50" s="19" customFormat="1" ht="11.25">
      <c r="A42" s="32" t="s">
        <v>682</v>
      </c>
      <c r="B42" s="32" t="s">
        <v>683</v>
      </c>
      <c r="C42" s="69" t="s">
        <v>337</v>
      </c>
      <c r="D42" s="70" t="s">
        <v>337</v>
      </c>
      <c r="E42" s="70" t="s">
        <v>337</v>
      </c>
      <c r="F42" s="78" t="s">
        <v>337</v>
      </c>
      <c r="G42" s="69" t="s">
        <v>337</v>
      </c>
      <c r="H42" s="70" t="s">
        <v>337</v>
      </c>
      <c r="I42" s="70" t="s">
        <v>337</v>
      </c>
      <c r="J42" s="78" t="s">
        <v>337</v>
      </c>
      <c r="K42" s="70" t="s">
        <v>337</v>
      </c>
      <c r="L42" s="70" t="s">
        <v>337</v>
      </c>
      <c r="M42" s="70" t="s">
        <v>337</v>
      </c>
      <c r="N42" s="70" t="s">
        <v>337</v>
      </c>
      <c r="O42" s="69" t="s">
        <v>337</v>
      </c>
      <c r="P42" s="70" t="s">
        <v>337</v>
      </c>
      <c r="Q42" s="70" t="s">
        <v>337</v>
      </c>
      <c r="R42" s="78" t="s">
        <v>337</v>
      </c>
      <c r="S42" s="70" t="s">
        <v>337</v>
      </c>
      <c r="T42" s="70" t="s">
        <v>337</v>
      </c>
      <c r="U42" s="70" t="s">
        <v>337</v>
      </c>
      <c r="V42" s="70" t="s">
        <v>337</v>
      </c>
      <c r="W42" s="69" t="s">
        <v>337</v>
      </c>
      <c r="X42" s="70" t="s">
        <v>337</v>
      </c>
      <c r="Y42" s="70" t="s">
        <v>337</v>
      </c>
      <c r="Z42" s="78" t="s">
        <v>337</v>
      </c>
      <c r="AA42" s="70" t="s">
        <v>337</v>
      </c>
      <c r="AB42" s="70" t="s">
        <v>337</v>
      </c>
      <c r="AC42" s="70" t="s">
        <v>337</v>
      </c>
      <c r="AD42" s="70" t="s">
        <v>337</v>
      </c>
      <c r="AE42" s="69" t="s">
        <v>337</v>
      </c>
      <c r="AF42" s="70" t="s">
        <v>337</v>
      </c>
      <c r="AG42" s="70" t="s">
        <v>337</v>
      </c>
      <c r="AH42" s="78" t="s">
        <v>337</v>
      </c>
      <c r="AI42" s="70" t="s">
        <v>337</v>
      </c>
      <c r="AJ42" s="70" t="s">
        <v>337</v>
      </c>
      <c r="AK42" s="70" t="s">
        <v>337</v>
      </c>
      <c r="AL42" s="70" t="s">
        <v>337</v>
      </c>
      <c r="AM42" s="69" t="s">
        <v>337</v>
      </c>
      <c r="AN42" s="70" t="s">
        <v>337</v>
      </c>
      <c r="AO42" s="70" t="s">
        <v>337</v>
      </c>
      <c r="AP42" s="78" t="s">
        <v>337</v>
      </c>
      <c r="AQ42" s="70" t="s">
        <v>337</v>
      </c>
      <c r="AR42" s="70" t="s">
        <v>337</v>
      </c>
      <c r="AS42" s="70" t="s">
        <v>337</v>
      </c>
      <c r="AT42" s="78" t="s">
        <v>337</v>
      </c>
      <c r="AU42" s="30">
        <f>SUM(AU43:AU45)</f>
        <v>89281</v>
      </c>
      <c r="AV42" s="30">
        <f>SUM(AV43:AV45)</f>
        <v>93666.300000000017</v>
      </c>
      <c r="AW42" s="30">
        <f>SUM(AW43:AW45)</f>
        <v>98194.9</v>
      </c>
      <c r="AX42" s="30">
        <f>SUM(AX43:AX45)</f>
        <v>101956.8</v>
      </c>
    </row>
    <row r="43" spans="1:50" s="19" customFormat="1" ht="11.25">
      <c r="A43" s="28" t="s">
        <v>762</v>
      </c>
      <c r="B43" s="28" t="s">
        <v>674</v>
      </c>
      <c r="C43" s="69" t="s">
        <v>337</v>
      </c>
      <c r="D43" s="70" t="s">
        <v>337</v>
      </c>
      <c r="E43" s="70" t="s">
        <v>337</v>
      </c>
      <c r="F43" s="78" t="s">
        <v>337</v>
      </c>
      <c r="G43" s="69" t="s">
        <v>337</v>
      </c>
      <c r="H43" s="70" t="s">
        <v>337</v>
      </c>
      <c r="I43" s="70" t="s">
        <v>337</v>
      </c>
      <c r="J43" s="78" t="s">
        <v>337</v>
      </c>
      <c r="K43" s="70" t="s">
        <v>337</v>
      </c>
      <c r="L43" s="70" t="s">
        <v>337</v>
      </c>
      <c r="M43" s="70" t="s">
        <v>337</v>
      </c>
      <c r="N43" s="70" t="s">
        <v>337</v>
      </c>
      <c r="O43" s="69" t="s">
        <v>337</v>
      </c>
      <c r="P43" s="70" t="s">
        <v>337</v>
      </c>
      <c r="Q43" s="70" t="s">
        <v>337</v>
      </c>
      <c r="R43" s="78" t="s">
        <v>337</v>
      </c>
      <c r="S43" s="70" t="s">
        <v>337</v>
      </c>
      <c r="T43" s="70" t="s">
        <v>337</v>
      </c>
      <c r="U43" s="70" t="s">
        <v>337</v>
      </c>
      <c r="V43" s="70" t="s">
        <v>337</v>
      </c>
      <c r="W43" s="69" t="s">
        <v>337</v>
      </c>
      <c r="X43" s="70" t="s">
        <v>337</v>
      </c>
      <c r="Y43" s="70" t="s">
        <v>337</v>
      </c>
      <c r="Z43" s="78" t="s">
        <v>337</v>
      </c>
      <c r="AA43" s="70" t="s">
        <v>337</v>
      </c>
      <c r="AB43" s="70" t="s">
        <v>337</v>
      </c>
      <c r="AC43" s="70" t="s">
        <v>337</v>
      </c>
      <c r="AD43" s="70" t="s">
        <v>337</v>
      </c>
      <c r="AE43" s="69" t="s">
        <v>337</v>
      </c>
      <c r="AF43" s="70" t="s">
        <v>337</v>
      </c>
      <c r="AG43" s="70" t="s">
        <v>337</v>
      </c>
      <c r="AH43" s="78" t="s">
        <v>337</v>
      </c>
      <c r="AI43" s="70" t="s">
        <v>337</v>
      </c>
      <c r="AJ43" s="70" t="s">
        <v>337</v>
      </c>
      <c r="AK43" s="70" t="s">
        <v>337</v>
      </c>
      <c r="AL43" s="70" t="s">
        <v>337</v>
      </c>
      <c r="AM43" s="69" t="s">
        <v>337</v>
      </c>
      <c r="AN43" s="70" t="s">
        <v>337</v>
      </c>
      <c r="AO43" s="70" t="s">
        <v>337</v>
      </c>
      <c r="AP43" s="78" t="s">
        <v>337</v>
      </c>
      <c r="AQ43" s="70" t="s">
        <v>337</v>
      </c>
      <c r="AR43" s="70" t="s">
        <v>337</v>
      </c>
      <c r="AS43" s="70" t="s">
        <v>337</v>
      </c>
      <c r="AT43" s="78" t="s">
        <v>337</v>
      </c>
      <c r="AU43" s="30">
        <f t="shared" ref="AU43:AV45" si="22">AU15+AU29</f>
        <v>78538.399999999994</v>
      </c>
      <c r="AV43" s="30">
        <f t="shared" si="22"/>
        <v>82700.700000000012</v>
      </c>
      <c r="AW43" s="30">
        <f t="shared" ref="AW43:AX43" si="23">AW15+AW29</f>
        <v>86951</v>
      </c>
      <c r="AX43" s="30">
        <f t="shared" si="23"/>
        <v>90252</v>
      </c>
    </row>
    <row r="44" spans="1:50" s="19" customFormat="1" ht="11.25">
      <c r="A44" s="28" t="s">
        <v>763</v>
      </c>
      <c r="B44" s="28" t="s">
        <v>675</v>
      </c>
      <c r="C44" s="69" t="s">
        <v>337</v>
      </c>
      <c r="D44" s="70" t="s">
        <v>337</v>
      </c>
      <c r="E44" s="70" t="s">
        <v>337</v>
      </c>
      <c r="F44" s="78" t="s">
        <v>337</v>
      </c>
      <c r="G44" s="69" t="s">
        <v>337</v>
      </c>
      <c r="H44" s="70" t="s">
        <v>337</v>
      </c>
      <c r="I44" s="70" t="s">
        <v>337</v>
      </c>
      <c r="J44" s="78" t="s">
        <v>337</v>
      </c>
      <c r="K44" s="70" t="s">
        <v>337</v>
      </c>
      <c r="L44" s="70" t="s">
        <v>337</v>
      </c>
      <c r="M44" s="70" t="s">
        <v>337</v>
      </c>
      <c r="N44" s="70" t="s">
        <v>337</v>
      </c>
      <c r="O44" s="69" t="s">
        <v>337</v>
      </c>
      <c r="P44" s="70" t="s">
        <v>337</v>
      </c>
      <c r="Q44" s="70" t="s">
        <v>337</v>
      </c>
      <c r="R44" s="78" t="s">
        <v>337</v>
      </c>
      <c r="S44" s="70" t="s">
        <v>337</v>
      </c>
      <c r="T44" s="70" t="s">
        <v>337</v>
      </c>
      <c r="U44" s="70" t="s">
        <v>337</v>
      </c>
      <c r="V44" s="70" t="s">
        <v>337</v>
      </c>
      <c r="W44" s="69" t="s">
        <v>337</v>
      </c>
      <c r="X44" s="70" t="s">
        <v>337</v>
      </c>
      <c r="Y44" s="70" t="s">
        <v>337</v>
      </c>
      <c r="Z44" s="78" t="s">
        <v>337</v>
      </c>
      <c r="AA44" s="70" t="s">
        <v>337</v>
      </c>
      <c r="AB44" s="70" t="s">
        <v>337</v>
      </c>
      <c r="AC44" s="70" t="s">
        <v>337</v>
      </c>
      <c r="AD44" s="70" t="s">
        <v>337</v>
      </c>
      <c r="AE44" s="69" t="s">
        <v>337</v>
      </c>
      <c r="AF44" s="70" t="s">
        <v>337</v>
      </c>
      <c r="AG44" s="70" t="s">
        <v>337</v>
      </c>
      <c r="AH44" s="78" t="s">
        <v>337</v>
      </c>
      <c r="AI44" s="70" t="s">
        <v>337</v>
      </c>
      <c r="AJ44" s="70" t="s">
        <v>337</v>
      </c>
      <c r="AK44" s="70" t="s">
        <v>337</v>
      </c>
      <c r="AL44" s="70" t="s">
        <v>337</v>
      </c>
      <c r="AM44" s="69" t="s">
        <v>337</v>
      </c>
      <c r="AN44" s="70" t="s">
        <v>337</v>
      </c>
      <c r="AO44" s="70" t="s">
        <v>337</v>
      </c>
      <c r="AP44" s="78" t="s">
        <v>337</v>
      </c>
      <c r="AQ44" s="70" t="s">
        <v>337</v>
      </c>
      <c r="AR44" s="70" t="s">
        <v>337</v>
      </c>
      <c r="AS44" s="70" t="s">
        <v>337</v>
      </c>
      <c r="AT44" s="78" t="s">
        <v>337</v>
      </c>
      <c r="AU44" s="30">
        <f t="shared" si="22"/>
        <v>9633.5999999999985</v>
      </c>
      <c r="AV44" s="30">
        <f t="shared" si="22"/>
        <v>9811</v>
      </c>
      <c r="AW44" s="30">
        <f t="shared" ref="AW44:AX44" si="24">AW16+AW30</f>
        <v>10079</v>
      </c>
      <c r="AX44" s="30">
        <f t="shared" si="24"/>
        <v>10530.8</v>
      </c>
    </row>
    <row r="45" spans="1:50" s="19" customFormat="1" ht="11.25">
      <c r="A45" s="28" t="s">
        <v>764</v>
      </c>
      <c r="B45" s="28" t="s">
        <v>676</v>
      </c>
      <c r="C45" s="69" t="s">
        <v>337</v>
      </c>
      <c r="D45" s="70" t="s">
        <v>337</v>
      </c>
      <c r="E45" s="70" t="s">
        <v>337</v>
      </c>
      <c r="F45" s="78" t="s">
        <v>337</v>
      </c>
      <c r="G45" s="69" t="s">
        <v>337</v>
      </c>
      <c r="H45" s="70" t="s">
        <v>337</v>
      </c>
      <c r="I45" s="70" t="s">
        <v>337</v>
      </c>
      <c r="J45" s="78" t="s">
        <v>337</v>
      </c>
      <c r="K45" s="70" t="s">
        <v>337</v>
      </c>
      <c r="L45" s="70" t="s">
        <v>337</v>
      </c>
      <c r="M45" s="70" t="s">
        <v>337</v>
      </c>
      <c r="N45" s="70" t="s">
        <v>337</v>
      </c>
      <c r="O45" s="69" t="s">
        <v>337</v>
      </c>
      <c r="P45" s="70" t="s">
        <v>337</v>
      </c>
      <c r="Q45" s="70" t="s">
        <v>337</v>
      </c>
      <c r="R45" s="78" t="s">
        <v>337</v>
      </c>
      <c r="S45" s="70" t="s">
        <v>337</v>
      </c>
      <c r="T45" s="70" t="s">
        <v>337</v>
      </c>
      <c r="U45" s="70" t="s">
        <v>337</v>
      </c>
      <c r="V45" s="70" t="s">
        <v>337</v>
      </c>
      <c r="W45" s="69" t="s">
        <v>337</v>
      </c>
      <c r="X45" s="70" t="s">
        <v>337</v>
      </c>
      <c r="Y45" s="70" t="s">
        <v>337</v>
      </c>
      <c r="Z45" s="78" t="s">
        <v>337</v>
      </c>
      <c r="AA45" s="70" t="s">
        <v>337</v>
      </c>
      <c r="AB45" s="70" t="s">
        <v>337</v>
      </c>
      <c r="AC45" s="70" t="s">
        <v>337</v>
      </c>
      <c r="AD45" s="70" t="s">
        <v>337</v>
      </c>
      <c r="AE45" s="69" t="s">
        <v>337</v>
      </c>
      <c r="AF45" s="70" t="s">
        <v>337</v>
      </c>
      <c r="AG45" s="70" t="s">
        <v>337</v>
      </c>
      <c r="AH45" s="78" t="s">
        <v>337</v>
      </c>
      <c r="AI45" s="70" t="s">
        <v>337</v>
      </c>
      <c r="AJ45" s="70" t="s">
        <v>337</v>
      </c>
      <c r="AK45" s="70" t="s">
        <v>337</v>
      </c>
      <c r="AL45" s="70" t="s">
        <v>337</v>
      </c>
      <c r="AM45" s="69" t="s">
        <v>337</v>
      </c>
      <c r="AN45" s="70" t="s">
        <v>337</v>
      </c>
      <c r="AO45" s="70" t="s">
        <v>337</v>
      </c>
      <c r="AP45" s="78" t="s">
        <v>337</v>
      </c>
      <c r="AQ45" s="70" t="s">
        <v>337</v>
      </c>
      <c r="AR45" s="70" t="s">
        <v>337</v>
      </c>
      <c r="AS45" s="70" t="s">
        <v>337</v>
      </c>
      <c r="AT45" s="78" t="s">
        <v>337</v>
      </c>
      <c r="AU45" s="30">
        <f t="shared" si="22"/>
        <v>1109</v>
      </c>
      <c r="AV45" s="30">
        <f t="shared" si="22"/>
        <v>1154.6000000000001</v>
      </c>
      <c r="AW45" s="30">
        <f t="shared" ref="AW45:AX45" si="25">AW17+AW31</f>
        <v>1164.9000000000001</v>
      </c>
      <c r="AX45" s="30">
        <f t="shared" si="25"/>
        <v>1174</v>
      </c>
    </row>
    <row r="46" spans="1:50" s="19" customFormat="1" ht="11.25">
      <c r="A46" s="353"/>
      <c r="B46" s="353"/>
      <c r="C46" s="29"/>
      <c r="D46" s="30"/>
      <c r="E46" s="30"/>
      <c r="F46" s="31"/>
      <c r="G46" s="29"/>
      <c r="H46" s="30"/>
      <c r="I46" s="30"/>
      <c r="J46" s="31"/>
      <c r="K46" s="30"/>
      <c r="L46" s="30"/>
      <c r="M46" s="30"/>
      <c r="N46" s="30"/>
      <c r="O46" s="29"/>
      <c r="P46" s="30"/>
      <c r="Q46" s="30"/>
      <c r="R46" s="31"/>
      <c r="S46" s="30"/>
      <c r="T46" s="30"/>
      <c r="U46" s="30"/>
      <c r="V46" s="30"/>
      <c r="W46" s="29"/>
      <c r="X46" s="30"/>
      <c r="Y46" s="30"/>
      <c r="Z46" s="31"/>
      <c r="AA46" s="30"/>
      <c r="AB46" s="30"/>
      <c r="AC46" s="30"/>
      <c r="AD46" s="30"/>
      <c r="AE46" s="29"/>
      <c r="AF46" s="30"/>
      <c r="AG46" s="30"/>
      <c r="AH46" s="31"/>
      <c r="AI46" s="30"/>
      <c r="AJ46" s="30"/>
      <c r="AK46" s="30"/>
      <c r="AL46" s="30"/>
      <c r="AM46" s="29"/>
      <c r="AN46" s="30"/>
      <c r="AO46" s="30"/>
      <c r="AP46" s="31"/>
      <c r="AQ46" s="30"/>
      <c r="AR46" s="30"/>
      <c r="AS46" s="30"/>
      <c r="AT46" s="31"/>
    </row>
    <row r="47" spans="1:50" s="271" customFormat="1" ht="11.25">
      <c r="A47" s="57" t="s">
        <v>768</v>
      </c>
      <c r="B47" s="57" t="s">
        <v>685</v>
      </c>
      <c r="C47" s="354" t="s">
        <v>337</v>
      </c>
      <c r="D47" s="355" t="s">
        <v>337</v>
      </c>
      <c r="E47" s="355" t="s">
        <v>337</v>
      </c>
      <c r="F47" s="356" t="s">
        <v>337</v>
      </c>
      <c r="G47" s="354" t="s">
        <v>337</v>
      </c>
      <c r="H47" s="355" t="s">
        <v>337</v>
      </c>
      <c r="I47" s="355" t="s">
        <v>337</v>
      </c>
      <c r="J47" s="356" t="s">
        <v>337</v>
      </c>
      <c r="K47" s="355" t="s">
        <v>337</v>
      </c>
      <c r="L47" s="355" t="s">
        <v>337</v>
      </c>
      <c r="M47" s="355" t="s">
        <v>337</v>
      </c>
      <c r="N47" s="355" t="s">
        <v>337</v>
      </c>
      <c r="O47" s="354" t="s">
        <v>337</v>
      </c>
      <c r="P47" s="355" t="s">
        <v>337</v>
      </c>
      <c r="Q47" s="355" t="s">
        <v>337</v>
      </c>
      <c r="R47" s="356" t="s">
        <v>337</v>
      </c>
      <c r="S47" s="355" t="s">
        <v>337</v>
      </c>
      <c r="T47" s="355" t="s">
        <v>337</v>
      </c>
      <c r="U47" s="355" t="s">
        <v>337</v>
      </c>
      <c r="V47" s="355" t="s">
        <v>337</v>
      </c>
      <c r="W47" s="354" t="s">
        <v>337</v>
      </c>
      <c r="X47" s="355" t="s">
        <v>337</v>
      </c>
      <c r="Y47" s="355" t="s">
        <v>337</v>
      </c>
      <c r="Z47" s="356" t="s">
        <v>337</v>
      </c>
      <c r="AA47" s="355" t="s">
        <v>337</v>
      </c>
      <c r="AB47" s="355" t="s">
        <v>337</v>
      </c>
      <c r="AC47" s="355" t="s">
        <v>337</v>
      </c>
      <c r="AD47" s="355" t="s">
        <v>337</v>
      </c>
      <c r="AE47" s="354" t="s">
        <v>337</v>
      </c>
      <c r="AF47" s="355" t="s">
        <v>337</v>
      </c>
      <c r="AG47" s="355" t="s">
        <v>337</v>
      </c>
      <c r="AH47" s="356" t="s">
        <v>337</v>
      </c>
      <c r="AI47" s="355" t="s">
        <v>337</v>
      </c>
      <c r="AJ47" s="355" t="s">
        <v>337</v>
      </c>
      <c r="AK47" s="355" t="s">
        <v>337</v>
      </c>
      <c r="AL47" s="355" t="s">
        <v>337</v>
      </c>
      <c r="AM47" s="354" t="s">
        <v>337</v>
      </c>
      <c r="AN47" s="355" t="s">
        <v>337</v>
      </c>
      <c r="AO47" s="355" t="s">
        <v>337</v>
      </c>
      <c r="AP47" s="356" t="s">
        <v>337</v>
      </c>
      <c r="AQ47" s="355" t="s">
        <v>337</v>
      </c>
      <c r="AR47" s="355" t="s">
        <v>337</v>
      </c>
      <c r="AS47" s="355" t="s">
        <v>337</v>
      </c>
      <c r="AT47" s="356" t="s">
        <v>337</v>
      </c>
      <c r="AU47" s="357">
        <f>AU35/AU34</f>
        <v>0.86080125033929011</v>
      </c>
      <c r="AV47" s="357">
        <f>AV35/AV34</f>
        <v>0.86374153696001044</v>
      </c>
      <c r="AW47" s="357">
        <f>AW35/AW34</f>
        <v>0.86732112336004008</v>
      </c>
      <c r="AX47" s="357">
        <f>AX35/AX34</f>
        <v>0.86701500957527233</v>
      </c>
    </row>
    <row r="48" spans="1:50" s="271" customFormat="1" ht="11.25">
      <c r="A48" s="57" t="s">
        <v>769</v>
      </c>
      <c r="B48" s="57" t="s">
        <v>686</v>
      </c>
      <c r="C48" s="354" t="s">
        <v>337</v>
      </c>
      <c r="D48" s="355" t="s">
        <v>337</v>
      </c>
      <c r="E48" s="355" t="s">
        <v>337</v>
      </c>
      <c r="F48" s="356" t="s">
        <v>337</v>
      </c>
      <c r="G48" s="354" t="s">
        <v>337</v>
      </c>
      <c r="H48" s="355" t="s">
        <v>337</v>
      </c>
      <c r="I48" s="355" t="s">
        <v>337</v>
      </c>
      <c r="J48" s="356" t="s">
        <v>337</v>
      </c>
      <c r="K48" s="355" t="s">
        <v>337</v>
      </c>
      <c r="L48" s="355" t="s">
        <v>337</v>
      </c>
      <c r="M48" s="355" t="s">
        <v>337</v>
      </c>
      <c r="N48" s="355" t="s">
        <v>337</v>
      </c>
      <c r="O48" s="354" t="s">
        <v>337</v>
      </c>
      <c r="P48" s="355" t="s">
        <v>337</v>
      </c>
      <c r="Q48" s="355" t="s">
        <v>337</v>
      </c>
      <c r="R48" s="356" t="s">
        <v>337</v>
      </c>
      <c r="S48" s="355" t="s">
        <v>337</v>
      </c>
      <c r="T48" s="355" t="s">
        <v>337</v>
      </c>
      <c r="U48" s="355" t="s">
        <v>337</v>
      </c>
      <c r="V48" s="355" t="s">
        <v>337</v>
      </c>
      <c r="W48" s="354" t="s">
        <v>337</v>
      </c>
      <c r="X48" s="355" t="s">
        <v>337</v>
      </c>
      <c r="Y48" s="355" t="s">
        <v>337</v>
      </c>
      <c r="Z48" s="356" t="s">
        <v>337</v>
      </c>
      <c r="AA48" s="355" t="s">
        <v>337</v>
      </c>
      <c r="AB48" s="355" t="s">
        <v>337</v>
      </c>
      <c r="AC48" s="355" t="s">
        <v>337</v>
      </c>
      <c r="AD48" s="355" t="s">
        <v>337</v>
      </c>
      <c r="AE48" s="354" t="s">
        <v>337</v>
      </c>
      <c r="AF48" s="355" t="s">
        <v>337</v>
      </c>
      <c r="AG48" s="355" t="s">
        <v>337</v>
      </c>
      <c r="AH48" s="356" t="s">
        <v>337</v>
      </c>
      <c r="AI48" s="355" t="s">
        <v>337</v>
      </c>
      <c r="AJ48" s="355" t="s">
        <v>337</v>
      </c>
      <c r="AK48" s="355" t="s">
        <v>337</v>
      </c>
      <c r="AL48" s="355" t="s">
        <v>337</v>
      </c>
      <c r="AM48" s="354" t="s">
        <v>337</v>
      </c>
      <c r="AN48" s="355" t="s">
        <v>337</v>
      </c>
      <c r="AO48" s="355" t="s">
        <v>337</v>
      </c>
      <c r="AP48" s="356" t="s">
        <v>337</v>
      </c>
      <c r="AQ48" s="355" t="s">
        <v>337</v>
      </c>
      <c r="AR48" s="355" t="s">
        <v>337</v>
      </c>
      <c r="AS48" s="355" t="s">
        <v>337</v>
      </c>
      <c r="AT48" s="356" t="s">
        <v>337</v>
      </c>
      <c r="AU48" s="357">
        <f>AU36/AU34</f>
        <v>0.10919783029358454</v>
      </c>
      <c r="AV48" s="357">
        <f>AV36/AV34</f>
        <v>0.10630193436445215</v>
      </c>
      <c r="AW48" s="357">
        <f>AW36/AW34</f>
        <v>0.10433590839731152</v>
      </c>
      <c r="AX48" s="357">
        <f>AX36/AX34</f>
        <v>0.1051130803209923</v>
      </c>
    </row>
    <row r="49" spans="1:50" s="271" customFormat="1" ht="11.25">
      <c r="A49" s="57" t="s">
        <v>770</v>
      </c>
      <c r="B49" s="57" t="s">
        <v>687</v>
      </c>
      <c r="C49" s="354" t="s">
        <v>337</v>
      </c>
      <c r="D49" s="355" t="s">
        <v>337</v>
      </c>
      <c r="E49" s="355" t="s">
        <v>337</v>
      </c>
      <c r="F49" s="356" t="s">
        <v>337</v>
      </c>
      <c r="G49" s="354" t="s">
        <v>337</v>
      </c>
      <c r="H49" s="355" t="s">
        <v>337</v>
      </c>
      <c r="I49" s="355" t="s">
        <v>337</v>
      </c>
      <c r="J49" s="356" t="s">
        <v>337</v>
      </c>
      <c r="K49" s="355" t="s">
        <v>337</v>
      </c>
      <c r="L49" s="355" t="s">
        <v>337</v>
      </c>
      <c r="M49" s="355" t="s">
        <v>337</v>
      </c>
      <c r="N49" s="355" t="s">
        <v>337</v>
      </c>
      <c r="O49" s="354" t="s">
        <v>337</v>
      </c>
      <c r="P49" s="355" t="s">
        <v>337</v>
      </c>
      <c r="Q49" s="355" t="s">
        <v>337</v>
      </c>
      <c r="R49" s="356" t="s">
        <v>337</v>
      </c>
      <c r="S49" s="355" t="s">
        <v>337</v>
      </c>
      <c r="T49" s="355" t="s">
        <v>337</v>
      </c>
      <c r="U49" s="355" t="s">
        <v>337</v>
      </c>
      <c r="V49" s="355" t="s">
        <v>337</v>
      </c>
      <c r="W49" s="354" t="s">
        <v>337</v>
      </c>
      <c r="X49" s="355" t="s">
        <v>337</v>
      </c>
      <c r="Y49" s="355" t="s">
        <v>337</v>
      </c>
      <c r="Z49" s="356" t="s">
        <v>337</v>
      </c>
      <c r="AA49" s="355" t="s">
        <v>337</v>
      </c>
      <c r="AB49" s="355" t="s">
        <v>337</v>
      </c>
      <c r="AC49" s="355" t="s">
        <v>337</v>
      </c>
      <c r="AD49" s="355" t="s">
        <v>337</v>
      </c>
      <c r="AE49" s="354" t="s">
        <v>337</v>
      </c>
      <c r="AF49" s="355" t="s">
        <v>337</v>
      </c>
      <c r="AG49" s="355" t="s">
        <v>337</v>
      </c>
      <c r="AH49" s="356" t="s">
        <v>337</v>
      </c>
      <c r="AI49" s="355" t="s">
        <v>337</v>
      </c>
      <c r="AJ49" s="355" t="s">
        <v>337</v>
      </c>
      <c r="AK49" s="355" t="s">
        <v>337</v>
      </c>
      <c r="AL49" s="355" t="s">
        <v>337</v>
      </c>
      <c r="AM49" s="354" t="s">
        <v>337</v>
      </c>
      <c r="AN49" s="355" t="s">
        <v>337</v>
      </c>
      <c r="AO49" s="355" t="s">
        <v>337</v>
      </c>
      <c r="AP49" s="356" t="s">
        <v>337</v>
      </c>
      <c r="AQ49" s="355" t="s">
        <v>337</v>
      </c>
      <c r="AR49" s="355" t="s">
        <v>337</v>
      </c>
      <c r="AS49" s="355" t="s">
        <v>337</v>
      </c>
      <c r="AT49" s="356" t="s">
        <v>337</v>
      </c>
      <c r="AU49" s="357">
        <f>AU37/AU34</f>
        <v>3.0000919367125178E-2</v>
      </c>
      <c r="AV49" s="357">
        <f>AV37/AV34</f>
        <v>2.9956528675537504E-2</v>
      </c>
      <c r="AW49" s="357">
        <f>AW37/AW34</f>
        <v>2.8342968242648321E-2</v>
      </c>
      <c r="AX49" s="357">
        <f>AX37/AX34</f>
        <v>2.7871910103735315E-2</v>
      </c>
    </row>
    <row r="50" spans="1:50" s="19" customFormat="1" ht="11.25">
      <c r="A50" s="353"/>
      <c r="B50" s="353"/>
      <c r="C50" s="350"/>
      <c r="F50" s="351"/>
      <c r="G50" s="350"/>
      <c r="J50" s="351"/>
      <c r="O50" s="350"/>
      <c r="R50" s="351"/>
      <c r="W50" s="350"/>
      <c r="Z50" s="351"/>
      <c r="AE50" s="350"/>
      <c r="AH50" s="351"/>
      <c r="AM50" s="350"/>
      <c r="AP50" s="351"/>
      <c r="AT50" s="351"/>
    </row>
    <row r="51" spans="1:50" s="271" customFormat="1" ht="11.25">
      <c r="A51" s="57" t="s">
        <v>771</v>
      </c>
      <c r="B51" s="57" t="s">
        <v>688</v>
      </c>
      <c r="C51" s="354" t="s">
        <v>337</v>
      </c>
      <c r="D51" s="355" t="s">
        <v>337</v>
      </c>
      <c r="E51" s="355" t="s">
        <v>337</v>
      </c>
      <c r="F51" s="356" t="s">
        <v>337</v>
      </c>
      <c r="G51" s="354" t="s">
        <v>337</v>
      </c>
      <c r="H51" s="355" t="s">
        <v>337</v>
      </c>
      <c r="I51" s="355" t="s">
        <v>337</v>
      </c>
      <c r="J51" s="356" t="s">
        <v>337</v>
      </c>
      <c r="K51" s="355" t="s">
        <v>337</v>
      </c>
      <c r="L51" s="355" t="s">
        <v>337</v>
      </c>
      <c r="M51" s="355" t="s">
        <v>337</v>
      </c>
      <c r="N51" s="355" t="s">
        <v>337</v>
      </c>
      <c r="O51" s="354" t="s">
        <v>337</v>
      </c>
      <c r="P51" s="355" t="s">
        <v>337</v>
      </c>
      <c r="Q51" s="355" t="s">
        <v>337</v>
      </c>
      <c r="R51" s="356" t="s">
        <v>337</v>
      </c>
      <c r="S51" s="355" t="s">
        <v>337</v>
      </c>
      <c r="T51" s="355" t="s">
        <v>337</v>
      </c>
      <c r="U51" s="355" t="s">
        <v>337</v>
      </c>
      <c r="V51" s="355" t="s">
        <v>337</v>
      </c>
      <c r="W51" s="354" t="s">
        <v>337</v>
      </c>
      <c r="X51" s="355" t="s">
        <v>337</v>
      </c>
      <c r="Y51" s="355" t="s">
        <v>337</v>
      </c>
      <c r="Z51" s="356" t="s">
        <v>337</v>
      </c>
      <c r="AA51" s="355" t="s">
        <v>337</v>
      </c>
      <c r="AB51" s="355" t="s">
        <v>337</v>
      </c>
      <c r="AC51" s="355" t="s">
        <v>337</v>
      </c>
      <c r="AD51" s="355" t="s">
        <v>337</v>
      </c>
      <c r="AE51" s="354" t="s">
        <v>337</v>
      </c>
      <c r="AF51" s="355" t="s">
        <v>337</v>
      </c>
      <c r="AG51" s="355" t="s">
        <v>337</v>
      </c>
      <c r="AH51" s="356" t="s">
        <v>337</v>
      </c>
      <c r="AI51" s="355" t="s">
        <v>337</v>
      </c>
      <c r="AJ51" s="355" t="s">
        <v>337</v>
      </c>
      <c r="AK51" s="355" t="s">
        <v>337</v>
      </c>
      <c r="AL51" s="355" t="s">
        <v>337</v>
      </c>
      <c r="AM51" s="354" t="s">
        <v>337</v>
      </c>
      <c r="AN51" s="355" t="s">
        <v>337</v>
      </c>
      <c r="AO51" s="355" t="s">
        <v>337</v>
      </c>
      <c r="AP51" s="356" t="s">
        <v>337</v>
      </c>
      <c r="AQ51" s="355" t="s">
        <v>337</v>
      </c>
      <c r="AR51" s="355" t="s">
        <v>337</v>
      </c>
      <c r="AS51" s="355" t="s">
        <v>337</v>
      </c>
      <c r="AT51" s="356" t="s">
        <v>337</v>
      </c>
      <c r="AU51" s="358">
        <f t="shared" ref="AU51:AV53" si="26">-AU39/AU35</f>
        <v>1.4062480133250263E-3</v>
      </c>
      <c r="AV51" s="358">
        <f t="shared" si="26"/>
        <v>1.6188848165263876E-3</v>
      </c>
      <c r="AW51" s="358">
        <f t="shared" ref="AW51:AX51" si="27">-AW39/AW35</f>
        <v>1.4584625278485956E-3</v>
      </c>
      <c r="AX51" s="358">
        <f t="shared" si="27"/>
        <v>1.2637468433994126E-3</v>
      </c>
    </row>
    <row r="52" spans="1:50" s="271" customFormat="1" ht="11.25">
      <c r="A52" s="57" t="s">
        <v>772</v>
      </c>
      <c r="B52" s="57" t="s">
        <v>689</v>
      </c>
      <c r="C52" s="354" t="s">
        <v>337</v>
      </c>
      <c r="D52" s="355" t="s">
        <v>337</v>
      </c>
      <c r="E52" s="355" t="s">
        <v>337</v>
      </c>
      <c r="F52" s="356" t="s">
        <v>337</v>
      </c>
      <c r="G52" s="354" t="s">
        <v>337</v>
      </c>
      <c r="H52" s="355" t="s">
        <v>337</v>
      </c>
      <c r="I52" s="355" t="s">
        <v>337</v>
      </c>
      <c r="J52" s="356" t="s">
        <v>337</v>
      </c>
      <c r="K52" s="355" t="s">
        <v>337</v>
      </c>
      <c r="L52" s="355" t="s">
        <v>337</v>
      </c>
      <c r="M52" s="355" t="s">
        <v>337</v>
      </c>
      <c r="N52" s="355" t="s">
        <v>337</v>
      </c>
      <c r="O52" s="354" t="s">
        <v>337</v>
      </c>
      <c r="P52" s="355" t="s">
        <v>337</v>
      </c>
      <c r="Q52" s="355" t="s">
        <v>337</v>
      </c>
      <c r="R52" s="356" t="s">
        <v>337</v>
      </c>
      <c r="S52" s="355" t="s">
        <v>337</v>
      </c>
      <c r="T52" s="355" t="s">
        <v>337</v>
      </c>
      <c r="U52" s="355" t="s">
        <v>337</v>
      </c>
      <c r="V52" s="355" t="s">
        <v>337</v>
      </c>
      <c r="W52" s="354" t="s">
        <v>337</v>
      </c>
      <c r="X52" s="355" t="s">
        <v>337</v>
      </c>
      <c r="Y52" s="355" t="s">
        <v>337</v>
      </c>
      <c r="Z52" s="356" t="s">
        <v>337</v>
      </c>
      <c r="AA52" s="355" t="s">
        <v>337</v>
      </c>
      <c r="AB52" s="355" t="s">
        <v>337</v>
      </c>
      <c r="AC52" s="355" t="s">
        <v>337</v>
      </c>
      <c r="AD52" s="355" t="s">
        <v>337</v>
      </c>
      <c r="AE52" s="354" t="s">
        <v>337</v>
      </c>
      <c r="AF52" s="355" t="s">
        <v>337</v>
      </c>
      <c r="AG52" s="355" t="s">
        <v>337</v>
      </c>
      <c r="AH52" s="356" t="s">
        <v>337</v>
      </c>
      <c r="AI52" s="355" t="s">
        <v>337</v>
      </c>
      <c r="AJ52" s="355" t="s">
        <v>337</v>
      </c>
      <c r="AK52" s="355" t="s">
        <v>337</v>
      </c>
      <c r="AL52" s="355" t="s">
        <v>337</v>
      </c>
      <c r="AM52" s="354" t="s">
        <v>337</v>
      </c>
      <c r="AN52" s="355" t="s">
        <v>337</v>
      </c>
      <c r="AO52" s="355" t="s">
        <v>337</v>
      </c>
      <c r="AP52" s="356" t="s">
        <v>337</v>
      </c>
      <c r="AQ52" s="355" t="s">
        <v>337</v>
      </c>
      <c r="AR52" s="355" t="s">
        <v>337</v>
      </c>
      <c r="AS52" s="355" t="s">
        <v>337</v>
      </c>
      <c r="AT52" s="356" t="s">
        <v>337</v>
      </c>
      <c r="AU52" s="358">
        <f t="shared" si="26"/>
        <v>3.4428842048290588E-2</v>
      </c>
      <c r="AV52" s="358">
        <f t="shared" si="26"/>
        <v>3.7627763718046811E-2</v>
      </c>
      <c r="AW52" s="358">
        <f t="shared" ref="AW52:AX52" si="28">-AW40/AW36</f>
        <v>3.7822666870322284E-2</v>
      </c>
      <c r="AX52" s="358">
        <f t="shared" si="28"/>
        <v>3.8774690569206613E-2</v>
      </c>
    </row>
    <row r="53" spans="1:50" s="271" customFormat="1" ht="11.25">
      <c r="A53" s="57" t="s">
        <v>773</v>
      </c>
      <c r="B53" s="57" t="s">
        <v>690</v>
      </c>
      <c r="C53" s="354" t="s">
        <v>337</v>
      </c>
      <c r="D53" s="355" t="s">
        <v>337</v>
      </c>
      <c r="E53" s="355" t="s">
        <v>337</v>
      </c>
      <c r="F53" s="356" t="s">
        <v>337</v>
      </c>
      <c r="G53" s="354" t="s">
        <v>337</v>
      </c>
      <c r="H53" s="355" t="s">
        <v>337</v>
      </c>
      <c r="I53" s="355" t="s">
        <v>337</v>
      </c>
      <c r="J53" s="356" t="s">
        <v>337</v>
      </c>
      <c r="K53" s="355" t="s">
        <v>337</v>
      </c>
      <c r="L53" s="355" t="s">
        <v>337</v>
      </c>
      <c r="M53" s="355" t="s">
        <v>337</v>
      </c>
      <c r="N53" s="355" t="s">
        <v>337</v>
      </c>
      <c r="O53" s="354" t="s">
        <v>337</v>
      </c>
      <c r="P53" s="355" t="s">
        <v>337</v>
      </c>
      <c r="Q53" s="355" t="s">
        <v>337</v>
      </c>
      <c r="R53" s="356" t="s">
        <v>337</v>
      </c>
      <c r="S53" s="355" t="s">
        <v>337</v>
      </c>
      <c r="T53" s="355" t="s">
        <v>337</v>
      </c>
      <c r="U53" s="355" t="s">
        <v>337</v>
      </c>
      <c r="V53" s="355" t="s">
        <v>337</v>
      </c>
      <c r="W53" s="354" t="s">
        <v>337</v>
      </c>
      <c r="X53" s="355" t="s">
        <v>337</v>
      </c>
      <c r="Y53" s="355" t="s">
        <v>337</v>
      </c>
      <c r="Z53" s="356" t="s">
        <v>337</v>
      </c>
      <c r="AA53" s="355" t="s">
        <v>337</v>
      </c>
      <c r="AB53" s="355" t="s">
        <v>337</v>
      </c>
      <c r="AC53" s="355" t="s">
        <v>337</v>
      </c>
      <c r="AD53" s="355" t="s">
        <v>337</v>
      </c>
      <c r="AE53" s="354" t="s">
        <v>337</v>
      </c>
      <c r="AF53" s="355" t="s">
        <v>337</v>
      </c>
      <c r="AG53" s="355" t="s">
        <v>337</v>
      </c>
      <c r="AH53" s="356" t="s">
        <v>337</v>
      </c>
      <c r="AI53" s="355" t="s">
        <v>337</v>
      </c>
      <c r="AJ53" s="355" t="s">
        <v>337</v>
      </c>
      <c r="AK53" s="355" t="s">
        <v>337</v>
      </c>
      <c r="AL53" s="355" t="s">
        <v>337</v>
      </c>
      <c r="AM53" s="354" t="s">
        <v>337</v>
      </c>
      <c r="AN53" s="355" t="s">
        <v>337</v>
      </c>
      <c r="AO53" s="355" t="s">
        <v>337</v>
      </c>
      <c r="AP53" s="356" t="s">
        <v>337</v>
      </c>
      <c r="AQ53" s="355" t="s">
        <v>337</v>
      </c>
      <c r="AR53" s="355" t="s">
        <v>337</v>
      </c>
      <c r="AS53" s="355" t="s">
        <v>337</v>
      </c>
      <c r="AT53" s="356" t="s">
        <v>337</v>
      </c>
      <c r="AU53" s="358">
        <f t="shared" si="26"/>
        <v>0.59541789792419098</v>
      </c>
      <c r="AV53" s="358">
        <f t="shared" si="26"/>
        <v>0.59810644296703674</v>
      </c>
      <c r="AW53" s="358">
        <f t="shared" ref="AW53:AX53" si="29">-AW41/AW37</f>
        <v>0.59063114984537513</v>
      </c>
      <c r="AX53" s="358">
        <f t="shared" si="29"/>
        <v>0.59586919104991398</v>
      </c>
    </row>
    <row r="54" spans="1:50" s="270" customFormat="1" ht="11.25">
      <c r="A54" s="359"/>
      <c r="B54" s="359"/>
      <c r="C54" s="360"/>
      <c r="D54" s="361"/>
      <c r="E54" s="361"/>
      <c r="F54" s="361"/>
      <c r="G54" s="360"/>
      <c r="H54" s="361"/>
      <c r="I54" s="361"/>
      <c r="J54" s="361"/>
      <c r="K54" s="361"/>
      <c r="L54" s="361"/>
      <c r="M54" s="361"/>
      <c r="N54" s="361"/>
      <c r="O54" s="360"/>
      <c r="P54" s="361"/>
      <c r="Q54" s="361"/>
      <c r="R54" s="361"/>
      <c r="S54" s="361"/>
      <c r="T54" s="361"/>
      <c r="U54" s="361"/>
      <c r="V54" s="361"/>
      <c r="W54" s="360"/>
      <c r="X54" s="361"/>
      <c r="Y54" s="361"/>
      <c r="Z54" s="362"/>
      <c r="AA54" s="361"/>
      <c r="AB54" s="361"/>
      <c r="AC54" s="361"/>
      <c r="AD54" s="361"/>
      <c r="AE54" s="360"/>
      <c r="AF54" s="361"/>
      <c r="AG54" s="361"/>
      <c r="AH54" s="362"/>
      <c r="AI54" s="361"/>
      <c r="AJ54" s="361"/>
      <c r="AK54" s="361"/>
      <c r="AL54" s="361"/>
      <c r="AM54" s="360"/>
      <c r="AN54" s="361"/>
      <c r="AO54" s="361"/>
      <c r="AP54" s="362"/>
      <c r="AQ54" s="361"/>
      <c r="AR54" s="361"/>
      <c r="AS54" s="361"/>
      <c r="AT54" s="362"/>
      <c r="AU54" s="363"/>
      <c r="AV54" s="363"/>
      <c r="AW54" s="363"/>
      <c r="AX54" s="363"/>
    </row>
    <row r="55" spans="1:50" s="4" customFormat="1">
      <c r="A55" s="110" t="s">
        <v>430</v>
      </c>
      <c r="B55" s="110" t="s">
        <v>431</v>
      </c>
      <c r="C55" s="106"/>
      <c r="D55" s="107"/>
      <c r="E55" s="107"/>
      <c r="F55" s="107"/>
      <c r="G55" s="106"/>
      <c r="H55" s="107"/>
      <c r="I55" s="107"/>
      <c r="J55" s="107"/>
      <c r="K55" s="107"/>
      <c r="L55" s="107"/>
      <c r="M55" s="107"/>
      <c r="N55" s="107"/>
      <c r="O55" s="106"/>
      <c r="P55" s="107"/>
      <c r="Q55" s="107"/>
      <c r="R55" s="107"/>
      <c r="S55" s="107"/>
      <c r="T55" s="107"/>
      <c r="U55" s="107"/>
      <c r="V55" s="107"/>
      <c r="W55" s="106"/>
      <c r="X55" s="107"/>
      <c r="Y55" s="107"/>
      <c r="Z55" s="108"/>
      <c r="AA55" s="107"/>
      <c r="AB55" s="107"/>
      <c r="AC55" s="107"/>
      <c r="AD55" s="107"/>
      <c r="AE55" s="106"/>
      <c r="AF55" s="107"/>
      <c r="AG55" s="107"/>
      <c r="AH55" s="108"/>
      <c r="AI55" s="107"/>
      <c r="AJ55" s="107"/>
      <c r="AK55" s="107"/>
      <c r="AL55" s="107"/>
      <c r="AM55" s="106"/>
      <c r="AN55" s="107"/>
      <c r="AO55" s="107"/>
      <c r="AP55" s="108"/>
      <c r="AQ55" s="107"/>
      <c r="AR55" s="107"/>
      <c r="AS55" s="107"/>
      <c r="AT55" s="108"/>
      <c r="AU55" s="109"/>
      <c r="AV55" s="109"/>
      <c r="AW55" s="109"/>
      <c r="AX55" s="109"/>
    </row>
    <row r="56" spans="1:50" ht="12.75" customHeight="1">
      <c r="A56" s="505" t="s">
        <v>691</v>
      </c>
      <c r="B56" s="505" t="s">
        <v>692</v>
      </c>
      <c r="C56" s="507" t="s">
        <v>398</v>
      </c>
      <c r="D56" s="501"/>
      <c r="E56" s="501"/>
      <c r="F56" s="501"/>
      <c r="G56" s="507">
        <v>2008</v>
      </c>
      <c r="H56" s="501"/>
      <c r="I56" s="501"/>
      <c r="J56" s="501"/>
      <c r="K56" s="507">
        <v>2009</v>
      </c>
      <c r="L56" s="501"/>
      <c r="M56" s="501"/>
      <c r="N56" s="501"/>
      <c r="O56" s="507">
        <v>2010</v>
      </c>
      <c r="P56" s="501"/>
      <c r="Q56" s="501"/>
      <c r="R56" s="501"/>
      <c r="S56" s="507">
        <v>2011</v>
      </c>
      <c r="T56" s="501"/>
      <c r="U56" s="501"/>
      <c r="V56" s="501"/>
      <c r="W56" s="508">
        <v>2012</v>
      </c>
      <c r="X56" s="509"/>
      <c r="Y56" s="509"/>
      <c r="Z56" s="510"/>
      <c r="AA56" s="508">
        <v>2013</v>
      </c>
      <c r="AB56" s="509"/>
      <c r="AC56" s="509"/>
      <c r="AD56" s="510"/>
      <c r="AE56" s="500">
        <v>2014</v>
      </c>
      <c r="AF56" s="501"/>
      <c r="AG56" s="501"/>
      <c r="AH56" s="502"/>
      <c r="AI56" s="500">
        <v>2015</v>
      </c>
      <c r="AJ56" s="501"/>
      <c r="AK56" s="501"/>
      <c r="AL56" s="502"/>
      <c r="AM56" s="500">
        <v>2016</v>
      </c>
      <c r="AN56" s="501"/>
      <c r="AO56" s="501"/>
      <c r="AP56" s="502"/>
      <c r="AQ56" s="512">
        <v>2017</v>
      </c>
      <c r="AR56" s="513"/>
      <c r="AS56" s="513"/>
      <c r="AT56" s="514"/>
      <c r="AU56" s="111"/>
      <c r="AV56" s="466"/>
      <c r="AW56" s="466"/>
      <c r="AX56" s="466"/>
    </row>
    <row r="57" spans="1:50" s="3" customFormat="1">
      <c r="A57" s="506"/>
      <c r="B57" s="506"/>
      <c r="C57" s="5" t="s">
        <v>397</v>
      </c>
      <c r="D57" s="6" t="s">
        <v>152</v>
      </c>
      <c r="E57" s="6" t="s">
        <v>153</v>
      </c>
      <c r="F57" s="6" t="s">
        <v>154</v>
      </c>
      <c r="G57" s="5" t="s">
        <v>396</v>
      </c>
      <c r="H57" s="6" t="s">
        <v>152</v>
      </c>
      <c r="I57" s="6" t="s">
        <v>153</v>
      </c>
      <c r="J57" s="6" t="s">
        <v>154</v>
      </c>
      <c r="K57" s="5" t="s">
        <v>151</v>
      </c>
      <c r="L57" s="6" t="s">
        <v>152</v>
      </c>
      <c r="M57" s="6" t="s">
        <v>153</v>
      </c>
      <c r="N57" s="6" t="s">
        <v>154</v>
      </c>
      <c r="O57" s="5" t="s">
        <v>151</v>
      </c>
      <c r="P57" s="6" t="s">
        <v>152</v>
      </c>
      <c r="Q57" s="6" t="s">
        <v>153</v>
      </c>
      <c r="R57" s="6" t="s">
        <v>154</v>
      </c>
      <c r="S57" s="5" t="s">
        <v>151</v>
      </c>
      <c r="T57" s="6" t="s">
        <v>152</v>
      </c>
      <c r="U57" s="6" t="s">
        <v>153</v>
      </c>
      <c r="V57" s="6" t="s">
        <v>154</v>
      </c>
      <c r="W57" s="5" t="s">
        <v>151</v>
      </c>
      <c r="X57" s="6" t="s">
        <v>152</v>
      </c>
      <c r="Y57" s="6" t="s">
        <v>153</v>
      </c>
      <c r="Z57" s="7" t="s">
        <v>154</v>
      </c>
      <c r="AA57" s="5" t="s">
        <v>151</v>
      </c>
      <c r="AB57" s="6" t="s">
        <v>152</v>
      </c>
      <c r="AC57" s="6" t="s">
        <v>153</v>
      </c>
      <c r="AD57" s="7" t="s">
        <v>154</v>
      </c>
      <c r="AE57" s="8" t="s">
        <v>151</v>
      </c>
      <c r="AF57" s="9" t="s">
        <v>152</v>
      </c>
      <c r="AG57" s="9" t="s">
        <v>153</v>
      </c>
      <c r="AH57" s="10" t="s">
        <v>154</v>
      </c>
      <c r="AI57" s="9" t="s">
        <v>151</v>
      </c>
      <c r="AJ57" s="9" t="s">
        <v>152</v>
      </c>
      <c r="AK57" s="9" t="s">
        <v>153</v>
      </c>
      <c r="AL57" s="10" t="s">
        <v>154</v>
      </c>
      <c r="AM57" s="9" t="s">
        <v>151</v>
      </c>
      <c r="AN57" s="9" t="s">
        <v>152</v>
      </c>
      <c r="AO57" s="9" t="s">
        <v>153</v>
      </c>
      <c r="AP57" s="10" t="s">
        <v>154</v>
      </c>
      <c r="AQ57" s="9" t="s">
        <v>151</v>
      </c>
      <c r="AR57" s="9" t="s">
        <v>152</v>
      </c>
      <c r="AS57" s="9" t="s">
        <v>153</v>
      </c>
      <c r="AT57" s="10" t="s">
        <v>154</v>
      </c>
      <c r="AU57" s="112"/>
      <c r="AV57" s="467"/>
      <c r="AW57" s="467"/>
      <c r="AX57" s="467"/>
    </row>
    <row r="58" spans="1:50" s="267" customFormat="1" ht="11.25">
      <c r="A58" s="24" t="s">
        <v>156</v>
      </c>
      <c r="B58" s="24" t="s">
        <v>11</v>
      </c>
      <c r="C58" s="128"/>
      <c r="D58" s="129"/>
      <c r="E58" s="61"/>
      <c r="F58" s="129"/>
      <c r="G58" s="128"/>
      <c r="H58" s="129"/>
      <c r="I58" s="61"/>
      <c r="J58" s="130"/>
      <c r="K58" s="128"/>
      <c r="L58" s="129"/>
      <c r="M58" s="61"/>
      <c r="N58" s="130"/>
      <c r="O58" s="128"/>
      <c r="P58" s="129"/>
      <c r="Q58" s="61"/>
      <c r="R58" s="130"/>
      <c r="S58" s="128"/>
      <c r="T58" s="129"/>
      <c r="U58" s="61"/>
      <c r="V58" s="130"/>
      <c r="W58" s="128"/>
      <c r="X58" s="61"/>
      <c r="Y58" s="61"/>
      <c r="Z58" s="272"/>
      <c r="AA58" s="128"/>
      <c r="AB58" s="61"/>
      <c r="AC58" s="61"/>
      <c r="AD58" s="272"/>
      <c r="AE58" s="350"/>
      <c r="AF58" s="19"/>
      <c r="AG58" s="19"/>
      <c r="AH58" s="351"/>
      <c r="AI58" s="19"/>
      <c r="AJ58" s="19"/>
      <c r="AK58" s="19"/>
      <c r="AL58" s="351"/>
      <c r="AM58" s="19"/>
      <c r="AN58" s="19"/>
      <c r="AO58" s="19"/>
      <c r="AP58" s="351"/>
      <c r="AQ58" s="19"/>
      <c r="AR58" s="19"/>
      <c r="AS58" s="19"/>
      <c r="AT58" s="351"/>
      <c r="AU58" s="451"/>
      <c r="AV58" s="91"/>
      <c r="AW58" s="91"/>
      <c r="AX58" s="91"/>
    </row>
    <row r="59" spans="1:50" s="268" customFormat="1" ht="11.25">
      <c r="A59" s="33" t="s">
        <v>262</v>
      </c>
      <c r="B59" s="33" t="s">
        <v>96</v>
      </c>
      <c r="C59" s="69"/>
      <c r="D59" s="70"/>
      <c r="E59" s="70"/>
      <c r="F59" s="70"/>
      <c r="G59" s="69"/>
      <c r="H59" s="30"/>
      <c r="I59" s="30"/>
      <c r="J59" s="31"/>
      <c r="K59" s="29"/>
      <c r="L59" s="30"/>
      <c r="M59" s="30"/>
      <c r="N59" s="31"/>
      <c r="O59" s="29"/>
      <c r="P59" s="30"/>
      <c r="Q59" s="30"/>
      <c r="R59" s="31"/>
      <c r="S59" s="29"/>
      <c r="T59" s="30"/>
      <c r="U59" s="30"/>
      <c r="V59" s="31"/>
      <c r="W59" s="29"/>
      <c r="X59" s="30"/>
      <c r="Y59" s="30"/>
      <c r="Z59" s="31"/>
      <c r="AA59" s="29"/>
      <c r="AB59" s="30"/>
      <c r="AC59" s="30"/>
      <c r="AD59" s="31"/>
      <c r="AE59" s="29"/>
      <c r="AF59" s="30"/>
      <c r="AG59" s="30"/>
      <c r="AH59" s="31"/>
      <c r="AI59" s="30"/>
      <c r="AJ59" s="30"/>
      <c r="AK59" s="30"/>
      <c r="AL59" s="31"/>
      <c r="AM59" s="30"/>
      <c r="AN59" s="30"/>
      <c r="AO59" s="30"/>
      <c r="AP59" s="31"/>
      <c r="AQ59" s="30"/>
      <c r="AR59" s="30"/>
      <c r="AS59" s="30"/>
      <c r="AT59" s="31"/>
      <c r="AU59" s="364"/>
      <c r="AV59" s="468"/>
      <c r="AW59" s="468"/>
      <c r="AX59" s="468"/>
    </row>
    <row r="60" spans="1:50" s="268" customFormat="1" ht="11.25">
      <c r="A60" s="50" t="s">
        <v>263</v>
      </c>
      <c r="B60" s="50" t="s">
        <v>97</v>
      </c>
      <c r="C60" s="365"/>
      <c r="D60" s="366"/>
      <c r="E60" s="366"/>
      <c r="F60" s="366"/>
      <c r="G60" s="365"/>
      <c r="H60" s="35">
        <f t="shared" ref="H60:AQ60" si="30">H61+H62</f>
        <v>14090.5</v>
      </c>
      <c r="I60" s="35">
        <f t="shared" si="30"/>
        <v>15666.1</v>
      </c>
      <c r="J60" s="36">
        <f t="shared" si="30"/>
        <v>16997.100000000002</v>
      </c>
      <c r="K60" s="34">
        <f t="shared" si="30"/>
        <v>17573.5</v>
      </c>
      <c r="L60" s="35">
        <f t="shared" si="30"/>
        <v>17136.900000000001</v>
      </c>
      <c r="M60" s="35">
        <f t="shared" si="30"/>
        <v>16943.8</v>
      </c>
      <c r="N60" s="36">
        <f t="shared" si="30"/>
        <v>17604.600000000002</v>
      </c>
      <c r="O60" s="34">
        <f t="shared" si="30"/>
        <v>17355.7</v>
      </c>
      <c r="P60" s="35">
        <f t="shared" si="30"/>
        <v>17890.3</v>
      </c>
      <c r="Q60" s="35">
        <f t="shared" si="30"/>
        <v>19053.5</v>
      </c>
      <c r="R60" s="36">
        <f t="shared" si="30"/>
        <v>19583.499999999996</v>
      </c>
      <c r="S60" s="34">
        <f t="shared" si="30"/>
        <v>19912.5</v>
      </c>
      <c r="T60" s="35">
        <f t="shared" si="30"/>
        <v>20950.399999999998</v>
      </c>
      <c r="U60" s="35">
        <f t="shared" si="30"/>
        <v>22378.6</v>
      </c>
      <c r="V60" s="36">
        <f t="shared" si="30"/>
        <v>24457.200000000001</v>
      </c>
      <c r="W60" s="34">
        <f t="shared" si="30"/>
        <v>29827.399999999998</v>
      </c>
      <c r="X60" s="35">
        <f t="shared" si="30"/>
        <v>30072.399999999998</v>
      </c>
      <c r="Y60" s="35">
        <f t="shared" si="30"/>
        <v>30382.799999999999</v>
      </c>
      <c r="Z60" s="36">
        <f t="shared" si="30"/>
        <v>29878</v>
      </c>
      <c r="AA60" s="34">
        <f t="shared" si="30"/>
        <v>29710.399999999998</v>
      </c>
      <c r="AB60" s="35">
        <f t="shared" si="30"/>
        <v>30426.3</v>
      </c>
      <c r="AC60" s="35">
        <f t="shared" si="30"/>
        <v>31503</v>
      </c>
      <c r="AD60" s="36">
        <f t="shared" si="30"/>
        <v>31476.799999999996</v>
      </c>
      <c r="AE60" s="34">
        <f t="shared" si="30"/>
        <v>33297.599999999999</v>
      </c>
      <c r="AF60" s="35">
        <f t="shared" si="30"/>
        <v>35206</v>
      </c>
      <c r="AG60" s="35">
        <f t="shared" si="30"/>
        <v>36729.5</v>
      </c>
      <c r="AH60" s="36">
        <f t="shared" si="30"/>
        <v>36781.1</v>
      </c>
      <c r="AI60" s="35">
        <f t="shared" si="30"/>
        <v>38078.600000000006</v>
      </c>
      <c r="AJ60" s="35">
        <f t="shared" si="30"/>
        <v>41302.199999999997</v>
      </c>
      <c r="AK60" s="35">
        <f t="shared" si="30"/>
        <v>43494.5</v>
      </c>
      <c r="AL60" s="36">
        <f t="shared" si="30"/>
        <v>43593.399999999994</v>
      </c>
      <c r="AM60" s="35">
        <f t="shared" si="30"/>
        <v>45146</v>
      </c>
      <c r="AN60" s="35">
        <f>AN61+AN62</f>
        <v>46247.6</v>
      </c>
      <c r="AO60" s="35">
        <f>AO61+AO62</f>
        <v>47306.5</v>
      </c>
      <c r="AP60" s="36">
        <f t="shared" si="30"/>
        <v>47807.299999999996</v>
      </c>
      <c r="AQ60" s="35">
        <f t="shared" si="30"/>
        <v>49343.8</v>
      </c>
      <c r="AR60" s="35">
        <f>AR61+AR62</f>
        <v>50457.2</v>
      </c>
      <c r="AS60" s="35">
        <f>AS61+AS62</f>
        <v>52100.700000000004</v>
      </c>
      <c r="AT60" s="36">
        <f>AT61+AT62</f>
        <v>51534.6</v>
      </c>
      <c r="AU60" s="367"/>
      <c r="AV60" s="469"/>
      <c r="AW60" s="469"/>
      <c r="AX60" s="469"/>
    </row>
    <row r="61" spans="1:50" s="268" customFormat="1" ht="11.25">
      <c r="A61" s="28" t="s">
        <v>693</v>
      </c>
      <c r="B61" s="28" t="s">
        <v>98</v>
      </c>
      <c r="C61" s="368"/>
      <c r="D61" s="369"/>
      <c r="E61" s="369"/>
      <c r="F61" s="369"/>
      <c r="G61" s="368"/>
      <c r="H61" s="30">
        <v>13867.3</v>
      </c>
      <c r="I61" s="30">
        <v>15405.6</v>
      </c>
      <c r="J61" s="31">
        <v>16649.400000000001</v>
      </c>
      <c r="K61" s="29">
        <v>16827.599999999999</v>
      </c>
      <c r="L61" s="30">
        <f>16280.5+0.1</f>
        <v>16280.6</v>
      </c>
      <c r="M61" s="30">
        <f>16149.1+0.1</f>
        <v>16149.2</v>
      </c>
      <c r="N61" s="31">
        <v>16632.600000000002</v>
      </c>
      <c r="O61" s="29">
        <f>16315.9+0.1</f>
        <v>16316</v>
      </c>
      <c r="P61" s="30">
        <v>16843.7</v>
      </c>
      <c r="Q61" s="30">
        <f>17914.1+0.2</f>
        <v>17914.3</v>
      </c>
      <c r="R61" s="31">
        <f>18405.8+0.1</f>
        <v>18405.899999999998</v>
      </c>
      <c r="S61" s="29">
        <f>18727.7+0.1</f>
        <v>18727.8</v>
      </c>
      <c r="T61" s="30">
        <f>19803.8+0.3</f>
        <v>19804.099999999999</v>
      </c>
      <c r="U61" s="30">
        <f>21189.2+0.1</f>
        <v>21189.3</v>
      </c>
      <c r="V61" s="31">
        <f>23323.9+0.1</f>
        <v>23324</v>
      </c>
      <c r="W61" s="29">
        <v>28645.899999999998</v>
      </c>
      <c r="X61" s="30">
        <f>28547.8+0.1</f>
        <v>28547.899999999998</v>
      </c>
      <c r="Y61" s="30">
        <f>28858.4+0.1</f>
        <v>28858.5</v>
      </c>
      <c r="Z61" s="31">
        <f>28500.4+0.3</f>
        <v>28500.7</v>
      </c>
      <c r="AA61" s="29">
        <f>28213.1+0.2</f>
        <v>28213.3</v>
      </c>
      <c r="AB61" s="30">
        <f>28757.2+0.1</f>
        <v>28757.3</v>
      </c>
      <c r="AC61" s="30">
        <f>29791.7+0.1</f>
        <v>29791.8</v>
      </c>
      <c r="AD61" s="31">
        <f>29663.1+0.1</f>
        <v>29663.199999999997</v>
      </c>
      <c r="AE61" s="29">
        <f>31419-38.1+0.1</f>
        <v>31381</v>
      </c>
      <c r="AF61" s="30">
        <f>33338+0.1</f>
        <v>33338.1</v>
      </c>
      <c r="AG61" s="30">
        <f>34873.1+0.1</f>
        <v>34873.199999999997</v>
      </c>
      <c r="AH61" s="31">
        <f>34981.4+0.1</f>
        <v>34981.5</v>
      </c>
      <c r="AI61" s="30">
        <v>35951.100000000006</v>
      </c>
      <c r="AJ61" s="30">
        <v>39415.699999999997</v>
      </c>
      <c r="AK61" s="30">
        <v>41800.199999999997</v>
      </c>
      <c r="AL61" s="31">
        <v>41867.199999999997</v>
      </c>
      <c r="AM61" s="30">
        <v>43220</v>
      </c>
      <c r="AN61" s="30">
        <v>44581.7</v>
      </c>
      <c r="AO61" s="30">
        <v>45644.6</v>
      </c>
      <c r="AP61" s="31">
        <v>46269.2</v>
      </c>
      <c r="AQ61" s="30">
        <v>47772.3</v>
      </c>
      <c r="AR61" s="30">
        <v>48785.2</v>
      </c>
      <c r="AS61" s="30">
        <v>50371.8</v>
      </c>
      <c r="AT61" s="31">
        <v>49737.7</v>
      </c>
      <c r="AU61" s="367"/>
      <c r="AV61" s="469"/>
      <c r="AW61" s="469"/>
      <c r="AX61" s="469"/>
    </row>
    <row r="62" spans="1:50" s="267" customFormat="1" ht="11.25">
      <c r="A62" s="32" t="s">
        <v>264</v>
      </c>
      <c r="B62" s="32" t="s">
        <v>99</v>
      </c>
      <c r="C62" s="368"/>
      <c r="D62" s="369"/>
      <c r="E62" s="369"/>
      <c r="F62" s="369"/>
      <c r="G62" s="368"/>
      <c r="H62" s="30">
        <v>223.2</v>
      </c>
      <c r="I62" s="30">
        <v>260.5</v>
      </c>
      <c r="J62" s="31">
        <v>347.7</v>
      </c>
      <c r="K62" s="29">
        <v>745.9</v>
      </c>
      <c r="L62" s="30">
        <v>856.3</v>
      </c>
      <c r="M62" s="30">
        <v>794.6</v>
      </c>
      <c r="N62" s="31">
        <v>972</v>
      </c>
      <c r="O62" s="29">
        <v>1039.7</v>
      </c>
      <c r="P62" s="30">
        <v>1046.5999999999999</v>
      </c>
      <c r="Q62" s="30">
        <v>1139.2</v>
      </c>
      <c r="R62" s="31">
        <v>1177.5999999999999</v>
      </c>
      <c r="S62" s="29">
        <v>1184.7</v>
      </c>
      <c r="T62" s="30">
        <v>1146.3</v>
      </c>
      <c r="U62" s="30">
        <v>1189.3</v>
      </c>
      <c r="V62" s="31">
        <v>1133.2</v>
      </c>
      <c r="W62" s="29">
        <v>1181.5</v>
      </c>
      <c r="X62" s="30">
        <v>1524.5</v>
      </c>
      <c r="Y62" s="30">
        <v>1524.3</v>
      </c>
      <c r="Z62" s="31">
        <v>1377.3</v>
      </c>
      <c r="AA62" s="29">
        <v>1497.1000000000001</v>
      </c>
      <c r="AB62" s="30">
        <v>1669</v>
      </c>
      <c r="AC62" s="30">
        <v>1711.2</v>
      </c>
      <c r="AD62" s="31">
        <v>1813.6000000000001</v>
      </c>
      <c r="AE62" s="29">
        <f>1878.5+38.1</f>
        <v>1916.6</v>
      </c>
      <c r="AF62" s="30">
        <v>1867.8999999999999</v>
      </c>
      <c r="AG62" s="30">
        <v>1856.3</v>
      </c>
      <c r="AH62" s="31">
        <v>1799.6</v>
      </c>
      <c r="AI62" s="30">
        <v>2127.5</v>
      </c>
      <c r="AJ62" s="30">
        <v>1886.5</v>
      </c>
      <c r="AK62" s="30">
        <v>1694.3</v>
      </c>
      <c r="AL62" s="31">
        <v>1726.2</v>
      </c>
      <c r="AM62" s="30">
        <v>1926</v>
      </c>
      <c r="AN62" s="30">
        <v>1665.9</v>
      </c>
      <c r="AO62" s="30">
        <v>1661.9</v>
      </c>
      <c r="AP62" s="31">
        <v>1538.1</v>
      </c>
      <c r="AQ62" s="30">
        <v>1571.5</v>
      </c>
      <c r="AR62" s="30">
        <v>1672</v>
      </c>
      <c r="AS62" s="30">
        <v>1728.9</v>
      </c>
      <c r="AT62" s="31">
        <v>1796.8999999999999</v>
      </c>
      <c r="AU62" s="367"/>
      <c r="AV62" s="469"/>
      <c r="AW62" s="469"/>
      <c r="AX62" s="469"/>
    </row>
    <row r="63" spans="1:50" s="270" customFormat="1" ht="11.25">
      <c r="A63" s="55" t="s">
        <v>265</v>
      </c>
      <c r="B63" s="55" t="s">
        <v>100</v>
      </c>
      <c r="C63" s="365"/>
      <c r="D63" s="366"/>
      <c r="E63" s="366"/>
      <c r="F63" s="366"/>
      <c r="G63" s="365"/>
      <c r="H63" s="35">
        <f t="shared" ref="H63:Z63" si="31">SUM(H64:H66)</f>
        <v>268.40000000000003</v>
      </c>
      <c r="I63" s="35">
        <f t="shared" si="31"/>
        <v>271.5</v>
      </c>
      <c r="J63" s="36">
        <f t="shared" si="31"/>
        <v>338.7</v>
      </c>
      <c r="K63" s="34">
        <f t="shared" si="31"/>
        <v>500.6</v>
      </c>
      <c r="L63" s="35">
        <f t="shared" si="31"/>
        <v>571.70000000000005</v>
      </c>
      <c r="M63" s="35">
        <f t="shared" si="31"/>
        <v>613.69999999999993</v>
      </c>
      <c r="N63" s="36">
        <f t="shared" si="31"/>
        <v>668.7</v>
      </c>
      <c r="O63" s="34">
        <f t="shared" si="31"/>
        <v>697.6</v>
      </c>
      <c r="P63" s="35">
        <f t="shared" si="31"/>
        <v>726.6</v>
      </c>
      <c r="Q63" s="35">
        <f t="shared" si="31"/>
        <v>765.4</v>
      </c>
      <c r="R63" s="36">
        <f t="shared" si="31"/>
        <v>785.80000000000007</v>
      </c>
      <c r="S63" s="34">
        <f t="shared" si="31"/>
        <v>795.4</v>
      </c>
      <c r="T63" s="35">
        <f t="shared" si="31"/>
        <v>798.9</v>
      </c>
      <c r="U63" s="35">
        <f t="shared" si="31"/>
        <v>818.69999999999993</v>
      </c>
      <c r="V63" s="36">
        <f t="shared" si="31"/>
        <v>736.6</v>
      </c>
      <c r="W63" s="34">
        <f t="shared" si="31"/>
        <v>805.59999999999991</v>
      </c>
      <c r="X63" s="35">
        <f t="shared" si="31"/>
        <v>877.5</v>
      </c>
      <c r="Y63" s="35">
        <f t="shared" si="31"/>
        <v>927.5</v>
      </c>
      <c r="Z63" s="36">
        <f t="shared" si="31"/>
        <v>975.8</v>
      </c>
      <c r="AA63" s="34">
        <f t="shared" ref="AA63:AT63" si="32">SUM(AA64:AA66)</f>
        <v>985.9</v>
      </c>
      <c r="AB63" s="35">
        <f t="shared" si="32"/>
        <v>1027.2999999999997</v>
      </c>
      <c r="AC63" s="35">
        <f t="shared" si="32"/>
        <v>1038.7</v>
      </c>
      <c r="AD63" s="36">
        <f t="shared" si="32"/>
        <v>1081</v>
      </c>
      <c r="AE63" s="34">
        <f t="shared" si="32"/>
        <v>1127.7</v>
      </c>
      <c r="AF63" s="35">
        <f t="shared" si="32"/>
        <v>1091.6000000000001</v>
      </c>
      <c r="AG63" s="35">
        <f t="shared" si="32"/>
        <v>1127.5999999999999</v>
      </c>
      <c r="AH63" s="36">
        <f t="shared" si="32"/>
        <v>1172</v>
      </c>
      <c r="AI63" s="35">
        <f t="shared" si="32"/>
        <v>1203.1000000000001</v>
      </c>
      <c r="AJ63" s="35">
        <f t="shared" si="32"/>
        <v>1049.5</v>
      </c>
      <c r="AK63" s="35">
        <f t="shared" si="32"/>
        <v>1004.8</v>
      </c>
      <c r="AL63" s="36">
        <f t="shared" si="32"/>
        <v>1056.0999999999999</v>
      </c>
      <c r="AM63" s="35">
        <f t="shared" si="32"/>
        <v>1102.3999999999999</v>
      </c>
      <c r="AN63" s="35">
        <f t="shared" si="32"/>
        <v>1005.3000000000001</v>
      </c>
      <c r="AO63" s="35">
        <f t="shared" si="32"/>
        <v>1024.5999999999999</v>
      </c>
      <c r="AP63" s="36">
        <f t="shared" si="32"/>
        <v>962.30000000000007</v>
      </c>
      <c r="AQ63" s="35">
        <f t="shared" si="32"/>
        <v>973.3</v>
      </c>
      <c r="AR63" s="35">
        <f t="shared" si="32"/>
        <v>963.4</v>
      </c>
      <c r="AS63" s="35">
        <f t="shared" si="32"/>
        <v>1026.5</v>
      </c>
      <c r="AT63" s="36">
        <f t="shared" si="32"/>
        <v>1079.7</v>
      </c>
      <c r="AU63" s="367"/>
      <c r="AV63" s="469"/>
      <c r="AW63" s="469"/>
      <c r="AX63" s="469"/>
    </row>
    <row r="64" spans="1:50" s="270" customFormat="1" ht="11.25">
      <c r="A64" s="32" t="s">
        <v>266</v>
      </c>
      <c r="B64" s="32" t="s">
        <v>101</v>
      </c>
      <c r="C64" s="368"/>
      <c r="D64" s="369"/>
      <c r="E64" s="369"/>
      <c r="F64" s="369"/>
      <c r="G64" s="368"/>
      <c r="H64" s="30">
        <v>77.3</v>
      </c>
      <c r="I64" s="30">
        <v>71.3</v>
      </c>
      <c r="J64" s="31">
        <v>71.2</v>
      </c>
      <c r="K64" s="29">
        <v>75.3</v>
      </c>
      <c r="L64" s="30">
        <v>84.6</v>
      </c>
      <c r="M64" s="30">
        <v>96.5</v>
      </c>
      <c r="N64" s="31">
        <v>77.2</v>
      </c>
      <c r="O64" s="29">
        <v>76</v>
      </c>
      <c r="P64" s="30">
        <v>72.7</v>
      </c>
      <c r="Q64" s="30">
        <v>70.3</v>
      </c>
      <c r="R64" s="31">
        <v>62.1</v>
      </c>
      <c r="S64" s="29">
        <v>56</v>
      </c>
      <c r="T64" s="30">
        <v>60.3</v>
      </c>
      <c r="U64" s="30">
        <v>65.900000000000006</v>
      </c>
      <c r="V64" s="31">
        <v>63</v>
      </c>
      <c r="W64" s="29">
        <v>79.400000000000006</v>
      </c>
      <c r="X64" s="30">
        <v>86.399999999999977</v>
      </c>
      <c r="Y64" s="30">
        <v>78.599999999999994</v>
      </c>
      <c r="Z64" s="31">
        <v>58</v>
      </c>
      <c r="AA64" s="29">
        <v>56.800000000000004</v>
      </c>
      <c r="AB64" s="30">
        <v>54.400000000000006</v>
      </c>
      <c r="AC64" s="30">
        <v>44.3</v>
      </c>
      <c r="AD64" s="31">
        <v>47.899999999999991</v>
      </c>
      <c r="AE64" s="29">
        <v>51.899999999999991</v>
      </c>
      <c r="AF64" s="30">
        <v>53.400000000000006</v>
      </c>
      <c r="AG64" s="30">
        <v>68.099999999999994</v>
      </c>
      <c r="AH64" s="31">
        <v>79.500000000000014</v>
      </c>
      <c r="AI64" s="30">
        <v>71.399999999999991</v>
      </c>
      <c r="AJ64" s="30">
        <v>72.099999999999994</v>
      </c>
      <c r="AK64" s="30">
        <v>85.9</v>
      </c>
      <c r="AL64" s="31">
        <v>79.2</v>
      </c>
      <c r="AM64" s="30">
        <v>74.100000000000009</v>
      </c>
      <c r="AN64" s="30">
        <v>78</v>
      </c>
      <c r="AO64" s="30">
        <v>68.5</v>
      </c>
      <c r="AP64" s="31">
        <v>70.2</v>
      </c>
      <c r="AQ64" s="30">
        <v>67.900000000000006</v>
      </c>
      <c r="AR64" s="30">
        <v>71.7</v>
      </c>
      <c r="AS64" s="30">
        <v>76.099999999999994</v>
      </c>
      <c r="AT64" s="31">
        <v>78.399999999999991</v>
      </c>
      <c r="AU64" s="367"/>
      <c r="AV64" s="469"/>
      <c r="AW64" s="469"/>
      <c r="AX64" s="469"/>
    </row>
    <row r="65" spans="1:50" s="270" customFormat="1" ht="11.25">
      <c r="A65" s="37" t="s">
        <v>267</v>
      </c>
      <c r="B65" s="37" t="s">
        <v>102</v>
      </c>
      <c r="C65" s="368"/>
      <c r="D65" s="369"/>
      <c r="E65" s="369"/>
      <c r="F65" s="369"/>
      <c r="G65" s="368"/>
      <c r="H65" s="30">
        <v>184.8</v>
      </c>
      <c r="I65" s="30">
        <v>192.9</v>
      </c>
      <c r="J65" s="31">
        <v>258.2</v>
      </c>
      <c r="K65" s="29">
        <v>408.8</v>
      </c>
      <c r="L65" s="30">
        <v>473.6</v>
      </c>
      <c r="M65" s="30">
        <v>502.3</v>
      </c>
      <c r="N65" s="31">
        <v>571.4</v>
      </c>
      <c r="O65" s="29">
        <v>604.20000000000005</v>
      </c>
      <c r="P65" s="30">
        <v>636.29999999999995</v>
      </c>
      <c r="Q65" s="30">
        <v>685.9</v>
      </c>
      <c r="R65" s="31">
        <v>712.6</v>
      </c>
      <c r="S65" s="29">
        <v>729.5</v>
      </c>
      <c r="T65" s="30">
        <v>728</v>
      </c>
      <c r="U65" s="30">
        <v>743.8</v>
      </c>
      <c r="V65" s="31">
        <v>663</v>
      </c>
      <c r="W65" s="29">
        <v>711.3</v>
      </c>
      <c r="X65" s="30">
        <v>773.5</v>
      </c>
      <c r="Y65" s="30">
        <v>828.9</v>
      </c>
      <c r="Z65" s="31">
        <v>895.5</v>
      </c>
      <c r="AA65" s="29">
        <v>905.6</v>
      </c>
      <c r="AB65" s="30">
        <v>945.69999999999982</v>
      </c>
      <c r="AC65" s="30">
        <v>978.00000000000011</v>
      </c>
      <c r="AD65" s="31">
        <v>1019.6</v>
      </c>
      <c r="AE65" s="29">
        <v>1061.8</v>
      </c>
      <c r="AF65" s="30">
        <v>1022</v>
      </c>
      <c r="AG65" s="30">
        <v>1043.2</v>
      </c>
      <c r="AH65" s="31">
        <v>1074.2</v>
      </c>
      <c r="AI65" s="30">
        <v>1117.6000000000001</v>
      </c>
      <c r="AJ65" s="30">
        <v>963.6</v>
      </c>
      <c r="AK65" s="30">
        <v>904.4</v>
      </c>
      <c r="AL65" s="31">
        <v>950.8</v>
      </c>
      <c r="AM65" s="30">
        <v>995.7</v>
      </c>
      <c r="AN65" s="30">
        <v>894.6</v>
      </c>
      <c r="AO65" s="30">
        <v>925.6</v>
      </c>
      <c r="AP65" s="31">
        <v>869.6</v>
      </c>
      <c r="AQ65" s="30">
        <v>884.5</v>
      </c>
      <c r="AR65" s="30">
        <v>861.8</v>
      </c>
      <c r="AS65" s="30">
        <v>913.9</v>
      </c>
      <c r="AT65" s="31">
        <v>960.7</v>
      </c>
      <c r="AU65" s="367"/>
      <c r="AV65" s="469"/>
      <c r="AW65" s="469"/>
      <c r="AX65" s="469"/>
    </row>
    <row r="66" spans="1:50" s="268" customFormat="1" ht="11.25">
      <c r="A66" s="37" t="s">
        <v>268</v>
      </c>
      <c r="B66" s="37" t="s">
        <v>103</v>
      </c>
      <c r="C66" s="368"/>
      <c r="D66" s="369"/>
      <c r="E66" s="369"/>
      <c r="F66" s="369"/>
      <c r="G66" s="368"/>
      <c r="H66" s="30">
        <v>6.3</v>
      </c>
      <c r="I66" s="30">
        <v>7.3</v>
      </c>
      <c r="J66" s="31">
        <v>9.3000000000000007</v>
      </c>
      <c r="K66" s="29">
        <v>16.5</v>
      </c>
      <c r="L66" s="30">
        <v>13.5</v>
      </c>
      <c r="M66" s="30">
        <v>14.9</v>
      </c>
      <c r="N66" s="31">
        <v>20.100000000000001</v>
      </c>
      <c r="O66" s="29">
        <v>17.399999999999999</v>
      </c>
      <c r="P66" s="30">
        <v>17.600000000000001</v>
      </c>
      <c r="Q66" s="30">
        <v>9.1999999999999993</v>
      </c>
      <c r="R66" s="31">
        <v>11.1</v>
      </c>
      <c r="S66" s="29">
        <v>9.9</v>
      </c>
      <c r="T66" s="30">
        <v>10.6</v>
      </c>
      <c r="U66" s="30">
        <v>9</v>
      </c>
      <c r="V66" s="31">
        <v>10.6</v>
      </c>
      <c r="W66" s="29">
        <v>14.9</v>
      </c>
      <c r="X66" s="30">
        <v>17.600000000000001</v>
      </c>
      <c r="Y66" s="30">
        <v>20</v>
      </c>
      <c r="Z66" s="31">
        <v>22.3</v>
      </c>
      <c r="AA66" s="29">
        <v>23.5</v>
      </c>
      <c r="AB66" s="30">
        <v>27.2</v>
      </c>
      <c r="AC66" s="30">
        <v>16.399999999999999</v>
      </c>
      <c r="AD66" s="31">
        <v>13.5</v>
      </c>
      <c r="AE66" s="29">
        <v>14</v>
      </c>
      <c r="AF66" s="30">
        <v>16.2</v>
      </c>
      <c r="AG66" s="30">
        <v>16.3</v>
      </c>
      <c r="AH66" s="31">
        <v>18.3</v>
      </c>
      <c r="AI66" s="30">
        <v>14.1</v>
      </c>
      <c r="AJ66" s="30">
        <v>13.8</v>
      </c>
      <c r="AK66" s="30">
        <v>14.5</v>
      </c>
      <c r="AL66" s="31">
        <v>26.1</v>
      </c>
      <c r="AM66" s="30">
        <v>32.6</v>
      </c>
      <c r="AN66" s="30">
        <v>32.700000000000003</v>
      </c>
      <c r="AO66" s="30">
        <v>30.5</v>
      </c>
      <c r="AP66" s="31">
        <v>22.5</v>
      </c>
      <c r="AQ66" s="30">
        <v>20.9</v>
      </c>
      <c r="AR66" s="30">
        <v>29.9</v>
      </c>
      <c r="AS66" s="30">
        <v>36.5</v>
      </c>
      <c r="AT66" s="31">
        <v>40.6</v>
      </c>
      <c r="AU66" s="367"/>
      <c r="AV66" s="469"/>
      <c r="AW66" s="469"/>
      <c r="AX66" s="469"/>
    </row>
    <row r="67" spans="1:50" s="268" customFormat="1" ht="11.25">
      <c r="A67" s="37" t="s">
        <v>269</v>
      </c>
      <c r="B67" s="37"/>
      <c r="C67" s="368"/>
      <c r="D67" s="369"/>
      <c r="E67" s="369"/>
      <c r="F67" s="369"/>
      <c r="G67" s="368"/>
      <c r="H67" s="30"/>
      <c r="I67" s="30"/>
      <c r="J67" s="31"/>
      <c r="K67" s="29"/>
      <c r="L67" s="30"/>
      <c r="M67" s="30"/>
      <c r="N67" s="31"/>
      <c r="O67" s="29"/>
      <c r="P67" s="30"/>
      <c r="Q67" s="30"/>
      <c r="R67" s="31"/>
      <c r="S67" s="29"/>
      <c r="T67" s="30"/>
      <c r="U67" s="30"/>
      <c r="V67" s="31"/>
      <c r="W67" s="29"/>
      <c r="X67" s="30"/>
      <c r="Y67" s="30"/>
      <c r="Z67" s="31"/>
      <c r="AA67" s="29"/>
      <c r="AB67" s="30"/>
      <c r="AC67" s="30"/>
      <c r="AD67" s="31"/>
      <c r="AE67" s="29"/>
      <c r="AF67" s="30"/>
      <c r="AG67" s="30"/>
      <c r="AH67" s="31"/>
      <c r="AI67" s="30"/>
      <c r="AJ67" s="30"/>
      <c r="AK67" s="30"/>
      <c r="AL67" s="31"/>
      <c r="AM67" s="30"/>
      <c r="AN67" s="30"/>
      <c r="AO67" s="30"/>
      <c r="AP67" s="31"/>
      <c r="AQ67" s="30"/>
      <c r="AR67" s="30"/>
      <c r="AS67" s="30"/>
      <c r="AT67" s="31"/>
      <c r="AU67" s="364"/>
      <c r="AV67" s="468"/>
      <c r="AW67" s="468"/>
      <c r="AX67" s="468"/>
    </row>
    <row r="68" spans="1:50" s="270" customFormat="1" ht="11.25">
      <c r="A68" s="37" t="s">
        <v>322</v>
      </c>
      <c r="B68" s="37" t="s">
        <v>351</v>
      </c>
      <c r="C68" s="370"/>
      <c r="D68" s="371"/>
      <c r="E68" s="371"/>
      <c r="F68" s="371"/>
      <c r="G68" s="370"/>
      <c r="H68" s="372">
        <f t="shared" ref="H68:AQ68" si="33">H62/H60</f>
        <v>1.584045988431922E-2</v>
      </c>
      <c r="I68" s="372">
        <f t="shared" si="33"/>
        <v>1.6628261022207186E-2</v>
      </c>
      <c r="J68" s="373">
        <f t="shared" si="33"/>
        <v>2.0456430802901666E-2</v>
      </c>
      <c r="K68" s="374">
        <f t="shared" si="33"/>
        <v>4.2444589865422371E-2</v>
      </c>
      <c r="L68" s="372">
        <f t="shared" si="33"/>
        <v>4.9968197281888782E-2</v>
      </c>
      <c r="M68" s="372">
        <f t="shared" si="33"/>
        <v>4.6896209823062127E-2</v>
      </c>
      <c r="N68" s="373">
        <f t="shared" si="33"/>
        <v>5.5212842098087994E-2</v>
      </c>
      <c r="O68" s="374">
        <f t="shared" si="33"/>
        <v>5.9905391312364241E-2</v>
      </c>
      <c r="P68" s="372">
        <f t="shared" si="33"/>
        <v>5.850097538889789E-2</v>
      </c>
      <c r="Q68" s="372">
        <f t="shared" si="33"/>
        <v>5.978953997953132E-2</v>
      </c>
      <c r="R68" s="373">
        <f t="shared" si="33"/>
        <v>6.0132254193581335E-2</v>
      </c>
      <c r="S68" s="374">
        <f t="shared" si="33"/>
        <v>5.9495291902071562E-2</v>
      </c>
      <c r="T68" s="372">
        <f t="shared" si="33"/>
        <v>5.4714945776691615E-2</v>
      </c>
      <c r="U68" s="372">
        <f t="shared" si="33"/>
        <v>5.3144521998695182E-2</v>
      </c>
      <c r="V68" s="373">
        <f>V62/V60</f>
        <v>4.6334003892514269E-2</v>
      </c>
      <c r="W68" s="374">
        <f t="shared" si="33"/>
        <v>3.9611229942938378E-2</v>
      </c>
      <c r="X68" s="372">
        <f t="shared" si="33"/>
        <v>5.0694324363868531E-2</v>
      </c>
      <c r="Y68" s="372">
        <f t="shared" si="33"/>
        <v>5.0169832931790358E-2</v>
      </c>
      <c r="Z68" s="373">
        <f t="shared" si="33"/>
        <v>4.6097463016266146E-2</v>
      </c>
      <c r="AA68" s="374">
        <f t="shared" si="33"/>
        <v>5.0389762507404824E-2</v>
      </c>
      <c r="AB68" s="372">
        <f t="shared" si="33"/>
        <v>5.4853859982975255E-2</v>
      </c>
      <c r="AC68" s="372">
        <f t="shared" si="33"/>
        <v>5.4318636320350444E-2</v>
      </c>
      <c r="AD68" s="373">
        <f t="shared" si="33"/>
        <v>5.7617038580796025E-2</v>
      </c>
      <c r="AE68" s="374">
        <f t="shared" si="33"/>
        <v>5.7559704002690885E-2</v>
      </c>
      <c r="AF68" s="372">
        <f t="shared" si="33"/>
        <v>5.3056297222064418E-2</v>
      </c>
      <c r="AG68" s="372">
        <f t="shared" si="33"/>
        <v>5.0539756871179842E-2</v>
      </c>
      <c r="AH68" s="373">
        <f t="shared" si="33"/>
        <v>4.892730233734173E-2</v>
      </c>
      <c r="AI68" s="372">
        <f t="shared" si="33"/>
        <v>5.5871276780133712E-2</v>
      </c>
      <c r="AJ68" s="372">
        <f t="shared" si="33"/>
        <v>4.5675533022454015E-2</v>
      </c>
      <c r="AK68" s="372">
        <f t="shared" si="33"/>
        <v>3.8954350550069551E-2</v>
      </c>
      <c r="AL68" s="373">
        <f t="shared" si="33"/>
        <v>3.9597737272155882E-2</v>
      </c>
      <c r="AM68" s="372">
        <f t="shared" si="33"/>
        <v>4.2661586851548312E-2</v>
      </c>
      <c r="AN68" s="372">
        <f>AN62/AN60</f>
        <v>3.6021328674352836E-2</v>
      </c>
      <c r="AO68" s="372">
        <f>AO62/AO60</f>
        <v>3.5130478898248656E-2</v>
      </c>
      <c r="AP68" s="373">
        <f t="shared" si="33"/>
        <v>3.2172910831609398E-2</v>
      </c>
      <c r="AQ68" s="372">
        <f t="shared" si="33"/>
        <v>3.1847972794961064E-2</v>
      </c>
      <c r="AR68" s="372">
        <f>AR62/AR60</f>
        <v>3.3136995314841093E-2</v>
      </c>
      <c r="AS68" s="372">
        <f>AS62/AS60</f>
        <v>3.3183815188663493E-2</v>
      </c>
      <c r="AT68" s="373">
        <f>AT62/AT60</f>
        <v>3.4867836366247143E-2</v>
      </c>
      <c r="AU68" s="367"/>
      <c r="AV68" s="469"/>
      <c r="AW68" s="469"/>
      <c r="AX68" s="469"/>
    </row>
    <row r="69" spans="1:50" s="270" customFormat="1" ht="11.25">
      <c r="A69" s="37" t="s">
        <v>270</v>
      </c>
      <c r="B69" s="37" t="s">
        <v>352</v>
      </c>
      <c r="C69" s="370"/>
      <c r="D69" s="371"/>
      <c r="E69" s="371"/>
      <c r="F69" s="371"/>
      <c r="G69" s="370"/>
      <c r="H69" s="372">
        <f t="shared" ref="H69:AQ69" si="34">H65/H62</f>
        <v>0.82795698924731187</v>
      </c>
      <c r="I69" s="372">
        <f t="shared" si="34"/>
        <v>0.74049904030710179</v>
      </c>
      <c r="J69" s="373">
        <f t="shared" si="34"/>
        <v>0.74259419039401786</v>
      </c>
      <c r="K69" s="374">
        <f t="shared" si="34"/>
        <v>0.54806274299503954</v>
      </c>
      <c r="L69" s="372">
        <f t="shared" si="34"/>
        <v>0.5530771925726965</v>
      </c>
      <c r="M69" s="372">
        <f t="shared" si="34"/>
        <v>0.63214195821797126</v>
      </c>
      <c r="N69" s="373">
        <f t="shared" si="34"/>
        <v>0.58786008230452669</v>
      </c>
      <c r="O69" s="374">
        <f t="shared" si="34"/>
        <v>0.58112917187650281</v>
      </c>
      <c r="P69" s="372">
        <f t="shared" si="34"/>
        <v>0.60796866042423081</v>
      </c>
      <c r="Q69" s="372">
        <f t="shared" si="34"/>
        <v>0.6020891853932584</v>
      </c>
      <c r="R69" s="373">
        <f t="shared" si="34"/>
        <v>0.60512907608695654</v>
      </c>
      <c r="S69" s="374">
        <f t="shared" si="34"/>
        <v>0.61576770490419508</v>
      </c>
      <c r="T69" s="372">
        <f t="shared" si="34"/>
        <v>0.63508680101195147</v>
      </c>
      <c r="U69" s="372">
        <f t="shared" si="34"/>
        <v>0.62540990498612625</v>
      </c>
      <c r="V69" s="373">
        <f>V65/V62</f>
        <v>0.58506883162725021</v>
      </c>
      <c r="W69" s="374">
        <f t="shared" si="34"/>
        <v>0.60203131612357175</v>
      </c>
      <c r="X69" s="372">
        <f t="shared" si="34"/>
        <v>0.50737946867825512</v>
      </c>
      <c r="Y69" s="372">
        <f t="shared" si="34"/>
        <v>0.54379059240307026</v>
      </c>
      <c r="Z69" s="373">
        <f t="shared" si="34"/>
        <v>0.65018514484861689</v>
      </c>
      <c r="AA69" s="374">
        <f t="shared" si="34"/>
        <v>0.60490281210339991</v>
      </c>
      <c r="AB69" s="372">
        <f t="shared" si="34"/>
        <v>0.56662672258837621</v>
      </c>
      <c r="AC69" s="372">
        <f t="shared" si="34"/>
        <v>0.57152875175315576</v>
      </c>
      <c r="AD69" s="373">
        <f t="shared" si="34"/>
        <v>0.56219673577415086</v>
      </c>
      <c r="AE69" s="374">
        <f t="shared" si="34"/>
        <v>0.55400187832620262</v>
      </c>
      <c r="AF69" s="372">
        <f t="shared" si="34"/>
        <v>0.54713849777825374</v>
      </c>
      <c r="AG69" s="372">
        <f t="shared" si="34"/>
        <v>0.5619781285352583</v>
      </c>
      <c r="AH69" s="373">
        <f t="shared" si="34"/>
        <v>0.5969104245387864</v>
      </c>
      <c r="AI69" s="372">
        <f t="shared" si="34"/>
        <v>0.52531139835487672</v>
      </c>
      <c r="AJ69" s="372">
        <f t="shared" si="34"/>
        <v>0.51078717201166179</v>
      </c>
      <c r="AK69" s="372">
        <f t="shared" si="34"/>
        <v>0.53378976568494363</v>
      </c>
      <c r="AL69" s="373">
        <f t="shared" si="34"/>
        <v>0.55080523693662375</v>
      </c>
      <c r="AM69" s="372">
        <f t="shared" si="34"/>
        <v>0.51697819314641746</v>
      </c>
      <c r="AN69" s="372">
        <f>AN65/AN62</f>
        <v>0.53700702323068605</v>
      </c>
      <c r="AO69" s="372">
        <f>AO65/AO62</f>
        <v>0.55695288525182018</v>
      </c>
      <c r="AP69" s="373">
        <f t="shared" si="34"/>
        <v>0.56537286262271635</v>
      </c>
      <c r="AQ69" s="372">
        <f t="shared" si="34"/>
        <v>0.56283805281578114</v>
      </c>
      <c r="AR69" s="372">
        <f>AR65/AR62</f>
        <v>0.51543062200956935</v>
      </c>
      <c r="AS69" s="372">
        <f>AS65/AS62</f>
        <v>0.52860200127248536</v>
      </c>
      <c r="AT69" s="373">
        <f>AT65/AT62</f>
        <v>0.53464299627135625</v>
      </c>
      <c r="AU69" s="367"/>
      <c r="AV69" s="469"/>
      <c r="AW69" s="469"/>
      <c r="AX69" s="469"/>
    </row>
    <row r="70" spans="1:50" s="270" customFormat="1" ht="11.25">
      <c r="A70" s="37"/>
      <c r="B70" s="37"/>
      <c r="C70" s="368"/>
      <c r="D70" s="369"/>
      <c r="E70" s="369"/>
      <c r="F70" s="369"/>
      <c r="G70" s="368"/>
      <c r="H70" s="30"/>
      <c r="I70" s="30"/>
      <c r="J70" s="31"/>
      <c r="K70" s="29"/>
      <c r="L70" s="30"/>
      <c r="M70" s="30"/>
      <c r="N70" s="31"/>
      <c r="O70" s="29"/>
      <c r="P70" s="30"/>
      <c r="Q70" s="30"/>
      <c r="R70" s="31"/>
      <c r="S70" s="29"/>
      <c r="T70" s="30"/>
      <c r="U70" s="30"/>
      <c r="V70" s="31"/>
      <c r="W70" s="29"/>
      <c r="X70" s="30"/>
      <c r="Y70" s="30"/>
      <c r="Z70" s="31"/>
      <c r="AA70" s="29"/>
      <c r="AB70" s="30"/>
      <c r="AC70" s="30"/>
      <c r="AD70" s="31"/>
      <c r="AE70" s="29"/>
      <c r="AF70" s="30"/>
      <c r="AG70" s="30"/>
      <c r="AH70" s="31"/>
      <c r="AI70" s="30"/>
      <c r="AJ70" s="30"/>
      <c r="AK70" s="30"/>
      <c r="AL70" s="31"/>
      <c r="AM70" s="30"/>
      <c r="AN70" s="30"/>
      <c r="AO70" s="30"/>
      <c r="AP70" s="31"/>
      <c r="AQ70" s="30"/>
      <c r="AR70" s="30"/>
      <c r="AS70" s="30"/>
      <c r="AT70" s="31"/>
      <c r="AU70" s="364"/>
      <c r="AV70" s="468"/>
      <c r="AW70" s="468"/>
      <c r="AX70" s="468"/>
    </row>
    <row r="71" spans="1:50" s="270" customFormat="1" ht="11.25">
      <c r="A71" s="55" t="s">
        <v>271</v>
      </c>
      <c r="B71" s="55" t="s">
        <v>104</v>
      </c>
      <c r="C71" s="368"/>
      <c r="D71" s="369"/>
      <c r="E71" s="369"/>
      <c r="F71" s="369"/>
      <c r="G71" s="368"/>
      <c r="H71" s="30"/>
      <c r="I71" s="30"/>
      <c r="J71" s="31"/>
      <c r="K71" s="29"/>
      <c r="L71" s="30"/>
      <c r="M71" s="30"/>
      <c r="N71" s="31"/>
      <c r="O71" s="29"/>
      <c r="P71" s="30"/>
      <c r="Q71" s="30"/>
      <c r="R71" s="31"/>
      <c r="S71" s="29"/>
      <c r="T71" s="30"/>
      <c r="U71" s="30"/>
      <c r="V71" s="31"/>
      <c r="W71" s="29"/>
      <c r="X71" s="30"/>
      <c r="Y71" s="30"/>
      <c r="Z71" s="31"/>
      <c r="AA71" s="29"/>
      <c r="AB71" s="30"/>
      <c r="AC71" s="30"/>
      <c r="AD71" s="31"/>
      <c r="AE71" s="29"/>
      <c r="AF71" s="30"/>
      <c r="AG71" s="30"/>
      <c r="AH71" s="31"/>
      <c r="AI71" s="30"/>
      <c r="AJ71" s="30"/>
      <c r="AK71" s="30"/>
      <c r="AL71" s="31"/>
      <c r="AM71" s="30"/>
      <c r="AN71" s="30"/>
      <c r="AO71" s="30"/>
      <c r="AP71" s="31"/>
      <c r="AQ71" s="30"/>
      <c r="AR71" s="30"/>
      <c r="AS71" s="30"/>
      <c r="AT71" s="31"/>
      <c r="AU71" s="364"/>
      <c r="AV71" s="468"/>
      <c r="AW71" s="468"/>
      <c r="AX71" s="468"/>
    </row>
    <row r="72" spans="1:50" s="270" customFormat="1" ht="11.25">
      <c r="A72" s="55" t="s">
        <v>263</v>
      </c>
      <c r="B72" s="55" t="s">
        <v>97</v>
      </c>
      <c r="C72" s="365"/>
      <c r="D72" s="366"/>
      <c r="E72" s="366"/>
      <c r="F72" s="366"/>
      <c r="G72" s="365"/>
      <c r="H72" s="35">
        <f t="shared" ref="H72:AQ72" si="35">H73+H74</f>
        <v>5723.8</v>
      </c>
      <c r="I72" s="35">
        <f t="shared" si="35"/>
        <v>6439.6</v>
      </c>
      <c r="J72" s="36">
        <f t="shared" si="35"/>
        <v>7300.9000000000005</v>
      </c>
      <c r="K72" s="34">
        <f t="shared" si="35"/>
        <v>8041</v>
      </c>
      <c r="L72" s="35">
        <f t="shared" si="35"/>
        <v>8639.7999999999993</v>
      </c>
      <c r="M72" s="35">
        <f t="shared" si="35"/>
        <v>9190.2000000000007</v>
      </c>
      <c r="N72" s="36">
        <f t="shared" si="35"/>
        <v>9756.8000000000011</v>
      </c>
      <c r="O72" s="34">
        <f t="shared" si="35"/>
        <v>10220.700000000001</v>
      </c>
      <c r="P72" s="35">
        <f t="shared" si="35"/>
        <v>11104.1</v>
      </c>
      <c r="Q72" s="35">
        <f t="shared" si="35"/>
        <v>11614.3</v>
      </c>
      <c r="R72" s="36">
        <f t="shared" si="35"/>
        <v>12594.8</v>
      </c>
      <c r="S72" s="34">
        <f t="shared" si="35"/>
        <v>13076.2</v>
      </c>
      <c r="T72" s="35">
        <f t="shared" si="35"/>
        <v>13804.3</v>
      </c>
      <c r="U72" s="35">
        <f t="shared" si="35"/>
        <v>14540.6</v>
      </c>
      <c r="V72" s="36">
        <f t="shared" si="35"/>
        <v>15008.9</v>
      </c>
      <c r="W72" s="34">
        <f t="shared" si="35"/>
        <v>15278.5</v>
      </c>
      <c r="X72" s="35">
        <f t="shared" si="35"/>
        <v>15835.199999999999</v>
      </c>
      <c r="Y72" s="35">
        <f t="shared" si="35"/>
        <v>16362.1</v>
      </c>
      <c r="Z72" s="36">
        <f t="shared" si="35"/>
        <v>16632</v>
      </c>
      <c r="AA72" s="34">
        <f t="shared" si="35"/>
        <v>16960</v>
      </c>
      <c r="AB72" s="35">
        <f t="shared" si="35"/>
        <v>17710.400000000001</v>
      </c>
      <c r="AC72" s="35">
        <f t="shared" si="35"/>
        <v>18261.5</v>
      </c>
      <c r="AD72" s="36">
        <f t="shared" si="35"/>
        <v>18505.5</v>
      </c>
      <c r="AE72" s="34">
        <f t="shared" si="35"/>
        <v>19048.599999999999</v>
      </c>
      <c r="AF72" s="35">
        <f t="shared" si="35"/>
        <v>19893.099999999999</v>
      </c>
      <c r="AG72" s="35">
        <f t="shared" si="35"/>
        <v>21021.3</v>
      </c>
      <c r="AH72" s="36">
        <f t="shared" si="35"/>
        <v>21969.399999999998</v>
      </c>
      <c r="AI72" s="35">
        <f t="shared" si="35"/>
        <v>23244.499999999996</v>
      </c>
      <c r="AJ72" s="35">
        <f t="shared" si="35"/>
        <v>24641.5</v>
      </c>
      <c r="AK72" s="35">
        <f t="shared" si="35"/>
        <v>25551.999999999996</v>
      </c>
      <c r="AL72" s="36">
        <f t="shared" si="35"/>
        <v>26453.5</v>
      </c>
      <c r="AM72" s="35">
        <f t="shared" si="35"/>
        <v>27761</v>
      </c>
      <c r="AN72" s="35">
        <f>AN73+AN74</f>
        <v>29563.200000000001</v>
      </c>
      <c r="AO72" s="35">
        <f>AO73+AO74</f>
        <v>30581.8</v>
      </c>
      <c r="AP72" s="36">
        <f t="shared" si="35"/>
        <v>31640.600000000002</v>
      </c>
      <c r="AQ72" s="35">
        <f t="shared" si="35"/>
        <v>32786.200000000004</v>
      </c>
      <c r="AR72" s="35">
        <f>AR73+AR74</f>
        <v>34321.300000000003</v>
      </c>
      <c r="AS72" s="35">
        <f>AS73+AS74</f>
        <v>35795.299999999996</v>
      </c>
      <c r="AT72" s="36">
        <f>AT73+AT74</f>
        <v>37509</v>
      </c>
      <c r="AU72" s="367"/>
      <c r="AV72" s="469"/>
      <c r="AW72" s="469"/>
      <c r="AX72" s="469"/>
    </row>
    <row r="73" spans="1:50" s="270" customFormat="1" ht="11.25">
      <c r="A73" s="28" t="s">
        <v>693</v>
      </c>
      <c r="B73" s="28" t="s">
        <v>98</v>
      </c>
      <c r="C73" s="368"/>
      <c r="D73" s="369"/>
      <c r="E73" s="369"/>
      <c r="F73" s="369"/>
      <c r="G73" s="368"/>
      <c r="H73" s="30">
        <v>5582.2</v>
      </c>
      <c r="I73" s="30">
        <v>6306.1</v>
      </c>
      <c r="J73" s="31">
        <v>7146.3</v>
      </c>
      <c r="K73" s="29">
        <v>7889</v>
      </c>
      <c r="L73" s="30">
        <v>8469.5</v>
      </c>
      <c r="M73" s="30">
        <v>9018.2000000000007</v>
      </c>
      <c r="N73" s="31">
        <v>9564.1</v>
      </c>
      <c r="O73" s="29">
        <v>9982.2000000000007</v>
      </c>
      <c r="P73" s="30">
        <v>10841.9</v>
      </c>
      <c r="Q73" s="30">
        <v>11323</v>
      </c>
      <c r="R73" s="31">
        <v>12264.8</v>
      </c>
      <c r="S73" s="29">
        <v>12736</v>
      </c>
      <c r="T73" s="30">
        <v>13432.4</v>
      </c>
      <c r="U73" s="30">
        <v>14140.6</v>
      </c>
      <c r="V73" s="31">
        <v>14589.1</v>
      </c>
      <c r="W73" s="29">
        <v>14837.9</v>
      </c>
      <c r="X73" s="30">
        <v>15370.199999999999</v>
      </c>
      <c r="Y73" s="30">
        <v>15863.2</v>
      </c>
      <c r="Z73" s="31">
        <v>16114.3</v>
      </c>
      <c r="AA73" s="29">
        <v>16421.8</v>
      </c>
      <c r="AB73" s="30">
        <v>17092.2</v>
      </c>
      <c r="AC73" s="30">
        <v>17778.400000000001</v>
      </c>
      <c r="AD73" s="31">
        <v>18004.5</v>
      </c>
      <c r="AE73" s="29">
        <v>18532</v>
      </c>
      <c r="AF73" s="30">
        <v>19363</v>
      </c>
      <c r="AG73" s="30">
        <v>20470.8</v>
      </c>
      <c r="AH73" s="31">
        <v>21389.599999999999</v>
      </c>
      <c r="AI73" s="30">
        <v>22632.199999999997</v>
      </c>
      <c r="AJ73" s="30">
        <v>24009.8</v>
      </c>
      <c r="AK73" s="30">
        <v>25032.899999999998</v>
      </c>
      <c r="AL73" s="31">
        <v>25911.3</v>
      </c>
      <c r="AM73" s="30">
        <v>27254</v>
      </c>
      <c r="AN73" s="30">
        <v>29018.100000000002</v>
      </c>
      <c r="AO73" s="30">
        <v>30084</v>
      </c>
      <c r="AP73" s="31">
        <v>31101.9</v>
      </c>
      <c r="AQ73" s="30">
        <v>32192.9</v>
      </c>
      <c r="AR73" s="30">
        <v>33687.5</v>
      </c>
      <c r="AS73" s="30">
        <v>35152.1</v>
      </c>
      <c r="AT73" s="31">
        <v>36809</v>
      </c>
      <c r="AU73" s="367"/>
      <c r="AV73" s="469"/>
      <c r="AW73" s="469"/>
      <c r="AX73" s="469"/>
    </row>
    <row r="74" spans="1:50" s="270" customFormat="1" ht="11.25">
      <c r="A74" s="28" t="s">
        <v>264</v>
      </c>
      <c r="B74" s="28" t="s">
        <v>99</v>
      </c>
      <c r="C74" s="368"/>
      <c r="D74" s="369"/>
      <c r="E74" s="369"/>
      <c r="F74" s="369"/>
      <c r="G74" s="368"/>
      <c r="H74" s="30">
        <v>141.6</v>
      </c>
      <c r="I74" s="30">
        <v>133.5</v>
      </c>
      <c r="J74" s="31">
        <v>154.6</v>
      </c>
      <c r="K74" s="29">
        <v>152</v>
      </c>
      <c r="L74" s="30">
        <v>170.3</v>
      </c>
      <c r="M74" s="30">
        <v>172</v>
      </c>
      <c r="N74" s="31">
        <v>192.7</v>
      </c>
      <c r="O74" s="29">
        <v>238.5</v>
      </c>
      <c r="P74" s="30">
        <v>262.2</v>
      </c>
      <c r="Q74" s="30">
        <v>291.3</v>
      </c>
      <c r="R74" s="31">
        <v>330</v>
      </c>
      <c r="S74" s="29">
        <v>340.2</v>
      </c>
      <c r="T74" s="30">
        <v>371.9</v>
      </c>
      <c r="U74" s="30">
        <v>400</v>
      </c>
      <c r="V74" s="31">
        <v>419.8</v>
      </c>
      <c r="W74" s="29">
        <v>440.6</v>
      </c>
      <c r="X74" s="30">
        <v>465</v>
      </c>
      <c r="Y74" s="30">
        <v>498.90000000000003</v>
      </c>
      <c r="Z74" s="31">
        <v>517.70000000000005</v>
      </c>
      <c r="AA74" s="29">
        <v>538.20000000000005</v>
      </c>
      <c r="AB74" s="30">
        <v>618.20000000000005</v>
      </c>
      <c r="AC74" s="30">
        <v>483.1</v>
      </c>
      <c r="AD74" s="31">
        <v>501</v>
      </c>
      <c r="AE74" s="29">
        <v>516.6</v>
      </c>
      <c r="AF74" s="30">
        <v>530.1</v>
      </c>
      <c r="AG74" s="30">
        <v>550.5</v>
      </c>
      <c r="AH74" s="31">
        <v>579.79999999999995</v>
      </c>
      <c r="AI74" s="30">
        <v>612.29999999999995</v>
      </c>
      <c r="AJ74" s="30">
        <v>631.70000000000005</v>
      </c>
      <c r="AK74" s="30">
        <v>519.1</v>
      </c>
      <c r="AL74" s="31">
        <v>542.20000000000005</v>
      </c>
      <c r="AM74" s="30">
        <v>507</v>
      </c>
      <c r="AN74" s="30">
        <v>545.1</v>
      </c>
      <c r="AO74" s="30">
        <v>497.8</v>
      </c>
      <c r="AP74" s="31">
        <v>538.70000000000005</v>
      </c>
      <c r="AQ74" s="30">
        <v>593.29999999999995</v>
      </c>
      <c r="AR74" s="30">
        <v>633.79999999999995</v>
      </c>
      <c r="AS74" s="30">
        <v>643.20000000000005</v>
      </c>
      <c r="AT74" s="31">
        <v>700</v>
      </c>
      <c r="AU74" s="367"/>
      <c r="AV74" s="469"/>
      <c r="AW74" s="469"/>
      <c r="AX74" s="469"/>
    </row>
    <row r="75" spans="1:50" s="19" customFormat="1" ht="11.25">
      <c r="A75" s="55" t="s">
        <v>265</v>
      </c>
      <c r="B75" s="55" t="s">
        <v>100</v>
      </c>
      <c r="C75" s="365"/>
      <c r="D75" s="366"/>
      <c r="E75" s="366"/>
      <c r="F75" s="366"/>
      <c r="G75" s="365"/>
      <c r="H75" s="35">
        <f t="shared" ref="H75:AT75" si="36">SUM(H76:H78)</f>
        <v>132.69999999999999</v>
      </c>
      <c r="I75" s="35">
        <f t="shared" si="36"/>
        <v>141.19999999999999</v>
      </c>
      <c r="J75" s="36">
        <f t="shared" si="36"/>
        <v>164.2</v>
      </c>
      <c r="K75" s="34">
        <f t="shared" si="36"/>
        <v>180.7</v>
      </c>
      <c r="L75" s="35">
        <f t="shared" si="36"/>
        <v>198.29999999999998</v>
      </c>
      <c r="M75" s="35">
        <f t="shared" si="36"/>
        <v>202.6</v>
      </c>
      <c r="N75" s="36">
        <f t="shared" si="36"/>
        <v>224.1</v>
      </c>
      <c r="O75" s="34">
        <f t="shared" si="36"/>
        <v>246</v>
      </c>
      <c r="P75" s="35">
        <f t="shared" si="36"/>
        <v>259</v>
      </c>
      <c r="Q75" s="35">
        <f t="shared" si="36"/>
        <v>280.89999999999998</v>
      </c>
      <c r="R75" s="36">
        <f t="shared" si="36"/>
        <v>305.5</v>
      </c>
      <c r="S75" s="34">
        <f t="shared" si="36"/>
        <v>334.9</v>
      </c>
      <c r="T75" s="35">
        <f t="shared" si="36"/>
        <v>348.7</v>
      </c>
      <c r="U75" s="35">
        <f t="shared" si="36"/>
        <v>369.59999999999997</v>
      </c>
      <c r="V75" s="36">
        <f t="shared" si="36"/>
        <v>382.79999999999995</v>
      </c>
      <c r="W75" s="34">
        <f t="shared" si="36"/>
        <v>400.9</v>
      </c>
      <c r="X75" s="35">
        <f t="shared" si="36"/>
        <v>426.70000000000005</v>
      </c>
      <c r="Y75" s="35">
        <f t="shared" si="36"/>
        <v>447.2</v>
      </c>
      <c r="Z75" s="36">
        <f t="shared" si="36"/>
        <v>470.5</v>
      </c>
      <c r="AA75" s="34">
        <f t="shared" si="36"/>
        <v>506.59999999999997</v>
      </c>
      <c r="AB75" s="35">
        <f t="shared" si="36"/>
        <v>569.4</v>
      </c>
      <c r="AC75" s="35">
        <f t="shared" si="36"/>
        <v>470.6</v>
      </c>
      <c r="AD75" s="36">
        <f t="shared" si="36"/>
        <v>486.9</v>
      </c>
      <c r="AE75" s="34">
        <f t="shared" si="36"/>
        <v>525</v>
      </c>
      <c r="AF75" s="35">
        <f t="shared" si="36"/>
        <v>536.80000000000007</v>
      </c>
      <c r="AG75" s="35">
        <f t="shared" si="36"/>
        <v>550.19999999999993</v>
      </c>
      <c r="AH75" s="36">
        <f t="shared" si="36"/>
        <v>566.6</v>
      </c>
      <c r="AI75" s="35">
        <f t="shared" si="36"/>
        <v>602</v>
      </c>
      <c r="AJ75" s="35">
        <f t="shared" si="36"/>
        <v>626.1</v>
      </c>
      <c r="AK75" s="35">
        <f t="shared" si="36"/>
        <v>514.70000000000005</v>
      </c>
      <c r="AL75" s="36">
        <f t="shared" si="36"/>
        <v>515.9</v>
      </c>
      <c r="AM75" s="35">
        <f t="shared" si="36"/>
        <v>494.6</v>
      </c>
      <c r="AN75" s="35">
        <f t="shared" si="36"/>
        <v>515.79999999999995</v>
      </c>
      <c r="AO75" s="35">
        <f t="shared" si="36"/>
        <v>468.3</v>
      </c>
      <c r="AP75" s="36">
        <f t="shared" si="36"/>
        <v>531.5</v>
      </c>
      <c r="AQ75" s="35">
        <f t="shared" si="36"/>
        <v>567.39999999999986</v>
      </c>
      <c r="AR75" s="35">
        <f t="shared" si="36"/>
        <v>606.5</v>
      </c>
      <c r="AS75" s="35">
        <f t="shared" si="36"/>
        <v>606.9</v>
      </c>
      <c r="AT75" s="36">
        <f t="shared" si="36"/>
        <v>633.09999999999991</v>
      </c>
      <c r="AU75" s="367"/>
      <c r="AV75" s="469"/>
      <c r="AW75" s="469"/>
      <c r="AX75" s="469"/>
    </row>
    <row r="76" spans="1:50" s="19" customFormat="1" ht="11.25">
      <c r="A76" s="32" t="s">
        <v>266</v>
      </c>
      <c r="B76" s="32" t="s">
        <v>105</v>
      </c>
      <c r="C76" s="368"/>
      <c r="D76" s="369"/>
      <c r="E76" s="369"/>
      <c r="F76" s="369"/>
      <c r="G76" s="368"/>
      <c r="H76" s="30">
        <v>28.5</v>
      </c>
      <c r="I76" s="30">
        <v>32.799999999999997</v>
      </c>
      <c r="J76" s="31">
        <v>44.9</v>
      </c>
      <c r="K76" s="29">
        <v>51.7</v>
      </c>
      <c r="L76" s="30">
        <v>56.6</v>
      </c>
      <c r="M76" s="30">
        <v>63.9</v>
      </c>
      <c r="N76" s="31">
        <v>75.900000000000006</v>
      </c>
      <c r="O76" s="29">
        <v>85.6</v>
      </c>
      <c r="P76" s="30">
        <v>88.1</v>
      </c>
      <c r="Q76" s="30">
        <v>92.2</v>
      </c>
      <c r="R76" s="31">
        <v>90.1</v>
      </c>
      <c r="S76" s="29">
        <v>98.4</v>
      </c>
      <c r="T76" s="30">
        <v>97.8</v>
      </c>
      <c r="U76" s="30">
        <v>98.7</v>
      </c>
      <c r="V76" s="31">
        <v>96.9</v>
      </c>
      <c r="W76" s="29">
        <v>95.899999999999991</v>
      </c>
      <c r="X76" s="30">
        <v>96.9</v>
      </c>
      <c r="Y76" s="30">
        <v>96</v>
      </c>
      <c r="Z76" s="31">
        <v>70.399999999999991</v>
      </c>
      <c r="AA76" s="29">
        <v>86.5</v>
      </c>
      <c r="AB76" s="30">
        <v>91.3</v>
      </c>
      <c r="AC76" s="30">
        <v>105.19999999999999</v>
      </c>
      <c r="AD76" s="31">
        <v>103.5</v>
      </c>
      <c r="AE76" s="29">
        <v>108.3</v>
      </c>
      <c r="AF76" s="30">
        <v>106.60000000000001</v>
      </c>
      <c r="AG76" s="30">
        <v>103.8</v>
      </c>
      <c r="AH76" s="31">
        <v>87.8</v>
      </c>
      <c r="AI76" s="30">
        <v>97.8</v>
      </c>
      <c r="AJ76" s="30">
        <v>101.5</v>
      </c>
      <c r="AK76" s="30">
        <v>106.5</v>
      </c>
      <c r="AL76" s="31">
        <v>101.7</v>
      </c>
      <c r="AM76" s="30">
        <v>103.3</v>
      </c>
      <c r="AN76" s="30">
        <v>99.7</v>
      </c>
      <c r="AO76" s="30">
        <v>104.1</v>
      </c>
      <c r="AP76" s="31">
        <v>141.9</v>
      </c>
      <c r="AQ76" s="30">
        <v>139.19999999999999</v>
      </c>
      <c r="AR76" s="30">
        <v>155.6</v>
      </c>
      <c r="AS76" s="30">
        <v>157</v>
      </c>
      <c r="AT76" s="31">
        <v>163.80000000000001</v>
      </c>
      <c r="AU76" s="367"/>
      <c r="AV76" s="469"/>
      <c r="AW76" s="469"/>
      <c r="AX76" s="469"/>
    </row>
    <row r="77" spans="1:50" s="19" customFormat="1" ht="11.25">
      <c r="A77" s="28" t="s">
        <v>267</v>
      </c>
      <c r="B77" s="28" t="s">
        <v>106</v>
      </c>
      <c r="C77" s="368"/>
      <c r="D77" s="369"/>
      <c r="E77" s="369"/>
      <c r="F77" s="369"/>
      <c r="G77" s="368"/>
      <c r="H77" s="30">
        <v>104.2</v>
      </c>
      <c r="I77" s="30">
        <v>108.4</v>
      </c>
      <c r="J77" s="31">
        <v>119.3</v>
      </c>
      <c r="K77" s="29">
        <v>129</v>
      </c>
      <c r="L77" s="30">
        <v>141.69999999999999</v>
      </c>
      <c r="M77" s="30">
        <v>138.69999999999999</v>
      </c>
      <c r="N77" s="31">
        <v>148.19999999999999</v>
      </c>
      <c r="O77" s="29">
        <v>160.4</v>
      </c>
      <c r="P77" s="30">
        <v>170.9</v>
      </c>
      <c r="Q77" s="30">
        <v>188.7</v>
      </c>
      <c r="R77" s="31">
        <v>215.4</v>
      </c>
      <c r="S77" s="29">
        <v>236.5</v>
      </c>
      <c r="T77" s="30">
        <v>250.9</v>
      </c>
      <c r="U77" s="30">
        <v>270.89999999999998</v>
      </c>
      <c r="V77" s="31">
        <v>285.89999999999998</v>
      </c>
      <c r="W77" s="29">
        <v>305</v>
      </c>
      <c r="X77" s="30">
        <v>329.8</v>
      </c>
      <c r="Y77" s="30">
        <v>351.2</v>
      </c>
      <c r="Z77" s="31">
        <v>400.1</v>
      </c>
      <c r="AA77" s="29">
        <v>420.09999999999997</v>
      </c>
      <c r="AB77" s="30">
        <v>478.1</v>
      </c>
      <c r="AC77" s="30">
        <v>365.40000000000003</v>
      </c>
      <c r="AD77" s="31">
        <v>383.4</v>
      </c>
      <c r="AE77" s="29">
        <v>416.7</v>
      </c>
      <c r="AF77" s="30">
        <v>430.20000000000005</v>
      </c>
      <c r="AG77" s="30">
        <v>446.4</v>
      </c>
      <c r="AH77" s="31">
        <v>478.8</v>
      </c>
      <c r="AI77" s="30">
        <v>504.20000000000005</v>
      </c>
      <c r="AJ77" s="30">
        <v>524.5</v>
      </c>
      <c r="AK77" s="30">
        <v>408.1</v>
      </c>
      <c r="AL77" s="31">
        <v>414.2</v>
      </c>
      <c r="AM77" s="30">
        <v>382.8</v>
      </c>
      <c r="AN77" s="30">
        <v>407.3</v>
      </c>
      <c r="AO77" s="30">
        <v>355.5</v>
      </c>
      <c r="AP77" s="31">
        <v>385.3</v>
      </c>
      <c r="AQ77" s="30">
        <v>423.9</v>
      </c>
      <c r="AR77" s="30">
        <v>446</v>
      </c>
      <c r="AS77" s="30">
        <v>445</v>
      </c>
      <c r="AT77" s="31">
        <v>464</v>
      </c>
      <c r="AU77" s="367"/>
      <c r="AV77" s="469"/>
      <c r="AW77" s="469"/>
      <c r="AX77" s="469"/>
    </row>
    <row r="78" spans="1:50" s="268" customFormat="1" ht="11.25">
      <c r="A78" s="28" t="s">
        <v>268</v>
      </c>
      <c r="B78" s="28" t="s">
        <v>103</v>
      </c>
      <c r="C78" s="368"/>
      <c r="D78" s="369"/>
      <c r="E78" s="369"/>
      <c r="F78" s="369"/>
      <c r="G78" s="368"/>
      <c r="H78" s="30">
        <v>0</v>
      </c>
      <c r="I78" s="30">
        <v>0</v>
      </c>
      <c r="J78" s="31">
        <v>0</v>
      </c>
      <c r="K78" s="29">
        <v>0</v>
      </c>
      <c r="L78" s="30">
        <v>0</v>
      </c>
      <c r="M78" s="30">
        <v>0</v>
      </c>
      <c r="N78" s="31">
        <v>0</v>
      </c>
      <c r="O78" s="29">
        <v>0</v>
      </c>
      <c r="P78" s="30">
        <v>0</v>
      </c>
      <c r="Q78" s="30">
        <v>0</v>
      </c>
      <c r="R78" s="31">
        <v>0</v>
      </c>
      <c r="S78" s="29">
        <v>0</v>
      </c>
      <c r="T78" s="30">
        <v>0</v>
      </c>
      <c r="U78" s="30">
        <v>0</v>
      </c>
      <c r="V78" s="31">
        <v>0</v>
      </c>
      <c r="W78" s="29">
        <v>0</v>
      </c>
      <c r="X78" s="30">
        <v>0</v>
      </c>
      <c r="Y78" s="30">
        <v>0</v>
      </c>
      <c r="Z78" s="31">
        <v>0</v>
      </c>
      <c r="AA78" s="29">
        <v>0</v>
      </c>
      <c r="AB78" s="30">
        <v>0</v>
      </c>
      <c r="AC78" s="30">
        <v>0</v>
      </c>
      <c r="AD78" s="31">
        <v>0</v>
      </c>
      <c r="AE78" s="29">
        <v>0</v>
      </c>
      <c r="AF78" s="30">
        <v>0</v>
      </c>
      <c r="AG78" s="30">
        <v>0</v>
      </c>
      <c r="AH78" s="31">
        <v>0</v>
      </c>
      <c r="AI78" s="30">
        <v>0</v>
      </c>
      <c r="AJ78" s="30">
        <v>0.1</v>
      </c>
      <c r="AK78" s="30">
        <v>0.1</v>
      </c>
      <c r="AL78" s="31">
        <v>0</v>
      </c>
      <c r="AM78" s="30">
        <v>8.5</v>
      </c>
      <c r="AN78" s="30">
        <v>8.8000000000000007</v>
      </c>
      <c r="AO78" s="30">
        <v>8.6999999999999993</v>
      </c>
      <c r="AP78" s="31">
        <v>4.3</v>
      </c>
      <c r="AQ78" s="30">
        <v>4.3</v>
      </c>
      <c r="AR78" s="30">
        <v>4.9000000000000004</v>
      </c>
      <c r="AS78" s="30">
        <v>4.9000000000000004</v>
      </c>
      <c r="AT78" s="31">
        <v>5.3</v>
      </c>
      <c r="AU78" s="367"/>
      <c r="AV78" s="469"/>
      <c r="AW78" s="469"/>
      <c r="AX78" s="469"/>
    </row>
    <row r="79" spans="1:50" s="19" customFormat="1" ht="11.25">
      <c r="A79" s="28" t="s">
        <v>269</v>
      </c>
      <c r="B79" s="28"/>
      <c r="C79" s="368"/>
      <c r="D79" s="369"/>
      <c r="E79" s="369"/>
      <c r="F79" s="369"/>
      <c r="G79" s="368"/>
      <c r="H79" s="30"/>
      <c r="I79" s="30"/>
      <c r="J79" s="31"/>
      <c r="K79" s="29"/>
      <c r="L79" s="30"/>
      <c r="M79" s="30"/>
      <c r="N79" s="31"/>
      <c r="O79" s="29"/>
      <c r="P79" s="30"/>
      <c r="Q79" s="30"/>
      <c r="R79" s="31"/>
      <c r="S79" s="29"/>
      <c r="T79" s="30"/>
      <c r="U79" s="30"/>
      <c r="V79" s="31"/>
      <c r="W79" s="29"/>
      <c r="X79" s="30"/>
      <c r="Y79" s="30"/>
      <c r="Z79" s="31"/>
      <c r="AA79" s="29"/>
      <c r="AB79" s="30"/>
      <c r="AC79" s="30"/>
      <c r="AD79" s="31"/>
      <c r="AE79" s="29"/>
      <c r="AF79" s="30"/>
      <c r="AG79" s="30"/>
      <c r="AH79" s="31"/>
      <c r="AI79" s="30"/>
      <c r="AJ79" s="30"/>
      <c r="AK79" s="30"/>
      <c r="AL79" s="31"/>
      <c r="AM79" s="30"/>
      <c r="AN79" s="30"/>
      <c r="AO79" s="30"/>
      <c r="AP79" s="31"/>
      <c r="AQ79" s="30"/>
      <c r="AR79" s="30"/>
      <c r="AS79" s="30"/>
      <c r="AT79" s="31"/>
      <c r="AU79" s="364"/>
      <c r="AV79" s="468"/>
      <c r="AW79" s="468"/>
      <c r="AX79" s="468"/>
    </row>
    <row r="80" spans="1:50" s="19" customFormat="1" ht="11.25">
      <c r="A80" s="28" t="s">
        <v>322</v>
      </c>
      <c r="B80" s="28" t="s">
        <v>353</v>
      </c>
      <c r="C80" s="370"/>
      <c r="D80" s="371"/>
      <c r="E80" s="371"/>
      <c r="F80" s="371"/>
      <c r="G80" s="370"/>
      <c r="H80" s="372">
        <f t="shared" ref="H80:AQ80" si="37">H74/H72</f>
        <v>2.4738809881547221E-2</v>
      </c>
      <c r="I80" s="372">
        <f t="shared" si="37"/>
        <v>2.0731101310640411E-2</v>
      </c>
      <c r="J80" s="373">
        <f t="shared" si="37"/>
        <v>2.1175471517210203E-2</v>
      </c>
      <c r="K80" s="374">
        <f t="shared" si="37"/>
        <v>1.890312150230071E-2</v>
      </c>
      <c r="L80" s="372">
        <f t="shared" si="37"/>
        <v>1.9711104423713516E-2</v>
      </c>
      <c r="M80" s="372">
        <f t="shared" si="37"/>
        <v>1.8715588344105676E-2</v>
      </c>
      <c r="N80" s="373">
        <f t="shared" si="37"/>
        <v>1.9750327976385696E-2</v>
      </c>
      <c r="O80" s="374">
        <f t="shared" si="37"/>
        <v>2.3334996624497343E-2</v>
      </c>
      <c r="P80" s="372">
        <f t="shared" si="37"/>
        <v>2.3612899739735772E-2</v>
      </c>
      <c r="Q80" s="372">
        <f t="shared" si="37"/>
        <v>2.5081149961685166E-2</v>
      </c>
      <c r="R80" s="373">
        <f t="shared" si="37"/>
        <v>2.6201289421030904E-2</v>
      </c>
      <c r="S80" s="374">
        <f t="shared" si="37"/>
        <v>2.6016732689925205E-2</v>
      </c>
      <c r="T80" s="372">
        <f t="shared" si="37"/>
        <v>2.6940880740059257E-2</v>
      </c>
      <c r="U80" s="372">
        <f t="shared" si="37"/>
        <v>2.7509181189221903E-2</v>
      </c>
      <c r="V80" s="373">
        <f t="shared" si="37"/>
        <v>2.7970071091152585E-2</v>
      </c>
      <c r="W80" s="374">
        <f t="shared" si="37"/>
        <v>2.8837909480642736E-2</v>
      </c>
      <c r="X80" s="372">
        <f t="shared" si="37"/>
        <v>2.936495907850864E-2</v>
      </c>
      <c r="Y80" s="372">
        <f t="shared" si="37"/>
        <v>3.0491196117857732E-2</v>
      </c>
      <c r="Z80" s="373">
        <f t="shared" si="37"/>
        <v>3.1126743626743631E-2</v>
      </c>
      <c r="AA80" s="374">
        <f t="shared" si="37"/>
        <v>3.1733490566037741E-2</v>
      </c>
      <c r="AB80" s="372">
        <f t="shared" si="37"/>
        <v>3.4906043906405275E-2</v>
      </c>
      <c r="AC80" s="372">
        <f t="shared" si="37"/>
        <v>2.6454562878186351E-2</v>
      </c>
      <c r="AD80" s="373">
        <f t="shared" si="37"/>
        <v>2.707303234173624E-2</v>
      </c>
      <c r="AE80" s="374">
        <f t="shared" si="37"/>
        <v>2.7120103314679296E-2</v>
      </c>
      <c r="AF80" s="372">
        <f t="shared" si="37"/>
        <v>2.6647430516108603E-2</v>
      </c>
      <c r="AG80" s="372">
        <f t="shared" si="37"/>
        <v>2.6187723880064507E-2</v>
      </c>
      <c r="AH80" s="373">
        <f t="shared" si="37"/>
        <v>2.6391253288665144E-2</v>
      </c>
      <c r="AI80" s="372">
        <f t="shared" si="37"/>
        <v>2.6341715244466435E-2</v>
      </c>
      <c r="AJ80" s="372">
        <f t="shared" si="37"/>
        <v>2.5635614715013293E-2</v>
      </c>
      <c r="AK80" s="372">
        <f t="shared" si="37"/>
        <v>2.0315435190983097E-2</v>
      </c>
      <c r="AL80" s="373">
        <f t="shared" si="37"/>
        <v>2.049634263897027E-2</v>
      </c>
      <c r="AM80" s="372">
        <f t="shared" si="37"/>
        <v>1.8263030870645871E-2</v>
      </c>
      <c r="AN80" s="372">
        <f>AN74/AN72</f>
        <v>1.8438464036369541E-2</v>
      </c>
      <c r="AO80" s="372">
        <f>AO74/AO72</f>
        <v>1.627765533748831E-2</v>
      </c>
      <c r="AP80" s="373">
        <f t="shared" si="37"/>
        <v>1.7025593699234527E-2</v>
      </c>
      <c r="AQ80" s="372">
        <f t="shared" si="37"/>
        <v>1.8096028206989523E-2</v>
      </c>
      <c r="AR80" s="372">
        <f>AR74/AR72</f>
        <v>1.8466666472423829E-2</v>
      </c>
      <c r="AS80" s="372">
        <f>AS74/AS72</f>
        <v>1.7968839484513333E-2</v>
      </c>
      <c r="AT80" s="373">
        <f>AT74/AT72</f>
        <v>1.8662187741608681E-2</v>
      </c>
      <c r="AU80" s="367"/>
      <c r="AV80" s="469"/>
      <c r="AW80" s="469"/>
      <c r="AX80" s="469"/>
    </row>
    <row r="81" spans="1:50" s="270" customFormat="1" ht="11.25">
      <c r="A81" s="28" t="s">
        <v>270</v>
      </c>
      <c r="B81" s="28" t="s">
        <v>352</v>
      </c>
      <c r="C81" s="370"/>
      <c r="D81" s="371"/>
      <c r="E81" s="371"/>
      <c r="F81" s="371"/>
      <c r="G81" s="370"/>
      <c r="H81" s="372">
        <f t="shared" ref="H81:AQ81" si="38">H77/H74</f>
        <v>0.73587570621468934</v>
      </c>
      <c r="I81" s="372">
        <f t="shared" si="38"/>
        <v>0.81198501872659179</v>
      </c>
      <c r="J81" s="373">
        <f t="shared" si="38"/>
        <v>0.77166882276843463</v>
      </c>
      <c r="K81" s="374">
        <f t="shared" si="38"/>
        <v>0.84868421052631582</v>
      </c>
      <c r="L81" s="372">
        <f t="shared" si="38"/>
        <v>0.83206106870228991</v>
      </c>
      <c r="M81" s="372">
        <f t="shared" si="38"/>
        <v>0.8063953488372092</v>
      </c>
      <c r="N81" s="373">
        <f t="shared" si="38"/>
        <v>0.7690710949662688</v>
      </c>
      <c r="O81" s="374">
        <f t="shared" si="38"/>
        <v>0.67253668763102725</v>
      </c>
      <c r="P81" s="372">
        <f t="shared" si="38"/>
        <v>0.65179252479023653</v>
      </c>
      <c r="Q81" s="372">
        <f t="shared" si="38"/>
        <v>0.64778578784757979</v>
      </c>
      <c r="R81" s="373">
        <f t="shared" si="38"/>
        <v>0.65272727272727271</v>
      </c>
      <c r="S81" s="374">
        <f t="shared" si="38"/>
        <v>0.69517930629041746</v>
      </c>
      <c r="T81" s="372">
        <f t="shared" si="38"/>
        <v>0.67464372143049212</v>
      </c>
      <c r="U81" s="372">
        <f t="shared" si="38"/>
        <v>0.67724999999999991</v>
      </c>
      <c r="V81" s="373">
        <f t="shared" si="38"/>
        <v>0.6810385898046688</v>
      </c>
      <c r="W81" s="374">
        <f t="shared" si="38"/>
        <v>0.69223785746709032</v>
      </c>
      <c r="X81" s="372">
        <f t="shared" si="38"/>
        <v>0.70924731182795697</v>
      </c>
      <c r="Y81" s="372">
        <f t="shared" si="38"/>
        <v>0.7039486871116456</v>
      </c>
      <c r="Z81" s="373">
        <f t="shared" si="38"/>
        <v>0.7728414139463009</v>
      </c>
      <c r="AA81" s="374">
        <f t="shared" si="38"/>
        <v>0.78056484578223695</v>
      </c>
      <c r="AB81" s="372">
        <f t="shared" si="38"/>
        <v>0.77337431252021993</v>
      </c>
      <c r="AC81" s="372">
        <f t="shared" si="38"/>
        <v>0.75636514179258951</v>
      </c>
      <c r="AD81" s="373">
        <f t="shared" si="38"/>
        <v>0.76526946107784422</v>
      </c>
      <c r="AE81" s="374">
        <f t="shared" si="38"/>
        <v>0.80662020905923337</v>
      </c>
      <c r="AF81" s="372">
        <f t="shared" si="38"/>
        <v>0.81154499151103565</v>
      </c>
      <c r="AG81" s="372">
        <f t="shared" si="38"/>
        <v>0.81089918256130789</v>
      </c>
      <c r="AH81" s="373">
        <f t="shared" si="38"/>
        <v>0.82580200068989318</v>
      </c>
      <c r="AI81" s="372">
        <f t="shared" si="38"/>
        <v>0.82345255593663247</v>
      </c>
      <c r="AJ81" s="372">
        <f t="shared" si="38"/>
        <v>0.83029919265474117</v>
      </c>
      <c r="AK81" s="372">
        <f t="shared" si="38"/>
        <v>0.78616836832980164</v>
      </c>
      <c r="AL81" s="373">
        <f t="shared" si="38"/>
        <v>0.76392475101438573</v>
      </c>
      <c r="AM81" s="372">
        <f t="shared" si="38"/>
        <v>0.75502958579881663</v>
      </c>
      <c r="AN81" s="372">
        <f>AN77/AN74</f>
        <v>0.74720234819299214</v>
      </c>
      <c r="AO81" s="372">
        <f>AO77/AO74</f>
        <v>0.71414222579349129</v>
      </c>
      <c r="AP81" s="373">
        <f t="shared" si="38"/>
        <v>0.71524039354000368</v>
      </c>
      <c r="AQ81" s="372">
        <f t="shared" si="38"/>
        <v>0.71447834147985845</v>
      </c>
      <c r="AR81" s="372">
        <f>AR77/AR74</f>
        <v>0.70369201640896184</v>
      </c>
      <c r="AS81" s="372">
        <f>AS77/AS74</f>
        <v>0.69185323383084574</v>
      </c>
      <c r="AT81" s="373">
        <f>AT77/AT74</f>
        <v>0.66285714285714281</v>
      </c>
      <c r="AU81" s="367"/>
      <c r="AV81" s="469"/>
      <c r="AW81" s="469"/>
      <c r="AX81" s="469"/>
    </row>
    <row r="82" spans="1:50" s="19" customFormat="1" ht="11.25">
      <c r="A82" s="28"/>
      <c r="B82" s="28"/>
      <c r="C82" s="375"/>
      <c r="D82" s="376"/>
      <c r="E82" s="376"/>
      <c r="F82" s="376"/>
      <c r="G82" s="375"/>
      <c r="H82" s="61"/>
      <c r="I82" s="61"/>
      <c r="J82" s="272"/>
      <c r="K82" s="128"/>
      <c r="L82" s="61"/>
      <c r="M82" s="61"/>
      <c r="N82" s="272"/>
      <c r="O82" s="128"/>
      <c r="P82" s="61"/>
      <c r="Q82" s="61"/>
      <c r="R82" s="272"/>
      <c r="S82" s="128"/>
      <c r="T82" s="61"/>
      <c r="U82" s="61"/>
      <c r="V82" s="272"/>
      <c r="W82" s="128"/>
      <c r="X82" s="61"/>
      <c r="Y82" s="61"/>
      <c r="Z82" s="272"/>
      <c r="AA82" s="128"/>
      <c r="AB82" s="61"/>
      <c r="AC82" s="61"/>
      <c r="AD82" s="272"/>
      <c r="AE82" s="128"/>
      <c r="AF82" s="61"/>
      <c r="AG82" s="61"/>
      <c r="AH82" s="272"/>
      <c r="AI82" s="61"/>
      <c r="AJ82" s="61"/>
      <c r="AK82" s="61"/>
      <c r="AL82" s="272"/>
      <c r="AM82" s="61"/>
      <c r="AN82" s="61"/>
      <c r="AO82" s="61"/>
      <c r="AP82" s="272"/>
      <c r="AQ82" s="61"/>
      <c r="AR82" s="61"/>
      <c r="AS82" s="61"/>
      <c r="AT82" s="272"/>
      <c r="AU82" s="377"/>
      <c r="AV82" s="250"/>
      <c r="AW82" s="250"/>
      <c r="AX82" s="250"/>
    </row>
    <row r="83" spans="1:50" s="271" customFormat="1" ht="11.25">
      <c r="A83" s="57" t="s">
        <v>272</v>
      </c>
      <c r="B83" s="57" t="s">
        <v>107</v>
      </c>
      <c r="C83" s="352"/>
      <c r="D83" s="378"/>
      <c r="E83" s="378"/>
      <c r="F83" s="378"/>
      <c r="G83" s="352"/>
      <c r="H83" s="43">
        <f>H60+H72</f>
        <v>19814.3</v>
      </c>
      <c r="I83" s="43">
        <f t="shared" ref="I83:AQ83" si="39">I60+I72</f>
        <v>22105.7</v>
      </c>
      <c r="J83" s="44">
        <f t="shared" si="39"/>
        <v>24298.000000000004</v>
      </c>
      <c r="K83" s="42">
        <f t="shared" si="39"/>
        <v>25614.5</v>
      </c>
      <c r="L83" s="43">
        <f t="shared" si="39"/>
        <v>25776.7</v>
      </c>
      <c r="M83" s="43">
        <f t="shared" si="39"/>
        <v>26134</v>
      </c>
      <c r="N83" s="44">
        <f t="shared" si="39"/>
        <v>27361.4</v>
      </c>
      <c r="O83" s="42">
        <f t="shared" si="39"/>
        <v>27576.400000000001</v>
      </c>
      <c r="P83" s="43">
        <f t="shared" si="39"/>
        <v>28994.400000000001</v>
      </c>
      <c r="Q83" s="43">
        <f t="shared" si="39"/>
        <v>30667.8</v>
      </c>
      <c r="R83" s="44">
        <f t="shared" si="39"/>
        <v>32178.299999999996</v>
      </c>
      <c r="S83" s="42">
        <f t="shared" si="39"/>
        <v>32988.699999999997</v>
      </c>
      <c r="T83" s="43">
        <f t="shared" si="39"/>
        <v>34754.699999999997</v>
      </c>
      <c r="U83" s="43">
        <f t="shared" si="39"/>
        <v>36919.199999999997</v>
      </c>
      <c r="V83" s="44">
        <f t="shared" si="39"/>
        <v>39466.1</v>
      </c>
      <c r="W83" s="42">
        <f t="shared" si="39"/>
        <v>45105.899999999994</v>
      </c>
      <c r="X83" s="43">
        <f t="shared" si="39"/>
        <v>45907.6</v>
      </c>
      <c r="Y83" s="43">
        <f t="shared" si="39"/>
        <v>46744.9</v>
      </c>
      <c r="Z83" s="44">
        <f t="shared" si="39"/>
        <v>46510</v>
      </c>
      <c r="AA83" s="42">
        <f t="shared" si="39"/>
        <v>46670.399999999994</v>
      </c>
      <c r="AB83" s="43">
        <f t="shared" si="39"/>
        <v>48136.7</v>
      </c>
      <c r="AC83" s="43">
        <f t="shared" si="39"/>
        <v>49764.5</v>
      </c>
      <c r="AD83" s="44">
        <f t="shared" si="39"/>
        <v>49982.299999999996</v>
      </c>
      <c r="AE83" s="42">
        <f t="shared" si="39"/>
        <v>52346.2</v>
      </c>
      <c r="AF83" s="43">
        <f t="shared" si="39"/>
        <v>55099.1</v>
      </c>
      <c r="AG83" s="43">
        <f t="shared" si="39"/>
        <v>57750.8</v>
      </c>
      <c r="AH83" s="44">
        <f t="shared" si="39"/>
        <v>58750.5</v>
      </c>
      <c r="AI83" s="43">
        <f t="shared" si="39"/>
        <v>61323.100000000006</v>
      </c>
      <c r="AJ83" s="43">
        <f t="shared" si="39"/>
        <v>65943.7</v>
      </c>
      <c r="AK83" s="43">
        <f t="shared" si="39"/>
        <v>69046.5</v>
      </c>
      <c r="AL83" s="44">
        <f t="shared" si="39"/>
        <v>70046.899999999994</v>
      </c>
      <c r="AM83" s="43">
        <f t="shared" si="39"/>
        <v>72907</v>
      </c>
      <c r="AN83" s="43">
        <f>AN60+AN72</f>
        <v>75810.8</v>
      </c>
      <c r="AO83" s="43">
        <f>AO60+AO72</f>
        <v>77888.3</v>
      </c>
      <c r="AP83" s="44">
        <f t="shared" si="39"/>
        <v>79447.899999999994</v>
      </c>
      <c r="AQ83" s="43">
        <f t="shared" si="39"/>
        <v>82130</v>
      </c>
      <c r="AR83" s="43">
        <f>AR60+AR72</f>
        <v>84778.5</v>
      </c>
      <c r="AS83" s="43">
        <f>AS60+AS72</f>
        <v>87896</v>
      </c>
      <c r="AT83" s="44">
        <f>AT60+AT72</f>
        <v>89043.6</v>
      </c>
      <c r="AU83" s="379"/>
      <c r="AV83" s="470"/>
      <c r="AW83" s="470"/>
      <c r="AX83" s="470"/>
    </row>
    <row r="84" spans="1:50" s="19" customFormat="1" ht="11.25">
      <c r="C84" s="368"/>
      <c r="D84" s="369"/>
      <c r="E84" s="369"/>
      <c r="F84" s="369"/>
      <c r="G84" s="368"/>
      <c r="H84" s="30"/>
      <c r="I84" s="30"/>
      <c r="J84" s="31"/>
      <c r="K84" s="29"/>
      <c r="L84" s="30"/>
      <c r="M84" s="30"/>
      <c r="N84" s="31"/>
      <c r="O84" s="29"/>
      <c r="P84" s="30"/>
      <c r="Q84" s="30"/>
      <c r="R84" s="31"/>
      <c r="S84" s="29"/>
      <c r="T84" s="30"/>
      <c r="U84" s="30"/>
      <c r="V84" s="31"/>
      <c r="W84" s="29"/>
      <c r="X84" s="30"/>
      <c r="Y84" s="30"/>
      <c r="Z84" s="31"/>
      <c r="AA84" s="29"/>
      <c r="AB84" s="30"/>
      <c r="AC84" s="30"/>
      <c r="AD84" s="31"/>
      <c r="AE84" s="29"/>
      <c r="AF84" s="30"/>
      <c r="AG84" s="30"/>
      <c r="AH84" s="31"/>
      <c r="AI84" s="30"/>
      <c r="AJ84" s="30"/>
      <c r="AK84" s="30"/>
      <c r="AL84" s="31"/>
      <c r="AM84" s="30"/>
      <c r="AN84" s="30"/>
      <c r="AO84" s="30"/>
      <c r="AP84" s="31"/>
      <c r="AQ84" s="30"/>
      <c r="AR84" s="30"/>
      <c r="AS84" s="30"/>
      <c r="AT84" s="31"/>
      <c r="AU84" s="364"/>
      <c r="AV84" s="468"/>
      <c r="AW84" s="468"/>
      <c r="AX84" s="468"/>
    </row>
    <row r="85" spans="1:50" s="271" customFormat="1" ht="21" customHeight="1">
      <c r="A85" s="57" t="s">
        <v>273</v>
      </c>
      <c r="B85" s="57" t="s">
        <v>108</v>
      </c>
      <c r="C85" s="352"/>
      <c r="D85" s="378"/>
      <c r="E85" s="378"/>
      <c r="F85" s="378"/>
      <c r="G85" s="352"/>
      <c r="H85" s="43">
        <f t="shared" ref="H85:AQ85" si="40">H86+H87</f>
        <v>401.1</v>
      </c>
      <c r="I85" s="43">
        <f t="shared" si="40"/>
        <v>412.7</v>
      </c>
      <c r="J85" s="44">
        <f t="shared" si="40"/>
        <v>502.9</v>
      </c>
      <c r="K85" s="42">
        <f t="shared" si="40"/>
        <v>681.30000000000007</v>
      </c>
      <c r="L85" s="43">
        <f t="shared" si="40"/>
        <v>770</v>
      </c>
      <c r="M85" s="43">
        <f t="shared" si="40"/>
        <v>816.29999999999984</v>
      </c>
      <c r="N85" s="44">
        <f t="shared" si="40"/>
        <v>892.80000000000007</v>
      </c>
      <c r="O85" s="42">
        <f t="shared" si="40"/>
        <v>943.6</v>
      </c>
      <c r="P85" s="43">
        <f t="shared" si="40"/>
        <v>985.6</v>
      </c>
      <c r="Q85" s="43">
        <f t="shared" si="40"/>
        <v>1046.3</v>
      </c>
      <c r="R85" s="44">
        <f t="shared" si="40"/>
        <v>1091.3</v>
      </c>
      <c r="S85" s="42">
        <f t="shared" si="40"/>
        <v>1130.3000000000002</v>
      </c>
      <c r="T85" s="43">
        <f t="shared" si="40"/>
        <v>1147.5999999999999</v>
      </c>
      <c r="U85" s="43">
        <f t="shared" si="40"/>
        <v>1188.3</v>
      </c>
      <c r="V85" s="44">
        <f t="shared" si="40"/>
        <v>1119.3999999999999</v>
      </c>
      <c r="W85" s="42">
        <f t="shared" si="40"/>
        <v>1206.5</v>
      </c>
      <c r="X85" s="43">
        <f t="shared" si="40"/>
        <v>1304.1999999999998</v>
      </c>
      <c r="Y85" s="43">
        <f t="shared" si="40"/>
        <v>1374.7</v>
      </c>
      <c r="Z85" s="44">
        <f t="shared" si="40"/>
        <v>1446.3</v>
      </c>
      <c r="AA85" s="42">
        <f t="shared" si="40"/>
        <v>1492.5</v>
      </c>
      <c r="AB85" s="43">
        <f t="shared" si="40"/>
        <v>1596.7</v>
      </c>
      <c r="AC85" s="43">
        <f t="shared" si="40"/>
        <v>1509.3000000000002</v>
      </c>
      <c r="AD85" s="44">
        <f t="shared" si="40"/>
        <v>1567.9</v>
      </c>
      <c r="AE85" s="42">
        <f t="shared" si="40"/>
        <v>1652.7</v>
      </c>
      <c r="AF85" s="43">
        <f t="shared" si="40"/>
        <v>1628.4</v>
      </c>
      <c r="AG85" s="43">
        <f t="shared" si="40"/>
        <v>1677.8</v>
      </c>
      <c r="AH85" s="44">
        <f t="shared" si="40"/>
        <v>1738.6</v>
      </c>
      <c r="AI85" s="43">
        <f t="shared" si="40"/>
        <v>1805.1000000000001</v>
      </c>
      <c r="AJ85" s="43">
        <f t="shared" si="40"/>
        <v>1675.6000000000001</v>
      </c>
      <c r="AK85" s="43">
        <f t="shared" si="40"/>
        <v>1519.5</v>
      </c>
      <c r="AL85" s="44">
        <f t="shared" si="40"/>
        <v>1572</v>
      </c>
      <c r="AM85" s="43">
        <f t="shared" si="40"/>
        <v>1596.9999999999998</v>
      </c>
      <c r="AN85" s="43">
        <f>AN86+AN87</f>
        <v>1521.1</v>
      </c>
      <c r="AO85" s="43">
        <f>AO86+AO87</f>
        <v>1492.9</v>
      </c>
      <c r="AP85" s="44">
        <f t="shared" si="40"/>
        <v>1493.8</v>
      </c>
      <c r="AQ85" s="43">
        <f t="shared" si="40"/>
        <v>1540.7</v>
      </c>
      <c r="AR85" s="43">
        <f>AR86+AR87</f>
        <v>1569.8999999999999</v>
      </c>
      <c r="AS85" s="43">
        <f>AS86+AS87</f>
        <v>1633.4</v>
      </c>
      <c r="AT85" s="44">
        <f>AT86+AT87</f>
        <v>1712.8000000000002</v>
      </c>
      <c r="AU85" s="379"/>
      <c r="AV85" s="470"/>
      <c r="AW85" s="470"/>
      <c r="AX85" s="470"/>
    </row>
    <row r="86" spans="1:50" s="19" customFormat="1" ht="11.25">
      <c r="A86" s="28" t="s">
        <v>274</v>
      </c>
      <c r="B86" s="28" t="s">
        <v>109</v>
      </c>
      <c r="C86" s="368"/>
      <c r="D86" s="369"/>
      <c r="E86" s="369"/>
      <c r="F86" s="369"/>
      <c r="G86" s="368"/>
      <c r="H86" s="30">
        <f t="shared" ref="H86:AQ86" si="41">H64+H65+H76+H77</f>
        <v>394.8</v>
      </c>
      <c r="I86" s="30">
        <f t="shared" si="41"/>
        <v>405.4</v>
      </c>
      <c r="J86" s="31">
        <f t="shared" si="41"/>
        <v>493.59999999999997</v>
      </c>
      <c r="K86" s="29">
        <f t="shared" si="41"/>
        <v>664.80000000000007</v>
      </c>
      <c r="L86" s="30">
        <f t="shared" si="41"/>
        <v>756.5</v>
      </c>
      <c r="M86" s="30">
        <f t="shared" si="41"/>
        <v>801.39999999999986</v>
      </c>
      <c r="N86" s="31">
        <f t="shared" si="41"/>
        <v>872.7</v>
      </c>
      <c r="O86" s="29">
        <f t="shared" si="41"/>
        <v>926.2</v>
      </c>
      <c r="P86" s="30">
        <f t="shared" si="41"/>
        <v>968</v>
      </c>
      <c r="Q86" s="30">
        <f t="shared" si="41"/>
        <v>1037.0999999999999</v>
      </c>
      <c r="R86" s="31">
        <f t="shared" si="41"/>
        <v>1080.2</v>
      </c>
      <c r="S86" s="29">
        <f t="shared" si="41"/>
        <v>1120.4000000000001</v>
      </c>
      <c r="T86" s="30">
        <f t="shared" si="41"/>
        <v>1137</v>
      </c>
      <c r="U86" s="30">
        <f t="shared" si="41"/>
        <v>1179.3</v>
      </c>
      <c r="V86" s="31">
        <f t="shared" si="41"/>
        <v>1108.8</v>
      </c>
      <c r="W86" s="29">
        <f t="shared" si="41"/>
        <v>1191.5999999999999</v>
      </c>
      <c r="X86" s="30">
        <f t="shared" si="41"/>
        <v>1286.5999999999999</v>
      </c>
      <c r="Y86" s="30">
        <f t="shared" si="41"/>
        <v>1354.7</v>
      </c>
      <c r="Z86" s="31">
        <f t="shared" si="41"/>
        <v>1424</v>
      </c>
      <c r="AA86" s="29">
        <f t="shared" si="41"/>
        <v>1469</v>
      </c>
      <c r="AB86" s="30">
        <f t="shared" si="41"/>
        <v>1569.5</v>
      </c>
      <c r="AC86" s="30">
        <f t="shared" si="41"/>
        <v>1492.9</v>
      </c>
      <c r="AD86" s="31">
        <f t="shared" si="41"/>
        <v>1554.4</v>
      </c>
      <c r="AE86" s="29">
        <f t="shared" si="41"/>
        <v>1638.7</v>
      </c>
      <c r="AF86" s="30">
        <f t="shared" si="41"/>
        <v>1612.2</v>
      </c>
      <c r="AG86" s="30">
        <f t="shared" si="41"/>
        <v>1661.5</v>
      </c>
      <c r="AH86" s="31">
        <f t="shared" si="41"/>
        <v>1720.3</v>
      </c>
      <c r="AI86" s="30">
        <f t="shared" si="41"/>
        <v>1791.0000000000002</v>
      </c>
      <c r="AJ86" s="30">
        <f t="shared" si="41"/>
        <v>1661.7</v>
      </c>
      <c r="AK86" s="30">
        <f t="shared" si="41"/>
        <v>1504.9</v>
      </c>
      <c r="AL86" s="31">
        <f t="shared" si="41"/>
        <v>1545.9</v>
      </c>
      <c r="AM86" s="30">
        <f t="shared" si="41"/>
        <v>1555.8999999999999</v>
      </c>
      <c r="AN86" s="30">
        <f>AN64+AN65+AN76+AN77</f>
        <v>1479.6</v>
      </c>
      <c r="AO86" s="30">
        <f>AO64+AO65+AO76+AO77</f>
        <v>1453.7</v>
      </c>
      <c r="AP86" s="31">
        <f t="shared" si="41"/>
        <v>1467</v>
      </c>
      <c r="AQ86" s="30">
        <f t="shared" si="41"/>
        <v>1515.5</v>
      </c>
      <c r="AR86" s="30">
        <f>AR64+AR65+AR76+AR77</f>
        <v>1535.1</v>
      </c>
      <c r="AS86" s="30">
        <f>AS64+AS65+AS76+AS77</f>
        <v>1592</v>
      </c>
      <c r="AT86" s="31">
        <f>AT64+AT65+AT76+AT77</f>
        <v>1666.9</v>
      </c>
      <c r="AU86" s="364"/>
      <c r="AV86" s="468"/>
      <c r="AW86" s="468"/>
      <c r="AX86" s="468"/>
    </row>
    <row r="87" spans="1:50" s="19" customFormat="1" ht="11.25">
      <c r="A87" s="28" t="s">
        <v>268</v>
      </c>
      <c r="B87" s="28" t="s">
        <v>110</v>
      </c>
      <c r="C87" s="368"/>
      <c r="D87" s="369"/>
      <c r="E87" s="369"/>
      <c r="F87" s="369"/>
      <c r="G87" s="368"/>
      <c r="H87" s="30">
        <f t="shared" ref="H87:AQ87" si="42">H66+H78</f>
        <v>6.3</v>
      </c>
      <c r="I87" s="30">
        <f t="shared" si="42"/>
        <v>7.3</v>
      </c>
      <c r="J87" s="31">
        <f t="shared" si="42"/>
        <v>9.3000000000000007</v>
      </c>
      <c r="K87" s="29">
        <f t="shared" si="42"/>
        <v>16.5</v>
      </c>
      <c r="L87" s="30">
        <f t="shared" si="42"/>
        <v>13.5</v>
      </c>
      <c r="M87" s="30">
        <f t="shared" si="42"/>
        <v>14.9</v>
      </c>
      <c r="N87" s="31">
        <f t="shared" si="42"/>
        <v>20.100000000000001</v>
      </c>
      <c r="O87" s="29">
        <f t="shared" si="42"/>
        <v>17.399999999999999</v>
      </c>
      <c r="P87" s="30">
        <f t="shared" si="42"/>
        <v>17.600000000000001</v>
      </c>
      <c r="Q87" s="30">
        <f t="shared" si="42"/>
        <v>9.1999999999999993</v>
      </c>
      <c r="R87" s="31">
        <f t="shared" si="42"/>
        <v>11.1</v>
      </c>
      <c r="S87" s="29">
        <f t="shared" si="42"/>
        <v>9.9</v>
      </c>
      <c r="T87" s="30">
        <f t="shared" si="42"/>
        <v>10.6</v>
      </c>
      <c r="U87" s="30">
        <f t="shared" si="42"/>
        <v>9</v>
      </c>
      <c r="V87" s="31">
        <f t="shared" si="42"/>
        <v>10.6</v>
      </c>
      <c r="W87" s="29">
        <f t="shared" si="42"/>
        <v>14.9</v>
      </c>
      <c r="X87" s="30">
        <f t="shared" si="42"/>
        <v>17.600000000000001</v>
      </c>
      <c r="Y87" s="30">
        <f t="shared" si="42"/>
        <v>20</v>
      </c>
      <c r="Z87" s="31">
        <f t="shared" si="42"/>
        <v>22.3</v>
      </c>
      <c r="AA87" s="29">
        <f t="shared" si="42"/>
        <v>23.5</v>
      </c>
      <c r="AB87" s="30">
        <f t="shared" si="42"/>
        <v>27.2</v>
      </c>
      <c r="AC87" s="30">
        <f t="shared" si="42"/>
        <v>16.399999999999999</v>
      </c>
      <c r="AD87" s="31">
        <f t="shared" si="42"/>
        <v>13.5</v>
      </c>
      <c r="AE87" s="29">
        <f t="shared" si="42"/>
        <v>14</v>
      </c>
      <c r="AF87" s="30">
        <f t="shared" si="42"/>
        <v>16.2</v>
      </c>
      <c r="AG87" s="30">
        <f t="shared" si="42"/>
        <v>16.3</v>
      </c>
      <c r="AH87" s="31">
        <f t="shared" si="42"/>
        <v>18.3</v>
      </c>
      <c r="AI87" s="30">
        <f t="shared" si="42"/>
        <v>14.1</v>
      </c>
      <c r="AJ87" s="30">
        <f t="shared" si="42"/>
        <v>13.9</v>
      </c>
      <c r="AK87" s="30">
        <f t="shared" si="42"/>
        <v>14.6</v>
      </c>
      <c r="AL87" s="31">
        <f t="shared" si="42"/>
        <v>26.1</v>
      </c>
      <c r="AM87" s="30">
        <f t="shared" si="42"/>
        <v>41.1</v>
      </c>
      <c r="AN87" s="30">
        <f>AN66+AN78</f>
        <v>41.5</v>
      </c>
      <c r="AO87" s="30">
        <f>AO66+AO78</f>
        <v>39.200000000000003</v>
      </c>
      <c r="AP87" s="31">
        <f t="shared" si="42"/>
        <v>26.8</v>
      </c>
      <c r="AQ87" s="30">
        <f t="shared" si="42"/>
        <v>25.2</v>
      </c>
      <c r="AR87" s="30">
        <f>AR66+AR78</f>
        <v>34.799999999999997</v>
      </c>
      <c r="AS87" s="30">
        <f>AS66+AS78</f>
        <v>41.4</v>
      </c>
      <c r="AT87" s="31">
        <f>AT66+AT78</f>
        <v>45.9</v>
      </c>
      <c r="AU87" s="364"/>
      <c r="AV87" s="468"/>
      <c r="AW87" s="468"/>
      <c r="AX87" s="468"/>
    </row>
    <row r="88" spans="1:50" s="19" customFormat="1" ht="11.25">
      <c r="A88" s="28"/>
      <c r="B88" s="28"/>
      <c r="C88" s="375"/>
      <c r="D88" s="376"/>
      <c r="E88" s="376"/>
      <c r="F88" s="376"/>
      <c r="G88" s="375"/>
      <c r="H88" s="61"/>
      <c r="I88" s="61"/>
      <c r="J88" s="272"/>
      <c r="K88" s="128"/>
      <c r="L88" s="61"/>
      <c r="M88" s="61"/>
      <c r="N88" s="272"/>
      <c r="O88" s="128"/>
      <c r="P88" s="61"/>
      <c r="Q88" s="61"/>
      <c r="R88" s="272"/>
      <c r="S88" s="128"/>
      <c r="T88" s="61"/>
      <c r="U88" s="61"/>
      <c r="V88" s="272"/>
      <c r="W88" s="128"/>
      <c r="X88" s="61"/>
      <c r="Y88" s="61"/>
      <c r="Z88" s="272"/>
      <c r="AA88" s="128"/>
      <c r="AB88" s="61"/>
      <c r="AC88" s="61"/>
      <c r="AD88" s="272"/>
      <c r="AE88" s="128"/>
      <c r="AF88" s="61"/>
      <c r="AG88" s="61"/>
      <c r="AH88" s="272"/>
      <c r="AI88" s="61"/>
      <c r="AJ88" s="61"/>
      <c r="AK88" s="61"/>
      <c r="AL88" s="272"/>
      <c r="AM88" s="61"/>
      <c r="AN88" s="61"/>
      <c r="AO88" s="61"/>
      <c r="AP88" s="272"/>
      <c r="AQ88" s="61"/>
      <c r="AR88" s="61"/>
      <c r="AS88" s="61"/>
      <c r="AT88" s="272"/>
      <c r="AU88" s="377"/>
      <c r="AV88" s="250"/>
      <c r="AW88" s="250"/>
      <c r="AX88" s="250"/>
    </row>
    <row r="89" spans="1:50" s="19" customFormat="1" ht="11.25">
      <c r="A89" s="28" t="s">
        <v>275</v>
      </c>
      <c r="B89" s="28" t="s">
        <v>111</v>
      </c>
      <c r="C89" s="370"/>
      <c r="D89" s="371"/>
      <c r="E89" s="371"/>
      <c r="F89" s="371"/>
      <c r="G89" s="370"/>
      <c r="H89" s="372">
        <f t="shared" ref="H89:AQ89" si="43">H85/H83</f>
        <v>2.0242955845021022E-2</v>
      </c>
      <c r="I89" s="372">
        <f t="shared" si="43"/>
        <v>1.8669392961996226E-2</v>
      </c>
      <c r="J89" s="373">
        <f t="shared" si="43"/>
        <v>2.0697176722363975E-2</v>
      </c>
      <c r="K89" s="374">
        <f t="shared" si="43"/>
        <v>2.6598215854301277E-2</v>
      </c>
      <c r="L89" s="372">
        <f t="shared" si="43"/>
        <v>2.9871938611226417E-2</v>
      </c>
      <c r="M89" s="372">
        <f t="shared" si="43"/>
        <v>3.1235172572128257E-2</v>
      </c>
      <c r="N89" s="373">
        <f t="shared" si="43"/>
        <v>3.2629909288267415E-2</v>
      </c>
      <c r="O89" s="374">
        <f t="shared" si="43"/>
        <v>3.4217664379686978E-2</v>
      </c>
      <c r="P89" s="372">
        <f t="shared" si="43"/>
        <v>3.3992771017851725E-2</v>
      </c>
      <c r="Q89" s="372">
        <f t="shared" si="43"/>
        <v>3.4117217407182779E-2</v>
      </c>
      <c r="R89" s="373">
        <f t="shared" si="43"/>
        <v>3.3914159542300246E-2</v>
      </c>
      <c r="S89" s="374">
        <f t="shared" si="43"/>
        <v>3.4263247718158044E-2</v>
      </c>
      <c r="T89" s="372">
        <f t="shared" si="43"/>
        <v>3.3019994418021163E-2</v>
      </c>
      <c r="U89" s="372">
        <f t="shared" si="43"/>
        <v>3.2186504582981217E-2</v>
      </c>
      <c r="V89" s="373">
        <f t="shared" si="43"/>
        <v>2.8363582923065615E-2</v>
      </c>
      <c r="W89" s="374">
        <f t="shared" si="43"/>
        <v>2.6748163765715798E-2</v>
      </c>
      <c r="X89" s="372">
        <f t="shared" si="43"/>
        <v>2.8409239428765606E-2</v>
      </c>
      <c r="Y89" s="372">
        <f t="shared" si="43"/>
        <v>2.9408555799670125E-2</v>
      </c>
      <c r="Z89" s="373">
        <f t="shared" si="43"/>
        <v>3.1096538378843259E-2</v>
      </c>
      <c r="AA89" s="374">
        <f t="shared" si="43"/>
        <v>3.1979584490383628E-2</v>
      </c>
      <c r="AB89" s="372">
        <f t="shared" si="43"/>
        <v>3.317011760257766E-2</v>
      </c>
      <c r="AC89" s="372">
        <f t="shared" si="43"/>
        <v>3.0328848878216404E-2</v>
      </c>
      <c r="AD89" s="373">
        <f t="shared" si="43"/>
        <v>3.1369104663050727E-2</v>
      </c>
      <c r="AE89" s="374">
        <f t="shared" si="43"/>
        <v>3.1572492368118411E-2</v>
      </c>
      <c r="AF89" s="372">
        <f t="shared" si="43"/>
        <v>2.9554021753531366E-2</v>
      </c>
      <c r="AG89" s="372">
        <f t="shared" si="43"/>
        <v>2.905241139516682E-2</v>
      </c>
      <c r="AH89" s="373">
        <f t="shared" si="43"/>
        <v>2.9592939634556299E-2</v>
      </c>
      <c r="AI89" s="372">
        <f t="shared" si="43"/>
        <v>2.9435889575054098E-2</v>
      </c>
      <c r="AJ89" s="372">
        <f t="shared" si="43"/>
        <v>2.540955390734824E-2</v>
      </c>
      <c r="AK89" s="372">
        <f t="shared" si="43"/>
        <v>2.2006908387825597E-2</v>
      </c>
      <c r="AL89" s="373">
        <f t="shared" si="43"/>
        <v>2.2442106645690248E-2</v>
      </c>
      <c r="AM89" s="372">
        <f t="shared" si="43"/>
        <v>2.1904618212242991E-2</v>
      </c>
      <c r="AN89" s="372">
        <f>AN85/AN83</f>
        <v>2.0064423538598719E-2</v>
      </c>
      <c r="AO89" s="372">
        <f>AO85/AO83</f>
        <v>1.9167191991608497E-2</v>
      </c>
      <c r="AP89" s="373">
        <f t="shared" si="43"/>
        <v>1.880225909054865E-2</v>
      </c>
      <c r="AQ89" s="372">
        <f t="shared" si="43"/>
        <v>1.8759284061853159E-2</v>
      </c>
      <c r="AR89" s="372">
        <f>AR85/AR83</f>
        <v>1.8517666625382612E-2</v>
      </c>
      <c r="AS89" s="372">
        <f>AS85/AS83</f>
        <v>1.8583325748611997E-2</v>
      </c>
      <c r="AT89" s="373">
        <f>AT85/AT83</f>
        <v>1.9235520576436713E-2</v>
      </c>
      <c r="AU89" s="380"/>
      <c r="AV89" s="471"/>
      <c r="AW89" s="471"/>
      <c r="AX89" s="471"/>
    </row>
    <row r="90" spans="1:50" s="19" customFormat="1" ht="11.25">
      <c r="A90" s="28" t="s">
        <v>322</v>
      </c>
      <c r="B90" s="28" t="s">
        <v>354</v>
      </c>
      <c r="C90" s="370"/>
      <c r="D90" s="371"/>
      <c r="E90" s="371"/>
      <c r="F90" s="371"/>
      <c r="G90" s="370"/>
      <c r="H90" s="372">
        <f t="shared" ref="H90:AQ90" si="44">(H74+H62)/H83</f>
        <v>1.8410945630176184E-2</v>
      </c>
      <c r="I90" s="372">
        <f t="shared" si="44"/>
        <v>1.7823457298343864E-2</v>
      </c>
      <c r="J90" s="373">
        <f t="shared" si="44"/>
        <v>2.0672483331961474E-2</v>
      </c>
      <c r="K90" s="374">
        <f t="shared" si="44"/>
        <v>3.5054363739288295E-2</v>
      </c>
      <c r="L90" s="372">
        <f t="shared" si="44"/>
        <v>3.9826665166603943E-2</v>
      </c>
      <c r="M90" s="372">
        <f t="shared" si="44"/>
        <v>3.6986301369863014E-2</v>
      </c>
      <c r="N90" s="373">
        <f t="shared" si="44"/>
        <v>4.2567266294853336E-2</v>
      </c>
      <c r="O90" s="374">
        <f t="shared" si="44"/>
        <v>4.6351227861504765E-2</v>
      </c>
      <c r="P90" s="372">
        <f t="shared" si="44"/>
        <v>4.5139751124355046E-2</v>
      </c>
      <c r="Q90" s="372">
        <f t="shared" si="44"/>
        <v>4.6645015292913088E-2</v>
      </c>
      <c r="R90" s="373">
        <f t="shared" si="44"/>
        <v>4.6851449579374926E-2</v>
      </c>
      <c r="S90" s="374">
        <f t="shared" si="44"/>
        <v>4.6224919442112003E-2</v>
      </c>
      <c r="T90" s="372">
        <f t="shared" si="44"/>
        <v>4.3683300388148938E-2</v>
      </c>
      <c r="U90" s="372">
        <f t="shared" si="44"/>
        <v>4.3048061713146547E-2</v>
      </c>
      <c r="V90" s="373">
        <f t="shared" si="44"/>
        <v>3.9350227156977759E-2</v>
      </c>
      <c r="W90" s="374">
        <f t="shared" si="44"/>
        <v>3.5962036008593115E-2</v>
      </c>
      <c r="X90" s="372">
        <f t="shared" si="44"/>
        <v>4.3337050945812895E-2</v>
      </c>
      <c r="Y90" s="372">
        <f t="shared" si="44"/>
        <v>4.3281726990538005E-2</v>
      </c>
      <c r="Z90" s="373">
        <f t="shared" si="44"/>
        <v>4.074392603741131E-2</v>
      </c>
      <c r="AA90" s="374">
        <f t="shared" si="44"/>
        <v>4.3610082621961678E-2</v>
      </c>
      <c r="AB90" s="372">
        <f t="shared" si="44"/>
        <v>4.7514682144808432E-2</v>
      </c>
      <c r="AC90" s="372">
        <f t="shared" si="44"/>
        <v>4.4093681238633969E-2</v>
      </c>
      <c r="AD90" s="373">
        <f t="shared" si="44"/>
        <v>4.6308393171182613E-2</v>
      </c>
      <c r="AE90" s="374">
        <f t="shared" si="44"/>
        <v>4.6482839250986702E-2</v>
      </c>
      <c r="AF90" s="372">
        <f t="shared" si="44"/>
        <v>4.3521582022210889E-2</v>
      </c>
      <c r="AG90" s="372">
        <f t="shared" si="44"/>
        <v>4.1675613151679287E-2</v>
      </c>
      <c r="AH90" s="373">
        <f t="shared" si="44"/>
        <v>4.0500080850375736E-2</v>
      </c>
      <c r="AI90" s="372">
        <f t="shared" si="44"/>
        <v>4.4678106618876084E-2</v>
      </c>
      <c r="AJ90" s="372">
        <f t="shared" si="44"/>
        <v>3.8187120225283082E-2</v>
      </c>
      <c r="AK90" s="372">
        <f t="shared" si="44"/>
        <v>3.2056657469965895E-2</v>
      </c>
      <c r="AL90" s="373">
        <f t="shared" si="44"/>
        <v>3.2384016994328087E-2</v>
      </c>
      <c r="AM90" s="372">
        <f t="shared" si="44"/>
        <v>3.3371281221281905E-2</v>
      </c>
      <c r="AN90" s="372">
        <f>(AN74+AN62)/AN83</f>
        <v>2.9164710041313373E-2</v>
      </c>
      <c r="AO90" s="372">
        <f>(AO74+AO62)/AO83</f>
        <v>2.7728169699428543E-2</v>
      </c>
      <c r="AP90" s="373">
        <f t="shared" si="44"/>
        <v>2.6140401445475591E-2</v>
      </c>
      <c r="AQ90" s="372">
        <f t="shared" si="44"/>
        <v>2.6358212589796665E-2</v>
      </c>
      <c r="AR90" s="372">
        <f>(AR74+AR62)/AR83</f>
        <v>2.7197933438312782E-2</v>
      </c>
      <c r="AS90" s="372">
        <f>(AS74+AS62)/AS83</f>
        <v>2.6987576226449445E-2</v>
      </c>
      <c r="AT90" s="373">
        <f>(AT74+AT62)/AT83</f>
        <v>2.8041319084134059E-2</v>
      </c>
      <c r="AU90" s="380"/>
      <c r="AV90" s="471"/>
      <c r="AW90" s="471"/>
      <c r="AX90" s="471"/>
    </row>
    <row r="91" spans="1:50" s="19" customFormat="1" ht="11.25">
      <c r="A91" s="68" t="s">
        <v>270</v>
      </c>
      <c r="B91" s="68" t="s">
        <v>352</v>
      </c>
      <c r="C91" s="381"/>
      <c r="D91" s="382"/>
      <c r="E91" s="382"/>
      <c r="F91" s="382"/>
      <c r="G91" s="381"/>
      <c r="H91" s="383">
        <f t="shared" ref="H91:AQ91" si="45">(H77+H65)/(H74+H62)</f>
        <v>0.79221491228070184</v>
      </c>
      <c r="I91" s="383">
        <f t="shared" si="45"/>
        <v>0.76472081218274113</v>
      </c>
      <c r="J91" s="384">
        <f t="shared" si="45"/>
        <v>0.75154290264782009</v>
      </c>
      <c r="K91" s="385">
        <f t="shared" si="45"/>
        <v>0.59895311281879937</v>
      </c>
      <c r="L91" s="383">
        <f t="shared" si="45"/>
        <v>0.5993571011104617</v>
      </c>
      <c r="M91" s="383">
        <f t="shared" si="45"/>
        <v>0.66314918270225531</v>
      </c>
      <c r="N91" s="384">
        <f t="shared" si="45"/>
        <v>0.61784150425002138</v>
      </c>
      <c r="O91" s="385">
        <f t="shared" si="45"/>
        <v>0.59818494758253793</v>
      </c>
      <c r="P91" s="383">
        <f t="shared" si="45"/>
        <v>0.61674816625916873</v>
      </c>
      <c r="Q91" s="383">
        <f t="shared" si="45"/>
        <v>0.61139461726668987</v>
      </c>
      <c r="R91" s="384">
        <f t="shared" si="45"/>
        <v>0.61554789068718496</v>
      </c>
      <c r="S91" s="385">
        <f t="shared" si="45"/>
        <v>0.63348416289592757</v>
      </c>
      <c r="T91" s="383">
        <f t="shared" si="45"/>
        <v>0.64477670926096697</v>
      </c>
      <c r="U91" s="383">
        <f t="shared" si="45"/>
        <v>0.63845718240734917</v>
      </c>
      <c r="V91" s="384">
        <f t="shared" si="45"/>
        <v>0.61101094655505472</v>
      </c>
      <c r="W91" s="385">
        <f t="shared" si="45"/>
        <v>0.62653350594907842</v>
      </c>
      <c r="X91" s="383">
        <f t="shared" si="45"/>
        <v>0.55456144759989945</v>
      </c>
      <c r="Y91" s="383">
        <f t="shared" si="45"/>
        <v>0.58328390668248309</v>
      </c>
      <c r="Z91" s="384">
        <f t="shared" si="45"/>
        <v>0.68369393139841683</v>
      </c>
      <c r="AA91" s="385">
        <f t="shared" si="45"/>
        <v>0.6513536088045988</v>
      </c>
      <c r="AB91" s="383">
        <f t="shared" si="45"/>
        <v>0.62250786988457496</v>
      </c>
      <c r="AC91" s="383">
        <f t="shared" si="45"/>
        <v>0.61222257667593305</v>
      </c>
      <c r="AD91" s="384">
        <f t="shared" si="45"/>
        <v>0.60615225092888614</v>
      </c>
      <c r="AE91" s="385">
        <f t="shared" si="45"/>
        <v>0.60763603485122475</v>
      </c>
      <c r="AF91" s="383">
        <f t="shared" si="45"/>
        <v>0.60558798999165975</v>
      </c>
      <c r="AG91" s="383">
        <f t="shared" si="45"/>
        <v>0.61891307960777786</v>
      </c>
      <c r="AH91" s="384">
        <f t="shared" si="45"/>
        <v>0.65268555097923853</v>
      </c>
      <c r="AI91" s="383">
        <f t="shared" si="45"/>
        <v>0.59194101759252504</v>
      </c>
      <c r="AJ91" s="383">
        <f t="shared" si="45"/>
        <v>0.59093797156699235</v>
      </c>
      <c r="AK91" s="383">
        <f t="shared" si="45"/>
        <v>0.59297912713472478</v>
      </c>
      <c r="AL91" s="384">
        <f t="shared" si="45"/>
        <v>0.601745723858226</v>
      </c>
      <c r="AM91" s="383">
        <f t="shared" si="45"/>
        <v>0.56658446362515413</v>
      </c>
      <c r="AN91" s="383">
        <f>(AN77+AN65)/(AN74+AN62)</f>
        <v>0.58882858435097241</v>
      </c>
      <c r="AO91" s="383">
        <f>(AO77+AO65)/(AO74+AO62)</f>
        <v>0.59318423855165059</v>
      </c>
      <c r="AP91" s="384">
        <f t="shared" si="45"/>
        <v>0.60424691833590138</v>
      </c>
      <c r="AQ91" s="383">
        <f t="shared" si="45"/>
        <v>0.60439763488543974</v>
      </c>
      <c r="AR91" s="383">
        <f>(AR77+AR65)/(AR74+AR62)</f>
        <v>0.56717841963743598</v>
      </c>
      <c r="AS91" s="383">
        <f>(AS77+AS65)/(AS74+AS62)</f>
        <v>0.57286792293748146</v>
      </c>
      <c r="AT91" s="384">
        <f>(AT77+AT65)/(AT74+AT62)</f>
        <v>0.57058752853538397</v>
      </c>
      <c r="AU91" s="386"/>
      <c r="AV91" s="472"/>
      <c r="AW91" s="472"/>
      <c r="AX91" s="472"/>
    </row>
    <row r="92" spans="1:50">
      <c r="AU92" s="105"/>
      <c r="AV92" s="105"/>
      <c r="AW92" s="105"/>
      <c r="AX92" s="105"/>
    </row>
    <row r="93" spans="1:50" s="3" customFormat="1" ht="12.75" customHeight="1">
      <c r="A93" s="11"/>
      <c r="B93" s="11"/>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S93" s="12"/>
      <c r="AT93" s="12"/>
      <c r="AU93" s="113"/>
      <c r="AV93" s="113"/>
      <c r="AW93" s="113"/>
      <c r="AX93" s="113"/>
    </row>
    <row r="94" spans="1:50">
      <c r="AU94" s="114"/>
      <c r="AV94" s="114"/>
      <c r="AW94" s="114"/>
      <c r="AX94" s="114"/>
    </row>
  </sheetData>
  <mergeCells count="27">
    <mergeCell ref="O2:R2"/>
    <mergeCell ref="A2:A3"/>
    <mergeCell ref="B2:B3"/>
    <mergeCell ref="C2:F2"/>
    <mergeCell ref="G2:J2"/>
    <mergeCell ref="K2:N2"/>
    <mergeCell ref="AU2:AX2"/>
    <mergeCell ref="A56:A57"/>
    <mergeCell ref="B56:B57"/>
    <mergeCell ref="C56:F56"/>
    <mergeCell ref="G56:J56"/>
    <mergeCell ref="K56:N56"/>
    <mergeCell ref="O56:R56"/>
    <mergeCell ref="S56:V56"/>
    <mergeCell ref="W56:Z56"/>
    <mergeCell ref="AA56:AD56"/>
    <mergeCell ref="S2:V2"/>
    <mergeCell ref="W2:Z2"/>
    <mergeCell ref="AA2:AD2"/>
    <mergeCell ref="AM56:AP56"/>
    <mergeCell ref="AQ56:AT56"/>
    <mergeCell ref="AQ2:AT2"/>
    <mergeCell ref="AE2:AH2"/>
    <mergeCell ref="AI2:AL2"/>
    <mergeCell ref="AM2:AP2"/>
    <mergeCell ref="AE56:AH56"/>
    <mergeCell ref="AI56:AL56"/>
  </mergeCells>
  <printOptions horizontalCentered="1"/>
  <pageMargins left="0.23622047244094491" right="0.23622047244094491" top="0.74803149606299213" bottom="0.74803149606299213" header="0.31496062992125984" footer="0.31496062992125984"/>
  <pageSetup paperSize="9" scale="32" orientation="landscape" r:id="rId1"/>
  <headerFooter alignWithMargins="0">
    <oddHeader xml:space="preserve">&amp;C&amp;"Times New Roman,Kursywa"&amp;12
</oddHeader>
  </headerFooter>
  <rowBreaks count="1" manualBreakCount="1">
    <brk id="93" max="46" man="1"/>
  </rowBreaks>
  <ignoredErrors>
    <ignoredError sqref="AU42 AU38"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AX44"/>
  <sheetViews>
    <sheetView showGridLines="0" view="pageBreakPreview" zoomScaleNormal="100" zoomScaleSheetLayoutView="100" workbookViewId="0">
      <pane xSplit="2" ySplit="4" topLeftCell="AO5" activePane="bottomRight" state="frozen"/>
      <selection pane="topRight" activeCell="C1" sqref="C1"/>
      <selection pane="bottomLeft" activeCell="A5" sqref="A5"/>
      <selection pane="bottomRight" activeCell="A2" sqref="A2:A3"/>
    </sheetView>
  </sheetViews>
  <sheetFormatPr defaultColWidth="8.85546875" defaultRowHeight="13.5" outlineLevelRow="1" outlineLevelCol="1"/>
  <cols>
    <col min="1" max="1" width="36.7109375" style="58" customWidth="1" outlineLevel="1"/>
    <col min="2" max="2" width="44.7109375" style="58" customWidth="1"/>
    <col min="3" max="3" width="7.140625" style="13" bestFit="1" customWidth="1"/>
    <col min="4" max="4" width="6.7109375" style="13" customWidth="1"/>
    <col min="5" max="6" width="6.7109375" style="13" bestFit="1" customWidth="1"/>
    <col min="7" max="42" width="7.140625" style="13" bestFit="1" customWidth="1"/>
    <col min="43" max="43" width="7" style="13" customWidth="1"/>
    <col min="44" max="44" width="8" style="13" customWidth="1"/>
    <col min="45" max="46" width="7.140625" style="13" bestFit="1" customWidth="1"/>
    <col min="47" max="50" width="7" style="13" customWidth="1"/>
    <col min="51" max="16384" width="8.85546875" style="13"/>
  </cols>
  <sheetData>
    <row r="1" spans="1:50">
      <c r="A1" s="59" t="s">
        <v>430</v>
      </c>
      <c r="B1" s="59" t="s">
        <v>431</v>
      </c>
    </row>
    <row r="2" spans="1:50">
      <c r="A2" s="481" t="s">
        <v>238</v>
      </c>
      <c r="B2" s="481" t="s">
        <v>68</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4">
        <v>2014</v>
      </c>
      <c r="AF2" s="475"/>
      <c r="AG2" s="475"/>
      <c r="AH2" s="478"/>
      <c r="AI2" s="474">
        <v>2015</v>
      </c>
      <c r="AJ2" s="475"/>
      <c r="AK2" s="475"/>
      <c r="AL2" s="478"/>
      <c r="AM2" s="474">
        <v>2016</v>
      </c>
      <c r="AN2" s="475"/>
      <c r="AO2" s="475"/>
      <c r="AP2" s="478"/>
      <c r="AQ2" s="515">
        <v>2017</v>
      </c>
      <c r="AR2" s="516"/>
      <c r="AS2" s="516"/>
      <c r="AT2" s="516"/>
      <c r="AU2" s="515">
        <v>2018</v>
      </c>
      <c r="AV2" s="516"/>
      <c r="AW2" s="516"/>
      <c r="AX2" s="480"/>
    </row>
    <row r="3" spans="1:50"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75" t="s">
        <v>151</v>
      </c>
      <c r="AB3" s="276" t="s">
        <v>152</v>
      </c>
      <c r="AC3" s="276" t="s">
        <v>153</v>
      </c>
      <c r="AD3" s="277" t="s">
        <v>154</v>
      </c>
      <c r="AE3" s="275" t="s">
        <v>151</v>
      </c>
      <c r="AF3" s="276" t="s">
        <v>152</v>
      </c>
      <c r="AG3" s="276" t="s">
        <v>153</v>
      </c>
      <c r="AH3" s="277" t="s">
        <v>154</v>
      </c>
      <c r="AI3" s="275" t="s">
        <v>151</v>
      </c>
      <c r="AJ3" s="276" t="s">
        <v>152</v>
      </c>
      <c r="AK3" s="276" t="s">
        <v>153</v>
      </c>
      <c r="AL3" s="277" t="s">
        <v>154</v>
      </c>
      <c r="AM3" s="275" t="s">
        <v>151</v>
      </c>
      <c r="AN3" s="276" t="s">
        <v>152</v>
      </c>
      <c r="AO3" s="276" t="s">
        <v>153</v>
      </c>
      <c r="AP3" s="277" t="s">
        <v>154</v>
      </c>
      <c r="AQ3" s="276" t="s">
        <v>151</v>
      </c>
      <c r="AR3" s="276" t="s">
        <v>152</v>
      </c>
      <c r="AS3" s="276" t="s">
        <v>153</v>
      </c>
      <c r="AT3" s="276" t="s">
        <v>154</v>
      </c>
      <c r="AU3" s="275" t="s">
        <v>151</v>
      </c>
      <c r="AV3" s="276" t="s">
        <v>152</v>
      </c>
      <c r="AW3" s="276" t="s">
        <v>153</v>
      </c>
      <c r="AX3" s="276" t="s">
        <v>154</v>
      </c>
    </row>
    <row r="4" spans="1:50" s="267" customFormat="1" ht="12.75" customHeight="1">
      <c r="A4" s="24" t="s">
        <v>156</v>
      </c>
      <c r="B4" s="24" t="s">
        <v>11</v>
      </c>
      <c r="C4" s="128"/>
      <c r="D4" s="129"/>
      <c r="E4" s="61"/>
      <c r="F4" s="129"/>
      <c r="G4" s="128"/>
      <c r="H4" s="129"/>
      <c r="I4" s="61"/>
      <c r="J4" s="130"/>
      <c r="K4" s="128"/>
      <c r="L4" s="129"/>
      <c r="M4" s="61"/>
      <c r="N4" s="130"/>
      <c r="O4" s="128"/>
      <c r="P4" s="129"/>
      <c r="Q4" s="61"/>
      <c r="R4" s="130"/>
      <c r="S4" s="128"/>
      <c r="T4" s="129"/>
      <c r="U4" s="61"/>
      <c r="V4" s="130"/>
      <c r="W4" s="128"/>
      <c r="X4" s="61"/>
      <c r="Y4" s="61"/>
      <c r="Z4" s="272"/>
      <c r="AA4" s="128"/>
      <c r="AB4" s="61"/>
      <c r="AC4" s="61"/>
      <c r="AD4" s="272"/>
      <c r="AE4" s="128"/>
      <c r="AF4" s="61"/>
      <c r="AG4" s="61"/>
      <c r="AH4" s="272"/>
      <c r="AI4" s="128"/>
      <c r="AJ4" s="61"/>
      <c r="AK4" s="61"/>
      <c r="AL4" s="272"/>
      <c r="AM4" s="128"/>
      <c r="AN4" s="61"/>
      <c r="AO4" s="61"/>
      <c r="AP4" s="272"/>
      <c r="AQ4" s="61"/>
      <c r="AR4" s="61"/>
      <c r="AS4" s="61"/>
      <c r="AT4" s="61"/>
      <c r="AU4" s="128"/>
      <c r="AV4" s="61"/>
      <c r="AW4" s="61"/>
      <c r="AX4" s="61"/>
    </row>
    <row r="5" spans="1:50" s="268" customFormat="1" ht="11.25">
      <c r="A5" s="33" t="s">
        <v>239</v>
      </c>
      <c r="B5" s="33" t="s">
        <v>69</v>
      </c>
      <c r="C5" s="34"/>
      <c r="D5" s="35"/>
      <c r="E5" s="35"/>
      <c r="F5" s="35"/>
      <c r="G5" s="34"/>
      <c r="H5" s="35"/>
      <c r="I5" s="35"/>
      <c r="J5" s="36"/>
      <c r="K5" s="34"/>
      <c r="L5" s="35"/>
      <c r="M5" s="35"/>
      <c r="N5" s="36"/>
      <c r="O5" s="34"/>
      <c r="P5" s="35"/>
      <c r="Q5" s="35"/>
      <c r="R5" s="36"/>
      <c r="S5" s="34"/>
      <c r="T5" s="35"/>
      <c r="U5" s="35"/>
      <c r="V5" s="36"/>
      <c r="W5" s="34"/>
      <c r="X5" s="35"/>
      <c r="Y5" s="35"/>
      <c r="Z5" s="36"/>
      <c r="AA5" s="34"/>
      <c r="AB5" s="35"/>
      <c r="AC5" s="35"/>
      <c r="AD5" s="36"/>
      <c r="AE5" s="34"/>
      <c r="AF5" s="35"/>
      <c r="AG5" s="35"/>
      <c r="AH5" s="36"/>
      <c r="AI5" s="34"/>
      <c r="AJ5" s="35"/>
      <c r="AK5" s="35"/>
      <c r="AL5" s="36"/>
      <c r="AM5" s="34"/>
      <c r="AN5" s="35"/>
      <c r="AO5" s="35"/>
      <c r="AP5" s="36"/>
      <c r="AQ5" s="35"/>
      <c r="AR5" s="35"/>
      <c r="AS5" s="35"/>
      <c r="AT5" s="35"/>
      <c r="AU5" s="34"/>
      <c r="AV5" s="35"/>
      <c r="AW5" s="35"/>
      <c r="AX5" s="35"/>
    </row>
    <row r="6" spans="1:50" s="268" customFormat="1" ht="11.25">
      <c r="A6" s="28" t="s">
        <v>637</v>
      </c>
      <c r="B6" s="28" t="s">
        <v>636</v>
      </c>
      <c r="C6" s="29">
        <v>893.8</v>
      </c>
      <c r="D6" s="30">
        <v>849.7</v>
      </c>
      <c r="E6" s="30">
        <v>1144.1999999999998</v>
      </c>
      <c r="F6" s="30">
        <v>1651</v>
      </c>
      <c r="G6" s="29">
        <v>2061.5</v>
      </c>
      <c r="H6" s="30">
        <v>2185.9</v>
      </c>
      <c r="I6" s="30">
        <v>1621.6</v>
      </c>
      <c r="J6" s="31">
        <v>4579.8</v>
      </c>
      <c r="K6" s="29">
        <v>5167.3999999999996</v>
      </c>
      <c r="L6" s="30">
        <v>3242</v>
      </c>
      <c r="M6" s="30">
        <v>1953.3</v>
      </c>
      <c r="N6" s="31">
        <v>1566.7</v>
      </c>
      <c r="O6" s="29">
        <v>1408.3</v>
      </c>
      <c r="P6" s="30">
        <v>1755.7</v>
      </c>
      <c r="Q6" s="30">
        <v>1527.9</v>
      </c>
      <c r="R6" s="31">
        <v>1158.9000000000001</v>
      </c>
      <c r="S6" s="29">
        <v>879.1</v>
      </c>
      <c r="T6" s="30">
        <v>912.6</v>
      </c>
      <c r="U6" s="30">
        <v>1782</v>
      </c>
      <c r="V6" s="31">
        <v>1858.4</v>
      </c>
      <c r="W6" s="29">
        <v>1293.9000000000001</v>
      </c>
      <c r="X6" s="30">
        <v>1235.1000000000001</v>
      </c>
      <c r="Y6" s="30">
        <v>1524.7000000000003</v>
      </c>
      <c r="Z6" s="31">
        <v>1822.1000000000001</v>
      </c>
      <c r="AA6" s="29">
        <v>1572.1</v>
      </c>
      <c r="AB6" s="30">
        <v>1519.3</v>
      </c>
      <c r="AC6" s="30">
        <v>1329.4</v>
      </c>
      <c r="AD6" s="31">
        <v>1471.4</v>
      </c>
      <c r="AE6" s="29">
        <v>1352.3999999999999</v>
      </c>
      <c r="AF6" s="30">
        <v>1467.3999999999999</v>
      </c>
      <c r="AG6" s="30">
        <v>1998.4999999999998</v>
      </c>
      <c r="AH6" s="31">
        <v>2412.2999999999997</v>
      </c>
      <c r="AI6" s="29">
        <v>2608</v>
      </c>
      <c r="AJ6" s="30">
        <v>1949.8</v>
      </c>
      <c r="AK6" s="30">
        <v>1947.2</v>
      </c>
      <c r="AL6" s="31">
        <v>1990.9</v>
      </c>
      <c r="AM6" s="29">
        <v>1613.8</v>
      </c>
      <c r="AN6" s="30">
        <v>1320.5</v>
      </c>
      <c r="AO6" s="30">
        <v>1124.9000000000001</v>
      </c>
      <c r="AP6" s="31">
        <v>1117.0999999999999</v>
      </c>
      <c r="AQ6" s="30">
        <v>1210.5999999999999</v>
      </c>
      <c r="AR6" s="30">
        <v>1029.7</v>
      </c>
      <c r="AS6" s="30">
        <v>828.5</v>
      </c>
      <c r="AT6" s="30">
        <v>784.8</v>
      </c>
      <c r="AU6" s="29">
        <v>647.70000000000005</v>
      </c>
      <c r="AV6" s="30">
        <v>677.1</v>
      </c>
      <c r="AW6" s="30">
        <v>528.70000000000005</v>
      </c>
      <c r="AX6" s="30">
        <v>509.7</v>
      </c>
    </row>
    <row r="7" spans="1:50" s="268" customFormat="1" ht="11.25">
      <c r="A7" s="28" t="s">
        <v>240</v>
      </c>
      <c r="B7" s="28" t="s">
        <v>70</v>
      </c>
      <c r="C7" s="29">
        <v>9032.9</v>
      </c>
      <c r="D7" s="30">
        <v>4323.5</v>
      </c>
      <c r="E7" s="30">
        <v>5318.4</v>
      </c>
      <c r="F7" s="30">
        <v>4373.2</v>
      </c>
      <c r="G7" s="29">
        <v>4973.8999999999996</v>
      </c>
      <c r="H7" s="30">
        <v>4814</v>
      </c>
      <c r="I7" s="30">
        <v>7100.1</v>
      </c>
      <c r="J7" s="31">
        <v>6115.9</v>
      </c>
      <c r="K7" s="29">
        <v>10762.5</v>
      </c>
      <c r="L7" s="30">
        <v>9937.6</v>
      </c>
      <c r="M7" s="30">
        <v>11558.9</v>
      </c>
      <c r="N7" s="31">
        <v>7531.5</v>
      </c>
      <c r="O7" s="29">
        <v>3424.4</v>
      </c>
      <c r="P7" s="30">
        <v>904.7</v>
      </c>
      <c r="Q7" s="30">
        <v>2652.4</v>
      </c>
      <c r="R7" s="31">
        <v>489.9</v>
      </c>
      <c r="S7" s="29">
        <v>362.5</v>
      </c>
      <c r="T7" s="30">
        <v>431.1</v>
      </c>
      <c r="U7" s="30">
        <v>319.5</v>
      </c>
      <c r="V7" s="31">
        <v>444.7</v>
      </c>
      <c r="W7" s="29">
        <v>853.7</v>
      </c>
      <c r="X7" s="30">
        <v>412.40000000000003</v>
      </c>
      <c r="Y7" s="30">
        <v>994</v>
      </c>
      <c r="Z7" s="31">
        <v>507.6</v>
      </c>
      <c r="AA7" s="29">
        <v>1034.7</v>
      </c>
      <c r="AB7" s="30">
        <v>1405.7</v>
      </c>
      <c r="AC7" s="30">
        <v>1056.7</v>
      </c>
      <c r="AD7" s="31">
        <v>1276.3</v>
      </c>
      <c r="AE7" s="29">
        <v>1768.5</v>
      </c>
      <c r="AF7" s="30">
        <v>2565.5</v>
      </c>
      <c r="AG7" s="30">
        <v>1073.5999999999999</v>
      </c>
      <c r="AH7" s="31">
        <v>1409.8</v>
      </c>
      <c r="AI7" s="29">
        <v>2068.3000000000002</v>
      </c>
      <c r="AJ7" s="30">
        <v>1740.5</v>
      </c>
      <c r="AK7" s="30">
        <v>2411.8000000000002</v>
      </c>
      <c r="AL7" s="31">
        <v>964.3</v>
      </c>
      <c r="AM7" s="29">
        <v>2067.6999999999998</v>
      </c>
      <c r="AN7" s="30">
        <v>1847.3</v>
      </c>
      <c r="AO7" s="30">
        <v>1617.3</v>
      </c>
      <c r="AP7" s="31">
        <v>2805.2</v>
      </c>
      <c r="AQ7" s="30">
        <v>1470.6000000000001</v>
      </c>
      <c r="AR7" s="30">
        <v>2676.6000000000004</v>
      </c>
      <c r="AS7" s="30">
        <v>1392.8</v>
      </c>
      <c r="AT7" s="30">
        <v>469.5</v>
      </c>
      <c r="AU7" s="29">
        <v>596</v>
      </c>
      <c r="AV7" s="30">
        <v>1356.8999999999999</v>
      </c>
      <c r="AW7" s="30">
        <v>742</v>
      </c>
      <c r="AX7" s="30">
        <v>1201.9000000000001</v>
      </c>
    </row>
    <row r="8" spans="1:50" s="268" customFormat="1" ht="11.25">
      <c r="A8" s="28" t="s">
        <v>428</v>
      </c>
      <c r="B8" s="28" t="s">
        <v>423</v>
      </c>
      <c r="C8" s="29">
        <v>0</v>
      </c>
      <c r="D8" s="30">
        <v>0</v>
      </c>
      <c r="E8" s="30">
        <v>0</v>
      </c>
      <c r="F8" s="30">
        <v>0</v>
      </c>
      <c r="G8" s="29">
        <v>0</v>
      </c>
      <c r="H8" s="30">
        <v>0</v>
      </c>
      <c r="I8" s="30">
        <v>0</v>
      </c>
      <c r="J8" s="31">
        <v>0</v>
      </c>
      <c r="K8" s="29">
        <v>0</v>
      </c>
      <c r="L8" s="30">
        <v>0</v>
      </c>
      <c r="M8" s="30">
        <v>0</v>
      </c>
      <c r="N8" s="31">
        <v>0</v>
      </c>
      <c r="O8" s="29">
        <v>0</v>
      </c>
      <c r="P8" s="30">
        <v>0</v>
      </c>
      <c r="Q8" s="30">
        <v>0</v>
      </c>
      <c r="R8" s="31">
        <v>0</v>
      </c>
      <c r="S8" s="29">
        <v>0</v>
      </c>
      <c r="T8" s="30">
        <v>0</v>
      </c>
      <c r="U8" s="30">
        <v>0</v>
      </c>
      <c r="V8" s="31">
        <v>0</v>
      </c>
      <c r="W8" s="29">
        <v>0</v>
      </c>
      <c r="X8" s="30">
        <v>0</v>
      </c>
      <c r="Y8" s="30">
        <v>0</v>
      </c>
      <c r="Z8" s="31">
        <v>0</v>
      </c>
      <c r="AA8" s="29">
        <v>0</v>
      </c>
      <c r="AB8" s="30">
        <v>651.70000000000005</v>
      </c>
      <c r="AC8" s="30">
        <v>547</v>
      </c>
      <c r="AD8" s="31">
        <v>675.1</v>
      </c>
      <c r="AE8" s="29">
        <v>931.8</v>
      </c>
      <c r="AF8" s="30">
        <v>338.2</v>
      </c>
      <c r="AG8" s="30">
        <v>381.8</v>
      </c>
      <c r="AH8" s="31">
        <v>447</v>
      </c>
      <c r="AI8" s="29">
        <v>577.4</v>
      </c>
      <c r="AJ8" s="30">
        <v>15.1</v>
      </c>
      <c r="AK8" s="30">
        <v>357.4</v>
      </c>
      <c r="AL8" s="31">
        <v>162.79999999999998</v>
      </c>
      <c r="AM8" s="29">
        <v>0</v>
      </c>
      <c r="AN8" s="30">
        <v>0</v>
      </c>
      <c r="AO8" s="30">
        <v>0</v>
      </c>
      <c r="AP8" s="31">
        <v>21.6</v>
      </c>
      <c r="AQ8" s="30">
        <v>34.6</v>
      </c>
      <c r="AR8" s="30">
        <v>0</v>
      </c>
      <c r="AS8" s="30">
        <v>22.4</v>
      </c>
      <c r="AT8" s="30">
        <v>60.5</v>
      </c>
      <c r="AU8" s="29">
        <v>19.899999999999999</v>
      </c>
      <c r="AV8" s="30">
        <v>0</v>
      </c>
      <c r="AW8" s="30">
        <v>0</v>
      </c>
      <c r="AX8" s="30">
        <v>0</v>
      </c>
    </row>
    <row r="9" spans="1:50" s="268" customFormat="1" ht="11.25">
      <c r="A9" s="28" t="s">
        <v>241</v>
      </c>
      <c r="B9" s="28" t="s">
        <v>71</v>
      </c>
      <c r="C9" s="29">
        <v>11.2</v>
      </c>
      <c r="D9" s="30">
        <v>2.1</v>
      </c>
      <c r="E9" s="30">
        <v>0.7</v>
      </c>
      <c r="F9" s="30">
        <v>38.5</v>
      </c>
      <c r="G9" s="29">
        <v>23.1</v>
      </c>
      <c r="H9" s="30">
        <v>2.1</v>
      </c>
      <c r="I9" s="30">
        <v>4.9000000000000004</v>
      </c>
      <c r="J9" s="31">
        <v>1</v>
      </c>
      <c r="K9" s="29">
        <v>12.1</v>
      </c>
      <c r="L9" s="30">
        <v>1.1000000000000001</v>
      </c>
      <c r="M9" s="30">
        <v>1.9</v>
      </c>
      <c r="N9" s="31">
        <v>2.1</v>
      </c>
      <c r="O9" s="29">
        <v>21.2</v>
      </c>
      <c r="P9" s="30">
        <v>7.3</v>
      </c>
      <c r="Q9" s="30">
        <v>15.1</v>
      </c>
      <c r="R9" s="31">
        <v>22.9</v>
      </c>
      <c r="S9" s="29">
        <v>25.2</v>
      </c>
      <c r="T9" s="30">
        <v>5</v>
      </c>
      <c r="U9" s="30">
        <v>7.8</v>
      </c>
      <c r="V9" s="31">
        <v>0</v>
      </c>
      <c r="W9" s="29">
        <v>0</v>
      </c>
      <c r="X9" s="30">
        <v>0</v>
      </c>
      <c r="Y9" s="30">
        <v>0</v>
      </c>
      <c r="Z9" s="31">
        <v>0</v>
      </c>
      <c r="AA9" s="29">
        <v>0</v>
      </c>
      <c r="AB9" s="30">
        <v>0</v>
      </c>
      <c r="AC9" s="30">
        <v>0</v>
      </c>
      <c r="AD9" s="31">
        <v>0</v>
      </c>
      <c r="AE9" s="29">
        <v>0</v>
      </c>
      <c r="AF9" s="30">
        <v>0</v>
      </c>
      <c r="AG9" s="30">
        <v>0</v>
      </c>
      <c r="AH9" s="31">
        <v>0</v>
      </c>
      <c r="AI9" s="29">
        <v>0</v>
      </c>
      <c r="AJ9" s="30">
        <v>0</v>
      </c>
      <c r="AK9" s="30">
        <v>0</v>
      </c>
      <c r="AL9" s="31">
        <v>0</v>
      </c>
      <c r="AM9" s="29">
        <v>0</v>
      </c>
      <c r="AN9" s="30">
        <v>0</v>
      </c>
      <c r="AO9" s="30">
        <v>0</v>
      </c>
      <c r="AP9" s="31">
        <v>0</v>
      </c>
      <c r="AQ9" s="30">
        <v>0</v>
      </c>
      <c r="AR9" s="30">
        <v>0</v>
      </c>
      <c r="AS9" s="30">
        <v>0</v>
      </c>
      <c r="AT9" s="30">
        <v>0</v>
      </c>
      <c r="AU9" s="29">
        <v>0</v>
      </c>
      <c r="AV9" s="30">
        <v>0</v>
      </c>
      <c r="AW9" s="30">
        <v>0</v>
      </c>
      <c r="AX9" s="30">
        <v>0</v>
      </c>
    </row>
    <row r="10" spans="1:50" s="268" customFormat="1" ht="22.5">
      <c r="A10" s="28" t="s">
        <v>639</v>
      </c>
      <c r="B10" s="28" t="s">
        <v>640</v>
      </c>
      <c r="C10" s="29">
        <v>1177</v>
      </c>
      <c r="D10" s="30">
        <v>1822.6999999999998</v>
      </c>
      <c r="E10" s="30">
        <v>1780.6</v>
      </c>
      <c r="F10" s="30">
        <v>1844.8000000000002</v>
      </c>
      <c r="G10" s="29">
        <v>4180.2</v>
      </c>
      <c r="H10" s="30">
        <v>4158.1000000000004</v>
      </c>
      <c r="I10" s="30">
        <v>4091.3</v>
      </c>
      <c r="J10" s="31">
        <v>4431.8999999999996</v>
      </c>
      <c r="K10" s="29">
        <v>1202.8</v>
      </c>
      <c r="L10" s="30">
        <v>883.4</v>
      </c>
      <c r="M10" s="30">
        <v>616.90000000000009</v>
      </c>
      <c r="N10" s="31">
        <v>734.1</v>
      </c>
      <c r="O10" s="29">
        <v>312.8</v>
      </c>
      <c r="P10" s="30">
        <v>539.5</v>
      </c>
      <c r="Q10" s="30">
        <v>1278.2</v>
      </c>
      <c r="R10" s="31">
        <v>146.80000000000001</v>
      </c>
      <c r="S10" s="29">
        <v>189.2</v>
      </c>
      <c r="T10" s="30">
        <v>136.4</v>
      </c>
      <c r="U10" s="30">
        <v>793.2</v>
      </c>
      <c r="V10" s="31">
        <v>194.9</v>
      </c>
      <c r="W10" s="29">
        <v>572</v>
      </c>
      <c r="X10" s="30">
        <v>379.1</v>
      </c>
      <c r="Y10" s="30">
        <v>528.6</v>
      </c>
      <c r="Z10" s="31">
        <v>1047</v>
      </c>
      <c r="AA10" s="29">
        <v>377.4</v>
      </c>
      <c r="AB10" s="30">
        <v>0</v>
      </c>
      <c r="AC10" s="30">
        <v>0</v>
      </c>
      <c r="AD10" s="31">
        <v>0</v>
      </c>
      <c r="AE10" s="29">
        <v>0</v>
      </c>
      <c r="AF10" s="30">
        <v>0</v>
      </c>
      <c r="AG10" s="30">
        <v>0</v>
      </c>
      <c r="AH10" s="31">
        <v>0</v>
      </c>
      <c r="AI10" s="29">
        <v>0</v>
      </c>
      <c r="AJ10" s="30">
        <v>0</v>
      </c>
      <c r="AK10" s="30">
        <v>0</v>
      </c>
      <c r="AL10" s="31">
        <v>0</v>
      </c>
      <c r="AM10" s="29">
        <v>0</v>
      </c>
      <c r="AN10" s="30">
        <v>0</v>
      </c>
      <c r="AO10" s="30">
        <v>0</v>
      </c>
      <c r="AP10" s="31">
        <v>0</v>
      </c>
      <c r="AQ10" s="30">
        <v>0</v>
      </c>
      <c r="AR10" s="30">
        <v>0</v>
      </c>
      <c r="AS10" s="30">
        <v>0</v>
      </c>
      <c r="AT10" s="30">
        <v>0</v>
      </c>
      <c r="AU10" s="29">
        <v>0</v>
      </c>
      <c r="AV10" s="30">
        <v>0</v>
      </c>
      <c r="AW10" s="30">
        <v>0</v>
      </c>
      <c r="AX10" s="30">
        <v>0</v>
      </c>
    </row>
    <row r="11" spans="1:50" s="389" customFormat="1" ht="11.25" outlineLevel="1">
      <c r="A11" s="387" t="s">
        <v>240</v>
      </c>
      <c r="B11" s="387" t="s">
        <v>70</v>
      </c>
      <c r="C11" s="177">
        <v>690.3</v>
      </c>
      <c r="D11" s="178">
        <v>1035.8</v>
      </c>
      <c r="E11" s="178">
        <v>1514.7</v>
      </c>
      <c r="F11" s="178">
        <v>1513.2</v>
      </c>
      <c r="G11" s="177">
        <v>1587.6</v>
      </c>
      <c r="H11" s="178">
        <v>1432.4</v>
      </c>
      <c r="I11" s="178">
        <v>1576.6</v>
      </c>
      <c r="J11" s="179">
        <v>1822.7</v>
      </c>
      <c r="K11" s="177">
        <v>205.2</v>
      </c>
      <c r="L11" s="178">
        <v>203.6</v>
      </c>
      <c r="M11" s="178">
        <v>199.8</v>
      </c>
      <c r="N11" s="179">
        <v>186.5</v>
      </c>
      <c r="O11" s="177">
        <v>185.5</v>
      </c>
      <c r="P11" s="178">
        <v>191.8</v>
      </c>
      <c r="Q11" s="178">
        <v>188.3</v>
      </c>
      <c r="R11" s="179">
        <v>61.2</v>
      </c>
      <c r="S11" s="177">
        <v>62.6</v>
      </c>
      <c r="T11" s="178">
        <v>62.5</v>
      </c>
      <c r="U11" s="178">
        <v>0</v>
      </c>
      <c r="V11" s="179">
        <v>0</v>
      </c>
      <c r="W11" s="177">
        <v>414.5</v>
      </c>
      <c r="X11" s="178">
        <v>0</v>
      </c>
      <c r="Y11" s="178">
        <v>0</v>
      </c>
      <c r="Z11" s="179">
        <v>0</v>
      </c>
      <c r="AA11" s="177">
        <v>0</v>
      </c>
      <c r="AB11" s="178">
        <v>0</v>
      </c>
      <c r="AC11" s="178">
        <v>0</v>
      </c>
      <c r="AD11" s="179">
        <v>0</v>
      </c>
      <c r="AE11" s="177">
        <v>0</v>
      </c>
      <c r="AF11" s="178">
        <v>0</v>
      </c>
      <c r="AG11" s="178">
        <v>0</v>
      </c>
      <c r="AH11" s="179">
        <v>0</v>
      </c>
      <c r="AI11" s="177">
        <v>0</v>
      </c>
      <c r="AJ11" s="178">
        <v>0</v>
      </c>
      <c r="AK11" s="178">
        <v>0</v>
      </c>
      <c r="AL11" s="179">
        <v>0</v>
      </c>
      <c r="AM11" s="177">
        <v>0</v>
      </c>
      <c r="AN11" s="178">
        <v>0</v>
      </c>
      <c r="AO11" s="178">
        <v>0</v>
      </c>
      <c r="AP11" s="54">
        <v>0</v>
      </c>
      <c r="AQ11" s="53">
        <v>0</v>
      </c>
      <c r="AR11" s="53">
        <v>0</v>
      </c>
      <c r="AS11" s="53">
        <v>0</v>
      </c>
      <c r="AT11" s="53">
        <v>0</v>
      </c>
      <c r="AU11" s="52">
        <v>0</v>
      </c>
      <c r="AV11" s="53">
        <v>0</v>
      </c>
      <c r="AW11" s="53">
        <v>0</v>
      </c>
      <c r="AX11" s="53">
        <v>0</v>
      </c>
    </row>
    <row r="12" spans="1:50" s="389" customFormat="1" ht="11.25" outlineLevel="1">
      <c r="A12" s="388" t="s">
        <v>242</v>
      </c>
      <c r="B12" s="388" t="s">
        <v>72</v>
      </c>
      <c r="C12" s="177">
        <v>486.7</v>
      </c>
      <c r="D12" s="178">
        <v>786.9</v>
      </c>
      <c r="E12" s="178">
        <v>265.89999999999998</v>
      </c>
      <c r="F12" s="178">
        <v>331.6</v>
      </c>
      <c r="G12" s="177">
        <v>358.3</v>
      </c>
      <c r="H12" s="178">
        <v>255</v>
      </c>
      <c r="I12" s="178">
        <v>369.7</v>
      </c>
      <c r="J12" s="179">
        <v>362.5</v>
      </c>
      <c r="K12" s="177">
        <v>997.6</v>
      </c>
      <c r="L12" s="178">
        <v>679.8</v>
      </c>
      <c r="M12" s="178">
        <v>417.1</v>
      </c>
      <c r="N12" s="179">
        <v>547.6</v>
      </c>
      <c r="O12" s="177">
        <v>127.3</v>
      </c>
      <c r="P12" s="178">
        <v>347.7</v>
      </c>
      <c r="Q12" s="178">
        <v>1089.9000000000001</v>
      </c>
      <c r="R12" s="179">
        <v>85.6</v>
      </c>
      <c r="S12" s="177">
        <v>126.6</v>
      </c>
      <c r="T12" s="178">
        <v>73.900000000000006</v>
      </c>
      <c r="U12" s="178">
        <v>793.2</v>
      </c>
      <c r="V12" s="179">
        <v>194.9</v>
      </c>
      <c r="W12" s="177">
        <v>157.5</v>
      </c>
      <c r="X12" s="178">
        <v>379.1</v>
      </c>
      <c r="Y12" s="178">
        <v>528.6</v>
      </c>
      <c r="Z12" s="179">
        <v>1047</v>
      </c>
      <c r="AA12" s="177">
        <v>377.4</v>
      </c>
      <c r="AB12" s="178">
        <v>0</v>
      </c>
      <c r="AC12" s="178">
        <v>0</v>
      </c>
      <c r="AD12" s="179">
        <v>0</v>
      </c>
      <c r="AE12" s="177">
        <v>0</v>
      </c>
      <c r="AF12" s="178">
        <v>0</v>
      </c>
      <c r="AG12" s="178">
        <v>0</v>
      </c>
      <c r="AH12" s="179">
        <v>0</v>
      </c>
      <c r="AI12" s="177">
        <v>0</v>
      </c>
      <c r="AJ12" s="178">
        <v>0</v>
      </c>
      <c r="AK12" s="178">
        <v>0</v>
      </c>
      <c r="AL12" s="179">
        <v>0</v>
      </c>
      <c r="AM12" s="177">
        <v>0</v>
      </c>
      <c r="AN12" s="178">
        <v>0</v>
      </c>
      <c r="AO12" s="178">
        <v>0</v>
      </c>
      <c r="AP12" s="54">
        <v>0</v>
      </c>
      <c r="AQ12" s="53">
        <v>0</v>
      </c>
      <c r="AR12" s="53">
        <v>0</v>
      </c>
      <c r="AS12" s="53">
        <v>0</v>
      </c>
      <c r="AT12" s="53">
        <v>0</v>
      </c>
      <c r="AU12" s="52">
        <v>0</v>
      </c>
      <c r="AV12" s="53">
        <v>0</v>
      </c>
      <c r="AW12" s="53">
        <v>0</v>
      </c>
      <c r="AX12" s="53">
        <v>0</v>
      </c>
    </row>
    <row r="13" spans="1:50" s="389" customFormat="1" ht="11.25" outlineLevel="1">
      <c r="A13" s="388" t="s">
        <v>387</v>
      </c>
      <c r="B13" s="388" t="s">
        <v>355</v>
      </c>
      <c r="C13" s="177">
        <v>0</v>
      </c>
      <c r="D13" s="178">
        <v>0</v>
      </c>
      <c r="E13" s="178">
        <v>0</v>
      </c>
      <c r="F13" s="178">
        <v>0</v>
      </c>
      <c r="G13" s="177">
        <v>2234.3000000000002</v>
      </c>
      <c r="H13" s="178">
        <v>2470.6999999999998</v>
      </c>
      <c r="I13" s="178">
        <v>2145</v>
      </c>
      <c r="J13" s="179">
        <v>2246.6999999999998</v>
      </c>
      <c r="K13" s="177">
        <v>0</v>
      </c>
      <c r="L13" s="178">
        <v>0</v>
      </c>
      <c r="M13" s="178">
        <v>0</v>
      </c>
      <c r="N13" s="179">
        <v>0</v>
      </c>
      <c r="O13" s="177">
        <v>0</v>
      </c>
      <c r="P13" s="178">
        <v>0</v>
      </c>
      <c r="Q13" s="178">
        <v>0</v>
      </c>
      <c r="R13" s="179">
        <v>0</v>
      </c>
      <c r="S13" s="177">
        <v>0</v>
      </c>
      <c r="T13" s="178">
        <v>0</v>
      </c>
      <c r="U13" s="178">
        <v>0</v>
      </c>
      <c r="V13" s="179">
        <v>0</v>
      </c>
      <c r="W13" s="177">
        <v>0</v>
      </c>
      <c r="X13" s="178">
        <v>0</v>
      </c>
      <c r="Y13" s="178">
        <v>0</v>
      </c>
      <c r="Z13" s="179">
        <v>0</v>
      </c>
      <c r="AA13" s="177">
        <v>0</v>
      </c>
      <c r="AB13" s="178">
        <v>0</v>
      </c>
      <c r="AC13" s="178">
        <v>0</v>
      </c>
      <c r="AD13" s="179">
        <v>0</v>
      </c>
      <c r="AE13" s="177">
        <v>0</v>
      </c>
      <c r="AF13" s="178">
        <v>0</v>
      </c>
      <c r="AG13" s="178">
        <v>0</v>
      </c>
      <c r="AH13" s="179">
        <v>0</v>
      </c>
      <c r="AI13" s="177">
        <v>0</v>
      </c>
      <c r="AJ13" s="178">
        <v>0</v>
      </c>
      <c r="AK13" s="178">
        <v>0</v>
      </c>
      <c r="AL13" s="179">
        <v>0</v>
      </c>
      <c r="AM13" s="177">
        <v>0</v>
      </c>
      <c r="AN13" s="178">
        <v>0</v>
      </c>
      <c r="AO13" s="178">
        <v>0</v>
      </c>
      <c r="AP13" s="54">
        <v>0</v>
      </c>
      <c r="AQ13" s="53">
        <v>0</v>
      </c>
      <c r="AR13" s="53">
        <v>0</v>
      </c>
      <c r="AS13" s="53">
        <v>0</v>
      </c>
      <c r="AT13" s="53">
        <v>0</v>
      </c>
      <c r="AU13" s="52">
        <v>0</v>
      </c>
      <c r="AV13" s="53">
        <v>0</v>
      </c>
      <c r="AW13" s="53">
        <v>0</v>
      </c>
      <c r="AX13" s="53">
        <v>0</v>
      </c>
    </row>
    <row r="14" spans="1:50" s="115" customFormat="1" ht="11.25" collapsed="1">
      <c r="A14" s="57" t="s">
        <v>641</v>
      </c>
      <c r="B14" s="57" t="s">
        <v>642</v>
      </c>
      <c r="C14" s="42">
        <f t="shared" ref="C14:AT14" si="0">SUM(C6:C10)</f>
        <v>11114.9</v>
      </c>
      <c r="D14" s="43">
        <f t="shared" si="0"/>
        <v>6998</v>
      </c>
      <c r="E14" s="43">
        <f t="shared" si="0"/>
        <v>8243.9</v>
      </c>
      <c r="F14" s="43">
        <f t="shared" si="0"/>
        <v>7907.5</v>
      </c>
      <c r="G14" s="42">
        <f t="shared" si="0"/>
        <v>11238.7</v>
      </c>
      <c r="H14" s="43">
        <f t="shared" si="0"/>
        <v>11160.1</v>
      </c>
      <c r="I14" s="43">
        <f t="shared" si="0"/>
        <v>12817.900000000001</v>
      </c>
      <c r="J14" s="44">
        <f t="shared" si="0"/>
        <v>15128.6</v>
      </c>
      <c r="K14" s="42">
        <f t="shared" si="0"/>
        <v>17144.8</v>
      </c>
      <c r="L14" s="43">
        <f t="shared" si="0"/>
        <v>14064.1</v>
      </c>
      <c r="M14" s="43">
        <f t="shared" si="0"/>
        <v>14130.999999999998</v>
      </c>
      <c r="N14" s="44">
        <f t="shared" si="0"/>
        <v>9834.4000000000015</v>
      </c>
      <c r="O14" s="42">
        <f t="shared" si="0"/>
        <v>5166.7</v>
      </c>
      <c r="P14" s="43">
        <f t="shared" si="0"/>
        <v>3207.2000000000003</v>
      </c>
      <c r="Q14" s="43">
        <f t="shared" si="0"/>
        <v>5473.6</v>
      </c>
      <c r="R14" s="44">
        <f t="shared" si="0"/>
        <v>1818.5000000000002</v>
      </c>
      <c r="S14" s="42">
        <f t="shared" si="0"/>
        <v>1456</v>
      </c>
      <c r="T14" s="43">
        <f t="shared" si="0"/>
        <v>1485.1000000000001</v>
      </c>
      <c r="U14" s="43">
        <f t="shared" si="0"/>
        <v>2902.5</v>
      </c>
      <c r="V14" s="44">
        <f t="shared" si="0"/>
        <v>2498</v>
      </c>
      <c r="W14" s="42">
        <f t="shared" si="0"/>
        <v>2719.6000000000004</v>
      </c>
      <c r="X14" s="43">
        <f t="shared" si="0"/>
        <v>2026.6000000000004</v>
      </c>
      <c r="Y14" s="43">
        <f t="shared" si="0"/>
        <v>3047.3</v>
      </c>
      <c r="Z14" s="44">
        <f t="shared" si="0"/>
        <v>3376.7000000000003</v>
      </c>
      <c r="AA14" s="42">
        <f t="shared" si="0"/>
        <v>2984.2000000000003</v>
      </c>
      <c r="AB14" s="43">
        <f t="shared" si="0"/>
        <v>3576.7</v>
      </c>
      <c r="AC14" s="43">
        <f t="shared" si="0"/>
        <v>2933.1000000000004</v>
      </c>
      <c r="AD14" s="44">
        <f t="shared" si="0"/>
        <v>3422.7999999999997</v>
      </c>
      <c r="AE14" s="42">
        <f t="shared" si="0"/>
        <v>4052.7</v>
      </c>
      <c r="AF14" s="43">
        <f t="shared" si="0"/>
        <v>4371.0999999999995</v>
      </c>
      <c r="AG14" s="43">
        <f t="shared" si="0"/>
        <v>3453.8999999999996</v>
      </c>
      <c r="AH14" s="44">
        <f t="shared" si="0"/>
        <v>4269.0999999999995</v>
      </c>
      <c r="AI14" s="42">
        <f t="shared" si="0"/>
        <v>5253.7</v>
      </c>
      <c r="AJ14" s="43">
        <f t="shared" si="0"/>
        <v>3705.4</v>
      </c>
      <c r="AK14" s="43">
        <f t="shared" si="0"/>
        <v>4716.3999999999996</v>
      </c>
      <c r="AL14" s="44">
        <f t="shared" si="0"/>
        <v>3118</v>
      </c>
      <c r="AM14" s="42">
        <f t="shared" si="0"/>
        <v>3681.5</v>
      </c>
      <c r="AN14" s="43">
        <f t="shared" si="0"/>
        <v>3167.8</v>
      </c>
      <c r="AO14" s="43">
        <f t="shared" si="0"/>
        <v>2742.2</v>
      </c>
      <c r="AP14" s="44">
        <f t="shared" si="0"/>
        <v>3943.8999999999996</v>
      </c>
      <c r="AQ14" s="43">
        <f t="shared" si="0"/>
        <v>2715.7999999999997</v>
      </c>
      <c r="AR14" s="43">
        <f t="shared" si="0"/>
        <v>3706.3</v>
      </c>
      <c r="AS14" s="43">
        <f t="shared" si="0"/>
        <v>2243.7000000000003</v>
      </c>
      <c r="AT14" s="43">
        <f t="shared" si="0"/>
        <v>1314.8</v>
      </c>
      <c r="AU14" s="42">
        <f>SUM(AU6:AU10)</f>
        <v>1263.6000000000001</v>
      </c>
      <c r="AV14" s="43">
        <f>SUM(AV6:AV10)</f>
        <v>2034</v>
      </c>
      <c r="AW14" s="43">
        <f>SUM(AW6:AW10)</f>
        <v>1270.7</v>
      </c>
      <c r="AX14" s="43">
        <f>SUM(AX6:AX10)</f>
        <v>1711.6000000000001</v>
      </c>
    </row>
    <row r="15" spans="1:50" s="268" customFormat="1" ht="11.25">
      <c r="A15" s="33"/>
      <c r="B15" s="33"/>
      <c r="C15" s="29"/>
      <c r="D15" s="30"/>
      <c r="E15" s="30"/>
      <c r="F15" s="30"/>
      <c r="G15" s="29"/>
      <c r="H15" s="30"/>
      <c r="I15" s="30"/>
      <c r="J15" s="31"/>
      <c r="K15" s="29"/>
      <c r="L15" s="30"/>
      <c r="M15" s="30"/>
      <c r="N15" s="31"/>
      <c r="O15" s="29"/>
      <c r="P15" s="30"/>
      <c r="Q15" s="30"/>
      <c r="R15" s="31"/>
      <c r="S15" s="29"/>
      <c r="T15" s="30"/>
      <c r="U15" s="30"/>
      <c r="V15" s="31"/>
      <c r="W15" s="29"/>
      <c r="X15" s="30"/>
      <c r="Y15" s="30"/>
      <c r="Z15" s="31"/>
      <c r="AA15" s="29"/>
      <c r="AB15" s="30"/>
      <c r="AC15" s="30"/>
      <c r="AD15" s="31"/>
      <c r="AE15" s="29"/>
      <c r="AF15" s="30"/>
      <c r="AG15" s="30"/>
      <c r="AH15" s="31"/>
      <c r="AI15" s="29"/>
      <c r="AJ15" s="30"/>
      <c r="AK15" s="30"/>
      <c r="AL15" s="31"/>
      <c r="AM15" s="29"/>
      <c r="AN15" s="30"/>
      <c r="AO15" s="30"/>
      <c r="AP15" s="31"/>
      <c r="AQ15" s="30"/>
      <c r="AR15" s="30"/>
      <c r="AS15" s="30"/>
      <c r="AT15" s="30"/>
      <c r="AU15" s="29"/>
      <c r="AV15" s="30"/>
      <c r="AW15" s="30"/>
      <c r="AX15" s="30"/>
    </row>
    <row r="16" spans="1:50" s="270" customFormat="1" ht="22.5">
      <c r="A16" s="33" t="s">
        <v>643</v>
      </c>
      <c r="B16" s="33" t="s">
        <v>644</v>
      </c>
      <c r="C16" s="81" t="s">
        <v>337</v>
      </c>
      <c r="D16" s="82" t="s">
        <v>337</v>
      </c>
      <c r="E16" s="82" t="s">
        <v>337</v>
      </c>
      <c r="F16" s="82" t="s">
        <v>337</v>
      </c>
      <c r="G16" s="81" t="s">
        <v>337</v>
      </c>
      <c r="H16" s="82" t="s">
        <v>337</v>
      </c>
      <c r="I16" s="82" t="s">
        <v>337</v>
      </c>
      <c r="J16" s="83" t="s">
        <v>337</v>
      </c>
      <c r="K16" s="81" t="s">
        <v>337</v>
      </c>
      <c r="L16" s="82" t="s">
        <v>337</v>
      </c>
      <c r="M16" s="82" t="s">
        <v>337</v>
      </c>
      <c r="N16" s="83" t="s">
        <v>337</v>
      </c>
      <c r="O16" s="81" t="s">
        <v>337</v>
      </c>
      <c r="P16" s="82" t="s">
        <v>337</v>
      </c>
      <c r="Q16" s="82" t="s">
        <v>337</v>
      </c>
      <c r="R16" s="83" t="s">
        <v>337</v>
      </c>
      <c r="S16" s="81" t="s">
        <v>337</v>
      </c>
      <c r="T16" s="82" t="s">
        <v>337</v>
      </c>
      <c r="U16" s="82" t="s">
        <v>337</v>
      </c>
      <c r="V16" s="83" t="s">
        <v>337</v>
      </c>
      <c r="W16" s="81" t="s">
        <v>337</v>
      </c>
      <c r="X16" s="82" t="s">
        <v>337</v>
      </c>
      <c r="Y16" s="82" t="s">
        <v>337</v>
      </c>
      <c r="Z16" s="83" t="s">
        <v>337</v>
      </c>
      <c r="AA16" s="81" t="s">
        <v>337</v>
      </c>
      <c r="AB16" s="82" t="s">
        <v>337</v>
      </c>
      <c r="AC16" s="82" t="s">
        <v>337</v>
      </c>
      <c r="AD16" s="83" t="s">
        <v>337</v>
      </c>
      <c r="AE16" s="81" t="s">
        <v>337</v>
      </c>
      <c r="AF16" s="82" t="s">
        <v>337</v>
      </c>
      <c r="AG16" s="82" t="s">
        <v>337</v>
      </c>
      <c r="AH16" s="83" t="s">
        <v>337</v>
      </c>
      <c r="AI16" s="81" t="s">
        <v>337</v>
      </c>
      <c r="AJ16" s="82" t="s">
        <v>337</v>
      </c>
      <c r="AK16" s="82" t="s">
        <v>337</v>
      </c>
      <c r="AL16" s="83" t="s">
        <v>337</v>
      </c>
      <c r="AM16" s="81" t="s">
        <v>337</v>
      </c>
      <c r="AN16" s="82" t="s">
        <v>337</v>
      </c>
      <c r="AO16" s="82" t="s">
        <v>337</v>
      </c>
      <c r="AP16" s="83" t="s">
        <v>337</v>
      </c>
      <c r="AQ16" s="82" t="s">
        <v>337</v>
      </c>
      <c r="AR16" s="82" t="s">
        <v>337</v>
      </c>
      <c r="AS16" s="82" t="s">
        <v>337</v>
      </c>
      <c r="AT16" s="82" t="s">
        <v>337</v>
      </c>
      <c r="AU16" s="34">
        <f>AU17+AU18</f>
        <v>17011.200000000004</v>
      </c>
      <c r="AV16" s="35">
        <f>AV17+AV18</f>
        <v>16532.7</v>
      </c>
      <c r="AW16" s="35">
        <f>AW17+AW18</f>
        <v>16725.2</v>
      </c>
      <c r="AX16" s="35">
        <f>AX17+AX18</f>
        <v>20077.3</v>
      </c>
    </row>
    <row r="17" spans="1:50" s="270" customFormat="1" ht="11.25">
      <c r="A17" s="32" t="s">
        <v>240</v>
      </c>
      <c r="B17" s="32" t="s">
        <v>70</v>
      </c>
      <c r="C17" s="69" t="s">
        <v>337</v>
      </c>
      <c r="D17" s="70" t="s">
        <v>337</v>
      </c>
      <c r="E17" s="70" t="s">
        <v>337</v>
      </c>
      <c r="F17" s="70" t="s">
        <v>337</v>
      </c>
      <c r="G17" s="69" t="s">
        <v>337</v>
      </c>
      <c r="H17" s="70" t="s">
        <v>337</v>
      </c>
      <c r="I17" s="70" t="s">
        <v>337</v>
      </c>
      <c r="J17" s="78" t="s">
        <v>337</v>
      </c>
      <c r="K17" s="69" t="s">
        <v>337</v>
      </c>
      <c r="L17" s="70" t="s">
        <v>337</v>
      </c>
      <c r="M17" s="70" t="s">
        <v>337</v>
      </c>
      <c r="N17" s="78" t="s">
        <v>337</v>
      </c>
      <c r="O17" s="69" t="s">
        <v>337</v>
      </c>
      <c r="P17" s="70" t="s">
        <v>337</v>
      </c>
      <c r="Q17" s="70" t="s">
        <v>337</v>
      </c>
      <c r="R17" s="78" t="s">
        <v>337</v>
      </c>
      <c r="S17" s="69" t="s">
        <v>337</v>
      </c>
      <c r="T17" s="70" t="s">
        <v>337</v>
      </c>
      <c r="U17" s="70" t="s">
        <v>337</v>
      </c>
      <c r="V17" s="78" t="s">
        <v>337</v>
      </c>
      <c r="W17" s="69" t="s">
        <v>337</v>
      </c>
      <c r="X17" s="70" t="s">
        <v>337</v>
      </c>
      <c r="Y17" s="70" t="s">
        <v>337</v>
      </c>
      <c r="Z17" s="78" t="s">
        <v>337</v>
      </c>
      <c r="AA17" s="69" t="s">
        <v>337</v>
      </c>
      <c r="AB17" s="70" t="s">
        <v>337</v>
      </c>
      <c r="AC17" s="70" t="s">
        <v>337</v>
      </c>
      <c r="AD17" s="78" t="s">
        <v>337</v>
      </c>
      <c r="AE17" s="69" t="s">
        <v>337</v>
      </c>
      <c r="AF17" s="70" t="s">
        <v>337</v>
      </c>
      <c r="AG17" s="70" t="s">
        <v>337</v>
      </c>
      <c r="AH17" s="78" t="s">
        <v>337</v>
      </c>
      <c r="AI17" s="69" t="s">
        <v>337</v>
      </c>
      <c r="AJ17" s="70" t="s">
        <v>337</v>
      </c>
      <c r="AK17" s="70" t="s">
        <v>337</v>
      </c>
      <c r="AL17" s="78" t="s">
        <v>337</v>
      </c>
      <c r="AM17" s="69" t="s">
        <v>337</v>
      </c>
      <c r="AN17" s="70" t="s">
        <v>337</v>
      </c>
      <c r="AO17" s="70" t="s">
        <v>337</v>
      </c>
      <c r="AP17" s="78" t="s">
        <v>337</v>
      </c>
      <c r="AQ17" s="70" t="s">
        <v>337</v>
      </c>
      <c r="AR17" s="70" t="s">
        <v>337</v>
      </c>
      <c r="AS17" s="70" t="s">
        <v>337</v>
      </c>
      <c r="AT17" s="70" t="s">
        <v>337</v>
      </c>
      <c r="AU17" s="29">
        <v>16935.800000000003</v>
      </c>
      <c r="AV17" s="30">
        <v>16455.3</v>
      </c>
      <c r="AW17" s="30">
        <v>16647.900000000001</v>
      </c>
      <c r="AX17" s="30">
        <v>19994</v>
      </c>
    </row>
    <row r="18" spans="1:50" s="270" customFormat="1" ht="11.25">
      <c r="A18" s="37" t="s">
        <v>241</v>
      </c>
      <c r="B18" s="37" t="s">
        <v>71</v>
      </c>
      <c r="C18" s="69" t="s">
        <v>337</v>
      </c>
      <c r="D18" s="70" t="s">
        <v>337</v>
      </c>
      <c r="E18" s="70" t="s">
        <v>337</v>
      </c>
      <c r="F18" s="70" t="s">
        <v>337</v>
      </c>
      <c r="G18" s="69" t="s">
        <v>337</v>
      </c>
      <c r="H18" s="70" t="s">
        <v>337</v>
      </c>
      <c r="I18" s="70" t="s">
        <v>337</v>
      </c>
      <c r="J18" s="78" t="s">
        <v>337</v>
      </c>
      <c r="K18" s="69" t="s">
        <v>337</v>
      </c>
      <c r="L18" s="70" t="s">
        <v>337</v>
      </c>
      <c r="M18" s="70" t="s">
        <v>337</v>
      </c>
      <c r="N18" s="78" t="s">
        <v>337</v>
      </c>
      <c r="O18" s="69" t="s">
        <v>337</v>
      </c>
      <c r="P18" s="70" t="s">
        <v>337</v>
      </c>
      <c r="Q18" s="70" t="s">
        <v>337</v>
      </c>
      <c r="R18" s="78" t="s">
        <v>337</v>
      </c>
      <c r="S18" s="69" t="s">
        <v>337</v>
      </c>
      <c r="T18" s="70" t="s">
        <v>337</v>
      </c>
      <c r="U18" s="70" t="s">
        <v>337</v>
      </c>
      <c r="V18" s="78" t="s">
        <v>337</v>
      </c>
      <c r="W18" s="69" t="s">
        <v>337</v>
      </c>
      <c r="X18" s="70" t="s">
        <v>337</v>
      </c>
      <c r="Y18" s="70" t="s">
        <v>337</v>
      </c>
      <c r="Z18" s="78" t="s">
        <v>337</v>
      </c>
      <c r="AA18" s="69" t="s">
        <v>337</v>
      </c>
      <c r="AB18" s="70" t="s">
        <v>337</v>
      </c>
      <c r="AC18" s="70" t="s">
        <v>337</v>
      </c>
      <c r="AD18" s="78" t="s">
        <v>337</v>
      </c>
      <c r="AE18" s="69" t="s">
        <v>337</v>
      </c>
      <c r="AF18" s="70" t="s">
        <v>337</v>
      </c>
      <c r="AG18" s="70" t="s">
        <v>337</v>
      </c>
      <c r="AH18" s="78" t="s">
        <v>337</v>
      </c>
      <c r="AI18" s="69" t="s">
        <v>337</v>
      </c>
      <c r="AJ18" s="70" t="s">
        <v>337</v>
      </c>
      <c r="AK18" s="70" t="s">
        <v>337</v>
      </c>
      <c r="AL18" s="78" t="s">
        <v>337</v>
      </c>
      <c r="AM18" s="69" t="s">
        <v>337</v>
      </c>
      <c r="AN18" s="70" t="s">
        <v>337</v>
      </c>
      <c r="AO18" s="70" t="s">
        <v>337</v>
      </c>
      <c r="AP18" s="78" t="s">
        <v>337</v>
      </c>
      <c r="AQ18" s="70" t="s">
        <v>337</v>
      </c>
      <c r="AR18" s="70" t="s">
        <v>337</v>
      </c>
      <c r="AS18" s="70" t="s">
        <v>337</v>
      </c>
      <c r="AT18" s="70" t="s">
        <v>337</v>
      </c>
      <c r="AU18" s="29">
        <v>75.400000000000006</v>
      </c>
      <c r="AV18" s="30">
        <v>77.400000000000006</v>
      </c>
      <c r="AW18" s="30">
        <v>77.3</v>
      </c>
      <c r="AX18" s="30">
        <v>83.3</v>
      </c>
    </row>
    <row r="19" spans="1:50" s="270" customFormat="1" ht="11.25">
      <c r="A19" s="55" t="s">
        <v>645</v>
      </c>
      <c r="B19" s="55" t="s">
        <v>646</v>
      </c>
      <c r="C19" s="81" t="s">
        <v>337</v>
      </c>
      <c r="D19" s="82" t="s">
        <v>337</v>
      </c>
      <c r="E19" s="82" t="s">
        <v>337</v>
      </c>
      <c r="F19" s="82" t="s">
        <v>337</v>
      </c>
      <c r="G19" s="81" t="s">
        <v>337</v>
      </c>
      <c r="H19" s="82" t="s">
        <v>337</v>
      </c>
      <c r="I19" s="82" t="s">
        <v>337</v>
      </c>
      <c r="J19" s="83" t="s">
        <v>337</v>
      </c>
      <c r="K19" s="81" t="s">
        <v>337</v>
      </c>
      <c r="L19" s="82" t="s">
        <v>337</v>
      </c>
      <c r="M19" s="82" t="s">
        <v>337</v>
      </c>
      <c r="N19" s="83" t="s">
        <v>337</v>
      </c>
      <c r="O19" s="81" t="s">
        <v>337</v>
      </c>
      <c r="P19" s="82" t="s">
        <v>337</v>
      </c>
      <c r="Q19" s="82" t="s">
        <v>337</v>
      </c>
      <c r="R19" s="83" t="s">
        <v>337</v>
      </c>
      <c r="S19" s="81" t="s">
        <v>337</v>
      </c>
      <c r="T19" s="82" t="s">
        <v>337</v>
      </c>
      <c r="U19" s="82" t="s">
        <v>337</v>
      </c>
      <c r="V19" s="83" t="s">
        <v>337</v>
      </c>
      <c r="W19" s="81" t="s">
        <v>337</v>
      </c>
      <c r="X19" s="82" t="s">
        <v>337</v>
      </c>
      <c r="Y19" s="82" t="s">
        <v>337</v>
      </c>
      <c r="Z19" s="83" t="s">
        <v>337</v>
      </c>
      <c r="AA19" s="81" t="s">
        <v>337</v>
      </c>
      <c r="AB19" s="82" t="s">
        <v>337</v>
      </c>
      <c r="AC19" s="82" t="s">
        <v>337</v>
      </c>
      <c r="AD19" s="83" t="s">
        <v>337</v>
      </c>
      <c r="AE19" s="81" t="s">
        <v>337</v>
      </c>
      <c r="AF19" s="82" t="s">
        <v>337</v>
      </c>
      <c r="AG19" s="82" t="s">
        <v>337</v>
      </c>
      <c r="AH19" s="83" t="s">
        <v>337</v>
      </c>
      <c r="AI19" s="81" t="s">
        <v>337</v>
      </c>
      <c r="AJ19" s="82" t="s">
        <v>337</v>
      </c>
      <c r="AK19" s="82" t="s">
        <v>337</v>
      </c>
      <c r="AL19" s="83" t="s">
        <v>337</v>
      </c>
      <c r="AM19" s="81" t="s">
        <v>337</v>
      </c>
      <c r="AN19" s="82" t="s">
        <v>337</v>
      </c>
      <c r="AO19" s="82" t="s">
        <v>337</v>
      </c>
      <c r="AP19" s="83" t="s">
        <v>337</v>
      </c>
      <c r="AQ19" s="82" t="s">
        <v>337</v>
      </c>
      <c r="AR19" s="82" t="s">
        <v>337</v>
      </c>
      <c r="AS19" s="82" t="s">
        <v>337</v>
      </c>
      <c r="AT19" s="82" t="s">
        <v>337</v>
      </c>
      <c r="AU19" s="34">
        <f t="shared" ref="AU19:AX19" si="1">SUM(AU20)</f>
        <v>12124.500000000002</v>
      </c>
      <c r="AV19" s="35">
        <f t="shared" si="1"/>
        <v>12144.300000000001</v>
      </c>
      <c r="AW19" s="35">
        <f t="shared" si="1"/>
        <v>12098.2</v>
      </c>
      <c r="AX19" s="35">
        <f t="shared" si="1"/>
        <v>11860</v>
      </c>
    </row>
    <row r="20" spans="1:50" s="270" customFormat="1" ht="11.25">
      <c r="A20" s="32" t="s">
        <v>240</v>
      </c>
      <c r="B20" s="32" t="s">
        <v>70</v>
      </c>
      <c r="C20" s="69" t="s">
        <v>337</v>
      </c>
      <c r="D20" s="70" t="s">
        <v>337</v>
      </c>
      <c r="E20" s="70" t="s">
        <v>337</v>
      </c>
      <c r="F20" s="70" t="s">
        <v>337</v>
      </c>
      <c r="G20" s="69" t="s">
        <v>337</v>
      </c>
      <c r="H20" s="70" t="s">
        <v>337</v>
      </c>
      <c r="I20" s="70" t="s">
        <v>337</v>
      </c>
      <c r="J20" s="78" t="s">
        <v>337</v>
      </c>
      <c r="K20" s="69" t="s">
        <v>337</v>
      </c>
      <c r="L20" s="70" t="s">
        <v>337</v>
      </c>
      <c r="M20" s="70" t="s">
        <v>337</v>
      </c>
      <c r="N20" s="78" t="s">
        <v>337</v>
      </c>
      <c r="O20" s="69" t="s">
        <v>337</v>
      </c>
      <c r="P20" s="70" t="s">
        <v>337</v>
      </c>
      <c r="Q20" s="70" t="s">
        <v>337</v>
      </c>
      <c r="R20" s="78" t="s">
        <v>337</v>
      </c>
      <c r="S20" s="69" t="s">
        <v>337</v>
      </c>
      <c r="T20" s="70" t="s">
        <v>337</v>
      </c>
      <c r="U20" s="70" t="s">
        <v>337</v>
      </c>
      <c r="V20" s="78" t="s">
        <v>337</v>
      </c>
      <c r="W20" s="69" t="s">
        <v>337</v>
      </c>
      <c r="X20" s="70" t="s">
        <v>337</v>
      </c>
      <c r="Y20" s="70" t="s">
        <v>337</v>
      </c>
      <c r="Z20" s="78" t="s">
        <v>337</v>
      </c>
      <c r="AA20" s="69" t="s">
        <v>337</v>
      </c>
      <c r="AB20" s="70" t="s">
        <v>337</v>
      </c>
      <c r="AC20" s="70" t="s">
        <v>337</v>
      </c>
      <c r="AD20" s="78" t="s">
        <v>337</v>
      </c>
      <c r="AE20" s="69" t="s">
        <v>337</v>
      </c>
      <c r="AF20" s="70" t="s">
        <v>337</v>
      </c>
      <c r="AG20" s="70" t="s">
        <v>337</v>
      </c>
      <c r="AH20" s="78" t="s">
        <v>337</v>
      </c>
      <c r="AI20" s="69" t="s">
        <v>337</v>
      </c>
      <c r="AJ20" s="70" t="s">
        <v>337</v>
      </c>
      <c r="AK20" s="70" t="s">
        <v>337</v>
      </c>
      <c r="AL20" s="78" t="s">
        <v>337</v>
      </c>
      <c r="AM20" s="69" t="s">
        <v>337</v>
      </c>
      <c r="AN20" s="70" t="s">
        <v>337</v>
      </c>
      <c r="AO20" s="70" t="s">
        <v>337</v>
      </c>
      <c r="AP20" s="78" t="s">
        <v>337</v>
      </c>
      <c r="AQ20" s="70" t="s">
        <v>337</v>
      </c>
      <c r="AR20" s="70" t="s">
        <v>337</v>
      </c>
      <c r="AS20" s="70" t="s">
        <v>337</v>
      </c>
      <c r="AT20" s="70" t="s">
        <v>337</v>
      </c>
      <c r="AU20" s="29">
        <v>12124.500000000002</v>
      </c>
      <c r="AV20" s="30">
        <v>12144.300000000001</v>
      </c>
      <c r="AW20" s="30">
        <v>12098.2</v>
      </c>
      <c r="AX20" s="30">
        <v>11860</v>
      </c>
    </row>
    <row r="21" spans="1:50" s="270" customFormat="1" ht="11.25">
      <c r="A21" s="33" t="s">
        <v>243</v>
      </c>
      <c r="B21" s="33" t="s">
        <v>73</v>
      </c>
      <c r="C21" s="34">
        <f t="shared" ref="C21:AT21" si="2">C22+C23</f>
        <v>12001.7</v>
      </c>
      <c r="D21" s="35">
        <f t="shared" si="2"/>
        <v>9593.7999999999993</v>
      </c>
      <c r="E21" s="35">
        <f t="shared" si="2"/>
        <v>8529.2000000000007</v>
      </c>
      <c r="F21" s="35">
        <f t="shared" si="2"/>
        <v>8547.5</v>
      </c>
      <c r="G21" s="34">
        <f t="shared" si="2"/>
        <v>10159.700000000001</v>
      </c>
      <c r="H21" s="35">
        <f t="shared" si="2"/>
        <v>10816.199999999999</v>
      </c>
      <c r="I21" s="35">
        <f t="shared" si="2"/>
        <v>12385.2</v>
      </c>
      <c r="J21" s="36">
        <f t="shared" si="2"/>
        <v>10739.1</v>
      </c>
      <c r="K21" s="34">
        <f t="shared" si="2"/>
        <v>8517.5</v>
      </c>
      <c r="L21" s="35">
        <f t="shared" si="2"/>
        <v>8329.5</v>
      </c>
      <c r="M21" s="35">
        <f t="shared" si="2"/>
        <v>6990.8</v>
      </c>
      <c r="N21" s="36">
        <f t="shared" si="2"/>
        <v>6835.9</v>
      </c>
      <c r="O21" s="34">
        <f t="shared" si="2"/>
        <v>14852.8</v>
      </c>
      <c r="P21" s="35">
        <f t="shared" si="2"/>
        <v>14323.7</v>
      </c>
      <c r="Q21" s="35">
        <f t="shared" si="2"/>
        <v>12239.900000000001</v>
      </c>
      <c r="R21" s="36">
        <f t="shared" si="2"/>
        <v>16788.8</v>
      </c>
      <c r="S21" s="34">
        <f t="shared" si="2"/>
        <v>17266.8</v>
      </c>
      <c r="T21" s="35">
        <f t="shared" si="2"/>
        <v>18998.099999999999</v>
      </c>
      <c r="U21" s="35">
        <f t="shared" si="2"/>
        <v>17379.599999999999</v>
      </c>
      <c r="V21" s="36">
        <f t="shared" si="2"/>
        <v>15468.400000000001</v>
      </c>
      <c r="W21" s="34">
        <f t="shared" si="2"/>
        <v>11765.1</v>
      </c>
      <c r="X21" s="35">
        <f t="shared" si="2"/>
        <v>10298.999999999998</v>
      </c>
      <c r="Y21" s="35">
        <f t="shared" si="2"/>
        <v>13536.099999999999</v>
      </c>
      <c r="Z21" s="36">
        <f t="shared" si="2"/>
        <v>17881.100000000002</v>
      </c>
      <c r="AA21" s="34">
        <f t="shared" si="2"/>
        <v>18003.900000000001</v>
      </c>
      <c r="AB21" s="35">
        <f t="shared" si="2"/>
        <v>20256.699999999997</v>
      </c>
      <c r="AC21" s="35">
        <f t="shared" si="2"/>
        <v>19794</v>
      </c>
      <c r="AD21" s="36">
        <f t="shared" si="2"/>
        <v>19493.599999999999</v>
      </c>
      <c r="AE21" s="34">
        <f t="shared" si="2"/>
        <v>20994.899999999998</v>
      </c>
      <c r="AF21" s="35">
        <f t="shared" si="2"/>
        <v>22090.400000000001</v>
      </c>
      <c r="AG21" s="35">
        <f t="shared" si="2"/>
        <v>23190.600000000002</v>
      </c>
      <c r="AH21" s="36">
        <f t="shared" si="2"/>
        <v>22829.3</v>
      </c>
      <c r="AI21" s="34">
        <f t="shared" si="2"/>
        <v>22151.9</v>
      </c>
      <c r="AJ21" s="35">
        <f t="shared" si="2"/>
        <v>22540.7</v>
      </c>
      <c r="AK21" s="35">
        <f t="shared" si="2"/>
        <v>21977.1</v>
      </c>
      <c r="AL21" s="36">
        <f t="shared" si="2"/>
        <v>20678.100000000002</v>
      </c>
      <c r="AM21" s="34">
        <f t="shared" si="2"/>
        <v>21952.1</v>
      </c>
      <c r="AN21" s="35">
        <f t="shared" si="2"/>
        <v>23401.8</v>
      </c>
      <c r="AO21" s="35">
        <f t="shared" si="2"/>
        <v>22794.1</v>
      </c>
      <c r="AP21" s="36">
        <f t="shared" si="2"/>
        <v>20557.199999999997</v>
      </c>
      <c r="AQ21" s="35">
        <f t="shared" si="2"/>
        <v>20325</v>
      </c>
      <c r="AR21" s="35">
        <f t="shared" si="2"/>
        <v>17337.400000000001</v>
      </c>
      <c r="AS21" s="35">
        <f t="shared" si="2"/>
        <v>17348.899999999998</v>
      </c>
      <c r="AT21" s="35">
        <f t="shared" si="2"/>
        <v>17556.899999999998</v>
      </c>
      <c r="AU21" s="34" t="s">
        <v>337</v>
      </c>
      <c r="AV21" s="82" t="s">
        <v>337</v>
      </c>
      <c r="AW21" s="82" t="s">
        <v>337</v>
      </c>
      <c r="AX21" s="82" t="s">
        <v>337</v>
      </c>
    </row>
    <row r="22" spans="1:50" s="270" customFormat="1" ht="11.25">
      <c r="A22" s="32" t="s">
        <v>240</v>
      </c>
      <c r="B22" s="32" t="s">
        <v>70</v>
      </c>
      <c r="C22" s="29">
        <v>11986.7</v>
      </c>
      <c r="D22" s="30">
        <v>9572.4</v>
      </c>
      <c r="E22" s="30">
        <v>8510.6</v>
      </c>
      <c r="F22" s="30">
        <v>8524.2000000000007</v>
      </c>
      <c r="G22" s="29">
        <v>10137.1</v>
      </c>
      <c r="H22" s="30">
        <v>10811.8</v>
      </c>
      <c r="I22" s="30">
        <v>12374.6</v>
      </c>
      <c r="J22" s="31">
        <v>10730.5</v>
      </c>
      <c r="K22" s="29">
        <v>8507.7000000000007</v>
      </c>
      <c r="L22" s="30">
        <v>8323</v>
      </c>
      <c r="M22" s="30">
        <v>6939.8</v>
      </c>
      <c r="N22" s="31">
        <v>6783</v>
      </c>
      <c r="O22" s="29">
        <v>14800.8</v>
      </c>
      <c r="P22" s="30">
        <v>14273.5</v>
      </c>
      <c r="Q22" s="30">
        <v>12185.7</v>
      </c>
      <c r="R22" s="31">
        <v>16740.5</v>
      </c>
      <c r="S22" s="29">
        <v>17218.7</v>
      </c>
      <c r="T22" s="30">
        <v>18950.3</v>
      </c>
      <c r="U22" s="30">
        <v>17350.3</v>
      </c>
      <c r="V22" s="31">
        <v>15437.7</v>
      </c>
      <c r="W22" s="29">
        <v>11736.1</v>
      </c>
      <c r="X22" s="30">
        <v>10278.199999999999</v>
      </c>
      <c r="Y22" s="30">
        <v>13516.3</v>
      </c>
      <c r="Z22" s="31">
        <v>17863.800000000003</v>
      </c>
      <c r="AA22" s="29">
        <v>17983.100000000002</v>
      </c>
      <c r="AB22" s="30">
        <v>20230.599999999999</v>
      </c>
      <c r="AC22" s="30">
        <v>19766.900000000001</v>
      </c>
      <c r="AD22" s="31">
        <v>19466.3</v>
      </c>
      <c r="AE22" s="29">
        <v>20970.899999999998</v>
      </c>
      <c r="AF22" s="30">
        <v>22064.100000000002</v>
      </c>
      <c r="AG22" s="30">
        <v>23166.300000000003</v>
      </c>
      <c r="AH22" s="31">
        <v>22815.3</v>
      </c>
      <c r="AI22" s="29">
        <v>22138.400000000001</v>
      </c>
      <c r="AJ22" s="30">
        <v>22527</v>
      </c>
      <c r="AK22" s="30">
        <v>21971.8</v>
      </c>
      <c r="AL22" s="31">
        <v>20494.900000000001</v>
      </c>
      <c r="AM22" s="29">
        <v>21768.6</v>
      </c>
      <c r="AN22" s="30">
        <v>23360.3</v>
      </c>
      <c r="AO22" s="30">
        <v>22749.5</v>
      </c>
      <c r="AP22" s="31">
        <v>20508.399999999998</v>
      </c>
      <c r="AQ22" s="30">
        <v>20273</v>
      </c>
      <c r="AR22" s="30">
        <v>17332</v>
      </c>
      <c r="AS22" s="30">
        <v>17343.599999999999</v>
      </c>
      <c r="AT22" s="30">
        <v>17551.599999999999</v>
      </c>
      <c r="AU22" s="34" t="s">
        <v>337</v>
      </c>
      <c r="AV22" s="70" t="s">
        <v>337</v>
      </c>
      <c r="AW22" s="70" t="s">
        <v>337</v>
      </c>
      <c r="AX22" s="70" t="s">
        <v>337</v>
      </c>
    </row>
    <row r="23" spans="1:50" s="270" customFormat="1" ht="11.25">
      <c r="A23" s="37" t="s">
        <v>241</v>
      </c>
      <c r="B23" s="37" t="s">
        <v>71</v>
      </c>
      <c r="C23" s="29">
        <v>15</v>
      </c>
      <c r="D23" s="30">
        <v>21.4</v>
      </c>
      <c r="E23" s="30">
        <v>18.600000000000001</v>
      </c>
      <c r="F23" s="30">
        <v>23.3</v>
      </c>
      <c r="G23" s="29">
        <v>22.6</v>
      </c>
      <c r="H23" s="30">
        <v>4.4000000000000004</v>
      </c>
      <c r="I23" s="30">
        <v>10.6</v>
      </c>
      <c r="J23" s="31">
        <v>8.6</v>
      </c>
      <c r="K23" s="29">
        <v>9.8000000000000007</v>
      </c>
      <c r="L23" s="30">
        <v>6.5</v>
      </c>
      <c r="M23" s="30">
        <v>51</v>
      </c>
      <c r="N23" s="31">
        <v>52.9</v>
      </c>
      <c r="O23" s="29">
        <v>52</v>
      </c>
      <c r="P23" s="30">
        <v>50.2</v>
      </c>
      <c r="Q23" s="30">
        <v>54.2</v>
      </c>
      <c r="R23" s="31">
        <v>48.3</v>
      </c>
      <c r="S23" s="29">
        <v>48.1</v>
      </c>
      <c r="T23" s="30">
        <v>47.8</v>
      </c>
      <c r="U23" s="30">
        <v>29.3</v>
      </c>
      <c r="V23" s="31">
        <v>30.7</v>
      </c>
      <c r="W23" s="29">
        <v>29</v>
      </c>
      <c r="X23" s="30">
        <v>20.8</v>
      </c>
      <c r="Y23" s="30">
        <v>19.8</v>
      </c>
      <c r="Z23" s="31">
        <v>17.3</v>
      </c>
      <c r="AA23" s="29">
        <v>20.8</v>
      </c>
      <c r="AB23" s="30">
        <v>26.1</v>
      </c>
      <c r="AC23" s="30">
        <v>27.1</v>
      </c>
      <c r="AD23" s="31">
        <v>27.3</v>
      </c>
      <c r="AE23" s="29">
        <v>24</v>
      </c>
      <c r="AF23" s="30">
        <v>26.3</v>
      </c>
      <c r="AG23" s="30">
        <v>24.3</v>
      </c>
      <c r="AH23" s="31">
        <v>14</v>
      </c>
      <c r="AI23" s="29">
        <v>13.5</v>
      </c>
      <c r="AJ23" s="30">
        <v>13.7</v>
      </c>
      <c r="AK23" s="30">
        <v>5.3</v>
      </c>
      <c r="AL23" s="31">
        <v>183.2</v>
      </c>
      <c r="AM23" s="29">
        <v>183.5</v>
      </c>
      <c r="AN23" s="30">
        <v>41.5</v>
      </c>
      <c r="AO23" s="30">
        <v>44.6</v>
      </c>
      <c r="AP23" s="31">
        <v>48.8</v>
      </c>
      <c r="AQ23" s="30">
        <v>52</v>
      </c>
      <c r="AR23" s="30">
        <v>5.4</v>
      </c>
      <c r="AS23" s="30">
        <v>5.3</v>
      </c>
      <c r="AT23" s="30">
        <v>5.3</v>
      </c>
      <c r="AU23" s="34" t="s">
        <v>337</v>
      </c>
      <c r="AV23" s="70" t="s">
        <v>337</v>
      </c>
      <c r="AW23" s="70" t="s">
        <v>337</v>
      </c>
      <c r="AX23" s="70" t="s">
        <v>337</v>
      </c>
    </row>
    <row r="24" spans="1:50" s="270" customFormat="1" ht="22.5">
      <c r="A24" s="55" t="s">
        <v>244</v>
      </c>
      <c r="B24" s="55" t="s">
        <v>74</v>
      </c>
      <c r="C24" s="34">
        <f>SUM(C25)</f>
        <v>0</v>
      </c>
      <c r="D24" s="35">
        <f t="shared" ref="D24:AT24" si="3">SUM(D25)</f>
        <v>0</v>
      </c>
      <c r="E24" s="35">
        <f t="shared" si="3"/>
        <v>620.70000000000005</v>
      </c>
      <c r="F24" s="35">
        <f t="shared" si="3"/>
        <v>840.8</v>
      </c>
      <c r="G24" s="34">
        <f t="shared" si="3"/>
        <v>3773.7</v>
      </c>
      <c r="H24" s="35">
        <f t="shared" si="3"/>
        <v>6185</v>
      </c>
      <c r="I24" s="35">
        <f t="shared" si="3"/>
        <v>7325.5</v>
      </c>
      <c r="J24" s="36">
        <f t="shared" si="3"/>
        <v>7311.8</v>
      </c>
      <c r="K24" s="34">
        <f t="shared" si="3"/>
        <v>7384.4</v>
      </c>
      <c r="L24" s="35">
        <f t="shared" si="3"/>
        <v>7238.7</v>
      </c>
      <c r="M24" s="35">
        <f t="shared" si="3"/>
        <v>7343.7</v>
      </c>
      <c r="N24" s="36">
        <f t="shared" si="3"/>
        <v>7330.4</v>
      </c>
      <c r="O24" s="34">
        <f t="shared" si="3"/>
        <v>6786.9</v>
      </c>
      <c r="P24" s="35">
        <f t="shared" si="3"/>
        <v>6685</v>
      </c>
      <c r="Q24" s="35">
        <f t="shared" si="3"/>
        <v>6496.5</v>
      </c>
      <c r="R24" s="36">
        <f t="shared" si="3"/>
        <v>6218</v>
      </c>
      <c r="S24" s="34">
        <f t="shared" si="3"/>
        <v>6307.3</v>
      </c>
      <c r="T24" s="35">
        <f t="shared" si="3"/>
        <v>4949.3999999999996</v>
      </c>
      <c r="U24" s="35">
        <f t="shared" si="3"/>
        <v>5016.7</v>
      </c>
      <c r="V24" s="36">
        <f t="shared" si="3"/>
        <v>4982.3</v>
      </c>
      <c r="W24" s="34">
        <f t="shared" si="3"/>
        <v>5054.7</v>
      </c>
      <c r="X24" s="35">
        <f t="shared" si="3"/>
        <v>3518.5</v>
      </c>
      <c r="Y24" s="35">
        <f t="shared" si="3"/>
        <v>0</v>
      </c>
      <c r="Z24" s="36">
        <f t="shared" si="3"/>
        <v>0</v>
      </c>
      <c r="AA24" s="34">
        <f t="shared" si="3"/>
        <v>0</v>
      </c>
      <c r="AB24" s="35">
        <f t="shared" si="3"/>
        <v>0</v>
      </c>
      <c r="AC24" s="35">
        <f t="shared" si="3"/>
        <v>0</v>
      </c>
      <c r="AD24" s="36">
        <f t="shared" si="3"/>
        <v>0</v>
      </c>
      <c r="AE24" s="34">
        <f t="shared" si="3"/>
        <v>0</v>
      </c>
      <c r="AF24" s="35">
        <f t="shared" si="3"/>
        <v>0</v>
      </c>
      <c r="AG24" s="35">
        <f t="shared" si="3"/>
        <v>0</v>
      </c>
      <c r="AH24" s="36">
        <f t="shared" si="3"/>
        <v>0</v>
      </c>
      <c r="AI24" s="34">
        <f t="shared" si="3"/>
        <v>1717.8</v>
      </c>
      <c r="AJ24" s="35">
        <f t="shared" si="3"/>
        <v>1726.9</v>
      </c>
      <c r="AK24" s="35">
        <f t="shared" si="3"/>
        <v>2333.1999999999998</v>
      </c>
      <c r="AL24" s="36">
        <f t="shared" si="3"/>
        <v>2800.7</v>
      </c>
      <c r="AM24" s="34">
        <f t="shared" si="3"/>
        <v>3119.9</v>
      </c>
      <c r="AN24" s="35">
        <f t="shared" si="3"/>
        <v>4359.2</v>
      </c>
      <c r="AO24" s="35">
        <f t="shared" si="3"/>
        <v>4549.8999999999996</v>
      </c>
      <c r="AP24" s="36">
        <f t="shared" si="3"/>
        <v>5164.1000000000004</v>
      </c>
      <c r="AQ24" s="35">
        <f t="shared" si="3"/>
        <v>6244.7</v>
      </c>
      <c r="AR24" s="35">
        <f t="shared" si="3"/>
        <v>7090.2000000000007</v>
      </c>
      <c r="AS24" s="35">
        <f t="shared" si="3"/>
        <v>7097.2000000000007</v>
      </c>
      <c r="AT24" s="35">
        <f t="shared" si="3"/>
        <v>8350.5</v>
      </c>
      <c r="AU24" s="81" t="s">
        <v>337</v>
      </c>
      <c r="AV24" s="82" t="s">
        <v>337</v>
      </c>
      <c r="AW24" s="82" t="s">
        <v>337</v>
      </c>
      <c r="AX24" s="82" t="s">
        <v>337</v>
      </c>
    </row>
    <row r="25" spans="1:50" s="270" customFormat="1" ht="11.25">
      <c r="A25" s="37" t="s">
        <v>240</v>
      </c>
      <c r="B25" s="37" t="s">
        <v>70</v>
      </c>
      <c r="C25" s="29">
        <v>0</v>
      </c>
      <c r="D25" s="30">
        <v>0</v>
      </c>
      <c r="E25" s="30">
        <v>620.70000000000005</v>
      </c>
      <c r="F25" s="30">
        <v>840.8</v>
      </c>
      <c r="G25" s="29">
        <v>3773.7</v>
      </c>
      <c r="H25" s="30">
        <v>6185</v>
      </c>
      <c r="I25" s="30">
        <v>7325.5</v>
      </c>
      <c r="J25" s="31">
        <v>7311.8</v>
      </c>
      <c r="K25" s="29">
        <v>7384.4</v>
      </c>
      <c r="L25" s="30">
        <v>7238.7</v>
      </c>
      <c r="M25" s="30">
        <v>7343.7</v>
      </c>
      <c r="N25" s="31">
        <v>7330.4</v>
      </c>
      <c r="O25" s="29">
        <v>6786.9</v>
      </c>
      <c r="P25" s="30">
        <v>6685</v>
      </c>
      <c r="Q25" s="30">
        <v>6496.5</v>
      </c>
      <c r="R25" s="31">
        <v>6218</v>
      </c>
      <c r="S25" s="29">
        <v>6307.3</v>
      </c>
      <c r="T25" s="30">
        <v>4949.3999999999996</v>
      </c>
      <c r="U25" s="30">
        <v>5016.7</v>
      </c>
      <c r="V25" s="31">
        <v>4982.3</v>
      </c>
      <c r="W25" s="29">
        <v>5054.7</v>
      </c>
      <c r="X25" s="30">
        <v>3518.5</v>
      </c>
      <c r="Y25" s="30">
        <v>0</v>
      </c>
      <c r="Z25" s="31">
        <v>0</v>
      </c>
      <c r="AA25" s="29">
        <v>0</v>
      </c>
      <c r="AB25" s="30">
        <v>0</v>
      </c>
      <c r="AC25" s="30">
        <v>0</v>
      </c>
      <c r="AD25" s="31">
        <v>0</v>
      </c>
      <c r="AE25" s="29">
        <v>0</v>
      </c>
      <c r="AF25" s="30">
        <v>0</v>
      </c>
      <c r="AG25" s="30">
        <v>0</v>
      </c>
      <c r="AH25" s="31">
        <v>0</v>
      </c>
      <c r="AI25" s="29">
        <v>1717.8</v>
      </c>
      <c r="AJ25" s="30">
        <v>1726.9</v>
      </c>
      <c r="AK25" s="30">
        <v>2333.1999999999998</v>
      </c>
      <c r="AL25" s="31">
        <v>2800.7</v>
      </c>
      <c r="AM25" s="29">
        <v>3119.9</v>
      </c>
      <c r="AN25" s="30">
        <v>4359.2</v>
      </c>
      <c r="AO25" s="30">
        <v>4549.8999999999996</v>
      </c>
      <c r="AP25" s="31">
        <v>5164.1000000000004</v>
      </c>
      <c r="AQ25" s="30">
        <v>6244.7</v>
      </c>
      <c r="AR25" s="30">
        <v>7090.2000000000007</v>
      </c>
      <c r="AS25" s="30">
        <v>7097.2000000000007</v>
      </c>
      <c r="AT25" s="30">
        <v>8350.5</v>
      </c>
      <c r="AU25" s="69" t="s">
        <v>337</v>
      </c>
      <c r="AV25" s="70" t="s">
        <v>337</v>
      </c>
      <c r="AW25" s="70" t="s">
        <v>337</v>
      </c>
      <c r="AX25" s="70" t="s">
        <v>337</v>
      </c>
    </row>
    <row r="26" spans="1:50" s="271" customFormat="1" ht="11.25">
      <c r="A26" s="57" t="s">
        <v>647</v>
      </c>
      <c r="B26" s="57" t="s">
        <v>648</v>
      </c>
      <c r="C26" s="42">
        <f t="shared" ref="C26:AT26" si="4">C21+C24</f>
        <v>12001.7</v>
      </c>
      <c r="D26" s="43">
        <f t="shared" si="4"/>
        <v>9593.7999999999993</v>
      </c>
      <c r="E26" s="43">
        <f t="shared" si="4"/>
        <v>9149.9000000000015</v>
      </c>
      <c r="F26" s="43">
        <f t="shared" si="4"/>
        <v>9388.2999999999993</v>
      </c>
      <c r="G26" s="42">
        <f t="shared" si="4"/>
        <v>13933.400000000001</v>
      </c>
      <c r="H26" s="43">
        <f t="shared" si="4"/>
        <v>17001.199999999997</v>
      </c>
      <c r="I26" s="43">
        <f t="shared" si="4"/>
        <v>19710.7</v>
      </c>
      <c r="J26" s="44">
        <f t="shared" si="4"/>
        <v>18050.900000000001</v>
      </c>
      <c r="K26" s="42">
        <f t="shared" si="4"/>
        <v>15901.9</v>
      </c>
      <c r="L26" s="43">
        <f t="shared" si="4"/>
        <v>15568.2</v>
      </c>
      <c r="M26" s="43">
        <f t="shared" si="4"/>
        <v>14334.5</v>
      </c>
      <c r="N26" s="44">
        <f t="shared" si="4"/>
        <v>14166.3</v>
      </c>
      <c r="O26" s="42">
        <f t="shared" si="4"/>
        <v>21639.699999999997</v>
      </c>
      <c r="P26" s="43">
        <f t="shared" si="4"/>
        <v>21008.7</v>
      </c>
      <c r="Q26" s="43">
        <f t="shared" si="4"/>
        <v>18736.400000000001</v>
      </c>
      <c r="R26" s="44">
        <f t="shared" si="4"/>
        <v>23006.799999999999</v>
      </c>
      <c r="S26" s="42">
        <f t="shared" si="4"/>
        <v>23574.1</v>
      </c>
      <c r="T26" s="43">
        <f t="shared" si="4"/>
        <v>23947.5</v>
      </c>
      <c r="U26" s="43">
        <f t="shared" si="4"/>
        <v>22396.3</v>
      </c>
      <c r="V26" s="44">
        <f t="shared" si="4"/>
        <v>20450.7</v>
      </c>
      <c r="W26" s="42">
        <f t="shared" si="4"/>
        <v>16819.8</v>
      </c>
      <c r="X26" s="43">
        <f t="shared" si="4"/>
        <v>13817.499999999998</v>
      </c>
      <c r="Y26" s="43">
        <f t="shared" si="4"/>
        <v>13536.099999999999</v>
      </c>
      <c r="Z26" s="44">
        <f t="shared" si="4"/>
        <v>17881.100000000002</v>
      </c>
      <c r="AA26" s="42">
        <f t="shared" si="4"/>
        <v>18003.900000000001</v>
      </c>
      <c r="AB26" s="43">
        <f t="shared" si="4"/>
        <v>20256.699999999997</v>
      </c>
      <c r="AC26" s="43">
        <f t="shared" si="4"/>
        <v>19794</v>
      </c>
      <c r="AD26" s="44">
        <f t="shared" si="4"/>
        <v>19493.599999999999</v>
      </c>
      <c r="AE26" s="42">
        <f t="shared" si="4"/>
        <v>20994.899999999998</v>
      </c>
      <c r="AF26" s="43">
        <f t="shared" si="4"/>
        <v>22090.400000000001</v>
      </c>
      <c r="AG26" s="43">
        <f t="shared" si="4"/>
        <v>23190.600000000002</v>
      </c>
      <c r="AH26" s="44">
        <f t="shared" si="4"/>
        <v>22829.3</v>
      </c>
      <c r="AI26" s="42">
        <f t="shared" si="4"/>
        <v>23869.7</v>
      </c>
      <c r="AJ26" s="43">
        <f t="shared" si="4"/>
        <v>24267.600000000002</v>
      </c>
      <c r="AK26" s="43">
        <f t="shared" si="4"/>
        <v>24310.3</v>
      </c>
      <c r="AL26" s="44">
        <f t="shared" si="4"/>
        <v>23478.800000000003</v>
      </c>
      <c r="AM26" s="42">
        <f t="shared" si="4"/>
        <v>25072</v>
      </c>
      <c r="AN26" s="43">
        <f t="shared" si="4"/>
        <v>27761</v>
      </c>
      <c r="AO26" s="43">
        <f t="shared" si="4"/>
        <v>27344</v>
      </c>
      <c r="AP26" s="44">
        <f t="shared" si="4"/>
        <v>25721.299999999996</v>
      </c>
      <c r="AQ26" s="43">
        <f t="shared" si="4"/>
        <v>26569.7</v>
      </c>
      <c r="AR26" s="43">
        <f t="shared" si="4"/>
        <v>24427.600000000002</v>
      </c>
      <c r="AS26" s="43">
        <f t="shared" si="4"/>
        <v>24446.1</v>
      </c>
      <c r="AT26" s="43">
        <f t="shared" si="4"/>
        <v>25907.399999999998</v>
      </c>
      <c r="AU26" s="42">
        <f>AU16+AU19</f>
        <v>29135.700000000004</v>
      </c>
      <c r="AV26" s="43">
        <f>AV16+AV19</f>
        <v>28677</v>
      </c>
      <c r="AW26" s="43">
        <f>AW16+AW19</f>
        <v>28823.4</v>
      </c>
      <c r="AX26" s="43">
        <f>AX16+AX19</f>
        <v>31937.3</v>
      </c>
    </row>
    <row r="27" spans="1:50">
      <c r="A27" s="13"/>
      <c r="B27" s="13"/>
    </row>
    <row r="28" spans="1:50">
      <c r="A28" s="13"/>
      <c r="B28" s="13"/>
    </row>
    <row r="29" spans="1:50">
      <c r="A29" s="13"/>
      <c r="B29" s="13"/>
    </row>
    <row r="30" spans="1:50">
      <c r="A30" s="13"/>
      <c r="B30" s="13"/>
    </row>
    <row r="31" spans="1:50">
      <c r="A31" s="13"/>
      <c r="B31" s="13"/>
    </row>
    <row r="32" spans="1:50">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sheetData>
  <mergeCells count="14">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32" orientation="landscape" r:id="rId1"/>
  <headerFooter alignWithMargins="0">
    <oddHeader xml:space="preserve">&amp;C&amp;"Times New Roman,Kursywa"&amp;12
</oddHeader>
  </headerFooter>
  <ignoredErrors>
    <ignoredError sqref="C14:AU14"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X26"/>
  <sheetViews>
    <sheetView showGridLines="0" view="pageBreakPreview" topLeftCell="A2" zoomScaleNormal="100" zoomScaleSheetLayoutView="100" zoomScalePageLayoutView="80" workbookViewId="0">
      <pane xSplit="2" ySplit="4" topLeftCell="C6" activePane="bottomRight" state="frozen"/>
      <selection activeCell="A2" sqref="A2"/>
      <selection pane="topRight" activeCell="C2" sqref="C2"/>
      <selection pane="bottomLeft" activeCell="A6" sqref="A6"/>
      <selection pane="bottomRight" activeCell="A3" sqref="A3:A4"/>
    </sheetView>
  </sheetViews>
  <sheetFormatPr defaultRowHeight="13.5" outlineLevelCol="1"/>
  <cols>
    <col min="1" max="1" width="48.42578125" style="244" customWidth="1" outlineLevel="1"/>
    <col min="2" max="2" width="42.7109375" style="244" customWidth="1"/>
    <col min="3" max="41" width="2.28515625" style="244" hidden="1" customWidth="1"/>
    <col min="42" max="16384" width="9.140625" style="244"/>
  </cols>
  <sheetData>
    <row r="2" spans="1:50">
      <c r="A2" s="59" t="s">
        <v>430</v>
      </c>
      <c r="B2" s="59" t="s">
        <v>431</v>
      </c>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row>
    <row r="3" spans="1:50" ht="15.75">
      <c r="A3" s="517" t="s">
        <v>276</v>
      </c>
      <c r="B3" s="517" t="s">
        <v>121</v>
      </c>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6">
        <v>2016</v>
      </c>
      <c r="AQ3" s="518">
        <v>2017</v>
      </c>
      <c r="AR3" s="518"/>
      <c r="AS3" s="518"/>
      <c r="AT3" s="518"/>
      <c r="AU3" s="519">
        <v>2018</v>
      </c>
      <c r="AV3" s="520"/>
      <c r="AW3" s="520"/>
      <c r="AX3" s="492"/>
    </row>
    <row r="4" spans="1:50" ht="15.75">
      <c r="A4" s="482"/>
      <c r="B4" s="48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247" t="s">
        <v>154</v>
      </c>
      <c r="AQ4" s="248" t="s">
        <v>151</v>
      </c>
      <c r="AR4" s="248" t="s">
        <v>152</v>
      </c>
      <c r="AS4" s="248" t="s">
        <v>153</v>
      </c>
      <c r="AT4" s="248" t="s">
        <v>154</v>
      </c>
      <c r="AU4" s="249" t="s">
        <v>151</v>
      </c>
      <c r="AV4" s="248" t="s">
        <v>152</v>
      </c>
      <c r="AW4" s="248" t="s">
        <v>153</v>
      </c>
      <c r="AX4" s="248" t="s">
        <v>154</v>
      </c>
    </row>
    <row r="5" spans="1:50" s="394" customFormat="1" ht="11.25">
      <c r="A5" s="250" t="s">
        <v>156</v>
      </c>
      <c r="B5" s="250" t="s">
        <v>11</v>
      </c>
      <c r="C5" s="250"/>
      <c r="D5" s="250"/>
      <c r="E5" s="250"/>
      <c r="F5" s="250"/>
      <c r="G5" s="250"/>
      <c r="H5" s="250"/>
      <c r="I5" s="250"/>
      <c r="J5" s="250"/>
      <c r="K5" s="250"/>
      <c r="L5" s="250"/>
      <c r="M5" s="250"/>
      <c r="N5" s="250"/>
      <c r="O5" s="250"/>
      <c r="P5" s="250"/>
      <c r="Q5" s="250"/>
      <c r="R5" s="250"/>
      <c r="S5" s="250"/>
      <c r="T5" s="250"/>
      <c r="U5" s="250"/>
      <c r="V5" s="250"/>
      <c r="W5" s="250"/>
      <c r="X5" s="250"/>
      <c r="Y5" s="250"/>
      <c r="Z5" s="250"/>
      <c r="AA5" s="250"/>
      <c r="AB5" s="250"/>
      <c r="AC5" s="250"/>
      <c r="AD5" s="250"/>
      <c r="AE5" s="250"/>
      <c r="AF5" s="250"/>
      <c r="AG5" s="250"/>
      <c r="AH5" s="250"/>
      <c r="AI5" s="250"/>
      <c r="AJ5" s="250"/>
      <c r="AK5" s="250"/>
      <c r="AL5" s="250"/>
      <c r="AM5" s="250"/>
      <c r="AN5" s="250"/>
      <c r="AO5" s="250"/>
      <c r="AP5" s="393"/>
      <c r="AQ5" s="393"/>
      <c r="AR5" s="393"/>
      <c r="AS5" s="393"/>
      <c r="AT5" s="393"/>
      <c r="AU5" s="393"/>
      <c r="AV5" s="393"/>
      <c r="AW5" s="393"/>
      <c r="AX5" s="393"/>
    </row>
    <row r="6" spans="1:50" s="151" customFormat="1" ht="11.25">
      <c r="A6" s="251" t="s">
        <v>649</v>
      </c>
      <c r="B6" s="251" t="s">
        <v>650</v>
      </c>
      <c r="C6" s="251"/>
      <c r="D6" s="251"/>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c r="AK6" s="251"/>
      <c r="AL6" s="251"/>
      <c r="AM6" s="251"/>
      <c r="AN6" s="251"/>
      <c r="AO6" s="251"/>
      <c r="AP6" s="124">
        <f t="shared" ref="AP6:AU6" si="0">SUM(AP8,AP22)</f>
        <v>95825.400000000009</v>
      </c>
      <c r="AQ6" s="122">
        <f t="shared" si="0"/>
        <v>96620.700000000012</v>
      </c>
      <c r="AR6" s="122">
        <f t="shared" si="0"/>
        <v>97708.800000000003</v>
      </c>
      <c r="AS6" s="122">
        <f t="shared" si="0"/>
        <v>98459.8</v>
      </c>
      <c r="AT6" s="122">
        <f t="shared" si="0"/>
        <v>104503.3</v>
      </c>
      <c r="AU6" s="126">
        <f t="shared" si="0"/>
        <v>104662.1</v>
      </c>
      <c r="AV6" s="122">
        <f t="shared" ref="AV6:AW6" si="1">SUM(AV8,AV22)</f>
        <v>109174.09999999999</v>
      </c>
      <c r="AW6" s="122">
        <f t="shared" si="1"/>
        <v>110205</v>
      </c>
      <c r="AX6" s="122">
        <f t="shared" ref="AX6" si="2">SUM(AX8,AX22)</f>
        <v>117682.5</v>
      </c>
    </row>
    <row r="7" spans="1:50" s="151" customFormat="1" ht="6" customHeight="1">
      <c r="A7" s="253"/>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3"/>
      <c r="AG7" s="253"/>
      <c r="AH7" s="253"/>
      <c r="AI7" s="253"/>
      <c r="AJ7" s="253"/>
      <c r="AK7" s="253"/>
      <c r="AL7" s="253"/>
      <c r="AM7" s="253"/>
      <c r="AN7" s="253"/>
      <c r="AO7" s="253"/>
      <c r="AP7" s="125"/>
      <c r="AQ7" s="123"/>
      <c r="AR7" s="123"/>
      <c r="AS7" s="123"/>
      <c r="AT7" s="123"/>
      <c r="AU7" s="127"/>
      <c r="AV7" s="123"/>
      <c r="AW7" s="123"/>
      <c r="AX7" s="123"/>
    </row>
    <row r="8" spans="1:50" s="151" customFormat="1" ht="11.25">
      <c r="A8" s="251" t="s">
        <v>651</v>
      </c>
      <c r="B8" s="251" t="s">
        <v>115</v>
      </c>
      <c r="C8" s="251"/>
      <c r="D8" s="251"/>
      <c r="E8" s="251"/>
      <c r="F8" s="251"/>
      <c r="G8" s="251"/>
      <c r="H8" s="251"/>
      <c r="I8" s="251"/>
      <c r="J8" s="251"/>
      <c r="K8" s="251"/>
      <c r="L8" s="251"/>
      <c r="M8" s="251"/>
      <c r="N8" s="251"/>
      <c r="O8" s="251"/>
      <c r="P8" s="251"/>
      <c r="Q8" s="251"/>
      <c r="R8" s="251"/>
      <c r="S8" s="251"/>
      <c r="T8" s="251"/>
      <c r="U8" s="251"/>
      <c r="V8" s="251"/>
      <c r="W8" s="251"/>
      <c r="X8" s="251"/>
      <c r="Y8" s="251"/>
      <c r="Z8" s="251"/>
      <c r="AA8" s="251"/>
      <c r="AB8" s="251"/>
      <c r="AC8" s="251"/>
      <c r="AD8" s="251"/>
      <c r="AE8" s="251"/>
      <c r="AF8" s="251"/>
      <c r="AG8" s="251"/>
      <c r="AH8" s="251"/>
      <c r="AI8" s="251"/>
      <c r="AJ8" s="251"/>
      <c r="AK8" s="251"/>
      <c r="AL8" s="251"/>
      <c r="AM8" s="251"/>
      <c r="AN8" s="251"/>
      <c r="AO8" s="251"/>
      <c r="AP8" s="124">
        <f t="shared" ref="AP8:AU8" si="3">SUM(AP9:AP11)</f>
        <v>94048.400000000009</v>
      </c>
      <c r="AQ8" s="122">
        <f t="shared" si="3"/>
        <v>95064.1</v>
      </c>
      <c r="AR8" s="122">
        <f t="shared" si="3"/>
        <v>95954.1</v>
      </c>
      <c r="AS8" s="122">
        <f t="shared" si="3"/>
        <v>96941</v>
      </c>
      <c r="AT8" s="122">
        <f t="shared" si="3"/>
        <v>102849.1</v>
      </c>
      <c r="AU8" s="126">
        <f t="shared" si="3"/>
        <v>102782.3</v>
      </c>
      <c r="AV8" s="122">
        <f t="shared" ref="AV8:AW8" si="4">SUM(AV9:AV11)</f>
        <v>107467.7</v>
      </c>
      <c r="AW8" s="122">
        <f t="shared" si="4"/>
        <v>108530.5</v>
      </c>
      <c r="AX8" s="122">
        <f t="shared" ref="AX8" si="5">SUM(AX9:AX11)</f>
        <v>115908</v>
      </c>
    </row>
    <row r="9" spans="1:50" s="151" customFormat="1" ht="11.25">
      <c r="A9" s="252" t="s">
        <v>604</v>
      </c>
      <c r="B9" s="252" t="s">
        <v>605</v>
      </c>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527">
        <v>63548</v>
      </c>
      <c r="AQ9" s="528">
        <v>64744</v>
      </c>
      <c r="AR9" s="528">
        <v>65081.1</v>
      </c>
      <c r="AS9" s="528">
        <v>65488.6</v>
      </c>
      <c r="AT9" s="528">
        <v>67918.600000000006</v>
      </c>
      <c r="AU9" s="529">
        <v>71264.800000000003</v>
      </c>
      <c r="AV9" s="528">
        <v>72253.5</v>
      </c>
      <c r="AW9" s="528">
        <v>73998.899999999994</v>
      </c>
      <c r="AX9" s="528">
        <v>78255.5</v>
      </c>
    </row>
    <row r="10" spans="1:50" s="151" customFormat="1" ht="11.25">
      <c r="A10" s="252" t="s">
        <v>606</v>
      </c>
      <c r="B10" s="252" t="s">
        <v>607</v>
      </c>
      <c r="C10" s="252"/>
      <c r="D10" s="252"/>
      <c r="E10" s="252"/>
      <c r="F10" s="252"/>
      <c r="G10" s="252"/>
      <c r="H10" s="252"/>
      <c r="I10" s="252"/>
      <c r="J10" s="252"/>
      <c r="K10" s="252"/>
      <c r="L10" s="252"/>
      <c r="M10" s="252"/>
      <c r="N10" s="252"/>
      <c r="O10" s="252"/>
      <c r="P10" s="252"/>
      <c r="Q10" s="252"/>
      <c r="R10" s="252"/>
      <c r="S10" s="252"/>
      <c r="T10" s="252"/>
      <c r="U10" s="252"/>
      <c r="V10" s="252"/>
      <c r="W10" s="252"/>
      <c r="X10" s="252"/>
      <c r="Y10" s="252"/>
      <c r="Z10" s="252"/>
      <c r="AA10" s="252"/>
      <c r="AB10" s="252"/>
      <c r="AC10" s="252"/>
      <c r="AD10" s="252"/>
      <c r="AE10" s="252"/>
      <c r="AF10" s="252"/>
      <c r="AG10" s="252"/>
      <c r="AH10" s="252"/>
      <c r="AI10" s="252"/>
      <c r="AJ10" s="252"/>
      <c r="AK10" s="252"/>
      <c r="AL10" s="252"/>
      <c r="AM10" s="252"/>
      <c r="AN10" s="252"/>
      <c r="AO10" s="252"/>
      <c r="AP10" s="527">
        <v>28759.600000000002</v>
      </c>
      <c r="AQ10" s="528">
        <v>27747.599999999999</v>
      </c>
      <c r="AR10" s="528">
        <v>29117.4</v>
      </c>
      <c r="AS10" s="528">
        <v>29151.1</v>
      </c>
      <c r="AT10" s="528">
        <v>33156.6</v>
      </c>
      <c r="AU10" s="529">
        <v>29779</v>
      </c>
      <c r="AV10" s="528">
        <v>33446.9</v>
      </c>
      <c r="AW10" s="528">
        <v>32719.8</v>
      </c>
      <c r="AX10" s="528">
        <v>35735</v>
      </c>
    </row>
    <row r="11" spans="1:50" s="151" customFormat="1" ht="11.25">
      <c r="A11" s="252" t="s">
        <v>608</v>
      </c>
      <c r="B11" s="252" t="s">
        <v>609</v>
      </c>
      <c r="C11" s="252"/>
      <c r="D11" s="252"/>
      <c r="E11" s="252"/>
      <c r="F11" s="252"/>
      <c r="G11" s="252"/>
      <c r="H11" s="252"/>
      <c r="I11" s="252"/>
      <c r="J11" s="252"/>
      <c r="K11" s="252"/>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252"/>
      <c r="AL11" s="252"/>
      <c r="AM11" s="252"/>
      <c r="AN11" s="252"/>
      <c r="AO11" s="252"/>
      <c r="AP11" s="527">
        <v>1740.8</v>
      </c>
      <c r="AQ11" s="528">
        <v>2572.5</v>
      </c>
      <c r="AR11" s="528">
        <v>1755.6</v>
      </c>
      <c r="AS11" s="528">
        <v>2301.3000000000002</v>
      </c>
      <c r="AT11" s="528">
        <v>1773.9</v>
      </c>
      <c r="AU11" s="529">
        <v>1738.5</v>
      </c>
      <c r="AV11" s="528">
        <v>1767.3</v>
      </c>
      <c r="AW11" s="528">
        <v>1811.8</v>
      </c>
      <c r="AX11" s="528">
        <v>1917.5</v>
      </c>
    </row>
    <row r="12" spans="1:50" s="151" customFormat="1" ht="11.25">
      <c r="A12" s="253" t="s">
        <v>652</v>
      </c>
      <c r="B12" s="253" t="s">
        <v>653</v>
      </c>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c r="AB12" s="253"/>
      <c r="AC12" s="253"/>
      <c r="AD12" s="253"/>
      <c r="AE12" s="253"/>
      <c r="AF12" s="253"/>
      <c r="AG12" s="253"/>
      <c r="AH12" s="253"/>
      <c r="AI12" s="253"/>
      <c r="AJ12" s="253"/>
      <c r="AK12" s="253"/>
      <c r="AL12" s="253"/>
      <c r="AM12" s="253"/>
      <c r="AN12" s="253"/>
      <c r="AO12" s="253"/>
      <c r="AP12" s="530">
        <f t="shared" ref="AP12:AU12" si="6">SUM(AP13,AP17)</f>
        <v>94048.4</v>
      </c>
      <c r="AQ12" s="531">
        <f t="shared" si="6"/>
        <v>95064.1</v>
      </c>
      <c r="AR12" s="531">
        <f t="shared" si="6"/>
        <v>95954.1</v>
      </c>
      <c r="AS12" s="531">
        <f t="shared" si="6"/>
        <v>96941</v>
      </c>
      <c r="AT12" s="531">
        <f t="shared" si="6"/>
        <v>102849.1</v>
      </c>
      <c r="AU12" s="532">
        <f t="shared" si="6"/>
        <v>102782.3</v>
      </c>
      <c r="AV12" s="531">
        <f t="shared" ref="AV12:AW12" si="7">SUM(AV13,AV17)</f>
        <v>107467.70000000001</v>
      </c>
      <c r="AW12" s="531">
        <f t="shared" si="7"/>
        <v>108530.5</v>
      </c>
      <c r="AX12" s="531">
        <f t="shared" ref="AX12" si="8">SUM(AX13,AX17)</f>
        <v>115907.99999999999</v>
      </c>
    </row>
    <row r="13" spans="1:50" s="151" customFormat="1" ht="11.25">
      <c r="A13" s="254" t="s">
        <v>612</v>
      </c>
      <c r="B13" s="254" t="s">
        <v>613</v>
      </c>
      <c r="C13" s="254"/>
      <c r="D13" s="254"/>
      <c r="E13" s="254"/>
      <c r="F13" s="254"/>
      <c r="G13" s="254"/>
      <c r="H13" s="254"/>
      <c r="I13" s="254"/>
      <c r="J13" s="254"/>
      <c r="K13" s="254"/>
      <c r="L13" s="254"/>
      <c r="M13" s="254"/>
      <c r="N13" s="254"/>
      <c r="O13" s="254"/>
      <c r="P13" s="254"/>
      <c r="Q13" s="254"/>
      <c r="R13" s="254"/>
      <c r="S13" s="254"/>
      <c r="T13" s="254"/>
      <c r="U13" s="254"/>
      <c r="V13" s="254"/>
      <c r="W13" s="254"/>
      <c r="X13" s="254"/>
      <c r="Y13" s="254"/>
      <c r="Z13" s="254"/>
      <c r="AA13" s="254"/>
      <c r="AB13" s="254"/>
      <c r="AC13" s="254"/>
      <c r="AD13" s="254"/>
      <c r="AE13" s="254"/>
      <c r="AF13" s="254"/>
      <c r="AG13" s="254"/>
      <c r="AH13" s="254"/>
      <c r="AI13" s="254"/>
      <c r="AJ13" s="254"/>
      <c r="AK13" s="254"/>
      <c r="AL13" s="254"/>
      <c r="AM13" s="254"/>
      <c r="AN13" s="254"/>
      <c r="AO13" s="254"/>
      <c r="AP13" s="530">
        <f t="shared" ref="AP13:AU13" si="9">SUM(AP14:AP16)</f>
        <v>30438.899999999998</v>
      </c>
      <c r="AQ13" s="531">
        <f t="shared" si="9"/>
        <v>30301.300000000003</v>
      </c>
      <c r="AR13" s="531">
        <f t="shared" si="9"/>
        <v>30739.699999999997</v>
      </c>
      <c r="AS13" s="531">
        <f t="shared" si="9"/>
        <v>31287.9</v>
      </c>
      <c r="AT13" s="531">
        <f t="shared" si="9"/>
        <v>34799.5</v>
      </c>
      <c r="AU13" s="532">
        <f t="shared" si="9"/>
        <v>31670.600000000002</v>
      </c>
      <c r="AV13" s="531">
        <f t="shared" ref="AV13:AW13" si="10">SUM(AV14:AV16)</f>
        <v>35119.200000000004</v>
      </c>
      <c r="AW13" s="531">
        <f t="shared" si="10"/>
        <v>34161.1</v>
      </c>
      <c r="AX13" s="531">
        <f t="shared" ref="AX13" si="11">SUM(AX14:AX16)</f>
        <v>37589.899999999994</v>
      </c>
    </row>
    <row r="14" spans="1:50" s="151" customFormat="1" ht="11.25">
      <c r="A14" s="255" t="s">
        <v>654</v>
      </c>
      <c r="B14" s="255" t="s">
        <v>655</v>
      </c>
      <c r="C14" s="255"/>
      <c r="D14" s="255"/>
      <c r="E14" s="255"/>
      <c r="F14" s="255"/>
      <c r="G14" s="255"/>
      <c r="H14" s="255"/>
      <c r="I14" s="255"/>
      <c r="J14" s="255"/>
      <c r="K14" s="255"/>
      <c r="L14" s="255"/>
      <c r="M14" s="255"/>
      <c r="N14" s="255"/>
      <c r="O14" s="255"/>
      <c r="P14" s="255"/>
      <c r="Q14" s="255"/>
      <c r="R14" s="255"/>
      <c r="S14" s="255"/>
      <c r="T14" s="255"/>
      <c r="U14" s="255"/>
      <c r="V14" s="255"/>
      <c r="W14" s="255"/>
      <c r="X14" s="255"/>
      <c r="Y14" s="255"/>
      <c r="Z14" s="255"/>
      <c r="AA14" s="255"/>
      <c r="AB14" s="255"/>
      <c r="AC14" s="255"/>
      <c r="AD14" s="255"/>
      <c r="AE14" s="255"/>
      <c r="AF14" s="255"/>
      <c r="AG14" s="255"/>
      <c r="AH14" s="255"/>
      <c r="AI14" s="255"/>
      <c r="AJ14" s="255"/>
      <c r="AK14" s="255"/>
      <c r="AL14" s="255"/>
      <c r="AM14" s="255"/>
      <c r="AN14" s="255"/>
      <c r="AO14" s="255"/>
      <c r="AP14" s="527">
        <v>20094.899999999998</v>
      </c>
      <c r="AQ14" s="528">
        <v>19688.2</v>
      </c>
      <c r="AR14" s="528">
        <v>21513.199999999997</v>
      </c>
      <c r="AS14" s="528">
        <v>20662.099999999999</v>
      </c>
      <c r="AT14" s="528">
        <v>23605</v>
      </c>
      <c r="AU14" s="529">
        <v>20619.800000000003</v>
      </c>
      <c r="AV14" s="528">
        <v>23521.5</v>
      </c>
      <c r="AW14" s="528">
        <v>21993.3</v>
      </c>
      <c r="AX14" s="528">
        <v>25478.6</v>
      </c>
    </row>
    <row r="15" spans="1:50" s="151" customFormat="1" ht="11.25">
      <c r="A15" s="255" t="s">
        <v>656</v>
      </c>
      <c r="B15" s="255" t="s">
        <v>657</v>
      </c>
      <c r="C15" s="255"/>
      <c r="D15" s="255"/>
      <c r="E15" s="255"/>
      <c r="F15" s="255"/>
      <c r="G15" s="255"/>
      <c r="H15" s="255"/>
      <c r="I15" s="255"/>
      <c r="J15" s="255"/>
      <c r="K15" s="255"/>
      <c r="L15" s="255"/>
      <c r="M15" s="255"/>
      <c r="N15" s="255"/>
      <c r="O15" s="255"/>
      <c r="P15" s="255"/>
      <c r="Q15" s="255"/>
      <c r="R15" s="255"/>
      <c r="S15" s="255"/>
      <c r="T15" s="255"/>
      <c r="U15" s="255"/>
      <c r="V15" s="255"/>
      <c r="W15" s="255"/>
      <c r="X15" s="255"/>
      <c r="Y15" s="255"/>
      <c r="Z15" s="255"/>
      <c r="AA15" s="255"/>
      <c r="AB15" s="255"/>
      <c r="AC15" s="255"/>
      <c r="AD15" s="255"/>
      <c r="AE15" s="255"/>
      <c r="AF15" s="255"/>
      <c r="AG15" s="255"/>
      <c r="AH15" s="255"/>
      <c r="AI15" s="255"/>
      <c r="AJ15" s="255"/>
      <c r="AK15" s="255"/>
      <c r="AL15" s="255"/>
      <c r="AM15" s="255"/>
      <c r="AN15" s="255"/>
      <c r="AO15" s="255"/>
      <c r="AP15" s="527">
        <v>8608.2999999999993</v>
      </c>
      <c r="AQ15" s="528">
        <v>7813.7000000000007</v>
      </c>
      <c r="AR15" s="528">
        <v>7599.0999999999995</v>
      </c>
      <c r="AS15" s="528">
        <v>8370.9</v>
      </c>
      <c r="AT15" s="528">
        <v>8553.8000000000011</v>
      </c>
      <c r="AU15" s="529">
        <v>8826.7000000000007</v>
      </c>
      <c r="AV15" s="528">
        <v>9157.1000000000022</v>
      </c>
      <c r="AW15" s="528">
        <v>9274.1</v>
      </c>
      <c r="AX15" s="528">
        <v>9969.2999999999993</v>
      </c>
    </row>
    <row r="16" spans="1:50" s="151" customFormat="1" ht="11.25">
      <c r="A16" s="255" t="s">
        <v>658</v>
      </c>
      <c r="B16" s="255" t="s">
        <v>659</v>
      </c>
      <c r="C16" s="255"/>
      <c r="D16" s="255"/>
      <c r="E16" s="255"/>
      <c r="F16" s="255"/>
      <c r="G16" s="255"/>
      <c r="H16" s="255"/>
      <c r="I16" s="255"/>
      <c r="J16" s="255"/>
      <c r="K16" s="255"/>
      <c r="L16" s="255"/>
      <c r="M16" s="255"/>
      <c r="N16" s="255"/>
      <c r="O16" s="255"/>
      <c r="P16" s="255"/>
      <c r="Q16" s="255"/>
      <c r="R16" s="255"/>
      <c r="S16" s="255"/>
      <c r="T16" s="255"/>
      <c r="U16" s="255"/>
      <c r="V16" s="255"/>
      <c r="W16" s="255"/>
      <c r="X16" s="255"/>
      <c r="Y16" s="255"/>
      <c r="Z16" s="255"/>
      <c r="AA16" s="255"/>
      <c r="AB16" s="255"/>
      <c r="AC16" s="255"/>
      <c r="AD16" s="255"/>
      <c r="AE16" s="255"/>
      <c r="AF16" s="255"/>
      <c r="AG16" s="255"/>
      <c r="AH16" s="255"/>
      <c r="AI16" s="255"/>
      <c r="AJ16" s="255"/>
      <c r="AK16" s="255"/>
      <c r="AL16" s="255"/>
      <c r="AM16" s="255"/>
      <c r="AN16" s="255"/>
      <c r="AO16" s="255"/>
      <c r="AP16" s="527">
        <v>1735.7</v>
      </c>
      <c r="AQ16" s="528">
        <v>2799.4</v>
      </c>
      <c r="AR16" s="528">
        <v>1627.4</v>
      </c>
      <c r="AS16" s="528">
        <v>2254.8999999999996</v>
      </c>
      <c r="AT16" s="528">
        <v>2640.7</v>
      </c>
      <c r="AU16" s="529">
        <v>2224.1</v>
      </c>
      <c r="AV16" s="528">
        <v>2440.6</v>
      </c>
      <c r="AW16" s="528">
        <v>2893.7</v>
      </c>
      <c r="AX16" s="528">
        <v>2142</v>
      </c>
    </row>
    <row r="17" spans="1:50" s="151" customFormat="1" ht="11.25">
      <c r="A17" s="254" t="s">
        <v>624</v>
      </c>
      <c r="B17" s="254" t="s">
        <v>625</v>
      </c>
      <c r="C17" s="254"/>
      <c r="D17" s="254"/>
      <c r="E17" s="254"/>
      <c r="F17" s="254"/>
      <c r="G17" s="254"/>
      <c r="H17" s="254"/>
      <c r="I17" s="254"/>
      <c r="J17" s="254"/>
      <c r="K17" s="254"/>
      <c r="L17" s="254"/>
      <c r="M17" s="254"/>
      <c r="N17" s="254"/>
      <c r="O17" s="254"/>
      <c r="P17" s="254"/>
      <c r="Q17" s="254"/>
      <c r="R17" s="254"/>
      <c r="S17" s="254"/>
      <c r="T17" s="254"/>
      <c r="U17" s="254"/>
      <c r="V17" s="254"/>
      <c r="W17" s="254"/>
      <c r="X17" s="254"/>
      <c r="Y17" s="254"/>
      <c r="Z17" s="254"/>
      <c r="AA17" s="254"/>
      <c r="AB17" s="254"/>
      <c r="AC17" s="254"/>
      <c r="AD17" s="254"/>
      <c r="AE17" s="254"/>
      <c r="AF17" s="254"/>
      <c r="AG17" s="254"/>
      <c r="AH17" s="254"/>
      <c r="AI17" s="254"/>
      <c r="AJ17" s="254"/>
      <c r="AK17" s="254"/>
      <c r="AL17" s="254"/>
      <c r="AM17" s="254"/>
      <c r="AN17" s="254"/>
      <c r="AO17" s="254"/>
      <c r="AP17" s="530">
        <f t="shared" ref="AP17:AU17" si="12">SUM(AP18:AP20)</f>
        <v>63609.5</v>
      </c>
      <c r="AQ17" s="531">
        <f t="shared" si="12"/>
        <v>64762.799999999996</v>
      </c>
      <c r="AR17" s="531">
        <f t="shared" si="12"/>
        <v>65214.400000000001</v>
      </c>
      <c r="AS17" s="531">
        <f t="shared" si="12"/>
        <v>65653.100000000006</v>
      </c>
      <c r="AT17" s="531">
        <f t="shared" si="12"/>
        <v>68049.600000000006</v>
      </c>
      <c r="AU17" s="532">
        <f t="shared" si="12"/>
        <v>71111.7</v>
      </c>
      <c r="AV17" s="531">
        <f>SUM(AV18:AV20)</f>
        <v>72348.5</v>
      </c>
      <c r="AW17" s="531">
        <f>SUM(AW18:AW20)</f>
        <v>74369.399999999994</v>
      </c>
      <c r="AX17" s="531">
        <f>SUM(AX18:AX20)</f>
        <v>78318.099999999991</v>
      </c>
    </row>
    <row r="18" spans="1:50" s="151" customFormat="1" ht="11.25">
      <c r="A18" s="255" t="s">
        <v>654</v>
      </c>
      <c r="B18" s="255" t="s">
        <v>655</v>
      </c>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c r="AA18" s="255"/>
      <c r="AB18" s="255"/>
      <c r="AC18" s="255"/>
      <c r="AD18" s="255"/>
      <c r="AE18" s="255"/>
      <c r="AF18" s="255"/>
      <c r="AG18" s="255"/>
      <c r="AH18" s="255"/>
      <c r="AI18" s="255"/>
      <c r="AJ18" s="255"/>
      <c r="AK18" s="255"/>
      <c r="AL18" s="255"/>
      <c r="AM18" s="255"/>
      <c r="AN18" s="255"/>
      <c r="AO18" s="255"/>
      <c r="AP18" s="527">
        <v>11920.7</v>
      </c>
      <c r="AQ18" s="528">
        <v>12356.5</v>
      </c>
      <c r="AR18" s="528">
        <v>13169.9</v>
      </c>
      <c r="AS18" s="528">
        <v>13570.900000000001</v>
      </c>
      <c r="AT18" s="528">
        <v>14792</v>
      </c>
      <c r="AU18" s="529">
        <v>15061.199999999999</v>
      </c>
      <c r="AV18" s="528">
        <v>16013.5</v>
      </c>
      <c r="AW18" s="528">
        <v>17080.099999999999</v>
      </c>
      <c r="AX18" s="528">
        <v>18051.199999999997</v>
      </c>
    </row>
    <row r="19" spans="1:50" s="151" customFormat="1" ht="11.25">
      <c r="A19" s="255" t="s">
        <v>656</v>
      </c>
      <c r="B19" s="255" t="s">
        <v>657</v>
      </c>
      <c r="C19" s="255"/>
      <c r="D19" s="255"/>
      <c r="E19" s="255"/>
      <c r="F19" s="255"/>
      <c r="G19" s="255"/>
      <c r="H19" s="255"/>
      <c r="I19" s="255"/>
      <c r="J19" s="255"/>
      <c r="K19" s="255"/>
      <c r="L19" s="255"/>
      <c r="M19" s="255"/>
      <c r="N19" s="255"/>
      <c r="O19" s="255"/>
      <c r="P19" s="255"/>
      <c r="Q19" s="255"/>
      <c r="R19" s="255"/>
      <c r="S19" s="255"/>
      <c r="T19" s="255"/>
      <c r="U19" s="255"/>
      <c r="V19" s="255"/>
      <c r="W19" s="255"/>
      <c r="X19" s="255"/>
      <c r="Y19" s="255"/>
      <c r="Z19" s="255"/>
      <c r="AA19" s="255"/>
      <c r="AB19" s="255"/>
      <c r="AC19" s="255"/>
      <c r="AD19" s="255"/>
      <c r="AE19" s="255"/>
      <c r="AF19" s="255"/>
      <c r="AG19" s="255"/>
      <c r="AH19" s="255"/>
      <c r="AI19" s="255"/>
      <c r="AJ19" s="255"/>
      <c r="AK19" s="255"/>
      <c r="AL19" s="255"/>
      <c r="AM19" s="255"/>
      <c r="AN19" s="255"/>
      <c r="AO19" s="255"/>
      <c r="AP19" s="527">
        <v>47872.3</v>
      </c>
      <c r="AQ19" s="528">
        <v>49023.799999999996</v>
      </c>
      <c r="AR19" s="528">
        <v>49179.5</v>
      </c>
      <c r="AS19" s="528">
        <v>49551.5</v>
      </c>
      <c r="AT19" s="528">
        <v>49935</v>
      </c>
      <c r="AU19" s="529">
        <v>53369.8</v>
      </c>
      <c r="AV19" s="528">
        <v>53784.800000000003</v>
      </c>
      <c r="AW19" s="528">
        <v>54848.9</v>
      </c>
      <c r="AX19" s="528">
        <v>57948.1</v>
      </c>
    </row>
    <row r="20" spans="1:50" s="151" customFormat="1" ht="11.25">
      <c r="A20" s="255" t="s">
        <v>658</v>
      </c>
      <c r="B20" s="255" t="s">
        <v>659</v>
      </c>
      <c r="C20" s="255"/>
      <c r="D20" s="255"/>
      <c r="E20" s="255"/>
      <c r="F20" s="255"/>
      <c r="G20" s="255"/>
      <c r="H20" s="255"/>
      <c r="I20" s="255"/>
      <c r="J20" s="255"/>
      <c r="K20" s="255"/>
      <c r="L20" s="255"/>
      <c r="M20" s="255"/>
      <c r="N20" s="255"/>
      <c r="O20" s="255"/>
      <c r="P20" s="255"/>
      <c r="Q20" s="255"/>
      <c r="R20" s="255"/>
      <c r="S20" s="255"/>
      <c r="T20" s="255"/>
      <c r="U20" s="255"/>
      <c r="V20" s="255"/>
      <c r="W20" s="255"/>
      <c r="X20" s="255"/>
      <c r="Y20" s="255"/>
      <c r="Z20" s="255"/>
      <c r="AA20" s="255"/>
      <c r="AB20" s="255"/>
      <c r="AC20" s="255"/>
      <c r="AD20" s="255"/>
      <c r="AE20" s="255"/>
      <c r="AF20" s="255"/>
      <c r="AG20" s="255"/>
      <c r="AH20" s="255"/>
      <c r="AI20" s="255"/>
      <c r="AJ20" s="255"/>
      <c r="AK20" s="255"/>
      <c r="AL20" s="255"/>
      <c r="AM20" s="255"/>
      <c r="AN20" s="255"/>
      <c r="AO20" s="255"/>
      <c r="AP20" s="527">
        <v>3816.5</v>
      </c>
      <c r="AQ20" s="528">
        <v>3382.5</v>
      </c>
      <c r="AR20" s="528">
        <v>2865</v>
      </c>
      <c r="AS20" s="528">
        <v>2530.6999999999998</v>
      </c>
      <c r="AT20" s="528">
        <v>3322.6000000000004</v>
      </c>
      <c r="AU20" s="529">
        <v>2680.7</v>
      </c>
      <c r="AV20" s="528">
        <v>2550.1999999999998</v>
      </c>
      <c r="AW20" s="528">
        <v>2440.4</v>
      </c>
      <c r="AX20" s="528">
        <v>2318.7999999999997</v>
      </c>
    </row>
    <row r="21" spans="1:50" s="151" customFormat="1" ht="6" customHeight="1">
      <c r="A21" s="253"/>
      <c r="B21" s="253"/>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c r="AB21" s="253"/>
      <c r="AC21" s="253"/>
      <c r="AD21" s="253"/>
      <c r="AE21" s="253"/>
      <c r="AF21" s="253"/>
      <c r="AG21" s="253"/>
      <c r="AH21" s="253"/>
      <c r="AI21" s="253"/>
      <c r="AJ21" s="253"/>
      <c r="AK21" s="253"/>
      <c r="AL21" s="253"/>
      <c r="AM21" s="253"/>
      <c r="AN21" s="253"/>
      <c r="AO21" s="253"/>
      <c r="AP21" s="125"/>
      <c r="AQ21" s="123"/>
      <c r="AR21" s="123"/>
      <c r="AS21" s="123"/>
      <c r="AT21" s="123"/>
      <c r="AU21" s="127"/>
      <c r="AV21" s="123"/>
      <c r="AW21" s="123"/>
      <c r="AX21" s="123"/>
    </row>
    <row r="22" spans="1:50" s="151" customFormat="1" ht="11.25">
      <c r="A22" s="251" t="s">
        <v>660</v>
      </c>
      <c r="B22" s="251" t="s">
        <v>661</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124">
        <f t="shared" ref="AP22:AU22" si="13">SUM(AP23:AP26)</f>
        <v>1777</v>
      </c>
      <c r="AQ22" s="122">
        <f t="shared" si="13"/>
        <v>1556.6</v>
      </c>
      <c r="AR22" s="122">
        <f t="shared" si="13"/>
        <v>1754.7</v>
      </c>
      <c r="AS22" s="122">
        <f t="shared" si="13"/>
        <v>1518.8</v>
      </c>
      <c r="AT22" s="122">
        <f t="shared" si="13"/>
        <v>1654.1999999999998</v>
      </c>
      <c r="AU22" s="126">
        <f t="shared" si="13"/>
        <v>1879.8</v>
      </c>
      <c r="AV22" s="122">
        <f t="shared" ref="AV22:AW22" si="14">SUM(AV23:AV26)</f>
        <v>1706.4</v>
      </c>
      <c r="AW22" s="122">
        <f t="shared" si="14"/>
        <v>1674.5</v>
      </c>
      <c r="AX22" s="122">
        <f t="shared" ref="AX22" si="15">SUM(AX23:AX26)</f>
        <v>1774.5</v>
      </c>
    </row>
    <row r="23" spans="1:50" s="151" customFormat="1" ht="11.25">
      <c r="A23" s="252" t="s">
        <v>662</v>
      </c>
      <c r="B23" s="252" t="s">
        <v>663</v>
      </c>
      <c r="C23" s="252"/>
      <c r="D23" s="252"/>
      <c r="E23" s="252"/>
      <c r="F23" s="252"/>
      <c r="G23" s="252"/>
      <c r="H23" s="252"/>
      <c r="I23" s="252"/>
      <c r="J23" s="252"/>
      <c r="K23" s="252"/>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252"/>
      <c r="AL23" s="252"/>
      <c r="AM23" s="252"/>
      <c r="AN23" s="252"/>
      <c r="AO23" s="252"/>
      <c r="AP23" s="527">
        <v>311.2</v>
      </c>
      <c r="AQ23" s="528">
        <v>326</v>
      </c>
      <c r="AR23" s="528">
        <v>311.2</v>
      </c>
      <c r="AS23" s="528">
        <v>321</v>
      </c>
      <c r="AT23" s="528">
        <v>274</v>
      </c>
      <c r="AU23" s="529">
        <v>317.8</v>
      </c>
      <c r="AV23" s="528">
        <v>299</v>
      </c>
      <c r="AW23" s="528">
        <v>339.4</v>
      </c>
      <c r="AX23" s="528">
        <v>329.5</v>
      </c>
    </row>
    <row r="24" spans="1:50" s="151" customFormat="1" ht="11.25">
      <c r="A24" s="256" t="s">
        <v>664</v>
      </c>
      <c r="B24" s="252" t="s">
        <v>665</v>
      </c>
      <c r="C24" s="252"/>
      <c r="D24" s="252"/>
      <c r="E24" s="252"/>
      <c r="F24" s="252"/>
      <c r="G24" s="252"/>
      <c r="H24" s="252"/>
      <c r="I24" s="252"/>
      <c r="J24" s="252"/>
      <c r="K24" s="252"/>
      <c r="L24" s="252"/>
      <c r="M24" s="252"/>
      <c r="N24" s="252"/>
      <c r="O24" s="252"/>
      <c r="P24" s="252"/>
      <c r="Q24" s="252"/>
      <c r="R24" s="252"/>
      <c r="S24" s="252"/>
      <c r="T24" s="252"/>
      <c r="U24" s="252"/>
      <c r="V24" s="252"/>
      <c r="W24" s="252"/>
      <c r="X24" s="252"/>
      <c r="Y24" s="252"/>
      <c r="Z24" s="252"/>
      <c r="AA24" s="252"/>
      <c r="AB24" s="252"/>
      <c r="AC24" s="252"/>
      <c r="AD24" s="252"/>
      <c r="AE24" s="252"/>
      <c r="AF24" s="252"/>
      <c r="AG24" s="252"/>
      <c r="AH24" s="252"/>
      <c r="AI24" s="252"/>
      <c r="AJ24" s="252"/>
      <c r="AK24" s="252"/>
      <c r="AL24" s="252"/>
      <c r="AM24" s="252"/>
      <c r="AN24" s="252"/>
      <c r="AO24" s="252"/>
      <c r="AP24" s="527">
        <v>64.8</v>
      </c>
      <c r="AQ24" s="528">
        <v>1.1000000000000001</v>
      </c>
      <c r="AR24" s="528">
        <v>27.1</v>
      </c>
      <c r="AS24" s="528">
        <v>24</v>
      </c>
      <c r="AT24" s="528">
        <v>1.4</v>
      </c>
      <c r="AU24" s="529">
        <v>8.1</v>
      </c>
      <c r="AV24" s="528">
        <v>67.400000000000006</v>
      </c>
      <c r="AW24" s="528">
        <v>67.300000000000011</v>
      </c>
      <c r="AX24" s="528">
        <v>8.6</v>
      </c>
    </row>
    <row r="25" spans="1:50" s="151" customFormat="1" ht="22.5">
      <c r="A25" s="252" t="s">
        <v>666</v>
      </c>
      <c r="B25" s="252" t="s">
        <v>667</v>
      </c>
      <c r="C25" s="252"/>
      <c r="D25" s="252"/>
      <c r="E25" s="252"/>
      <c r="F25" s="252"/>
      <c r="G25" s="252"/>
      <c r="H25" s="252"/>
      <c r="I25" s="252"/>
      <c r="J25" s="252"/>
      <c r="K25" s="252"/>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252"/>
      <c r="AL25" s="252"/>
      <c r="AM25" s="252"/>
      <c r="AN25" s="252"/>
      <c r="AO25" s="252"/>
      <c r="AP25" s="527">
        <v>0</v>
      </c>
      <c r="AQ25" s="528">
        <v>0</v>
      </c>
      <c r="AR25" s="528">
        <v>0</v>
      </c>
      <c r="AS25" s="528">
        <v>0</v>
      </c>
      <c r="AT25" s="528">
        <v>0</v>
      </c>
      <c r="AU25" s="529">
        <v>11.6</v>
      </c>
      <c r="AV25" s="528">
        <v>0.30000000000000004</v>
      </c>
      <c r="AW25" s="528">
        <v>0</v>
      </c>
      <c r="AX25" s="528">
        <v>0</v>
      </c>
    </row>
    <row r="26" spans="1:50" s="151" customFormat="1" ht="11.25">
      <c r="A26" s="252" t="s">
        <v>668</v>
      </c>
      <c r="B26" s="252" t="s">
        <v>669</v>
      </c>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527">
        <v>1401</v>
      </c>
      <c r="AQ26" s="528">
        <v>1229.5</v>
      </c>
      <c r="AR26" s="528">
        <v>1416.4</v>
      </c>
      <c r="AS26" s="528">
        <v>1173.8</v>
      </c>
      <c r="AT26" s="528">
        <v>1378.8</v>
      </c>
      <c r="AU26" s="529">
        <v>1542.3</v>
      </c>
      <c r="AV26" s="528">
        <v>1339.7</v>
      </c>
      <c r="AW26" s="528">
        <v>1267.8</v>
      </c>
      <c r="AX26" s="528">
        <v>1436.4</v>
      </c>
    </row>
  </sheetData>
  <mergeCells count="4">
    <mergeCell ref="A3:A4"/>
    <mergeCell ref="B3:B4"/>
    <mergeCell ref="AQ3:AT3"/>
    <mergeCell ref="AU3:AX3"/>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oddHeader xml:space="preserve">&amp;C&amp;"Times New Roman,Kursywa"&amp;12
</oddHead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X65"/>
  <sheetViews>
    <sheetView showGridLines="0" view="pageBreakPreview" zoomScaleNormal="100" zoomScaleSheetLayoutView="100" workbookViewId="0">
      <pane xSplit="2" ySplit="11" topLeftCell="C12" activePane="bottomRight" state="frozen"/>
      <selection pane="topRight" activeCell="C1" sqref="C1"/>
      <selection pane="bottomLeft" activeCell="A12" sqref="A12"/>
      <selection pane="bottomRight" activeCell="B10" sqref="B10:B11"/>
    </sheetView>
  </sheetViews>
  <sheetFormatPr defaultRowHeight="13.5" outlineLevelCol="1"/>
  <cols>
    <col min="1" max="1" width="72" style="244" customWidth="1" outlineLevel="1"/>
    <col min="2" max="2" width="79.42578125" style="244" customWidth="1"/>
    <col min="3" max="30" width="8.7109375" style="244" customWidth="1"/>
    <col min="31" max="31" width="9" style="244" customWidth="1"/>
    <col min="32" max="38" width="9.140625" style="244" customWidth="1"/>
    <col min="39" max="46" width="9.140625" style="244"/>
    <col min="47" max="50" width="9.140625" style="473"/>
    <col min="51" max="16384" width="9.140625" style="244"/>
  </cols>
  <sheetData>
    <row r="1" spans="1:50">
      <c r="A1" s="58"/>
      <c r="B1" s="58"/>
      <c r="C1" s="14"/>
      <c r="D1" s="14"/>
      <c r="E1" s="14"/>
      <c r="F1" s="14"/>
      <c r="G1" s="14"/>
      <c r="H1" s="14"/>
      <c r="I1" s="14"/>
      <c r="J1" s="14"/>
      <c r="K1" s="13"/>
      <c r="L1" s="13"/>
      <c r="M1" s="13"/>
      <c r="N1" s="13"/>
      <c r="O1" s="13"/>
      <c r="P1" s="13"/>
      <c r="Q1" s="13"/>
      <c r="R1" s="13"/>
      <c r="S1" s="13"/>
      <c r="T1" s="13"/>
      <c r="U1" s="13"/>
      <c r="V1" s="13"/>
      <c r="W1" s="13"/>
      <c r="X1" s="13"/>
      <c r="Y1" s="13"/>
      <c r="Z1" s="13"/>
      <c r="AA1" s="13"/>
      <c r="AB1" s="13"/>
      <c r="AC1" s="13"/>
      <c r="AD1" s="13"/>
      <c r="AE1" s="13"/>
    </row>
    <row r="2" spans="1:50">
      <c r="A2" s="58"/>
      <c r="B2" s="58"/>
      <c r="C2" s="14"/>
      <c r="D2" s="14"/>
      <c r="E2" s="14"/>
      <c r="F2" s="14"/>
      <c r="G2" s="14"/>
      <c r="H2" s="14"/>
      <c r="I2" s="14"/>
      <c r="J2" s="14"/>
      <c r="K2" s="13"/>
      <c r="L2" s="13"/>
      <c r="M2" s="13"/>
      <c r="N2" s="13"/>
      <c r="O2" s="13"/>
      <c r="P2" s="13"/>
      <c r="Q2" s="13"/>
      <c r="R2" s="13"/>
      <c r="S2" s="13"/>
      <c r="T2" s="13"/>
      <c r="U2" s="13"/>
      <c r="V2" s="13"/>
      <c r="W2" s="13"/>
      <c r="X2" s="13"/>
      <c r="Y2" s="13"/>
      <c r="Z2" s="13"/>
      <c r="AA2" s="13"/>
      <c r="AB2" s="13"/>
      <c r="AC2" s="13"/>
      <c r="AD2" s="13"/>
      <c r="AE2" s="13"/>
    </row>
    <row r="3" spans="1:50">
      <c r="A3" s="395" t="s">
        <v>400</v>
      </c>
      <c r="B3" s="395" t="s">
        <v>399</v>
      </c>
      <c r="C3" s="14"/>
      <c r="D3" s="14"/>
      <c r="E3" s="14"/>
      <c r="F3" s="14"/>
      <c r="G3" s="14"/>
      <c r="H3" s="14"/>
      <c r="I3" s="14"/>
      <c r="J3" s="14"/>
      <c r="K3" s="13"/>
      <c r="L3" s="13"/>
      <c r="M3" s="13"/>
      <c r="N3" s="13"/>
      <c r="O3" s="13"/>
      <c r="P3" s="13"/>
      <c r="Q3" s="13"/>
      <c r="R3" s="13"/>
      <c r="S3" s="13"/>
      <c r="T3" s="13"/>
      <c r="U3" s="13"/>
      <c r="V3" s="13"/>
      <c r="W3" s="13"/>
      <c r="X3" s="13"/>
      <c r="Y3" s="13"/>
      <c r="Z3" s="13"/>
      <c r="AA3" s="13"/>
      <c r="AB3" s="13"/>
      <c r="AC3" s="13"/>
      <c r="AD3" s="13"/>
      <c r="AE3" s="13"/>
    </row>
    <row r="4" spans="1:50">
      <c r="A4" s="58"/>
      <c r="B4" s="58"/>
      <c r="C4" s="14"/>
      <c r="D4" s="14"/>
      <c r="E4" s="14"/>
      <c r="F4" s="14"/>
      <c r="G4" s="14"/>
      <c r="H4" s="14"/>
      <c r="I4" s="14"/>
      <c r="J4" s="14"/>
      <c r="K4" s="13"/>
      <c r="L4" s="13"/>
      <c r="M4" s="13"/>
      <c r="N4" s="13"/>
      <c r="O4" s="13"/>
      <c r="P4" s="13"/>
      <c r="Q4" s="13"/>
      <c r="R4" s="13"/>
      <c r="S4" s="13"/>
      <c r="T4" s="13"/>
      <c r="U4" s="13"/>
      <c r="V4" s="13"/>
      <c r="W4" s="13"/>
      <c r="X4" s="13"/>
      <c r="Y4" s="13"/>
      <c r="Z4" s="13"/>
      <c r="AA4" s="13"/>
      <c r="AB4" s="13"/>
      <c r="AC4" s="13"/>
      <c r="AD4" s="13"/>
      <c r="AE4" s="13"/>
    </row>
    <row r="5" spans="1:50">
      <c r="A5" s="58"/>
      <c r="B5" s="58"/>
      <c r="C5" s="14"/>
      <c r="D5" s="14"/>
      <c r="E5" s="14"/>
      <c r="F5" s="14"/>
      <c r="G5" s="14"/>
      <c r="H5" s="14"/>
      <c r="I5" s="14"/>
      <c r="J5" s="14"/>
      <c r="K5" s="13"/>
      <c r="L5" s="13"/>
      <c r="M5" s="13"/>
      <c r="N5" s="13"/>
      <c r="O5" s="13"/>
      <c r="P5" s="13"/>
      <c r="Q5" s="13"/>
      <c r="R5" s="13"/>
      <c r="S5" s="13"/>
      <c r="T5" s="13"/>
      <c r="U5" s="13"/>
      <c r="V5" s="13"/>
      <c r="W5" s="13"/>
      <c r="X5" s="13"/>
      <c r="Y5" s="13"/>
      <c r="Z5" s="13"/>
      <c r="AA5" s="13"/>
      <c r="AB5" s="13"/>
      <c r="AC5" s="13"/>
      <c r="AD5" s="13"/>
      <c r="AE5" s="13"/>
    </row>
    <row r="6" spans="1:50">
      <c r="A6" s="58"/>
      <c r="B6" s="58"/>
      <c r="C6" s="14"/>
      <c r="D6" s="14"/>
      <c r="E6" s="14"/>
      <c r="F6" s="14"/>
      <c r="G6" s="14"/>
      <c r="H6" s="14"/>
      <c r="I6" s="14"/>
      <c r="J6" s="14"/>
      <c r="K6" s="13"/>
      <c r="L6" s="13"/>
      <c r="M6" s="13"/>
      <c r="N6" s="13"/>
      <c r="O6" s="13"/>
      <c r="P6" s="13"/>
      <c r="Q6" s="13"/>
      <c r="R6" s="13"/>
      <c r="S6" s="13"/>
      <c r="T6" s="13"/>
      <c r="U6" s="13"/>
      <c r="V6" s="13"/>
      <c r="W6" s="13"/>
      <c r="X6" s="13"/>
      <c r="Y6" s="13"/>
      <c r="Z6" s="13"/>
      <c r="AA6" s="13"/>
      <c r="AB6" s="13"/>
      <c r="AC6" s="13"/>
      <c r="AD6" s="13"/>
      <c r="AE6" s="13"/>
    </row>
    <row r="7" spans="1:50">
      <c r="A7" s="58"/>
      <c r="B7" s="58"/>
      <c r="C7" s="14"/>
      <c r="D7" s="14"/>
      <c r="E7" s="14"/>
      <c r="F7" s="14"/>
      <c r="G7" s="14"/>
      <c r="H7" s="14"/>
      <c r="I7" s="14"/>
      <c r="J7" s="14"/>
      <c r="K7" s="13"/>
      <c r="L7" s="13"/>
      <c r="M7" s="13"/>
      <c r="N7" s="13"/>
      <c r="O7" s="13"/>
      <c r="P7" s="13"/>
      <c r="Q7" s="13"/>
      <c r="R7" s="13"/>
      <c r="S7" s="13"/>
      <c r="T7" s="13"/>
      <c r="U7" s="13"/>
      <c r="V7" s="13"/>
      <c r="W7" s="13"/>
      <c r="X7" s="13"/>
      <c r="Y7" s="13"/>
      <c r="Z7" s="13"/>
      <c r="AA7" s="13"/>
      <c r="AB7" s="13"/>
      <c r="AC7" s="13"/>
      <c r="AD7" s="13"/>
      <c r="AE7" s="13"/>
    </row>
    <row r="8" spans="1:50" s="135" customFormat="1">
      <c r="A8" s="58"/>
      <c r="B8" s="58"/>
      <c r="C8" s="14"/>
      <c r="D8" s="14"/>
      <c r="E8" s="14"/>
      <c r="F8" s="14"/>
      <c r="G8" s="14"/>
      <c r="H8" s="14"/>
      <c r="I8" s="14"/>
      <c r="J8" s="14"/>
      <c r="K8" s="13"/>
      <c r="L8" s="13"/>
      <c r="M8" s="13"/>
      <c r="N8" s="13"/>
      <c r="O8" s="13"/>
      <c r="P8" s="13"/>
      <c r="Q8" s="13"/>
      <c r="R8" s="13"/>
      <c r="S8" s="13"/>
      <c r="T8" s="13"/>
      <c r="U8" s="13"/>
      <c r="V8" s="13"/>
      <c r="W8" s="13"/>
      <c r="X8" s="13"/>
      <c r="Y8" s="13"/>
      <c r="Z8" s="13"/>
      <c r="AA8" s="13"/>
      <c r="AB8" s="13"/>
      <c r="AC8" s="13"/>
      <c r="AD8" s="13"/>
      <c r="AE8" s="13"/>
      <c r="AU8" s="292"/>
      <c r="AV8" s="292"/>
      <c r="AW8" s="292"/>
      <c r="AX8" s="292"/>
    </row>
    <row r="9" spans="1:50" s="397" customFormat="1" ht="15.75">
      <c r="A9" s="396" t="s">
        <v>430</v>
      </c>
      <c r="B9" s="396" t="s">
        <v>431</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U9" s="268"/>
      <c r="AV9" s="268"/>
      <c r="AW9" s="268"/>
      <c r="AX9" s="268"/>
    </row>
    <row r="10" spans="1:50" s="135" customFormat="1" ht="11.25" customHeight="1">
      <c r="A10" s="481" t="s">
        <v>534</v>
      </c>
      <c r="B10" s="481" t="s">
        <v>533</v>
      </c>
      <c r="C10" s="477">
        <v>2007</v>
      </c>
      <c r="D10" s="475"/>
      <c r="E10" s="475"/>
      <c r="F10" s="475"/>
      <c r="G10" s="477">
        <v>2008</v>
      </c>
      <c r="H10" s="475"/>
      <c r="I10" s="475"/>
      <c r="J10" s="475"/>
      <c r="K10" s="477">
        <v>2009</v>
      </c>
      <c r="L10" s="475"/>
      <c r="M10" s="475"/>
      <c r="N10" s="475"/>
      <c r="O10" s="477">
        <v>2010</v>
      </c>
      <c r="P10" s="475"/>
      <c r="Q10" s="475"/>
      <c r="R10" s="475"/>
      <c r="S10" s="477">
        <v>2011</v>
      </c>
      <c r="T10" s="475"/>
      <c r="U10" s="475"/>
      <c r="V10" s="475"/>
      <c r="W10" s="477">
        <v>2012</v>
      </c>
      <c r="X10" s="475"/>
      <c r="Y10" s="475"/>
      <c r="Z10" s="478"/>
      <c r="AA10" s="477">
        <v>2013</v>
      </c>
      <c r="AB10" s="475"/>
      <c r="AC10" s="475"/>
      <c r="AD10" s="478"/>
      <c r="AE10" s="477">
        <v>2014</v>
      </c>
      <c r="AF10" s="475"/>
      <c r="AG10" s="475"/>
      <c r="AH10" s="478"/>
      <c r="AI10" s="474">
        <v>2015</v>
      </c>
      <c r="AJ10" s="475"/>
      <c r="AK10" s="475"/>
      <c r="AL10" s="478"/>
      <c r="AM10" s="474">
        <v>2016</v>
      </c>
      <c r="AN10" s="475"/>
      <c r="AO10" s="475"/>
      <c r="AP10" s="478"/>
      <c r="AQ10" s="515">
        <v>2017</v>
      </c>
      <c r="AR10" s="516"/>
      <c r="AS10" s="516"/>
      <c r="AT10" s="516"/>
      <c r="AU10" s="521">
        <v>2018</v>
      </c>
      <c r="AV10" s="522"/>
      <c r="AW10" s="522"/>
      <c r="AX10" s="480"/>
    </row>
    <row r="11" spans="1:50" s="135" customFormat="1" ht="11.25" customHeight="1">
      <c r="A11" s="482"/>
      <c r="B11" s="482"/>
      <c r="C11" s="22" t="s">
        <v>151</v>
      </c>
      <c r="D11" s="23" t="s">
        <v>152</v>
      </c>
      <c r="E11" s="23" t="s">
        <v>153</v>
      </c>
      <c r="F11" s="23" t="s">
        <v>154</v>
      </c>
      <c r="G11" s="22" t="s">
        <v>151</v>
      </c>
      <c r="H11" s="23" t="s">
        <v>152</v>
      </c>
      <c r="I11" s="23" t="s">
        <v>153</v>
      </c>
      <c r="J11" s="48" t="s">
        <v>154</v>
      </c>
      <c r="K11" s="22" t="s">
        <v>151</v>
      </c>
      <c r="L11" s="23" t="s">
        <v>152</v>
      </c>
      <c r="M11" s="23" t="s">
        <v>153</v>
      </c>
      <c r="N11" s="48" t="s">
        <v>154</v>
      </c>
      <c r="O11" s="22" t="s">
        <v>151</v>
      </c>
      <c r="P11" s="23" t="s">
        <v>152</v>
      </c>
      <c r="Q11" s="23" t="s">
        <v>153</v>
      </c>
      <c r="R11" s="48" t="s">
        <v>154</v>
      </c>
      <c r="S11" s="22" t="s">
        <v>151</v>
      </c>
      <c r="T11" s="23" t="s">
        <v>152</v>
      </c>
      <c r="U11" s="23" t="s">
        <v>153</v>
      </c>
      <c r="V11" s="48" t="s">
        <v>154</v>
      </c>
      <c r="W11" s="22" t="s">
        <v>151</v>
      </c>
      <c r="X11" s="23" t="s">
        <v>152</v>
      </c>
      <c r="Y11" s="23" t="s">
        <v>153</v>
      </c>
      <c r="Z11" s="48" t="s">
        <v>154</v>
      </c>
      <c r="AA11" s="276" t="s">
        <v>151</v>
      </c>
      <c r="AB11" s="276" t="s">
        <v>152</v>
      </c>
      <c r="AC11" s="276" t="s">
        <v>153</v>
      </c>
      <c r="AD11" s="48" t="s">
        <v>154</v>
      </c>
      <c r="AE11" s="275" t="s">
        <v>151</v>
      </c>
      <c r="AF11" s="276" t="s">
        <v>152</v>
      </c>
      <c r="AG11" s="276" t="s">
        <v>153</v>
      </c>
      <c r="AH11" s="277" t="s">
        <v>154</v>
      </c>
      <c r="AI11" s="276" t="s">
        <v>151</v>
      </c>
      <c r="AJ11" s="276" t="s">
        <v>152</v>
      </c>
      <c r="AK11" s="276" t="s">
        <v>153</v>
      </c>
      <c r="AL11" s="277" t="s">
        <v>154</v>
      </c>
      <c r="AM11" s="276" t="s">
        <v>151</v>
      </c>
      <c r="AN11" s="276" t="s">
        <v>152</v>
      </c>
      <c r="AO11" s="276" t="s">
        <v>153</v>
      </c>
      <c r="AP11" s="277" t="s">
        <v>154</v>
      </c>
      <c r="AQ11" s="275" t="s">
        <v>151</v>
      </c>
      <c r="AR11" s="276" t="s">
        <v>152</v>
      </c>
      <c r="AS11" s="276" t="s">
        <v>153</v>
      </c>
      <c r="AT11" s="276" t="s">
        <v>154</v>
      </c>
      <c r="AU11" s="275" t="s">
        <v>151</v>
      </c>
      <c r="AV11" s="276" t="s">
        <v>152</v>
      </c>
      <c r="AW11" s="276" t="s">
        <v>153</v>
      </c>
      <c r="AX11" s="276" t="s">
        <v>154</v>
      </c>
    </row>
    <row r="12" spans="1:50" s="135" customFormat="1" ht="12.75" customHeight="1">
      <c r="A12" s="24" t="s">
        <v>156</v>
      </c>
      <c r="B12" s="24" t="s">
        <v>11</v>
      </c>
      <c r="C12" s="128"/>
      <c r="D12" s="129"/>
      <c r="E12" s="61"/>
      <c r="F12" s="129"/>
      <c r="G12" s="128"/>
      <c r="H12" s="129"/>
      <c r="I12" s="61"/>
      <c r="J12" s="130"/>
      <c r="K12" s="128"/>
      <c r="L12" s="129"/>
      <c r="M12" s="61"/>
      <c r="N12" s="130"/>
      <c r="O12" s="128"/>
      <c r="P12" s="129"/>
      <c r="Q12" s="61"/>
      <c r="R12" s="130"/>
      <c r="S12" s="131"/>
      <c r="T12" s="132"/>
      <c r="U12" s="24"/>
      <c r="V12" s="133"/>
      <c r="W12" s="131"/>
      <c r="X12" s="24"/>
      <c r="Y12" s="24"/>
      <c r="Z12" s="134"/>
      <c r="AA12" s="24"/>
      <c r="AB12" s="24"/>
      <c r="AC12" s="24"/>
      <c r="AD12" s="134"/>
      <c r="AE12" s="131"/>
      <c r="AF12" s="24"/>
      <c r="AG12" s="24"/>
      <c r="AH12" s="134"/>
      <c r="AI12" s="24"/>
      <c r="AJ12" s="24"/>
      <c r="AK12" s="24"/>
      <c r="AL12" s="134"/>
      <c r="AM12" s="24"/>
      <c r="AN12" s="24"/>
      <c r="AO12" s="24"/>
      <c r="AP12" s="134"/>
      <c r="AQ12" s="131"/>
      <c r="AR12" s="24"/>
      <c r="AS12" s="24"/>
      <c r="AT12" s="24"/>
      <c r="AU12" s="131"/>
      <c r="AV12" s="24"/>
      <c r="AW12" s="24"/>
      <c r="AX12" s="24"/>
    </row>
    <row r="13" spans="1:50" s="143" customFormat="1" ht="11.25">
      <c r="A13" s="136" t="s">
        <v>401</v>
      </c>
      <c r="B13" s="136" t="s">
        <v>362</v>
      </c>
      <c r="C13" s="137"/>
      <c r="D13" s="138"/>
      <c r="E13" s="138"/>
      <c r="F13" s="139"/>
      <c r="G13" s="137"/>
      <c r="H13" s="138"/>
      <c r="I13" s="138"/>
      <c r="J13" s="139"/>
      <c r="K13" s="138"/>
      <c r="L13" s="138"/>
      <c r="M13" s="138"/>
      <c r="N13" s="138"/>
      <c r="O13" s="137"/>
      <c r="P13" s="138"/>
      <c r="Q13" s="138"/>
      <c r="R13" s="139"/>
      <c r="S13" s="140"/>
      <c r="T13" s="140"/>
      <c r="U13" s="140"/>
      <c r="V13" s="140"/>
      <c r="W13" s="141"/>
      <c r="X13" s="140"/>
      <c r="Y13" s="140"/>
      <c r="Z13" s="142"/>
      <c r="AA13" s="140"/>
      <c r="AB13" s="140"/>
      <c r="AC13" s="140"/>
      <c r="AD13" s="134"/>
      <c r="AE13" s="131"/>
      <c r="AF13" s="24"/>
      <c r="AG13" s="24"/>
      <c r="AH13" s="134"/>
      <c r="AI13" s="24"/>
      <c r="AJ13" s="24"/>
      <c r="AK13" s="24"/>
      <c r="AL13" s="134"/>
      <c r="AM13" s="24"/>
      <c r="AN13" s="24"/>
      <c r="AO13" s="24"/>
      <c r="AP13" s="134"/>
      <c r="AQ13" s="131"/>
      <c r="AR13" s="24"/>
      <c r="AS13" s="24"/>
      <c r="AT13" s="24"/>
      <c r="AU13" s="131"/>
      <c r="AV13" s="24"/>
      <c r="AW13" s="24"/>
      <c r="AX13" s="24"/>
    </row>
    <row r="14" spans="1:50" s="151" customFormat="1" ht="11.25">
      <c r="A14" s="144" t="s">
        <v>378</v>
      </c>
      <c r="B14" s="144" t="s">
        <v>363</v>
      </c>
      <c r="C14" s="145">
        <f t="shared" ref="C14:AU14" si="0">C15+C16</f>
        <v>3928.2000000000003</v>
      </c>
      <c r="D14" s="146">
        <f t="shared" si="0"/>
        <v>3650.9</v>
      </c>
      <c r="E14" s="146">
        <f t="shared" si="0"/>
        <v>3822.1</v>
      </c>
      <c r="F14" s="147">
        <f t="shared" si="0"/>
        <v>3840.5</v>
      </c>
      <c r="G14" s="145">
        <f t="shared" si="0"/>
        <v>4015.3999999999992</v>
      </c>
      <c r="H14" s="146">
        <f t="shared" si="0"/>
        <v>3979.2999999999993</v>
      </c>
      <c r="I14" s="146">
        <f t="shared" si="0"/>
        <v>4279.7</v>
      </c>
      <c r="J14" s="147">
        <f t="shared" si="0"/>
        <v>4224.4999999999991</v>
      </c>
      <c r="K14" s="146">
        <f t="shared" si="0"/>
        <v>4283.1999999999989</v>
      </c>
      <c r="L14" s="148">
        <f t="shared" si="0"/>
        <v>4516.8999999999996</v>
      </c>
      <c r="M14" s="148">
        <f t="shared" si="0"/>
        <v>4744.4000000000005</v>
      </c>
      <c r="N14" s="148">
        <f t="shared" si="0"/>
        <v>4886.7</v>
      </c>
      <c r="O14" s="149">
        <f t="shared" si="0"/>
        <v>5134</v>
      </c>
      <c r="P14" s="148">
        <f t="shared" si="0"/>
        <v>5282.4000000000005</v>
      </c>
      <c r="Q14" s="148">
        <f t="shared" si="0"/>
        <v>5531.9</v>
      </c>
      <c r="R14" s="150">
        <f t="shared" si="0"/>
        <v>5653.0999999999995</v>
      </c>
      <c r="S14" s="148">
        <f t="shared" si="0"/>
        <v>5784.2999999999993</v>
      </c>
      <c r="T14" s="148">
        <f t="shared" si="0"/>
        <v>5953.8</v>
      </c>
      <c r="U14" s="148">
        <f t="shared" si="0"/>
        <v>6196.8999999999987</v>
      </c>
      <c r="V14" s="148">
        <f t="shared" si="0"/>
        <v>6416</v>
      </c>
      <c r="W14" s="149">
        <f t="shared" si="0"/>
        <v>6753.4000000000005</v>
      </c>
      <c r="X14" s="148">
        <f t="shared" si="0"/>
        <v>6981.1</v>
      </c>
      <c r="Y14" s="148">
        <f t="shared" si="0"/>
        <v>7427.1999999999989</v>
      </c>
      <c r="Z14" s="150">
        <f t="shared" si="0"/>
        <v>8136.1</v>
      </c>
      <c r="AA14" s="148">
        <f t="shared" si="0"/>
        <v>8238.7999999999993</v>
      </c>
      <c r="AB14" s="148">
        <f t="shared" si="0"/>
        <v>8133.4999999999991</v>
      </c>
      <c r="AC14" s="148">
        <f t="shared" si="0"/>
        <v>8271.5</v>
      </c>
      <c r="AD14" s="150">
        <f t="shared" si="0"/>
        <v>8628.5999999999985</v>
      </c>
      <c r="AE14" s="149">
        <f t="shared" si="0"/>
        <v>8887.9</v>
      </c>
      <c r="AF14" s="148">
        <f t="shared" si="0"/>
        <v>9161.1</v>
      </c>
      <c r="AG14" s="148">
        <f t="shared" si="0"/>
        <v>9934.2000000000007</v>
      </c>
      <c r="AH14" s="150">
        <f t="shared" si="0"/>
        <v>10456.6</v>
      </c>
      <c r="AI14" s="148">
        <f t="shared" si="0"/>
        <v>10232.1</v>
      </c>
      <c r="AJ14" s="148">
        <f t="shared" si="0"/>
        <v>9558.6999999999989</v>
      </c>
      <c r="AK14" s="148">
        <f t="shared" si="0"/>
        <v>10304.399999999998</v>
      </c>
      <c r="AL14" s="150">
        <f t="shared" si="0"/>
        <v>10680.499999999998</v>
      </c>
      <c r="AM14" s="148">
        <f t="shared" si="0"/>
        <v>10670.100000000002</v>
      </c>
      <c r="AN14" s="148">
        <f t="shared" si="0"/>
        <v>10812.6</v>
      </c>
      <c r="AO14" s="148">
        <f t="shared" si="0"/>
        <v>10979</v>
      </c>
      <c r="AP14" s="83">
        <f t="shared" si="0"/>
        <v>10477.200000000001</v>
      </c>
      <c r="AQ14" s="81">
        <f t="shared" si="0"/>
        <v>10789.4</v>
      </c>
      <c r="AR14" s="82">
        <f t="shared" si="0"/>
        <v>11154.1</v>
      </c>
      <c r="AS14" s="82">
        <f t="shared" si="0"/>
        <v>11486.2</v>
      </c>
      <c r="AT14" s="82">
        <f t="shared" si="0"/>
        <v>11794.8</v>
      </c>
      <c r="AU14" s="81">
        <f t="shared" si="0"/>
        <v>12058.899999999998</v>
      </c>
      <c r="AV14" s="82">
        <f t="shared" ref="AV14:AW14" si="1">AV15+AV16</f>
        <v>11889.499999999998</v>
      </c>
      <c r="AW14" s="82">
        <f t="shared" si="1"/>
        <v>12161.900000000001</v>
      </c>
      <c r="AX14" s="82">
        <f t="shared" ref="AX14" si="2">AX15+AX16</f>
        <v>13336.300000000003</v>
      </c>
    </row>
    <row r="15" spans="1:50" s="151" customFormat="1" ht="11.25">
      <c r="A15" s="152" t="s">
        <v>572</v>
      </c>
      <c r="B15" s="153" t="s">
        <v>570</v>
      </c>
      <c r="C15" s="154">
        <v>3171.4</v>
      </c>
      <c r="D15" s="155">
        <v>3315.7</v>
      </c>
      <c r="E15" s="155">
        <v>3288.8999999999996</v>
      </c>
      <c r="F15" s="156">
        <v>3209.7999999999997</v>
      </c>
      <c r="G15" s="154">
        <v>3580.3999999999992</v>
      </c>
      <c r="H15" s="155">
        <v>3540.6999999999994</v>
      </c>
      <c r="I15" s="155">
        <v>4058</v>
      </c>
      <c r="J15" s="156">
        <v>4088.0999999999995</v>
      </c>
      <c r="K15" s="155">
        <v>4105.5999999999995</v>
      </c>
      <c r="L15" s="157">
        <v>4179.7</v>
      </c>
      <c r="M15" s="157">
        <v>4467.7000000000007</v>
      </c>
      <c r="N15" s="157">
        <v>4488.2000000000007</v>
      </c>
      <c r="O15" s="158">
        <v>4825.1000000000004</v>
      </c>
      <c r="P15" s="157">
        <v>4818.5000000000009</v>
      </c>
      <c r="Q15" s="157">
        <v>5223.2999999999993</v>
      </c>
      <c r="R15" s="159">
        <v>5199.5999999999995</v>
      </c>
      <c r="S15" s="157">
        <v>5336.2999999999993</v>
      </c>
      <c r="T15" s="157">
        <v>5427.9000000000005</v>
      </c>
      <c r="U15" s="157">
        <v>5836.2999999999993</v>
      </c>
      <c r="V15" s="157">
        <v>5850.5</v>
      </c>
      <c r="W15" s="158">
        <v>6359.9000000000005</v>
      </c>
      <c r="X15" s="157">
        <v>6655.6</v>
      </c>
      <c r="Y15" s="157">
        <v>6989.2999999999993</v>
      </c>
      <c r="Z15" s="159">
        <v>7285.3</v>
      </c>
      <c r="AA15" s="157">
        <v>7511.8</v>
      </c>
      <c r="AB15" s="157">
        <v>7339.1999999999989</v>
      </c>
      <c r="AC15" s="157">
        <v>7756.3</v>
      </c>
      <c r="AD15" s="159">
        <v>7755.7999999999993</v>
      </c>
      <c r="AE15" s="158">
        <v>7046.2999999999993</v>
      </c>
      <c r="AF15" s="157">
        <v>7453.3</v>
      </c>
      <c r="AG15" s="157">
        <v>7492.4</v>
      </c>
      <c r="AH15" s="159">
        <v>7491.5</v>
      </c>
      <c r="AI15" s="157">
        <v>8192.6</v>
      </c>
      <c r="AJ15" s="157">
        <v>8125.6999999999989</v>
      </c>
      <c r="AK15" s="157">
        <v>8385.9999999999982</v>
      </c>
      <c r="AL15" s="159">
        <v>8479.0999999999985</v>
      </c>
      <c r="AM15" s="157">
        <v>8893.1000000000022</v>
      </c>
      <c r="AN15" s="157">
        <v>8845.5</v>
      </c>
      <c r="AO15" s="157">
        <v>9150.1</v>
      </c>
      <c r="AP15" s="78">
        <v>9069.9000000000015</v>
      </c>
      <c r="AQ15" s="69">
        <v>9127.4</v>
      </c>
      <c r="AR15" s="70">
        <v>10115.1</v>
      </c>
      <c r="AS15" s="70">
        <v>10146.1</v>
      </c>
      <c r="AT15" s="70">
        <v>10843.4</v>
      </c>
      <c r="AU15" s="69">
        <v>10681.599999999999</v>
      </c>
      <c r="AV15" s="70">
        <v>10970.099999999999</v>
      </c>
      <c r="AW15" s="70">
        <v>11450.2</v>
      </c>
      <c r="AX15" s="70">
        <v>11710.300000000003</v>
      </c>
    </row>
    <row r="16" spans="1:50" s="168" customFormat="1" ht="11.25">
      <c r="A16" s="160" t="s">
        <v>573</v>
      </c>
      <c r="B16" s="161" t="s">
        <v>571</v>
      </c>
      <c r="C16" s="162">
        <v>756.80000000000007</v>
      </c>
      <c r="D16" s="163">
        <v>335.20000000000039</v>
      </c>
      <c r="E16" s="163">
        <v>533.20000000000027</v>
      </c>
      <c r="F16" s="164">
        <v>630.70000000000027</v>
      </c>
      <c r="G16" s="162">
        <v>435</v>
      </c>
      <c r="H16" s="163">
        <v>438.59999999999991</v>
      </c>
      <c r="I16" s="163">
        <v>221.69999999999987</v>
      </c>
      <c r="J16" s="164">
        <v>136.39999999999981</v>
      </c>
      <c r="K16" s="163">
        <v>177.5999999999998</v>
      </c>
      <c r="L16" s="165">
        <v>337.19999999999976</v>
      </c>
      <c r="M16" s="165">
        <v>276.6999999999997</v>
      </c>
      <c r="N16" s="165">
        <v>398.49999999999943</v>
      </c>
      <c r="O16" s="166">
        <v>308.89999999999998</v>
      </c>
      <c r="P16" s="165">
        <v>463.9</v>
      </c>
      <c r="Q16" s="165">
        <v>308.59999999999991</v>
      </c>
      <c r="R16" s="167">
        <v>453.49999999999989</v>
      </c>
      <c r="S16" s="165">
        <v>447.99999999999989</v>
      </c>
      <c r="T16" s="165">
        <v>525.89999999999986</v>
      </c>
      <c r="U16" s="165">
        <v>360.59999999999968</v>
      </c>
      <c r="V16" s="165">
        <v>565.49999999999966</v>
      </c>
      <c r="W16" s="166">
        <v>393.50000000000006</v>
      </c>
      <c r="X16" s="165">
        <v>325.5</v>
      </c>
      <c r="Y16" s="165">
        <v>437.89999999999986</v>
      </c>
      <c r="Z16" s="167">
        <v>850.8</v>
      </c>
      <c r="AA16" s="165">
        <v>727</v>
      </c>
      <c r="AB16" s="165">
        <v>794.3</v>
      </c>
      <c r="AC16" s="165">
        <v>515.20000000000005</v>
      </c>
      <c r="AD16" s="167">
        <v>872.8</v>
      </c>
      <c r="AE16" s="166">
        <v>1841.6</v>
      </c>
      <c r="AF16" s="165">
        <v>1707.8</v>
      </c>
      <c r="AG16" s="165">
        <v>2441.8000000000002</v>
      </c>
      <c r="AH16" s="167">
        <v>2965.1</v>
      </c>
      <c r="AI16" s="165">
        <v>2039.5</v>
      </c>
      <c r="AJ16" s="165">
        <v>1433</v>
      </c>
      <c r="AK16" s="165">
        <v>1918.4</v>
      </c>
      <c r="AL16" s="167">
        <v>2201.4</v>
      </c>
      <c r="AM16" s="165">
        <v>1777</v>
      </c>
      <c r="AN16" s="165">
        <v>1967.1000000000004</v>
      </c>
      <c r="AO16" s="165">
        <v>1828.9</v>
      </c>
      <c r="AP16" s="98">
        <v>1407.3</v>
      </c>
      <c r="AQ16" s="96">
        <v>1662</v>
      </c>
      <c r="AR16" s="97">
        <v>1039</v>
      </c>
      <c r="AS16" s="97">
        <v>1340.1</v>
      </c>
      <c r="AT16" s="97">
        <v>951.39999999999986</v>
      </c>
      <c r="AU16" s="96">
        <v>1377.2999999999997</v>
      </c>
      <c r="AV16" s="97">
        <v>919.39999999999986</v>
      </c>
      <c r="AW16" s="97">
        <v>711.7</v>
      </c>
      <c r="AX16" s="97">
        <v>1626</v>
      </c>
    </row>
    <row r="17" spans="1:50" s="168" customFormat="1" ht="11.25">
      <c r="A17" s="169" t="s">
        <v>379</v>
      </c>
      <c r="B17" s="169" t="s">
        <v>364</v>
      </c>
      <c r="C17" s="145">
        <f t="shared" ref="C17:AU17" si="3">SUM(C18,C25,C26)</f>
        <v>-287.59999999999997</v>
      </c>
      <c r="D17" s="146">
        <f t="shared" si="3"/>
        <v>-310.3</v>
      </c>
      <c r="E17" s="146">
        <f t="shared" si="3"/>
        <v>-177.8</v>
      </c>
      <c r="F17" s="147">
        <f t="shared" si="3"/>
        <v>-227</v>
      </c>
      <c r="G17" s="145">
        <f t="shared" si="3"/>
        <v>-325.10000000000002</v>
      </c>
      <c r="H17" s="146">
        <f t="shared" si="3"/>
        <v>-292.60000000000002</v>
      </c>
      <c r="I17" s="146">
        <f t="shared" si="3"/>
        <v>-259.60000000000002</v>
      </c>
      <c r="J17" s="147">
        <f t="shared" si="3"/>
        <v>-276.5</v>
      </c>
      <c r="K17" s="146">
        <f t="shared" si="3"/>
        <v>-353.5</v>
      </c>
      <c r="L17" s="146">
        <f t="shared" si="3"/>
        <v>-294.3</v>
      </c>
      <c r="M17" s="146">
        <f t="shared" si="3"/>
        <v>-301.59999999999997</v>
      </c>
      <c r="N17" s="146">
        <f t="shared" si="3"/>
        <v>-301.8</v>
      </c>
      <c r="O17" s="145">
        <f t="shared" si="3"/>
        <v>-307.5</v>
      </c>
      <c r="P17" s="146">
        <f t="shared" si="3"/>
        <v>-327</v>
      </c>
      <c r="Q17" s="146">
        <f t="shared" si="3"/>
        <v>-333.6</v>
      </c>
      <c r="R17" s="147">
        <f t="shared" si="3"/>
        <v>-355.7</v>
      </c>
      <c r="S17" s="148">
        <f t="shared" si="3"/>
        <v>-319.89999999999998</v>
      </c>
      <c r="T17" s="148">
        <f t="shared" si="3"/>
        <v>-338</v>
      </c>
      <c r="U17" s="148">
        <f t="shared" si="3"/>
        <v>-355.20000000000005</v>
      </c>
      <c r="V17" s="148">
        <f t="shared" si="3"/>
        <v>-523.99999999999989</v>
      </c>
      <c r="W17" s="149">
        <f t="shared" si="3"/>
        <v>-514.19999999999993</v>
      </c>
      <c r="X17" s="148">
        <f t="shared" si="3"/>
        <v>-498.1</v>
      </c>
      <c r="Y17" s="148">
        <f t="shared" si="3"/>
        <v>-503.70000000000005</v>
      </c>
      <c r="Z17" s="150">
        <f t="shared" si="3"/>
        <v>-488.1</v>
      </c>
      <c r="AA17" s="148">
        <f t="shared" si="3"/>
        <v>-494.9</v>
      </c>
      <c r="AB17" s="148">
        <f t="shared" si="3"/>
        <v>-486.00000000000011</v>
      </c>
      <c r="AC17" s="148">
        <f t="shared" si="3"/>
        <v>-477.20000000000016</v>
      </c>
      <c r="AD17" s="150">
        <f t="shared" si="3"/>
        <v>-469.80000000000007</v>
      </c>
      <c r="AE17" s="149">
        <f t="shared" si="3"/>
        <v>-480.6</v>
      </c>
      <c r="AF17" s="148">
        <f t="shared" si="3"/>
        <v>-488</v>
      </c>
      <c r="AG17" s="148">
        <f t="shared" si="3"/>
        <v>-514.09999999999991</v>
      </c>
      <c r="AH17" s="150">
        <f t="shared" si="3"/>
        <v>-508.09999999999997</v>
      </c>
      <c r="AI17" s="148">
        <f t="shared" si="3"/>
        <v>-545.39999999999986</v>
      </c>
      <c r="AJ17" s="148">
        <f t="shared" si="3"/>
        <v>-484.3</v>
      </c>
      <c r="AK17" s="148">
        <f t="shared" si="3"/>
        <v>-543.79999999999995</v>
      </c>
      <c r="AL17" s="150">
        <f t="shared" si="3"/>
        <v>-559</v>
      </c>
      <c r="AM17" s="148">
        <f t="shared" si="3"/>
        <v>-546.70000000000005</v>
      </c>
      <c r="AN17" s="148">
        <f t="shared" si="3"/>
        <v>107.09999999999994</v>
      </c>
      <c r="AO17" s="148">
        <f t="shared" si="3"/>
        <v>82.199999999999932</v>
      </c>
      <c r="AP17" s="83">
        <f t="shared" si="3"/>
        <v>123.7</v>
      </c>
      <c r="AQ17" s="81">
        <f t="shared" si="3"/>
        <v>99.8</v>
      </c>
      <c r="AR17" s="82">
        <f t="shared" si="3"/>
        <v>69.400000000000006</v>
      </c>
      <c r="AS17" s="82">
        <f t="shared" si="3"/>
        <v>72.299999999999955</v>
      </c>
      <c r="AT17" s="82">
        <f t="shared" si="3"/>
        <v>67.300000000000011</v>
      </c>
      <c r="AU17" s="81">
        <f t="shared" si="3"/>
        <v>300.89999999999992</v>
      </c>
      <c r="AV17" s="82">
        <f t="shared" ref="AV17:AW17" si="4">SUM(AV18,AV25,AV26)</f>
        <v>246.50000000000003</v>
      </c>
      <c r="AW17" s="82">
        <f t="shared" si="4"/>
        <v>291.3</v>
      </c>
      <c r="AX17" s="82">
        <f t="shared" ref="AX17" si="5">SUM(AX18,AX25,AX26)</f>
        <v>238.9</v>
      </c>
    </row>
    <row r="18" spans="1:50" s="151" customFormat="1" ht="11.25">
      <c r="A18" s="170" t="s">
        <v>380</v>
      </c>
      <c r="B18" s="170" t="s">
        <v>365</v>
      </c>
      <c r="C18" s="145">
        <f t="shared" ref="C18:Q18" si="6">SUM(C20:C22)</f>
        <v>-325.7</v>
      </c>
      <c r="D18" s="146">
        <f t="shared" si="6"/>
        <v>-319.3</v>
      </c>
      <c r="E18" s="146">
        <f t="shared" si="6"/>
        <v>-319</v>
      </c>
      <c r="F18" s="147">
        <f t="shared" si="6"/>
        <v>-318.8</v>
      </c>
      <c r="G18" s="145">
        <f t="shared" si="6"/>
        <v>-346.1</v>
      </c>
      <c r="H18" s="146">
        <f t="shared" si="6"/>
        <v>-350.1</v>
      </c>
      <c r="I18" s="146">
        <f t="shared" si="6"/>
        <v>-345.6</v>
      </c>
      <c r="J18" s="147">
        <f t="shared" si="6"/>
        <v>-351.5</v>
      </c>
      <c r="K18" s="146">
        <f t="shared" si="6"/>
        <v>-350.1</v>
      </c>
      <c r="L18" s="146">
        <f t="shared" si="6"/>
        <v>-356</v>
      </c>
      <c r="M18" s="146">
        <f t="shared" si="6"/>
        <v>-354.59999999999997</v>
      </c>
      <c r="N18" s="146">
        <f t="shared" si="6"/>
        <v>-364.5</v>
      </c>
      <c r="O18" s="145">
        <f t="shared" si="6"/>
        <v>-360.2</v>
      </c>
      <c r="P18" s="146">
        <f t="shared" si="6"/>
        <v>-365.9</v>
      </c>
      <c r="Q18" s="146">
        <f t="shared" si="6"/>
        <v>-345.8</v>
      </c>
      <c r="R18" s="147">
        <f>SUM(R20:R22)</f>
        <v>-374.09999999999997</v>
      </c>
      <c r="S18" s="148">
        <f>SUM(S20:S22)</f>
        <v>-378.2</v>
      </c>
      <c r="T18" s="148">
        <f>SUM(T20:T22)</f>
        <v>-377.8</v>
      </c>
      <c r="U18" s="148">
        <f>SUM(U20:U22)</f>
        <v>-378.8</v>
      </c>
      <c r="V18" s="148">
        <f>SUM(V20:V22)</f>
        <v>-523.4</v>
      </c>
      <c r="W18" s="149">
        <f t="shared" ref="W18:AB18" si="7">SUM(W20:W22)</f>
        <v>-458.09999999999997</v>
      </c>
      <c r="X18" s="148">
        <f t="shared" si="7"/>
        <v>-449.5</v>
      </c>
      <c r="Y18" s="148">
        <f t="shared" si="7"/>
        <v>-452.6</v>
      </c>
      <c r="Z18" s="150">
        <f t="shared" si="7"/>
        <v>-447.09999999999997</v>
      </c>
      <c r="AA18" s="148">
        <f t="shared" si="7"/>
        <v>-443.1</v>
      </c>
      <c r="AB18" s="148">
        <f t="shared" si="7"/>
        <v>-445.2000000000001</v>
      </c>
      <c r="AC18" s="148">
        <f t="shared" ref="AC18:AH18" si="8">SUM(AC20:AC22)</f>
        <v>-434.10000000000014</v>
      </c>
      <c r="AD18" s="150">
        <f t="shared" si="8"/>
        <v>-435.20000000000005</v>
      </c>
      <c r="AE18" s="149">
        <f t="shared" si="8"/>
        <v>-480.6</v>
      </c>
      <c r="AF18" s="148">
        <f t="shared" si="8"/>
        <v>-488</v>
      </c>
      <c r="AG18" s="148">
        <f t="shared" si="8"/>
        <v>-514.09999999999991</v>
      </c>
      <c r="AH18" s="150">
        <f t="shared" si="8"/>
        <v>-508.09999999999997</v>
      </c>
      <c r="AI18" s="148">
        <f>SUM(AI20:AI22)</f>
        <v>-545.39999999999986</v>
      </c>
      <c r="AJ18" s="148">
        <f>SUM(AJ20:AJ22)</f>
        <v>-484.3</v>
      </c>
      <c r="AK18" s="148">
        <f>SUM(AK20:AK22)</f>
        <v>-543.79999999999995</v>
      </c>
      <c r="AL18" s="150">
        <f>SUM(AL20:AL22)</f>
        <v>-559</v>
      </c>
      <c r="AM18" s="148">
        <f>SUM(AM20:AM22)</f>
        <v>-546.70000000000005</v>
      </c>
      <c r="AN18" s="148">
        <f>SUM(AN19:AN22)</f>
        <v>107.09999999999994</v>
      </c>
      <c r="AO18" s="148">
        <f>SUM(AO19:AO22)</f>
        <v>82.199999999999932</v>
      </c>
      <c r="AP18" s="83">
        <f t="shared" ref="AP18:AU18" si="9">SUM(AP19:AP24)</f>
        <v>123.7</v>
      </c>
      <c r="AQ18" s="81">
        <f t="shared" si="9"/>
        <v>99.8</v>
      </c>
      <c r="AR18" s="82">
        <f t="shared" si="9"/>
        <v>69.400000000000006</v>
      </c>
      <c r="AS18" s="82">
        <f t="shared" si="9"/>
        <v>72.299999999999955</v>
      </c>
      <c r="AT18" s="82">
        <f t="shared" si="9"/>
        <v>67.300000000000011</v>
      </c>
      <c r="AU18" s="81">
        <f t="shared" si="9"/>
        <v>300.89999999999992</v>
      </c>
      <c r="AV18" s="82">
        <f t="shared" ref="AV18:AW18" si="10">SUM(AV19:AV24)</f>
        <v>246.50000000000003</v>
      </c>
      <c r="AW18" s="82">
        <f t="shared" si="10"/>
        <v>291.3</v>
      </c>
      <c r="AX18" s="82">
        <f t="shared" ref="AX18" si="11">SUM(AX19:AX24)</f>
        <v>238.9</v>
      </c>
    </row>
    <row r="19" spans="1:50" s="176" customFormat="1" ht="11.25">
      <c r="A19" s="171" t="s">
        <v>542</v>
      </c>
      <c r="B19" s="172" t="s">
        <v>541</v>
      </c>
      <c r="C19" s="173" t="s">
        <v>337</v>
      </c>
      <c r="D19" s="174" t="s">
        <v>337</v>
      </c>
      <c r="E19" s="174" t="s">
        <v>337</v>
      </c>
      <c r="F19" s="175" t="s">
        <v>337</v>
      </c>
      <c r="G19" s="173" t="s">
        <v>337</v>
      </c>
      <c r="H19" s="174" t="s">
        <v>337</v>
      </c>
      <c r="I19" s="174" t="s">
        <v>337</v>
      </c>
      <c r="J19" s="175" t="s">
        <v>337</v>
      </c>
      <c r="K19" s="174" t="s">
        <v>337</v>
      </c>
      <c r="L19" s="174" t="s">
        <v>337</v>
      </c>
      <c r="M19" s="174" t="s">
        <v>337</v>
      </c>
      <c r="N19" s="174" t="s">
        <v>337</v>
      </c>
      <c r="O19" s="173" t="s">
        <v>337</v>
      </c>
      <c r="P19" s="174" t="s">
        <v>337</v>
      </c>
      <c r="Q19" s="174" t="s">
        <v>337</v>
      </c>
      <c r="R19" s="175" t="s">
        <v>337</v>
      </c>
      <c r="S19" s="174" t="s">
        <v>337</v>
      </c>
      <c r="T19" s="174" t="s">
        <v>337</v>
      </c>
      <c r="U19" s="174" t="s">
        <v>337</v>
      </c>
      <c r="V19" s="174" t="s">
        <v>337</v>
      </c>
      <c r="W19" s="173" t="s">
        <v>337</v>
      </c>
      <c r="X19" s="174" t="s">
        <v>337</v>
      </c>
      <c r="Y19" s="174" t="s">
        <v>337</v>
      </c>
      <c r="Z19" s="175" t="s">
        <v>337</v>
      </c>
      <c r="AA19" s="174" t="s">
        <v>337</v>
      </c>
      <c r="AB19" s="174" t="s">
        <v>337</v>
      </c>
      <c r="AC19" s="174" t="s">
        <v>337</v>
      </c>
      <c r="AD19" s="175" t="s">
        <v>337</v>
      </c>
      <c r="AE19" s="173" t="s">
        <v>337</v>
      </c>
      <c r="AF19" s="174" t="s">
        <v>337</v>
      </c>
      <c r="AG19" s="174" t="s">
        <v>337</v>
      </c>
      <c r="AH19" s="175" t="s">
        <v>337</v>
      </c>
      <c r="AI19" s="174" t="s">
        <v>337</v>
      </c>
      <c r="AJ19" s="174" t="s">
        <v>337</v>
      </c>
      <c r="AK19" s="174" t="s">
        <v>337</v>
      </c>
      <c r="AL19" s="175" t="s">
        <v>337</v>
      </c>
      <c r="AM19" s="174" t="s">
        <v>337</v>
      </c>
      <c r="AN19" s="174">
        <v>663.8</v>
      </c>
      <c r="AO19" s="174">
        <v>646.79999999999995</v>
      </c>
      <c r="AP19" s="98">
        <v>663.6</v>
      </c>
      <c r="AQ19" s="96">
        <v>632.9</v>
      </c>
      <c r="AR19" s="97">
        <v>633.9</v>
      </c>
      <c r="AS19" s="97">
        <v>646.4</v>
      </c>
      <c r="AT19" s="97">
        <v>625.6</v>
      </c>
      <c r="AU19" s="96">
        <v>631.29999999999995</v>
      </c>
      <c r="AV19" s="97">
        <v>654.20000000000005</v>
      </c>
      <c r="AW19" s="97">
        <v>640.70000000000005</v>
      </c>
      <c r="AX19" s="97">
        <v>645</v>
      </c>
    </row>
    <row r="20" spans="1:50" s="176" customFormat="1" ht="11.25">
      <c r="A20" s="171" t="s">
        <v>408</v>
      </c>
      <c r="B20" s="171" t="s">
        <v>366</v>
      </c>
      <c r="C20" s="177">
        <v>-325.7</v>
      </c>
      <c r="D20" s="178">
        <v>-319.3</v>
      </c>
      <c r="E20" s="178">
        <v>-319</v>
      </c>
      <c r="F20" s="179">
        <v>-318.8</v>
      </c>
      <c r="G20" s="177">
        <v>-315.8</v>
      </c>
      <c r="H20" s="178">
        <v>-311</v>
      </c>
      <c r="I20" s="178">
        <v>-309.5</v>
      </c>
      <c r="J20" s="179">
        <v>-316.2</v>
      </c>
      <c r="K20" s="178">
        <v>-313.5</v>
      </c>
      <c r="L20" s="178">
        <v>-317.8</v>
      </c>
      <c r="M20" s="178">
        <v>-316.39999999999998</v>
      </c>
      <c r="N20" s="178">
        <v>-327.3</v>
      </c>
      <c r="O20" s="177">
        <v>-322.89999999999998</v>
      </c>
      <c r="P20" s="178">
        <v>-325.89999999999998</v>
      </c>
      <c r="Q20" s="178">
        <v>-325.8</v>
      </c>
      <c r="R20" s="179">
        <v>-342.2</v>
      </c>
      <c r="S20" s="174">
        <v>-342</v>
      </c>
      <c r="T20" s="174">
        <v>-357.8</v>
      </c>
      <c r="U20" s="174">
        <v>-355.6</v>
      </c>
      <c r="V20" s="174">
        <v>-362</v>
      </c>
      <c r="W20" s="173">
        <v>-360.4</v>
      </c>
      <c r="X20" s="174">
        <v>-358.8</v>
      </c>
      <c r="Y20" s="174">
        <v>-361.1</v>
      </c>
      <c r="Z20" s="175">
        <v>-361.59999999999997</v>
      </c>
      <c r="AA20" s="174">
        <v>-353.6</v>
      </c>
      <c r="AB20" s="174">
        <v>-353.10000000000008</v>
      </c>
      <c r="AC20" s="174">
        <v>-352.00000000000011</v>
      </c>
      <c r="AD20" s="175">
        <v>-365.90000000000003</v>
      </c>
      <c r="AE20" s="173">
        <v>-355.5</v>
      </c>
      <c r="AF20" s="174">
        <v>-354.1</v>
      </c>
      <c r="AG20" s="174">
        <v>-355.89999999999992</v>
      </c>
      <c r="AH20" s="175">
        <v>-371.4</v>
      </c>
      <c r="AI20" s="174">
        <v>-368.19999999999993</v>
      </c>
      <c r="AJ20" s="174">
        <v>-373</v>
      </c>
      <c r="AK20" s="174">
        <v>-390.7</v>
      </c>
      <c r="AL20" s="175">
        <v>-421</v>
      </c>
      <c r="AM20" s="174">
        <v>-418.1</v>
      </c>
      <c r="AN20" s="174">
        <v>-426.1</v>
      </c>
      <c r="AO20" s="174">
        <v>-430.1</v>
      </c>
      <c r="AP20" s="98">
        <v>-423.6</v>
      </c>
      <c r="AQ20" s="96">
        <v>-411.7</v>
      </c>
      <c r="AR20" s="97">
        <v>-416.4</v>
      </c>
      <c r="AS20" s="97">
        <v>-415.1</v>
      </c>
      <c r="AT20" s="97">
        <v>-422.8</v>
      </c>
      <c r="AU20" s="96">
        <v>-418.3</v>
      </c>
      <c r="AV20" s="97">
        <v>-421.1</v>
      </c>
      <c r="AW20" s="97">
        <v>-424</v>
      </c>
      <c r="AX20" s="97">
        <v>-435</v>
      </c>
    </row>
    <row r="21" spans="1:50" s="176" customFormat="1" ht="11.25">
      <c r="A21" s="171" t="s">
        <v>491</v>
      </c>
      <c r="B21" s="171" t="s">
        <v>490</v>
      </c>
      <c r="C21" s="177">
        <v>0</v>
      </c>
      <c r="D21" s="178">
        <v>0</v>
      </c>
      <c r="E21" s="178">
        <v>0</v>
      </c>
      <c r="F21" s="179">
        <v>0</v>
      </c>
      <c r="G21" s="177">
        <v>-30.3</v>
      </c>
      <c r="H21" s="178">
        <v>-39.1</v>
      </c>
      <c r="I21" s="178">
        <v>-36.1</v>
      </c>
      <c r="J21" s="179">
        <v>-35.299999999999997</v>
      </c>
      <c r="K21" s="178">
        <v>-36.6</v>
      </c>
      <c r="L21" s="178">
        <v>-38.200000000000003</v>
      </c>
      <c r="M21" s="178">
        <v>-38.200000000000003</v>
      </c>
      <c r="N21" s="178">
        <v>-37.200000000000003</v>
      </c>
      <c r="O21" s="177">
        <v>-37.299999999999997</v>
      </c>
      <c r="P21" s="178">
        <v>-40</v>
      </c>
      <c r="Q21" s="178">
        <v>-20</v>
      </c>
      <c r="R21" s="179">
        <v>-31.9</v>
      </c>
      <c r="S21" s="174">
        <v>-36.200000000000003</v>
      </c>
      <c r="T21" s="174">
        <v>-20</v>
      </c>
      <c r="U21" s="174">
        <v>-23.2</v>
      </c>
      <c r="V21" s="174">
        <v>-20</v>
      </c>
      <c r="W21" s="173">
        <v>-20</v>
      </c>
      <c r="X21" s="174">
        <v>-20</v>
      </c>
      <c r="Y21" s="174">
        <v>-20</v>
      </c>
      <c r="Z21" s="175">
        <v>-20</v>
      </c>
      <c r="AA21" s="174">
        <v>-20</v>
      </c>
      <c r="AB21" s="174">
        <v>-20</v>
      </c>
      <c r="AC21" s="174">
        <v>-20</v>
      </c>
      <c r="AD21" s="175">
        <v>-20</v>
      </c>
      <c r="AE21" s="173">
        <v>0</v>
      </c>
      <c r="AF21" s="174">
        <v>0</v>
      </c>
      <c r="AG21" s="174">
        <v>0</v>
      </c>
      <c r="AH21" s="175">
        <v>0</v>
      </c>
      <c r="AI21" s="174">
        <v>0</v>
      </c>
      <c r="AJ21" s="174" t="s">
        <v>337</v>
      </c>
      <c r="AK21" s="174" t="s">
        <v>337</v>
      </c>
      <c r="AL21" s="175" t="s">
        <v>337</v>
      </c>
      <c r="AM21" s="174">
        <v>0</v>
      </c>
      <c r="AN21" s="174" t="s">
        <v>337</v>
      </c>
      <c r="AO21" s="174" t="s">
        <v>337</v>
      </c>
      <c r="AP21" s="98" t="s">
        <v>337</v>
      </c>
      <c r="AQ21" s="533" t="s">
        <v>337</v>
      </c>
      <c r="AR21" s="97" t="s">
        <v>337</v>
      </c>
      <c r="AS21" s="97" t="s">
        <v>337</v>
      </c>
      <c r="AT21" s="97" t="s">
        <v>337</v>
      </c>
      <c r="AU21" s="533" t="s">
        <v>337</v>
      </c>
      <c r="AV21" s="534" t="s">
        <v>337</v>
      </c>
      <c r="AW21" s="534" t="s">
        <v>337</v>
      </c>
      <c r="AX21" s="534" t="s">
        <v>337</v>
      </c>
    </row>
    <row r="22" spans="1:50" s="176" customFormat="1" ht="22.5">
      <c r="A22" s="171" t="s">
        <v>492</v>
      </c>
      <c r="B22" s="180" t="s">
        <v>504</v>
      </c>
      <c r="C22" s="177">
        <v>0</v>
      </c>
      <c r="D22" s="178">
        <v>0</v>
      </c>
      <c r="E22" s="178">
        <v>0</v>
      </c>
      <c r="F22" s="179">
        <v>0</v>
      </c>
      <c r="G22" s="177">
        <v>0</v>
      </c>
      <c r="H22" s="178">
        <v>0</v>
      </c>
      <c r="I22" s="178">
        <v>0</v>
      </c>
      <c r="J22" s="179">
        <v>0</v>
      </c>
      <c r="K22" s="178">
        <v>0</v>
      </c>
      <c r="L22" s="178">
        <v>0</v>
      </c>
      <c r="M22" s="178">
        <v>0</v>
      </c>
      <c r="N22" s="178">
        <v>0</v>
      </c>
      <c r="O22" s="177">
        <v>0</v>
      </c>
      <c r="P22" s="178">
        <v>0</v>
      </c>
      <c r="Q22" s="178">
        <v>0</v>
      </c>
      <c r="R22" s="179">
        <v>0</v>
      </c>
      <c r="S22" s="174">
        <v>0</v>
      </c>
      <c r="T22" s="174">
        <v>0</v>
      </c>
      <c r="U22" s="174">
        <v>0</v>
      </c>
      <c r="V22" s="174">
        <v>-141.39999999999998</v>
      </c>
      <c r="W22" s="173">
        <v>-77.7</v>
      </c>
      <c r="X22" s="174">
        <v>-70.7</v>
      </c>
      <c r="Y22" s="174">
        <v>-71.5</v>
      </c>
      <c r="Z22" s="175">
        <v>-65.5</v>
      </c>
      <c r="AA22" s="174">
        <v>-69.5</v>
      </c>
      <c r="AB22" s="174">
        <v>-72.100000000000009</v>
      </c>
      <c r="AC22" s="174">
        <v>-62.099999999999994</v>
      </c>
      <c r="AD22" s="175">
        <v>-49.3</v>
      </c>
      <c r="AE22" s="173">
        <v>-125.1</v>
      </c>
      <c r="AF22" s="174">
        <v>-133.9</v>
      </c>
      <c r="AG22" s="174">
        <v>-158.19999999999999</v>
      </c>
      <c r="AH22" s="175">
        <v>-136.69999999999999</v>
      </c>
      <c r="AI22" s="174">
        <v>-177.2</v>
      </c>
      <c r="AJ22" s="174">
        <v>-111.3</v>
      </c>
      <c r="AK22" s="174">
        <v>-153.1</v>
      </c>
      <c r="AL22" s="175">
        <v>-138</v>
      </c>
      <c r="AM22" s="174">
        <v>-128.6</v>
      </c>
      <c r="AN22" s="174">
        <v>-130.6</v>
      </c>
      <c r="AO22" s="174">
        <v>-134.5</v>
      </c>
      <c r="AP22" s="98">
        <v>-115.7</v>
      </c>
      <c r="AQ22" s="96">
        <v>-120.8</v>
      </c>
      <c r="AR22" s="97">
        <v>-147.5</v>
      </c>
      <c r="AS22" s="97">
        <v>-158.4</v>
      </c>
      <c r="AT22" s="97">
        <v>-134.9</v>
      </c>
      <c r="AU22" s="96">
        <v>-136</v>
      </c>
      <c r="AV22" s="97">
        <v>-210.5</v>
      </c>
      <c r="AW22" s="97">
        <v>-126.2</v>
      </c>
      <c r="AX22" s="97">
        <v>-185.5</v>
      </c>
    </row>
    <row r="23" spans="1:50" s="176" customFormat="1" ht="11.25">
      <c r="A23" s="171" t="s">
        <v>575</v>
      </c>
      <c r="B23" s="181" t="s">
        <v>574</v>
      </c>
      <c r="C23" s="177"/>
      <c r="D23" s="178"/>
      <c r="E23" s="178"/>
      <c r="F23" s="179"/>
      <c r="G23" s="177"/>
      <c r="H23" s="178"/>
      <c r="I23" s="178"/>
      <c r="J23" s="179"/>
      <c r="K23" s="178"/>
      <c r="L23" s="178"/>
      <c r="M23" s="178"/>
      <c r="N23" s="178"/>
      <c r="O23" s="177"/>
      <c r="P23" s="178"/>
      <c r="Q23" s="178"/>
      <c r="R23" s="179"/>
      <c r="S23" s="174"/>
      <c r="T23" s="174"/>
      <c r="U23" s="174"/>
      <c r="V23" s="174"/>
      <c r="W23" s="173"/>
      <c r="X23" s="174"/>
      <c r="Y23" s="174"/>
      <c r="Z23" s="175"/>
      <c r="AA23" s="174"/>
      <c r="AB23" s="174"/>
      <c r="AC23" s="174"/>
      <c r="AD23" s="175"/>
      <c r="AE23" s="173"/>
      <c r="AF23" s="174"/>
      <c r="AG23" s="174"/>
      <c r="AH23" s="175"/>
      <c r="AI23" s="174"/>
      <c r="AJ23" s="174"/>
      <c r="AK23" s="174"/>
      <c r="AL23" s="175"/>
      <c r="AM23" s="174"/>
      <c r="AN23" s="174"/>
      <c r="AO23" s="174"/>
      <c r="AP23" s="98"/>
      <c r="AQ23" s="96"/>
      <c r="AR23" s="97"/>
      <c r="AS23" s="97"/>
      <c r="AT23" s="97"/>
      <c r="AU23" s="96">
        <v>224.5</v>
      </c>
      <c r="AV23" s="97">
        <v>224.5</v>
      </c>
      <c r="AW23" s="97">
        <v>201.4</v>
      </c>
      <c r="AX23" s="97">
        <v>215</v>
      </c>
    </row>
    <row r="24" spans="1:50" s="176" customFormat="1" ht="11.25">
      <c r="A24" s="171" t="s">
        <v>576</v>
      </c>
      <c r="B24" s="181" t="s">
        <v>548</v>
      </c>
      <c r="C24" s="177"/>
      <c r="D24" s="178"/>
      <c r="E24" s="178"/>
      <c r="F24" s="179"/>
      <c r="G24" s="177"/>
      <c r="H24" s="178"/>
      <c r="I24" s="178"/>
      <c r="J24" s="179"/>
      <c r="K24" s="178"/>
      <c r="L24" s="178"/>
      <c r="M24" s="178"/>
      <c r="N24" s="178"/>
      <c r="O24" s="177"/>
      <c r="P24" s="178"/>
      <c r="Q24" s="178"/>
      <c r="R24" s="179"/>
      <c r="S24" s="174"/>
      <c r="T24" s="174"/>
      <c r="U24" s="174"/>
      <c r="V24" s="174"/>
      <c r="W24" s="173"/>
      <c r="X24" s="174"/>
      <c r="Y24" s="174"/>
      <c r="Z24" s="175"/>
      <c r="AA24" s="174"/>
      <c r="AB24" s="174"/>
      <c r="AC24" s="174"/>
      <c r="AD24" s="175"/>
      <c r="AE24" s="173"/>
      <c r="AF24" s="174"/>
      <c r="AG24" s="174"/>
      <c r="AH24" s="175"/>
      <c r="AI24" s="174"/>
      <c r="AJ24" s="174"/>
      <c r="AK24" s="174"/>
      <c r="AL24" s="175"/>
      <c r="AM24" s="174"/>
      <c r="AN24" s="174"/>
      <c r="AO24" s="174"/>
      <c r="AP24" s="98">
        <v>-0.6</v>
      </c>
      <c r="AQ24" s="96">
        <v>-0.6</v>
      </c>
      <c r="AR24" s="97">
        <v>-0.6</v>
      </c>
      <c r="AS24" s="97">
        <v>-0.6</v>
      </c>
      <c r="AT24" s="97">
        <v>-0.6</v>
      </c>
      <c r="AU24" s="96">
        <v>-0.6</v>
      </c>
      <c r="AV24" s="97">
        <v>-0.6</v>
      </c>
      <c r="AW24" s="97">
        <v>-0.6</v>
      </c>
      <c r="AX24" s="97">
        <v>-0.6</v>
      </c>
    </row>
    <row r="25" spans="1:50" s="151" customFormat="1" ht="11.25">
      <c r="A25" s="170" t="s">
        <v>381</v>
      </c>
      <c r="B25" s="170" t="s">
        <v>367</v>
      </c>
      <c r="C25" s="145">
        <v>0</v>
      </c>
      <c r="D25" s="146">
        <v>0</v>
      </c>
      <c r="E25" s="146">
        <v>0</v>
      </c>
      <c r="F25" s="147">
        <v>0</v>
      </c>
      <c r="G25" s="145">
        <v>-9.6999999999999993</v>
      </c>
      <c r="H25" s="146">
        <v>-0.9</v>
      </c>
      <c r="I25" s="146">
        <v>-3.9</v>
      </c>
      <c r="J25" s="147">
        <v>-4.7</v>
      </c>
      <c r="K25" s="146">
        <v>-3.4</v>
      </c>
      <c r="L25" s="146">
        <v>-1.8</v>
      </c>
      <c r="M25" s="146">
        <v>-1.8</v>
      </c>
      <c r="N25" s="146">
        <v>-2.8</v>
      </c>
      <c r="O25" s="145">
        <v>-2.7</v>
      </c>
      <c r="P25" s="146">
        <v>0</v>
      </c>
      <c r="Q25" s="146">
        <v>-20</v>
      </c>
      <c r="R25" s="147">
        <v>-8.1</v>
      </c>
      <c r="S25" s="148">
        <v>-3.8</v>
      </c>
      <c r="T25" s="148">
        <v>-20</v>
      </c>
      <c r="U25" s="148">
        <v>-16.8</v>
      </c>
      <c r="V25" s="148">
        <v>-33.299999999999997</v>
      </c>
      <c r="W25" s="149">
        <v>-97.7</v>
      </c>
      <c r="X25" s="148">
        <v>-90.7</v>
      </c>
      <c r="Y25" s="148">
        <v>-91.5</v>
      </c>
      <c r="Z25" s="150">
        <v>-85.4</v>
      </c>
      <c r="AA25" s="148">
        <v>-89.4</v>
      </c>
      <c r="AB25" s="148">
        <v>-92.2</v>
      </c>
      <c r="AC25" s="148">
        <v>-82.2</v>
      </c>
      <c r="AD25" s="150">
        <v>-69.3</v>
      </c>
      <c r="AE25" s="149">
        <v>0</v>
      </c>
      <c r="AF25" s="148">
        <v>0</v>
      </c>
      <c r="AG25" s="148">
        <v>0</v>
      </c>
      <c r="AH25" s="150">
        <v>0</v>
      </c>
      <c r="AI25" s="148">
        <v>0</v>
      </c>
      <c r="AJ25" s="148">
        <v>0</v>
      </c>
      <c r="AK25" s="148">
        <v>0</v>
      </c>
      <c r="AL25" s="150">
        <v>0</v>
      </c>
      <c r="AM25" s="148">
        <v>0</v>
      </c>
      <c r="AN25" s="148">
        <v>0</v>
      </c>
      <c r="AO25" s="148">
        <v>0</v>
      </c>
      <c r="AP25" s="83" t="s">
        <v>337</v>
      </c>
      <c r="AQ25" s="81" t="s">
        <v>337</v>
      </c>
      <c r="AR25" s="82" t="s">
        <v>337</v>
      </c>
      <c r="AS25" s="82" t="s">
        <v>337</v>
      </c>
      <c r="AT25" s="82" t="s">
        <v>337</v>
      </c>
      <c r="AU25" s="81" t="s">
        <v>337</v>
      </c>
      <c r="AV25" s="82" t="s">
        <v>337</v>
      </c>
      <c r="AW25" s="82" t="s">
        <v>337</v>
      </c>
      <c r="AX25" s="82" t="s">
        <v>337</v>
      </c>
    </row>
    <row r="26" spans="1:50" s="151" customFormat="1" ht="11.25">
      <c r="A26" s="182" t="s">
        <v>409</v>
      </c>
      <c r="B26" s="182" t="s">
        <v>402</v>
      </c>
      <c r="C26" s="145">
        <v>38.1</v>
      </c>
      <c r="D26" s="146">
        <v>9</v>
      </c>
      <c r="E26" s="146">
        <v>141.19999999999999</v>
      </c>
      <c r="F26" s="147">
        <v>91.8</v>
      </c>
      <c r="G26" s="145">
        <v>30.7</v>
      </c>
      <c r="H26" s="146">
        <v>58.4</v>
      </c>
      <c r="I26" s="146">
        <v>89.9</v>
      </c>
      <c r="J26" s="147">
        <v>79.7</v>
      </c>
      <c r="K26" s="146">
        <v>0</v>
      </c>
      <c r="L26" s="146">
        <v>63.5</v>
      </c>
      <c r="M26" s="146">
        <v>54.8</v>
      </c>
      <c r="N26" s="146">
        <v>65.5</v>
      </c>
      <c r="O26" s="145">
        <v>55.4</v>
      </c>
      <c r="P26" s="146">
        <v>38.9</v>
      </c>
      <c r="Q26" s="146">
        <v>32.200000000000003</v>
      </c>
      <c r="R26" s="147">
        <v>26.5</v>
      </c>
      <c r="S26" s="148">
        <v>62.1</v>
      </c>
      <c r="T26" s="148">
        <v>59.8</v>
      </c>
      <c r="U26" s="148">
        <v>40.4</v>
      </c>
      <c r="V26" s="148">
        <v>32.700000000000003</v>
      </c>
      <c r="W26" s="149">
        <v>41.6</v>
      </c>
      <c r="X26" s="148">
        <v>42.1</v>
      </c>
      <c r="Y26" s="148">
        <v>40.4</v>
      </c>
      <c r="Z26" s="150">
        <v>44.4</v>
      </c>
      <c r="AA26" s="148">
        <v>37.6</v>
      </c>
      <c r="AB26" s="148">
        <v>51.4</v>
      </c>
      <c r="AC26" s="148">
        <v>39.1</v>
      </c>
      <c r="AD26" s="150">
        <v>34.700000000000003</v>
      </c>
      <c r="AE26" s="149" t="s">
        <v>337</v>
      </c>
      <c r="AF26" s="148" t="s">
        <v>337</v>
      </c>
      <c r="AG26" s="148" t="s">
        <v>337</v>
      </c>
      <c r="AH26" s="150" t="s">
        <v>337</v>
      </c>
      <c r="AI26" s="148" t="s">
        <v>337</v>
      </c>
      <c r="AJ26" s="148" t="s">
        <v>337</v>
      </c>
      <c r="AK26" s="148" t="s">
        <v>337</v>
      </c>
      <c r="AL26" s="150" t="s">
        <v>337</v>
      </c>
      <c r="AM26" s="148" t="s">
        <v>337</v>
      </c>
      <c r="AN26" s="148" t="s">
        <v>337</v>
      </c>
      <c r="AO26" s="148" t="s">
        <v>337</v>
      </c>
      <c r="AP26" s="83" t="s">
        <v>337</v>
      </c>
      <c r="AQ26" s="81" t="s">
        <v>337</v>
      </c>
      <c r="AR26" s="82" t="s">
        <v>337</v>
      </c>
      <c r="AS26" s="82" t="s">
        <v>337</v>
      </c>
      <c r="AT26" s="82" t="s">
        <v>337</v>
      </c>
      <c r="AU26" s="81" t="s">
        <v>337</v>
      </c>
      <c r="AV26" s="82" t="s">
        <v>337</v>
      </c>
      <c r="AW26" s="82" t="s">
        <v>337</v>
      </c>
      <c r="AX26" s="82" t="s">
        <v>337</v>
      </c>
    </row>
    <row r="27" spans="1:50" s="176" customFormat="1" ht="12" thickBot="1">
      <c r="A27" s="183"/>
      <c r="B27" s="183"/>
      <c r="C27" s="184"/>
      <c r="D27" s="185"/>
      <c r="E27" s="185"/>
      <c r="F27" s="186"/>
      <c r="G27" s="184"/>
      <c r="H27" s="185"/>
      <c r="I27" s="185"/>
      <c r="J27" s="186"/>
      <c r="K27" s="185"/>
      <c r="L27" s="185"/>
      <c r="M27" s="185"/>
      <c r="N27" s="185"/>
      <c r="O27" s="184"/>
      <c r="P27" s="185"/>
      <c r="Q27" s="185"/>
      <c r="R27" s="186"/>
      <c r="S27" s="187"/>
      <c r="T27" s="187"/>
      <c r="U27" s="187"/>
      <c r="V27" s="187"/>
      <c r="W27" s="188"/>
      <c r="X27" s="187"/>
      <c r="Y27" s="187"/>
      <c r="Z27" s="189"/>
      <c r="AA27" s="187"/>
      <c r="AB27" s="187"/>
      <c r="AC27" s="187"/>
      <c r="AD27" s="189"/>
      <c r="AE27" s="188"/>
      <c r="AF27" s="187"/>
      <c r="AG27" s="187"/>
      <c r="AH27" s="189"/>
      <c r="AI27" s="187"/>
      <c r="AJ27" s="187"/>
      <c r="AK27" s="187"/>
      <c r="AL27" s="189"/>
      <c r="AM27" s="187"/>
      <c r="AN27" s="187"/>
      <c r="AO27" s="187"/>
      <c r="AP27" s="535"/>
      <c r="AQ27" s="536"/>
      <c r="AR27" s="537"/>
      <c r="AS27" s="537"/>
      <c r="AT27" s="537"/>
      <c r="AU27" s="536"/>
      <c r="AV27" s="537"/>
      <c r="AW27" s="537"/>
      <c r="AX27" s="537"/>
    </row>
    <row r="28" spans="1:50" s="151" customFormat="1" ht="34.5" thickBot="1">
      <c r="A28" s="190" t="s">
        <v>493</v>
      </c>
      <c r="B28" s="191" t="s">
        <v>483</v>
      </c>
      <c r="C28" s="192" t="s">
        <v>337</v>
      </c>
      <c r="D28" s="193" t="s">
        <v>337</v>
      </c>
      <c r="E28" s="193" t="s">
        <v>337</v>
      </c>
      <c r="F28" s="194" t="s">
        <v>337</v>
      </c>
      <c r="G28" s="192" t="s">
        <v>337</v>
      </c>
      <c r="H28" s="193" t="s">
        <v>337</v>
      </c>
      <c r="I28" s="193" t="s">
        <v>337</v>
      </c>
      <c r="J28" s="194" t="s">
        <v>337</v>
      </c>
      <c r="K28" s="193" t="s">
        <v>337</v>
      </c>
      <c r="L28" s="193" t="s">
        <v>337</v>
      </c>
      <c r="M28" s="193" t="s">
        <v>337</v>
      </c>
      <c r="N28" s="193" t="s">
        <v>337</v>
      </c>
      <c r="O28" s="192" t="s">
        <v>337</v>
      </c>
      <c r="P28" s="193" t="s">
        <v>337</v>
      </c>
      <c r="Q28" s="193" t="s">
        <v>337</v>
      </c>
      <c r="R28" s="194" t="s">
        <v>337</v>
      </c>
      <c r="S28" s="193" t="s">
        <v>337</v>
      </c>
      <c r="T28" s="193" t="s">
        <v>337</v>
      </c>
      <c r="U28" s="193" t="s">
        <v>337</v>
      </c>
      <c r="V28" s="193">
        <f t="shared" ref="V28:AO28" si="12">SUM(V15,V18,V25,V26)</f>
        <v>5326.5</v>
      </c>
      <c r="W28" s="192">
        <f t="shared" si="12"/>
        <v>5845.7000000000007</v>
      </c>
      <c r="X28" s="193">
        <f t="shared" si="12"/>
        <v>6157.5000000000009</v>
      </c>
      <c r="Y28" s="193">
        <f t="shared" si="12"/>
        <v>6485.5999999999985</v>
      </c>
      <c r="Z28" s="194">
        <f t="shared" si="12"/>
        <v>6797.2</v>
      </c>
      <c r="AA28" s="193">
        <f t="shared" si="12"/>
        <v>7016.9000000000005</v>
      </c>
      <c r="AB28" s="193">
        <f t="shared" si="12"/>
        <v>6853.1999999999989</v>
      </c>
      <c r="AC28" s="193">
        <f t="shared" si="12"/>
        <v>7279.1</v>
      </c>
      <c r="AD28" s="194">
        <f t="shared" si="12"/>
        <v>7285.9999999999991</v>
      </c>
      <c r="AE28" s="192">
        <f t="shared" si="12"/>
        <v>6565.6999999999989</v>
      </c>
      <c r="AF28" s="193">
        <f t="shared" si="12"/>
        <v>6965.3</v>
      </c>
      <c r="AG28" s="193">
        <f t="shared" si="12"/>
        <v>6978.2999999999993</v>
      </c>
      <c r="AH28" s="194">
        <f t="shared" si="12"/>
        <v>6983.4</v>
      </c>
      <c r="AI28" s="193">
        <f t="shared" si="12"/>
        <v>7647.2000000000007</v>
      </c>
      <c r="AJ28" s="193">
        <f t="shared" si="12"/>
        <v>7641.3999999999987</v>
      </c>
      <c r="AK28" s="193">
        <f t="shared" si="12"/>
        <v>7842.199999999998</v>
      </c>
      <c r="AL28" s="194">
        <f t="shared" si="12"/>
        <v>7920.0999999999985</v>
      </c>
      <c r="AM28" s="193">
        <f t="shared" si="12"/>
        <v>8346.4000000000015</v>
      </c>
      <c r="AN28" s="193">
        <f t="shared" si="12"/>
        <v>8952.6</v>
      </c>
      <c r="AO28" s="193">
        <f t="shared" si="12"/>
        <v>9232.3000000000011</v>
      </c>
      <c r="AP28" s="194">
        <f>SUM(AP29:AP31)</f>
        <v>9193.6000000000022</v>
      </c>
      <c r="AQ28" s="192">
        <f t="shared" ref="AQ28:AX28" si="13">SUM(AQ29:AQ31)</f>
        <v>9227.4</v>
      </c>
      <c r="AR28" s="193">
        <f t="shared" si="13"/>
        <v>10184.1</v>
      </c>
      <c r="AS28" s="193">
        <f t="shared" si="13"/>
        <v>10217.800000000001</v>
      </c>
      <c r="AT28" s="193">
        <f t="shared" si="13"/>
        <v>10911.199999999999</v>
      </c>
      <c r="AU28" s="192">
        <f t="shared" si="13"/>
        <v>10982.8</v>
      </c>
      <c r="AV28" s="193">
        <f t="shared" si="13"/>
        <v>11215.399999999998</v>
      </c>
      <c r="AW28" s="193">
        <f t="shared" si="13"/>
        <v>11741.6</v>
      </c>
      <c r="AX28" s="193">
        <f t="shared" si="13"/>
        <v>11946.500000000004</v>
      </c>
    </row>
    <row r="29" spans="1:50" s="151" customFormat="1" ht="11.25">
      <c r="A29" s="195" t="s">
        <v>497</v>
      </c>
      <c r="B29" s="196" t="s">
        <v>484</v>
      </c>
      <c r="C29" s="197" t="s">
        <v>337</v>
      </c>
      <c r="D29" s="198" t="s">
        <v>337</v>
      </c>
      <c r="E29" s="198" t="s">
        <v>337</v>
      </c>
      <c r="F29" s="199" t="s">
        <v>337</v>
      </c>
      <c r="G29" s="197" t="s">
        <v>337</v>
      </c>
      <c r="H29" s="198" t="s">
        <v>337</v>
      </c>
      <c r="I29" s="198" t="s">
        <v>337</v>
      </c>
      <c r="J29" s="199" t="s">
        <v>337</v>
      </c>
      <c r="K29" s="198" t="s">
        <v>337</v>
      </c>
      <c r="L29" s="198" t="s">
        <v>337</v>
      </c>
      <c r="M29" s="198" t="s">
        <v>337</v>
      </c>
      <c r="N29" s="198" t="s">
        <v>337</v>
      </c>
      <c r="O29" s="197" t="s">
        <v>337</v>
      </c>
      <c r="P29" s="198" t="s">
        <v>337</v>
      </c>
      <c r="Q29" s="198" t="s">
        <v>337</v>
      </c>
      <c r="R29" s="199" t="s">
        <v>337</v>
      </c>
      <c r="S29" s="198" t="s">
        <v>337</v>
      </c>
      <c r="T29" s="198" t="s">
        <v>337</v>
      </c>
      <c r="U29" s="198" t="s">
        <v>337</v>
      </c>
      <c r="V29" s="198">
        <v>5293.8</v>
      </c>
      <c r="W29" s="197">
        <v>5801.8</v>
      </c>
      <c r="X29" s="198">
        <v>6078.8</v>
      </c>
      <c r="Y29" s="198">
        <v>6247.6999999999989</v>
      </c>
      <c r="Z29" s="199">
        <v>6252.8</v>
      </c>
      <c r="AA29" s="198">
        <v>6649.9</v>
      </c>
      <c r="AB29" s="198">
        <v>6598.7999999999993</v>
      </c>
      <c r="AC29" s="198">
        <v>7110.2</v>
      </c>
      <c r="AD29" s="199">
        <v>7025.2999999999993</v>
      </c>
      <c r="AE29" s="197">
        <v>6565.6999999999989</v>
      </c>
      <c r="AF29" s="198">
        <v>6965.3</v>
      </c>
      <c r="AG29" s="198">
        <v>6978.2999999999993</v>
      </c>
      <c r="AH29" s="199">
        <v>6983.4</v>
      </c>
      <c r="AI29" s="198">
        <v>7647.2000000000007</v>
      </c>
      <c r="AJ29" s="198">
        <v>7641.3999999999987</v>
      </c>
      <c r="AK29" s="198">
        <v>7842.199999999998</v>
      </c>
      <c r="AL29" s="199">
        <v>7920.0999999999985</v>
      </c>
      <c r="AM29" s="198">
        <v>8346.4000000000015</v>
      </c>
      <c r="AN29" s="198">
        <v>8314.9</v>
      </c>
      <c r="AO29" s="198">
        <v>8612.4</v>
      </c>
      <c r="AP29" s="538">
        <v>8553.1000000000022</v>
      </c>
      <c r="AQ29" s="539">
        <v>8606.5</v>
      </c>
      <c r="AR29" s="540">
        <v>9564.9</v>
      </c>
      <c r="AS29" s="540">
        <v>9587.3000000000011</v>
      </c>
      <c r="AT29" s="540">
        <v>10299.099999999999</v>
      </c>
      <c r="AU29" s="539">
        <v>10351.5</v>
      </c>
      <c r="AV29" s="540">
        <v>10561.199999999997</v>
      </c>
      <c r="AW29" s="540">
        <v>11100.9</v>
      </c>
      <c r="AX29" s="540">
        <v>11301.500000000004</v>
      </c>
    </row>
    <row r="30" spans="1:50" s="151" customFormat="1" ht="11.25">
      <c r="A30" s="153" t="s">
        <v>496</v>
      </c>
      <c r="B30" s="196" t="s">
        <v>485</v>
      </c>
      <c r="C30" s="158" t="s">
        <v>337</v>
      </c>
      <c r="D30" s="157" t="s">
        <v>337</v>
      </c>
      <c r="E30" s="157" t="s">
        <v>337</v>
      </c>
      <c r="F30" s="159" t="s">
        <v>337</v>
      </c>
      <c r="G30" s="158" t="s">
        <v>337</v>
      </c>
      <c r="H30" s="157" t="s">
        <v>337</v>
      </c>
      <c r="I30" s="157" t="s">
        <v>337</v>
      </c>
      <c r="J30" s="159" t="s">
        <v>337</v>
      </c>
      <c r="K30" s="157" t="s">
        <v>337</v>
      </c>
      <c r="L30" s="157" t="s">
        <v>337</v>
      </c>
      <c r="M30" s="157" t="s">
        <v>337</v>
      </c>
      <c r="N30" s="157" t="s">
        <v>337</v>
      </c>
      <c r="O30" s="158" t="s">
        <v>337</v>
      </c>
      <c r="P30" s="157" t="s">
        <v>337</v>
      </c>
      <c r="Q30" s="157" t="s">
        <v>337</v>
      </c>
      <c r="R30" s="159" t="s">
        <v>337</v>
      </c>
      <c r="S30" s="157" t="s">
        <v>337</v>
      </c>
      <c r="T30" s="157" t="s">
        <v>337</v>
      </c>
      <c r="U30" s="157" t="s">
        <v>337</v>
      </c>
      <c r="V30" s="157">
        <v>0</v>
      </c>
      <c r="W30" s="158">
        <v>2.2999999999999972</v>
      </c>
      <c r="X30" s="157">
        <v>36.599999999999994</v>
      </c>
      <c r="Y30" s="157">
        <v>197.5</v>
      </c>
      <c r="Z30" s="159">
        <v>500</v>
      </c>
      <c r="AA30" s="157">
        <v>329.4</v>
      </c>
      <c r="AB30" s="157">
        <v>203</v>
      </c>
      <c r="AC30" s="157">
        <v>129.80000000000001</v>
      </c>
      <c r="AD30" s="159">
        <v>226</v>
      </c>
      <c r="AE30" s="158">
        <v>0</v>
      </c>
      <c r="AF30" s="157">
        <v>0</v>
      </c>
      <c r="AG30" s="157">
        <v>0</v>
      </c>
      <c r="AH30" s="159">
        <v>0</v>
      </c>
      <c r="AI30" s="157">
        <v>0</v>
      </c>
      <c r="AJ30" s="157">
        <v>0</v>
      </c>
      <c r="AK30" s="157">
        <v>0</v>
      </c>
      <c r="AL30" s="159">
        <v>0</v>
      </c>
      <c r="AM30" s="157">
        <v>0</v>
      </c>
      <c r="AN30" s="157">
        <v>637.70000000000005</v>
      </c>
      <c r="AO30" s="157">
        <v>619.9</v>
      </c>
      <c r="AP30" s="78">
        <v>640.5</v>
      </c>
      <c r="AQ30" s="69">
        <v>620.9</v>
      </c>
      <c r="AR30" s="70">
        <v>619.20000000000005</v>
      </c>
      <c r="AS30" s="70">
        <v>630.5</v>
      </c>
      <c r="AT30" s="70">
        <v>612.1</v>
      </c>
      <c r="AU30" s="69">
        <v>631.29999999999995</v>
      </c>
      <c r="AV30" s="70">
        <v>654.20000000000005</v>
      </c>
      <c r="AW30" s="70">
        <v>640.70000000000005</v>
      </c>
      <c r="AX30" s="70">
        <v>645</v>
      </c>
    </row>
    <row r="31" spans="1:50" s="151" customFormat="1" ht="11.25">
      <c r="A31" s="153" t="s">
        <v>495</v>
      </c>
      <c r="B31" s="196" t="s">
        <v>486</v>
      </c>
      <c r="C31" s="158" t="s">
        <v>337</v>
      </c>
      <c r="D31" s="157" t="s">
        <v>337</v>
      </c>
      <c r="E31" s="157" t="s">
        <v>337</v>
      </c>
      <c r="F31" s="159" t="s">
        <v>337</v>
      </c>
      <c r="G31" s="158" t="s">
        <v>337</v>
      </c>
      <c r="H31" s="157" t="s">
        <v>337</v>
      </c>
      <c r="I31" s="157" t="s">
        <v>337</v>
      </c>
      <c r="J31" s="159" t="s">
        <v>337</v>
      </c>
      <c r="K31" s="157" t="s">
        <v>337</v>
      </c>
      <c r="L31" s="157" t="s">
        <v>337</v>
      </c>
      <c r="M31" s="157" t="s">
        <v>337</v>
      </c>
      <c r="N31" s="157" t="s">
        <v>337</v>
      </c>
      <c r="O31" s="158" t="s">
        <v>337</v>
      </c>
      <c r="P31" s="157" t="s">
        <v>337</v>
      </c>
      <c r="Q31" s="157" t="s">
        <v>337</v>
      </c>
      <c r="R31" s="159" t="s">
        <v>337</v>
      </c>
      <c r="S31" s="157" t="s">
        <v>337</v>
      </c>
      <c r="T31" s="157" t="s">
        <v>337</v>
      </c>
      <c r="U31" s="157" t="s">
        <v>337</v>
      </c>
      <c r="V31" s="157">
        <v>32.700000000000003</v>
      </c>
      <c r="W31" s="158">
        <v>41.6</v>
      </c>
      <c r="X31" s="157">
        <v>42.1</v>
      </c>
      <c r="Y31" s="157">
        <v>40.4</v>
      </c>
      <c r="Z31" s="159">
        <v>44.4</v>
      </c>
      <c r="AA31" s="157">
        <v>37.6</v>
      </c>
      <c r="AB31" s="157">
        <v>51.4</v>
      </c>
      <c r="AC31" s="157">
        <v>39.1</v>
      </c>
      <c r="AD31" s="159">
        <v>34.700000000000003</v>
      </c>
      <c r="AE31" s="158">
        <v>0</v>
      </c>
      <c r="AF31" s="157">
        <v>0</v>
      </c>
      <c r="AG31" s="157">
        <v>0</v>
      </c>
      <c r="AH31" s="159">
        <v>0</v>
      </c>
      <c r="AI31" s="157">
        <v>0</v>
      </c>
      <c r="AJ31" s="157">
        <v>0</v>
      </c>
      <c r="AK31" s="157">
        <v>0</v>
      </c>
      <c r="AL31" s="159">
        <v>0</v>
      </c>
      <c r="AM31" s="157">
        <v>0</v>
      </c>
      <c r="AN31" s="157">
        <v>0</v>
      </c>
      <c r="AO31" s="157">
        <v>0</v>
      </c>
      <c r="AP31" s="78">
        <v>0</v>
      </c>
      <c r="AQ31" s="69">
        <v>0</v>
      </c>
      <c r="AR31" s="70">
        <v>0</v>
      </c>
      <c r="AS31" s="70">
        <v>0</v>
      </c>
      <c r="AT31" s="70">
        <v>0</v>
      </c>
      <c r="AU31" s="69">
        <v>0</v>
      </c>
      <c r="AV31" s="70">
        <v>0</v>
      </c>
      <c r="AW31" s="70">
        <v>0</v>
      </c>
      <c r="AX31" s="70">
        <v>0</v>
      </c>
    </row>
    <row r="32" spans="1:50" s="151" customFormat="1" ht="12" thickBot="1">
      <c r="A32" s="153"/>
      <c r="B32" s="153"/>
      <c r="C32" s="158"/>
      <c r="D32" s="157"/>
      <c r="E32" s="157"/>
      <c r="F32" s="159"/>
      <c r="G32" s="158"/>
      <c r="H32" s="157"/>
      <c r="I32" s="157"/>
      <c r="J32" s="159"/>
      <c r="K32" s="157"/>
      <c r="L32" s="157"/>
      <c r="M32" s="157"/>
      <c r="N32" s="157"/>
      <c r="O32" s="158"/>
      <c r="P32" s="157"/>
      <c r="Q32" s="157"/>
      <c r="R32" s="159"/>
      <c r="S32" s="157"/>
      <c r="T32" s="157"/>
      <c r="U32" s="157"/>
      <c r="V32" s="157"/>
      <c r="W32" s="158"/>
      <c r="X32" s="157"/>
      <c r="Y32" s="157"/>
      <c r="Z32" s="159"/>
      <c r="AA32" s="157"/>
      <c r="AB32" s="157"/>
      <c r="AC32" s="157"/>
      <c r="AD32" s="159"/>
      <c r="AE32" s="158"/>
      <c r="AF32" s="157"/>
      <c r="AG32" s="157"/>
      <c r="AH32" s="159"/>
      <c r="AI32" s="157"/>
      <c r="AJ32" s="157"/>
      <c r="AK32" s="157"/>
      <c r="AL32" s="159"/>
      <c r="AM32" s="157"/>
      <c r="AN32" s="157"/>
      <c r="AO32" s="157"/>
      <c r="AP32" s="78"/>
      <c r="AQ32" s="69"/>
      <c r="AR32" s="70"/>
      <c r="AS32" s="70"/>
      <c r="AT32" s="70"/>
      <c r="AU32" s="69"/>
      <c r="AV32" s="70"/>
      <c r="AW32" s="70"/>
      <c r="AX32" s="70"/>
    </row>
    <row r="33" spans="1:50" s="151" customFormat="1" ht="34.5" thickBot="1">
      <c r="A33" s="190" t="s">
        <v>494</v>
      </c>
      <c r="B33" s="191" t="s">
        <v>487</v>
      </c>
      <c r="C33" s="192">
        <v>2883.8</v>
      </c>
      <c r="D33" s="193">
        <v>3005.3999999999996</v>
      </c>
      <c r="E33" s="193">
        <v>3111.0999999999995</v>
      </c>
      <c r="F33" s="194">
        <v>2982.7999999999997</v>
      </c>
      <c r="G33" s="192">
        <v>3255.2999999999988</v>
      </c>
      <c r="H33" s="193">
        <v>3248.0999999999995</v>
      </c>
      <c r="I33" s="193">
        <v>3798.4</v>
      </c>
      <c r="J33" s="194">
        <v>3811.5999999999995</v>
      </c>
      <c r="K33" s="193">
        <v>3752.0999999999995</v>
      </c>
      <c r="L33" s="193">
        <v>3885.3999999999996</v>
      </c>
      <c r="M33" s="193">
        <v>4166.1000000000013</v>
      </c>
      <c r="N33" s="193">
        <v>4186.4000000000005</v>
      </c>
      <c r="O33" s="192">
        <v>4517.6000000000004</v>
      </c>
      <c r="P33" s="193">
        <v>4491.5000000000009</v>
      </c>
      <c r="Q33" s="193">
        <v>4889.6999999999989</v>
      </c>
      <c r="R33" s="194">
        <v>4843.8999999999996</v>
      </c>
      <c r="S33" s="193">
        <v>5016.3999999999996</v>
      </c>
      <c r="T33" s="193">
        <v>5089.9000000000005</v>
      </c>
      <c r="U33" s="193">
        <v>5481.0999999999985</v>
      </c>
      <c r="V33" s="193">
        <v>5481.2</v>
      </c>
      <c r="W33" s="192">
        <v>6001.1000000000013</v>
      </c>
      <c r="X33" s="193">
        <v>6298.9000000000005</v>
      </c>
      <c r="Y33" s="193">
        <v>6628.5999999999985</v>
      </c>
      <c r="Z33" s="194">
        <v>6928.0999999999995</v>
      </c>
      <c r="AA33" s="193">
        <v>7155.8</v>
      </c>
      <c r="AB33" s="193" t="s">
        <v>337</v>
      </c>
      <c r="AC33" s="193" t="s">
        <v>337</v>
      </c>
      <c r="AD33" s="194" t="s">
        <v>337</v>
      </c>
      <c r="AE33" s="192" t="s">
        <v>337</v>
      </c>
      <c r="AF33" s="193" t="s">
        <v>337</v>
      </c>
      <c r="AG33" s="193" t="s">
        <v>337</v>
      </c>
      <c r="AH33" s="194" t="s">
        <v>337</v>
      </c>
      <c r="AI33" s="193" t="s">
        <v>337</v>
      </c>
      <c r="AJ33" s="193" t="s">
        <v>337</v>
      </c>
      <c r="AK33" s="193" t="s">
        <v>337</v>
      </c>
      <c r="AL33" s="194" t="s">
        <v>337</v>
      </c>
      <c r="AM33" s="193" t="s">
        <v>337</v>
      </c>
      <c r="AN33" s="193" t="s">
        <v>337</v>
      </c>
      <c r="AO33" s="193" t="s">
        <v>337</v>
      </c>
      <c r="AP33" s="194" t="s">
        <v>337</v>
      </c>
      <c r="AQ33" s="192" t="s">
        <v>337</v>
      </c>
      <c r="AR33" s="193" t="s">
        <v>337</v>
      </c>
      <c r="AS33" s="193" t="s">
        <v>337</v>
      </c>
      <c r="AT33" s="193" t="s">
        <v>337</v>
      </c>
      <c r="AU33" s="192" t="s">
        <v>337</v>
      </c>
      <c r="AV33" s="193" t="s">
        <v>337</v>
      </c>
      <c r="AW33" s="193" t="s">
        <v>337</v>
      </c>
      <c r="AX33" s="193" t="s">
        <v>337</v>
      </c>
    </row>
    <row r="34" spans="1:50" s="151" customFormat="1" ht="11.25">
      <c r="A34" s="195" t="s">
        <v>497</v>
      </c>
      <c r="B34" s="196" t="s">
        <v>484</v>
      </c>
      <c r="C34" s="154">
        <v>2821.6000000000004</v>
      </c>
      <c r="D34" s="155">
        <v>2996.3999999999996</v>
      </c>
      <c r="E34" s="155">
        <v>2969.8999999999996</v>
      </c>
      <c r="F34" s="156">
        <v>2890.9999999999995</v>
      </c>
      <c r="G34" s="154">
        <v>3224.599999999999</v>
      </c>
      <c r="H34" s="155">
        <v>3189.6999999999994</v>
      </c>
      <c r="I34" s="155">
        <v>3708.5</v>
      </c>
      <c r="J34" s="156">
        <v>3731.8999999999996</v>
      </c>
      <c r="K34" s="155">
        <v>3752.1</v>
      </c>
      <c r="L34" s="155">
        <v>3821.8999999999996</v>
      </c>
      <c r="M34" s="155">
        <v>4111.3000000000011</v>
      </c>
      <c r="N34" s="155">
        <v>4120.9000000000005</v>
      </c>
      <c r="O34" s="154">
        <v>4462.2000000000007</v>
      </c>
      <c r="P34" s="155">
        <v>4452.6000000000013</v>
      </c>
      <c r="Q34" s="155">
        <v>4845.7999999999993</v>
      </c>
      <c r="R34" s="156">
        <v>4817.3999999999996</v>
      </c>
      <c r="S34" s="157">
        <v>4954.2999999999993</v>
      </c>
      <c r="T34" s="157">
        <v>5005.5</v>
      </c>
      <c r="U34" s="157">
        <v>5440.6999999999989</v>
      </c>
      <c r="V34" s="157">
        <v>5435.2</v>
      </c>
      <c r="W34" s="158">
        <v>5879.5000000000009</v>
      </c>
      <c r="X34" s="157">
        <v>6149.5</v>
      </c>
      <c r="Y34" s="157">
        <v>6319.1999999999989</v>
      </c>
      <c r="Z34" s="159">
        <v>6318.3</v>
      </c>
      <c r="AA34" s="157">
        <v>6719.4</v>
      </c>
      <c r="AB34" s="157" t="s">
        <v>337</v>
      </c>
      <c r="AC34" s="157" t="s">
        <v>337</v>
      </c>
      <c r="AD34" s="159" t="s">
        <v>337</v>
      </c>
      <c r="AE34" s="158" t="s">
        <v>337</v>
      </c>
      <c r="AF34" s="157" t="s">
        <v>337</v>
      </c>
      <c r="AG34" s="157" t="s">
        <v>337</v>
      </c>
      <c r="AH34" s="159" t="s">
        <v>337</v>
      </c>
      <c r="AI34" s="157" t="s">
        <v>337</v>
      </c>
      <c r="AJ34" s="157" t="s">
        <v>337</v>
      </c>
      <c r="AK34" s="157" t="s">
        <v>337</v>
      </c>
      <c r="AL34" s="159" t="s">
        <v>337</v>
      </c>
      <c r="AM34" s="157" t="s">
        <v>337</v>
      </c>
      <c r="AN34" s="157" t="s">
        <v>337</v>
      </c>
      <c r="AO34" s="157" t="s">
        <v>337</v>
      </c>
      <c r="AP34" s="78" t="s">
        <v>337</v>
      </c>
      <c r="AQ34" s="69" t="s">
        <v>337</v>
      </c>
      <c r="AR34" s="70" t="s">
        <v>337</v>
      </c>
      <c r="AS34" s="70" t="s">
        <v>337</v>
      </c>
      <c r="AT34" s="70" t="s">
        <v>337</v>
      </c>
      <c r="AU34" s="69" t="s">
        <v>337</v>
      </c>
      <c r="AV34" s="70" t="s">
        <v>337</v>
      </c>
      <c r="AW34" s="70" t="s">
        <v>337</v>
      </c>
      <c r="AX34" s="70" t="s">
        <v>337</v>
      </c>
    </row>
    <row r="35" spans="1:50" s="151" customFormat="1" ht="11.25">
      <c r="A35" s="153" t="s">
        <v>496</v>
      </c>
      <c r="B35" s="196" t="s">
        <v>485</v>
      </c>
      <c r="C35" s="154">
        <v>24.1</v>
      </c>
      <c r="D35" s="155">
        <v>0</v>
      </c>
      <c r="E35" s="155">
        <v>0</v>
      </c>
      <c r="F35" s="156">
        <v>0</v>
      </c>
      <c r="G35" s="154">
        <v>0</v>
      </c>
      <c r="H35" s="155">
        <v>0</v>
      </c>
      <c r="I35" s="155">
        <v>0</v>
      </c>
      <c r="J35" s="156">
        <v>0</v>
      </c>
      <c r="K35" s="155">
        <v>0</v>
      </c>
      <c r="L35" s="155">
        <v>0</v>
      </c>
      <c r="M35" s="155">
        <v>0</v>
      </c>
      <c r="N35" s="155">
        <v>0</v>
      </c>
      <c r="O35" s="154">
        <v>0</v>
      </c>
      <c r="P35" s="155">
        <v>0</v>
      </c>
      <c r="Q35" s="155">
        <v>11.7</v>
      </c>
      <c r="R35" s="156">
        <v>0</v>
      </c>
      <c r="S35" s="157">
        <v>0</v>
      </c>
      <c r="T35" s="157">
        <v>24.6</v>
      </c>
      <c r="U35" s="157">
        <v>0</v>
      </c>
      <c r="V35" s="157">
        <v>13.299999999999997</v>
      </c>
      <c r="W35" s="158">
        <v>80</v>
      </c>
      <c r="X35" s="157">
        <v>107.3</v>
      </c>
      <c r="Y35" s="157">
        <v>269</v>
      </c>
      <c r="Z35" s="159">
        <v>565.4</v>
      </c>
      <c r="AA35" s="157">
        <v>398.8</v>
      </c>
      <c r="AB35" s="157" t="s">
        <v>337</v>
      </c>
      <c r="AC35" s="157" t="s">
        <v>337</v>
      </c>
      <c r="AD35" s="159" t="s">
        <v>337</v>
      </c>
      <c r="AE35" s="158" t="s">
        <v>337</v>
      </c>
      <c r="AF35" s="157" t="s">
        <v>337</v>
      </c>
      <c r="AG35" s="157" t="s">
        <v>337</v>
      </c>
      <c r="AH35" s="159" t="s">
        <v>337</v>
      </c>
      <c r="AI35" s="157" t="s">
        <v>337</v>
      </c>
      <c r="AJ35" s="157" t="s">
        <v>337</v>
      </c>
      <c r="AK35" s="157" t="s">
        <v>337</v>
      </c>
      <c r="AL35" s="159" t="s">
        <v>337</v>
      </c>
      <c r="AM35" s="157" t="s">
        <v>337</v>
      </c>
      <c r="AN35" s="157" t="s">
        <v>337</v>
      </c>
      <c r="AO35" s="157" t="s">
        <v>337</v>
      </c>
      <c r="AP35" s="78" t="s">
        <v>337</v>
      </c>
      <c r="AQ35" s="69" t="s">
        <v>337</v>
      </c>
      <c r="AR35" s="70" t="s">
        <v>337</v>
      </c>
      <c r="AS35" s="70" t="s">
        <v>337</v>
      </c>
      <c r="AT35" s="70" t="s">
        <v>337</v>
      </c>
      <c r="AU35" s="69" t="s">
        <v>337</v>
      </c>
      <c r="AV35" s="70" t="s">
        <v>337</v>
      </c>
      <c r="AW35" s="70" t="s">
        <v>337</v>
      </c>
      <c r="AX35" s="70" t="s">
        <v>337</v>
      </c>
    </row>
    <row r="36" spans="1:50" s="151" customFormat="1" ht="11.25">
      <c r="A36" s="153" t="s">
        <v>495</v>
      </c>
      <c r="B36" s="196" t="s">
        <v>486</v>
      </c>
      <c r="C36" s="154">
        <v>38.1</v>
      </c>
      <c r="D36" s="155">
        <v>9</v>
      </c>
      <c r="E36" s="155">
        <v>141.19999999999999</v>
      </c>
      <c r="F36" s="156">
        <v>91.8</v>
      </c>
      <c r="G36" s="154">
        <v>30.7</v>
      </c>
      <c r="H36" s="155">
        <v>58.4</v>
      </c>
      <c r="I36" s="155">
        <v>89.9</v>
      </c>
      <c r="J36" s="156">
        <v>79.7</v>
      </c>
      <c r="K36" s="155">
        <v>0</v>
      </c>
      <c r="L36" s="155">
        <v>63.5</v>
      </c>
      <c r="M36" s="155">
        <v>54.8</v>
      </c>
      <c r="N36" s="155">
        <v>65.5</v>
      </c>
      <c r="O36" s="154">
        <v>55.4</v>
      </c>
      <c r="P36" s="155">
        <v>38.9</v>
      </c>
      <c r="Q36" s="155">
        <v>32.200000000000003</v>
      </c>
      <c r="R36" s="156">
        <v>26.5</v>
      </c>
      <c r="S36" s="157">
        <v>62.1</v>
      </c>
      <c r="T36" s="157">
        <v>59.8</v>
      </c>
      <c r="U36" s="157">
        <v>40.4</v>
      </c>
      <c r="V36" s="157">
        <v>32.700000000000003</v>
      </c>
      <c r="W36" s="158">
        <v>41.6</v>
      </c>
      <c r="X36" s="157">
        <v>42.1</v>
      </c>
      <c r="Y36" s="157">
        <v>40.4</v>
      </c>
      <c r="Z36" s="159">
        <v>44.4</v>
      </c>
      <c r="AA36" s="157">
        <v>37.6</v>
      </c>
      <c r="AB36" s="157" t="s">
        <v>337</v>
      </c>
      <c r="AC36" s="157" t="s">
        <v>337</v>
      </c>
      <c r="AD36" s="159" t="s">
        <v>337</v>
      </c>
      <c r="AE36" s="158" t="s">
        <v>337</v>
      </c>
      <c r="AF36" s="157" t="s">
        <v>337</v>
      </c>
      <c r="AG36" s="157" t="s">
        <v>337</v>
      </c>
      <c r="AH36" s="159" t="s">
        <v>337</v>
      </c>
      <c r="AI36" s="157" t="s">
        <v>337</v>
      </c>
      <c r="AJ36" s="157" t="s">
        <v>337</v>
      </c>
      <c r="AK36" s="157" t="s">
        <v>337</v>
      </c>
      <c r="AL36" s="159" t="s">
        <v>337</v>
      </c>
      <c r="AM36" s="157" t="s">
        <v>337</v>
      </c>
      <c r="AN36" s="157" t="s">
        <v>337</v>
      </c>
      <c r="AO36" s="157" t="s">
        <v>337</v>
      </c>
      <c r="AP36" s="78" t="s">
        <v>337</v>
      </c>
      <c r="AQ36" s="69" t="s">
        <v>337</v>
      </c>
      <c r="AR36" s="70" t="s">
        <v>337</v>
      </c>
      <c r="AS36" s="70" t="s">
        <v>337</v>
      </c>
      <c r="AT36" s="70" t="s">
        <v>337</v>
      </c>
      <c r="AU36" s="69" t="s">
        <v>337</v>
      </c>
      <c r="AV36" s="70" t="s">
        <v>337</v>
      </c>
      <c r="AW36" s="70" t="s">
        <v>337</v>
      </c>
      <c r="AX36" s="70" t="s">
        <v>337</v>
      </c>
    </row>
    <row r="37" spans="1:50" s="204" customFormat="1" ht="11.25">
      <c r="A37" s="200"/>
      <c r="B37" s="200"/>
      <c r="C37" s="201"/>
      <c r="D37" s="202"/>
      <c r="E37" s="202"/>
      <c r="F37" s="203"/>
      <c r="G37" s="201"/>
      <c r="H37" s="202"/>
      <c r="I37" s="202"/>
      <c r="J37" s="203"/>
      <c r="K37" s="202"/>
      <c r="L37" s="202"/>
      <c r="M37" s="202"/>
      <c r="N37" s="202"/>
      <c r="O37" s="201"/>
      <c r="P37" s="202"/>
      <c r="Q37" s="202"/>
      <c r="R37" s="203"/>
      <c r="S37" s="202"/>
      <c r="T37" s="202"/>
      <c r="U37" s="202"/>
      <c r="V37" s="202"/>
      <c r="W37" s="201"/>
      <c r="X37" s="202"/>
      <c r="Y37" s="202"/>
      <c r="Z37" s="203"/>
      <c r="AA37" s="202"/>
      <c r="AB37" s="202"/>
      <c r="AC37" s="202"/>
      <c r="AD37" s="203"/>
      <c r="AE37" s="201"/>
      <c r="AF37" s="202"/>
      <c r="AG37" s="202"/>
      <c r="AH37" s="203"/>
      <c r="AI37" s="202"/>
      <c r="AJ37" s="202"/>
      <c r="AK37" s="202"/>
      <c r="AL37" s="203"/>
      <c r="AM37" s="202"/>
      <c r="AN37" s="202"/>
      <c r="AO37" s="202"/>
      <c r="AP37" s="541"/>
      <c r="AQ37" s="532"/>
      <c r="AR37" s="531"/>
      <c r="AS37" s="531"/>
      <c r="AT37" s="531"/>
      <c r="AU37" s="532"/>
      <c r="AV37" s="531"/>
      <c r="AW37" s="531"/>
      <c r="AX37" s="531"/>
    </row>
    <row r="38" spans="1:50" s="143" customFormat="1" ht="21" customHeight="1">
      <c r="A38" s="136" t="s">
        <v>382</v>
      </c>
      <c r="B38" s="136" t="s">
        <v>368</v>
      </c>
      <c r="C38" s="205"/>
      <c r="D38" s="206"/>
      <c r="E38" s="206"/>
      <c r="F38" s="207"/>
      <c r="G38" s="205"/>
      <c r="H38" s="206"/>
      <c r="I38" s="206"/>
      <c r="J38" s="207"/>
      <c r="K38" s="206"/>
      <c r="L38" s="206"/>
      <c r="M38" s="206"/>
      <c r="N38" s="206"/>
      <c r="O38" s="205"/>
      <c r="P38" s="206"/>
      <c r="Q38" s="206"/>
      <c r="R38" s="207"/>
      <c r="S38" s="208"/>
      <c r="T38" s="208"/>
      <c r="U38" s="208"/>
      <c r="V38" s="208"/>
      <c r="W38" s="209"/>
      <c r="X38" s="208"/>
      <c r="Y38" s="208"/>
      <c r="Z38" s="210"/>
      <c r="AA38" s="208"/>
      <c r="AB38" s="208"/>
      <c r="AC38" s="208"/>
      <c r="AD38" s="210"/>
      <c r="AE38" s="209"/>
      <c r="AF38" s="208"/>
      <c r="AG38" s="208"/>
      <c r="AH38" s="210"/>
      <c r="AI38" s="208"/>
      <c r="AJ38" s="208"/>
      <c r="AK38" s="208"/>
      <c r="AL38" s="210"/>
      <c r="AM38" s="208"/>
      <c r="AN38" s="208"/>
      <c r="AO38" s="208"/>
      <c r="AP38" s="542"/>
      <c r="AQ38" s="543"/>
      <c r="AR38" s="544"/>
      <c r="AS38" s="544"/>
      <c r="AT38" s="544"/>
      <c r="AU38" s="543"/>
      <c r="AV38" s="544"/>
      <c r="AW38" s="544"/>
      <c r="AX38" s="544"/>
    </row>
    <row r="39" spans="1:50" s="151" customFormat="1" ht="11.25">
      <c r="A39" s="153" t="s">
        <v>820</v>
      </c>
      <c r="B39" s="196" t="s">
        <v>817</v>
      </c>
      <c r="C39" s="154" t="s">
        <v>337</v>
      </c>
      <c r="D39" s="155" t="s">
        <v>337</v>
      </c>
      <c r="E39" s="155" t="s">
        <v>337</v>
      </c>
      <c r="F39" s="156" t="s">
        <v>337</v>
      </c>
      <c r="G39" s="154">
        <v>2057.4</v>
      </c>
      <c r="H39" s="155">
        <v>1983.4</v>
      </c>
      <c r="I39" s="155">
        <v>2188.3000000000002</v>
      </c>
      <c r="J39" s="156">
        <v>2580.3000000000002</v>
      </c>
      <c r="K39" s="155">
        <v>2619.3000000000002</v>
      </c>
      <c r="L39" s="155">
        <v>2503.4</v>
      </c>
      <c r="M39" s="155">
        <v>2416</v>
      </c>
      <c r="N39" s="155">
        <v>2432</v>
      </c>
      <c r="O39" s="154">
        <v>2398.1</v>
      </c>
      <c r="P39" s="155">
        <v>2496</v>
      </c>
      <c r="Q39" s="155">
        <v>2581.6</v>
      </c>
      <c r="R39" s="156">
        <v>2581.6</v>
      </c>
      <c r="S39" s="157">
        <v>2725.1</v>
      </c>
      <c r="T39" s="157">
        <v>2806.1</v>
      </c>
      <c r="U39" s="157">
        <v>3056.2</v>
      </c>
      <c r="V39" s="157">
        <v>3176.6</v>
      </c>
      <c r="W39" s="158">
        <v>3414.8</v>
      </c>
      <c r="X39" s="157">
        <v>3345.7000000000003</v>
      </c>
      <c r="Y39" s="157">
        <v>3349.6</v>
      </c>
      <c r="Z39" s="159">
        <v>3285.7999999999997</v>
      </c>
      <c r="AA39" s="157">
        <v>3229.5</v>
      </c>
      <c r="AB39" s="157">
        <v>2974.8</v>
      </c>
      <c r="AC39" s="157">
        <v>2844.5</v>
      </c>
      <c r="AD39" s="159">
        <v>2900.1</v>
      </c>
      <c r="AE39" s="158">
        <v>3077.3</v>
      </c>
      <c r="AF39" s="157">
        <v>3186.1</v>
      </c>
      <c r="AG39" s="157">
        <v>3349.7</v>
      </c>
      <c r="AH39" s="159">
        <v>3291.1</v>
      </c>
      <c r="AI39" s="157">
        <v>3588.3</v>
      </c>
      <c r="AJ39" s="157">
        <v>3927.1</v>
      </c>
      <c r="AK39" s="157">
        <v>4039.2</v>
      </c>
      <c r="AL39" s="159">
        <v>3935.1</v>
      </c>
      <c r="AM39" s="157">
        <v>4108.3999999999996</v>
      </c>
      <c r="AN39" s="157">
        <v>4194.3999999999996</v>
      </c>
      <c r="AO39" s="157">
        <v>4249.2</v>
      </c>
      <c r="AP39" s="78">
        <v>4121.5</v>
      </c>
      <c r="AQ39" s="69">
        <v>4261.1000000000004</v>
      </c>
      <c r="AR39" s="70">
        <v>4561</v>
      </c>
      <c r="AS39" s="70">
        <v>4775.8</v>
      </c>
      <c r="AT39" s="70">
        <v>4552.8</v>
      </c>
      <c r="AU39" s="69">
        <v>4738.6000000000004</v>
      </c>
      <c r="AV39" s="70">
        <v>5136</v>
      </c>
      <c r="AW39" s="70">
        <v>5434.3</v>
      </c>
      <c r="AX39" s="70">
        <v>5370.8</v>
      </c>
    </row>
    <row r="40" spans="1:50" s="151" customFormat="1" ht="11.25">
      <c r="A40" s="153" t="s">
        <v>821</v>
      </c>
      <c r="B40" s="196" t="s">
        <v>818</v>
      </c>
      <c r="C40" s="154" t="s">
        <v>337</v>
      </c>
      <c r="D40" s="155" t="s">
        <v>337</v>
      </c>
      <c r="E40" s="155" t="s">
        <v>337</v>
      </c>
      <c r="F40" s="156" t="s">
        <v>337</v>
      </c>
      <c r="G40" s="154" t="s">
        <v>337</v>
      </c>
      <c r="H40" s="155" t="s">
        <v>337</v>
      </c>
      <c r="I40" s="155" t="s">
        <v>337</v>
      </c>
      <c r="J40" s="156" t="s">
        <v>337</v>
      </c>
      <c r="K40" s="155" t="s">
        <v>337</v>
      </c>
      <c r="L40" s="155" t="s">
        <v>337</v>
      </c>
      <c r="M40" s="155" t="s">
        <v>337</v>
      </c>
      <c r="N40" s="155" t="s">
        <v>337</v>
      </c>
      <c r="O40" s="154" t="s">
        <v>337</v>
      </c>
      <c r="P40" s="155" t="s">
        <v>337</v>
      </c>
      <c r="Q40" s="155" t="s">
        <v>337</v>
      </c>
      <c r="R40" s="156" t="s">
        <v>337</v>
      </c>
      <c r="S40" s="157" t="s">
        <v>337</v>
      </c>
      <c r="T40" s="157" t="s">
        <v>337</v>
      </c>
      <c r="U40" s="157" t="s">
        <v>337</v>
      </c>
      <c r="V40" s="157">
        <v>329</v>
      </c>
      <c r="W40" s="158">
        <v>285.2</v>
      </c>
      <c r="X40" s="157">
        <v>140.80000000000001</v>
      </c>
      <c r="Y40" s="157">
        <v>372.4</v>
      </c>
      <c r="Z40" s="159">
        <v>444.1</v>
      </c>
      <c r="AA40" s="157">
        <v>475</v>
      </c>
      <c r="AB40" s="157" t="s">
        <v>337</v>
      </c>
      <c r="AC40" s="157" t="s">
        <v>337</v>
      </c>
      <c r="AD40" s="159" t="s">
        <v>337</v>
      </c>
      <c r="AE40" s="158" t="s">
        <v>337</v>
      </c>
      <c r="AF40" s="157" t="s">
        <v>337</v>
      </c>
      <c r="AG40" s="157" t="s">
        <v>337</v>
      </c>
      <c r="AH40" s="159" t="s">
        <v>337</v>
      </c>
      <c r="AI40" s="157" t="s">
        <v>337</v>
      </c>
      <c r="AJ40" s="157" t="s">
        <v>337</v>
      </c>
      <c r="AK40" s="157" t="s">
        <v>337</v>
      </c>
      <c r="AL40" s="159" t="s">
        <v>337</v>
      </c>
      <c r="AM40" s="157" t="s">
        <v>337</v>
      </c>
      <c r="AN40" s="157" t="s">
        <v>337</v>
      </c>
      <c r="AO40" s="157" t="s">
        <v>337</v>
      </c>
      <c r="AP40" s="78" t="s">
        <v>337</v>
      </c>
      <c r="AQ40" s="69" t="s">
        <v>337</v>
      </c>
      <c r="AR40" s="70" t="s">
        <v>337</v>
      </c>
      <c r="AS40" s="70" t="s">
        <v>337</v>
      </c>
      <c r="AT40" s="70" t="s">
        <v>337</v>
      </c>
      <c r="AU40" s="69" t="s">
        <v>337</v>
      </c>
      <c r="AV40" s="70" t="s">
        <v>337</v>
      </c>
      <c r="AW40" s="70" t="s">
        <v>337</v>
      </c>
      <c r="AX40" s="70" t="s">
        <v>337</v>
      </c>
    </row>
    <row r="41" spans="1:50" s="151" customFormat="1" ht="11.25">
      <c r="A41" s="153" t="s">
        <v>383</v>
      </c>
      <c r="B41" s="196" t="s">
        <v>369</v>
      </c>
      <c r="C41" s="154" t="s">
        <v>337</v>
      </c>
      <c r="D41" s="155" t="s">
        <v>337</v>
      </c>
      <c r="E41" s="155" t="s">
        <v>337</v>
      </c>
      <c r="F41" s="156" t="s">
        <v>337</v>
      </c>
      <c r="G41" s="154">
        <v>0</v>
      </c>
      <c r="H41" s="155">
        <v>0</v>
      </c>
      <c r="I41" s="155">
        <v>0.1</v>
      </c>
      <c r="J41" s="156">
        <v>1.3</v>
      </c>
      <c r="K41" s="155">
        <v>1.7</v>
      </c>
      <c r="L41" s="155">
        <v>2.2000000000000002</v>
      </c>
      <c r="M41" s="155">
        <v>2.2000000000000002</v>
      </c>
      <c r="N41" s="155">
        <v>2.2000000000000002</v>
      </c>
      <c r="O41" s="154">
        <v>2.2000000000000002</v>
      </c>
      <c r="P41" s="155">
        <v>4.0999999999999996</v>
      </c>
      <c r="Q41" s="155">
        <v>4.5999999999999996</v>
      </c>
      <c r="R41" s="156">
        <v>5.0999999999999996</v>
      </c>
      <c r="S41" s="157">
        <v>5.6</v>
      </c>
      <c r="T41" s="157">
        <v>6.3</v>
      </c>
      <c r="U41" s="157">
        <v>7.1</v>
      </c>
      <c r="V41" s="157">
        <v>7.9</v>
      </c>
      <c r="W41" s="158">
        <v>8.6999999999999993</v>
      </c>
      <c r="X41" s="157">
        <v>9.4</v>
      </c>
      <c r="Y41" s="157">
        <v>12.2</v>
      </c>
      <c r="Z41" s="159">
        <v>13</v>
      </c>
      <c r="AA41" s="157">
        <v>13.6</v>
      </c>
      <c r="AB41" s="157">
        <v>14.2</v>
      </c>
      <c r="AC41" s="157">
        <v>10.3</v>
      </c>
      <c r="AD41" s="159">
        <v>10.3</v>
      </c>
      <c r="AE41" s="158">
        <v>10.3</v>
      </c>
      <c r="AF41" s="157">
        <v>10.3</v>
      </c>
      <c r="AG41" s="157">
        <v>10.3</v>
      </c>
      <c r="AH41" s="159">
        <v>10.3</v>
      </c>
      <c r="AI41" s="157">
        <v>0</v>
      </c>
      <c r="AJ41" s="157">
        <v>0</v>
      </c>
      <c r="AK41" s="157">
        <v>0</v>
      </c>
      <c r="AL41" s="159">
        <v>0</v>
      </c>
      <c r="AM41" s="157">
        <v>0</v>
      </c>
      <c r="AN41" s="157">
        <v>0</v>
      </c>
      <c r="AO41" s="157">
        <v>0</v>
      </c>
      <c r="AP41" s="78">
        <v>0</v>
      </c>
      <c r="AQ41" s="69">
        <v>0</v>
      </c>
      <c r="AR41" s="70">
        <v>0</v>
      </c>
      <c r="AS41" s="70">
        <v>0</v>
      </c>
      <c r="AT41" s="70">
        <v>0</v>
      </c>
      <c r="AU41" s="69">
        <v>0</v>
      </c>
      <c r="AV41" s="70">
        <v>0</v>
      </c>
      <c r="AW41" s="70">
        <v>0</v>
      </c>
      <c r="AX41" s="70">
        <v>0</v>
      </c>
    </row>
    <row r="42" spans="1:50" s="151" customFormat="1" ht="11.25">
      <c r="A42" s="153" t="s">
        <v>822</v>
      </c>
      <c r="B42" s="196" t="s">
        <v>819</v>
      </c>
      <c r="C42" s="154" t="s">
        <v>337</v>
      </c>
      <c r="D42" s="155" t="s">
        <v>337</v>
      </c>
      <c r="E42" s="155" t="s">
        <v>337</v>
      </c>
      <c r="F42" s="156" t="s">
        <v>337</v>
      </c>
      <c r="G42" s="154">
        <v>13.5</v>
      </c>
      <c r="H42" s="155">
        <v>22.8</v>
      </c>
      <c r="I42" s="155">
        <v>31.6</v>
      </c>
      <c r="J42" s="156">
        <v>27.7</v>
      </c>
      <c r="K42" s="155">
        <v>26.1</v>
      </c>
      <c r="L42" s="155">
        <v>19.3</v>
      </c>
      <c r="M42" s="155">
        <v>13.7</v>
      </c>
      <c r="N42" s="155">
        <v>15.3</v>
      </c>
      <c r="O42" s="154">
        <v>8.6999999999999993</v>
      </c>
      <c r="P42" s="155">
        <v>8.6999999999999993</v>
      </c>
      <c r="Q42" s="155">
        <v>0.4</v>
      </c>
      <c r="R42" s="156">
        <v>1.8</v>
      </c>
      <c r="S42" s="157">
        <v>18</v>
      </c>
      <c r="T42" s="157">
        <v>22.2</v>
      </c>
      <c r="U42" s="157">
        <v>0.2</v>
      </c>
      <c r="V42" s="157">
        <v>0</v>
      </c>
      <c r="W42" s="158">
        <v>0</v>
      </c>
      <c r="X42" s="157">
        <v>11</v>
      </c>
      <c r="Y42" s="157">
        <v>0</v>
      </c>
      <c r="Z42" s="159">
        <v>0</v>
      </c>
      <c r="AA42" s="157">
        <v>0</v>
      </c>
      <c r="AB42" s="157">
        <v>0</v>
      </c>
      <c r="AC42" s="157">
        <v>0</v>
      </c>
      <c r="AD42" s="159">
        <v>0</v>
      </c>
      <c r="AE42" s="158">
        <v>0</v>
      </c>
      <c r="AF42" s="157">
        <v>0</v>
      </c>
      <c r="AG42" s="157">
        <v>0</v>
      </c>
      <c r="AH42" s="159">
        <v>0</v>
      </c>
      <c r="AI42" s="157">
        <v>0</v>
      </c>
      <c r="AJ42" s="157">
        <v>0</v>
      </c>
      <c r="AK42" s="157">
        <v>0</v>
      </c>
      <c r="AL42" s="159">
        <v>30</v>
      </c>
      <c r="AM42" s="157">
        <v>0</v>
      </c>
      <c r="AN42" s="157">
        <v>0</v>
      </c>
      <c r="AO42" s="157">
        <v>0</v>
      </c>
      <c r="AP42" s="78">
        <v>77.099999999999994</v>
      </c>
      <c r="AQ42" s="69">
        <v>82</v>
      </c>
      <c r="AR42" s="70">
        <v>73.599999999999994</v>
      </c>
      <c r="AS42" s="70">
        <v>89.6</v>
      </c>
      <c r="AT42" s="70">
        <v>103</v>
      </c>
      <c r="AU42" s="69">
        <v>110</v>
      </c>
      <c r="AV42" s="70">
        <v>125.9</v>
      </c>
      <c r="AW42" s="70">
        <v>103.4</v>
      </c>
      <c r="AX42" s="70">
        <v>130.6</v>
      </c>
    </row>
    <row r="43" spans="1:50" s="151" customFormat="1" ht="11.25">
      <c r="A43" s="153" t="s">
        <v>384</v>
      </c>
      <c r="B43" s="196" t="s">
        <v>370</v>
      </c>
      <c r="C43" s="154" t="s">
        <v>337</v>
      </c>
      <c r="D43" s="155" t="s">
        <v>337</v>
      </c>
      <c r="E43" s="155" t="s">
        <v>337</v>
      </c>
      <c r="F43" s="156" t="s">
        <v>337</v>
      </c>
      <c r="G43" s="154">
        <v>274.2</v>
      </c>
      <c r="H43" s="155">
        <v>274.2</v>
      </c>
      <c r="I43" s="155">
        <v>274.2</v>
      </c>
      <c r="J43" s="156">
        <v>274.2</v>
      </c>
      <c r="K43" s="155">
        <v>290.8</v>
      </c>
      <c r="L43" s="155">
        <v>290.8</v>
      </c>
      <c r="M43" s="155">
        <v>290.8</v>
      </c>
      <c r="N43" s="155">
        <v>290.8</v>
      </c>
      <c r="O43" s="154">
        <v>326.89999999999998</v>
      </c>
      <c r="P43" s="155">
        <v>326.89999999999998</v>
      </c>
      <c r="Q43" s="155">
        <v>326.89999999999998</v>
      </c>
      <c r="R43" s="156">
        <v>326.89999999999998</v>
      </c>
      <c r="S43" s="157">
        <v>361.7</v>
      </c>
      <c r="T43" s="157">
        <v>361.7</v>
      </c>
      <c r="U43" s="157">
        <v>361.7</v>
      </c>
      <c r="V43" s="157">
        <v>364.6</v>
      </c>
      <c r="W43" s="158">
        <v>405.9</v>
      </c>
      <c r="X43" s="157">
        <v>405.9</v>
      </c>
      <c r="Y43" s="157">
        <v>405.9</v>
      </c>
      <c r="Z43" s="159">
        <v>405.9</v>
      </c>
      <c r="AA43" s="157">
        <v>437.6</v>
      </c>
      <c r="AB43" s="157">
        <v>437.6</v>
      </c>
      <c r="AC43" s="157">
        <v>437.6</v>
      </c>
      <c r="AD43" s="159">
        <v>437.6</v>
      </c>
      <c r="AE43" s="158">
        <v>459.3</v>
      </c>
      <c r="AF43" s="157">
        <v>459.3</v>
      </c>
      <c r="AG43" s="157">
        <v>459.3</v>
      </c>
      <c r="AH43" s="159">
        <v>459.3</v>
      </c>
      <c r="AI43" s="157">
        <v>495.8</v>
      </c>
      <c r="AJ43" s="157">
        <v>495.8</v>
      </c>
      <c r="AK43" s="157">
        <v>495.8</v>
      </c>
      <c r="AL43" s="159">
        <v>495.8</v>
      </c>
      <c r="AM43" s="157">
        <v>521.5</v>
      </c>
      <c r="AN43" s="157">
        <v>521.5</v>
      </c>
      <c r="AO43" s="157">
        <v>521.5</v>
      </c>
      <c r="AP43" s="78">
        <v>521.5</v>
      </c>
      <c r="AQ43" s="69">
        <v>567.1</v>
      </c>
      <c r="AR43" s="70">
        <v>567.1</v>
      </c>
      <c r="AS43" s="70">
        <v>567.1</v>
      </c>
      <c r="AT43" s="70">
        <v>567.1</v>
      </c>
      <c r="AU43" s="69">
        <v>626.9</v>
      </c>
      <c r="AV43" s="70">
        <v>626.9</v>
      </c>
      <c r="AW43" s="70">
        <v>626.9</v>
      </c>
      <c r="AX43" s="70">
        <v>626.9</v>
      </c>
    </row>
    <row r="44" spans="1:50" s="151" customFormat="1" ht="11.25">
      <c r="A44" s="153" t="s">
        <v>385</v>
      </c>
      <c r="B44" s="196" t="s">
        <v>371</v>
      </c>
      <c r="C44" s="154" t="s">
        <v>337</v>
      </c>
      <c r="D44" s="155" t="s">
        <v>337</v>
      </c>
      <c r="E44" s="155" t="s">
        <v>337</v>
      </c>
      <c r="F44" s="156" t="s">
        <v>337</v>
      </c>
      <c r="G44" s="154">
        <v>17.2</v>
      </c>
      <c r="H44" s="155">
        <v>35.6</v>
      </c>
      <c r="I44" s="155">
        <v>58.3</v>
      </c>
      <c r="J44" s="156">
        <v>52</v>
      </c>
      <c r="K44" s="155">
        <v>33.9</v>
      </c>
      <c r="L44" s="155">
        <v>44.3</v>
      </c>
      <c r="M44" s="155">
        <v>39</v>
      </c>
      <c r="N44" s="155">
        <v>48</v>
      </c>
      <c r="O44" s="154">
        <v>44.5</v>
      </c>
      <c r="P44" s="155">
        <v>26.1</v>
      </c>
      <c r="Q44" s="155">
        <v>27.2</v>
      </c>
      <c r="R44" s="156">
        <v>19.7</v>
      </c>
      <c r="S44" s="157">
        <v>38.4</v>
      </c>
      <c r="T44" s="157">
        <v>31.3</v>
      </c>
      <c r="U44" s="157">
        <v>33.200000000000003</v>
      </c>
      <c r="V44" s="157">
        <v>24.8</v>
      </c>
      <c r="W44" s="158">
        <v>32.9</v>
      </c>
      <c r="X44" s="157">
        <v>21.7</v>
      </c>
      <c r="Y44" s="157">
        <v>28.2</v>
      </c>
      <c r="Z44" s="159">
        <v>31.4</v>
      </c>
      <c r="AA44" s="157">
        <v>24</v>
      </c>
      <c r="AB44" s="157">
        <v>36.6</v>
      </c>
      <c r="AC44" s="157">
        <v>28.9</v>
      </c>
      <c r="AD44" s="159">
        <v>24.5</v>
      </c>
      <c r="AE44" s="158">
        <v>57.8</v>
      </c>
      <c r="AF44" s="157">
        <v>49.3</v>
      </c>
      <c r="AG44" s="157">
        <v>56.7</v>
      </c>
      <c r="AH44" s="159">
        <v>33.799999999999997</v>
      </c>
      <c r="AI44" s="157">
        <v>46.1</v>
      </c>
      <c r="AJ44" s="157">
        <v>37.9</v>
      </c>
      <c r="AK44" s="157">
        <v>57.2</v>
      </c>
      <c r="AL44" s="159">
        <v>74.3</v>
      </c>
      <c r="AM44" s="157">
        <v>64.099999999999994</v>
      </c>
      <c r="AN44" s="157">
        <v>76.3</v>
      </c>
      <c r="AO44" s="157">
        <v>87.7</v>
      </c>
      <c r="AP44" s="78">
        <v>0</v>
      </c>
      <c r="AQ44" s="69">
        <v>0</v>
      </c>
      <c r="AR44" s="70">
        <v>0</v>
      </c>
      <c r="AS44" s="70">
        <v>0</v>
      </c>
      <c r="AT44" s="70">
        <v>0</v>
      </c>
      <c r="AU44" s="69">
        <v>0</v>
      </c>
      <c r="AV44" s="70">
        <v>0</v>
      </c>
      <c r="AW44" s="70">
        <v>0</v>
      </c>
      <c r="AX44" s="70">
        <v>0</v>
      </c>
    </row>
    <row r="45" spans="1:50" s="151" customFormat="1" ht="11.25">
      <c r="A45" s="153" t="s">
        <v>386</v>
      </c>
      <c r="B45" s="196" t="s">
        <v>372</v>
      </c>
      <c r="C45" s="154" t="s">
        <v>337</v>
      </c>
      <c r="D45" s="155" t="s">
        <v>337</v>
      </c>
      <c r="E45" s="155" t="s">
        <v>337</v>
      </c>
      <c r="F45" s="156" t="s">
        <v>337</v>
      </c>
      <c r="G45" s="154">
        <v>0</v>
      </c>
      <c r="H45" s="155">
        <v>0</v>
      </c>
      <c r="I45" s="155">
        <v>0</v>
      </c>
      <c r="J45" s="156">
        <v>0</v>
      </c>
      <c r="K45" s="155">
        <v>0</v>
      </c>
      <c r="L45" s="155">
        <v>0</v>
      </c>
      <c r="M45" s="155">
        <v>0</v>
      </c>
      <c r="N45" s="155">
        <v>0</v>
      </c>
      <c r="O45" s="154">
        <v>0</v>
      </c>
      <c r="P45" s="155">
        <v>0</v>
      </c>
      <c r="Q45" s="155">
        <v>0</v>
      </c>
      <c r="R45" s="156">
        <v>12</v>
      </c>
      <c r="S45" s="157">
        <v>1.2</v>
      </c>
      <c r="T45" s="157">
        <v>0.9</v>
      </c>
      <c r="U45" s="157">
        <v>33.4</v>
      </c>
      <c r="V45" s="157">
        <v>0</v>
      </c>
      <c r="W45" s="158">
        <v>0</v>
      </c>
      <c r="X45" s="157">
        <v>0</v>
      </c>
      <c r="Y45" s="157">
        <v>0</v>
      </c>
      <c r="Z45" s="159">
        <v>0</v>
      </c>
      <c r="AA45" s="157">
        <v>0</v>
      </c>
      <c r="AB45" s="157">
        <v>0.7</v>
      </c>
      <c r="AC45" s="157">
        <v>0</v>
      </c>
      <c r="AD45" s="159">
        <v>0</v>
      </c>
      <c r="AE45" s="158">
        <v>0</v>
      </c>
      <c r="AF45" s="157">
        <v>0</v>
      </c>
      <c r="AG45" s="157">
        <v>0</v>
      </c>
      <c r="AH45" s="159">
        <v>0</v>
      </c>
      <c r="AI45" s="157">
        <v>0</v>
      </c>
      <c r="AJ45" s="157">
        <v>0</v>
      </c>
      <c r="AK45" s="157">
        <v>0</v>
      </c>
      <c r="AL45" s="159">
        <v>0</v>
      </c>
      <c r="AM45" s="157">
        <v>0</v>
      </c>
      <c r="AN45" s="157">
        <v>0</v>
      </c>
      <c r="AO45" s="157">
        <v>0</v>
      </c>
      <c r="AP45" s="78">
        <v>0</v>
      </c>
      <c r="AQ45" s="69">
        <v>0</v>
      </c>
      <c r="AR45" s="70">
        <v>0</v>
      </c>
      <c r="AS45" s="70">
        <v>0</v>
      </c>
      <c r="AT45" s="70">
        <v>0</v>
      </c>
      <c r="AU45" s="69">
        <v>0</v>
      </c>
      <c r="AV45" s="70">
        <v>0</v>
      </c>
      <c r="AW45" s="70">
        <v>0</v>
      </c>
      <c r="AX45" s="70">
        <v>0</v>
      </c>
    </row>
    <row r="46" spans="1:50" s="151" customFormat="1" ht="12" thickBot="1">
      <c r="A46" s="153" t="s">
        <v>480</v>
      </c>
      <c r="B46" s="196" t="s">
        <v>432</v>
      </c>
      <c r="C46" s="154" t="s">
        <v>337</v>
      </c>
      <c r="D46" s="155" t="s">
        <v>337</v>
      </c>
      <c r="E46" s="155" t="s">
        <v>337</v>
      </c>
      <c r="F46" s="156" t="s">
        <v>337</v>
      </c>
      <c r="G46" s="154">
        <v>0</v>
      </c>
      <c r="H46" s="155">
        <v>0</v>
      </c>
      <c r="I46" s="155">
        <v>0</v>
      </c>
      <c r="J46" s="156">
        <v>0</v>
      </c>
      <c r="K46" s="155">
        <v>0</v>
      </c>
      <c r="L46" s="155">
        <v>0</v>
      </c>
      <c r="M46" s="155">
        <v>0</v>
      </c>
      <c r="N46" s="155">
        <v>0</v>
      </c>
      <c r="O46" s="154">
        <v>0</v>
      </c>
      <c r="P46" s="155">
        <v>0</v>
      </c>
      <c r="Q46" s="155">
        <v>0</v>
      </c>
      <c r="R46" s="156">
        <v>0</v>
      </c>
      <c r="S46" s="157">
        <v>0</v>
      </c>
      <c r="T46" s="157">
        <v>0</v>
      </c>
      <c r="U46" s="157">
        <v>0</v>
      </c>
      <c r="V46" s="157">
        <v>0</v>
      </c>
      <c r="W46" s="158">
        <v>0</v>
      </c>
      <c r="X46" s="157">
        <v>0</v>
      </c>
      <c r="Y46" s="157">
        <v>0</v>
      </c>
      <c r="Z46" s="159">
        <v>0</v>
      </c>
      <c r="AA46" s="157">
        <v>0</v>
      </c>
      <c r="AB46" s="157">
        <v>0</v>
      </c>
      <c r="AC46" s="157">
        <v>26.7</v>
      </c>
      <c r="AD46" s="159">
        <v>0</v>
      </c>
      <c r="AE46" s="158">
        <v>0</v>
      </c>
      <c r="AF46" s="157">
        <v>0</v>
      </c>
      <c r="AG46" s="157">
        <v>61</v>
      </c>
      <c r="AH46" s="159">
        <v>147</v>
      </c>
      <c r="AI46" s="157">
        <v>0</v>
      </c>
      <c r="AJ46" s="157">
        <v>0</v>
      </c>
      <c r="AK46" s="157">
        <v>0</v>
      </c>
      <c r="AL46" s="159">
        <v>75.900000000000006</v>
      </c>
      <c r="AM46" s="157">
        <v>39.299999999999997</v>
      </c>
      <c r="AN46" s="157">
        <v>120.9</v>
      </c>
      <c r="AO46" s="157">
        <v>132.6</v>
      </c>
      <c r="AP46" s="78">
        <v>273.5</v>
      </c>
      <c r="AQ46" s="69">
        <v>255.2</v>
      </c>
      <c r="AR46" s="70">
        <v>129.1</v>
      </c>
      <c r="AS46" s="70">
        <v>0</v>
      </c>
      <c r="AT46" s="70">
        <v>0</v>
      </c>
      <c r="AU46" s="69">
        <v>0</v>
      </c>
      <c r="AV46" s="70">
        <v>0</v>
      </c>
      <c r="AW46" s="70">
        <v>0</v>
      </c>
      <c r="AX46" s="70">
        <v>0</v>
      </c>
    </row>
    <row r="47" spans="1:50" s="151" customFormat="1" ht="23.25" thickBot="1">
      <c r="A47" s="190" t="s">
        <v>388</v>
      </c>
      <c r="B47" s="190" t="s">
        <v>373</v>
      </c>
      <c r="C47" s="211" t="s">
        <v>337</v>
      </c>
      <c r="D47" s="212" t="s">
        <v>337</v>
      </c>
      <c r="E47" s="212" t="s">
        <v>337</v>
      </c>
      <c r="F47" s="213" t="s">
        <v>337</v>
      </c>
      <c r="G47" s="211" t="s">
        <v>337</v>
      </c>
      <c r="H47" s="212" t="s">
        <v>337</v>
      </c>
      <c r="I47" s="212" t="s">
        <v>337</v>
      </c>
      <c r="J47" s="213" t="s">
        <v>337</v>
      </c>
      <c r="K47" s="212" t="s">
        <v>337</v>
      </c>
      <c r="L47" s="212" t="s">
        <v>337</v>
      </c>
      <c r="M47" s="212" t="s">
        <v>337</v>
      </c>
      <c r="N47" s="212" t="s">
        <v>337</v>
      </c>
      <c r="O47" s="211" t="s">
        <v>337</v>
      </c>
      <c r="P47" s="212" t="s">
        <v>337</v>
      </c>
      <c r="Q47" s="212" t="s">
        <v>337</v>
      </c>
      <c r="R47" s="213" t="s">
        <v>337</v>
      </c>
      <c r="S47" s="212" t="s">
        <v>337</v>
      </c>
      <c r="T47" s="212" t="s">
        <v>337</v>
      </c>
      <c r="U47" s="212" t="s">
        <v>337</v>
      </c>
      <c r="V47" s="212">
        <v>3244.9</v>
      </c>
      <c r="W47" s="211">
        <v>3577.1000000000004</v>
      </c>
      <c r="X47" s="212">
        <v>3652.9</v>
      </c>
      <c r="Y47" s="212">
        <v>3423.4999999999995</v>
      </c>
      <c r="Z47" s="213">
        <v>3292</v>
      </c>
      <c r="AA47" s="212">
        <v>3229.7</v>
      </c>
      <c r="AB47" s="212">
        <v>3463.8999999999996</v>
      </c>
      <c r="AC47" s="212">
        <v>3348</v>
      </c>
      <c r="AD47" s="213">
        <v>3372.5</v>
      </c>
      <c r="AE47" s="211">
        <v>3604.7000000000007</v>
      </c>
      <c r="AF47" s="212">
        <v>3705.0000000000005</v>
      </c>
      <c r="AG47" s="212">
        <v>3937</v>
      </c>
      <c r="AH47" s="213">
        <v>3941.5000000000005</v>
      </c>
      <c r="AI47" s="212">
        <v>4130.2000000000007</v>
      </c>
      <c r="AJ47" s="212">
        <v>4460.7999999999993</v>
      </c>
      <c r="AK47" s="212">
        <v>4592.2</v>
      </c>
      <c r="AL47" s="213">
        <v>4611.0999999999995</v>
      </c>
      <c r="AM47" s="212">
        <v>4733.3</v>
      </c>
      <c r="AN47" s="212">
        <v>4913.0999999999995</v>
      </c>
      <c r="AO47" s="212">
        <v>4991</v>
      </c>
      <c r="AP47" s="213">
        <f>SUM(AP39:AP46)</f>
        <v>4993.6000000000004</v>
      </c>
      <c r="AQ47" s="211">
        <f t="shared" ref="AQ47:AV47" si="14">SUM(AQ39:AQ46)</f>
        <v>5165.4000000000005</v>
      </c>
      <c r="AR47" s="212">
        <f t="shared" si="14"/>
        <v>5330.8000000000011</v>
      </c>
      <c r="AS47" s="212">
        <f t="shared" si="14"/>
        <v>5432.5000000000009</v>
      </c>
      <c r="AT47" s="212">
        <f t="shared" si="14"/>
        <v>5222.9000000000005</v>
      </c>
      <c r="AU47" s="211">
        <f t="shared" si="14"/>
        <v>5475.5</v>
      </c>
      <c r="AV47" s="212">
        <f t="shared" si="14"/>
        <v>5888.7999999999993</v>
      </c>
      <c r="AW47" s="212">
        <f t="shared" ref="AW47:AX47" si="15">SUM(AW39:AW46)</f>
        <v>6164.5999999999995</v>
      </c>
      <c r="AX47" s="212">
        <f t="shared" si="15"/>
        <v>6128.3</v>
      </c>
    </row>
    <row r="48" spans="1:50" s="151" customFormat="1" ht="12" thickBot="1">
      <c r="A48" s="214"/>
      <c r="B48" s="214"/>
      <c r="C48" s="215"/>
      <c r="D48" s="216"/>
      <c r="E48" s="216"/>
      <c r="F48" s="217"/>
      <c r="G48" s="215"/>
      <c r="H48" s="216"/>
      <c r="I48" s="216"/>
      <c r="J48" s="217"/>
      <c r="K48" s="216"/>
      <c r="L48" s="216"/>
      <c r="M48" s="216"/>
      <c r="N48" s="216"/>
      <c r="O48" s="215"/>
      <c r="P48" s="216"/>
      <c r="Q48" s="216"/>
      <c r="R48" s="217"/>
      <c r="S48" s="218"/>
      <c r="T48" s="218"/>
      <c r="U48" s="218"/>
      <c r="V48" s="218"/>
      <c r="W48" s="219"/>
      <c r="X48" s="218"/>
      <c r="Y48" s="218"/>
      <c r="Z48" s="220"/>
      <c r="AA48" s="218"/>
      <c r="AB48" s="218"/>
      <c r="AC48" s="218"/>
      <c r="AD48" s="220"/>
      <c r="AE48" s="219"/>
      <c r="AF48" s="218"/>
      <c r="AG48" s="218"/>
      <c r="AH48" s="220"/>
      <c r="AI48" s="218"/>
      <c r="AJ48" s="218"/>
      <c r="AK48" s="218"/>
      <c r="AL48" s="220"/>
      <c r="AM48" s="218"/>
      <c r="AN48" s="218"/>
      <c r="AO48" s="218"/>
      <c r="AP48" s="542"/>
      <c r="AQ48" s="543"/>
      <c r="AR48" s="544"/>
      <c r="AS48" s="544"/>
      <c r="AT48" s="544"/>
      <c r="AU48" s="543"/>
      <c r="AV48" s="544"/>
      <c r="AW48" s="544"/>
      <c r="AX48" s="544"/>
    </row>
    <row r="49" spans="1:50" s="151" customFormat="1" ht="23.25" thickBot="1">
      <c r="A49" s="190" t="s">
        <v>389</v>
      </c>
      <c r="B49" s="190" t="s">
        <v>374</v>
      </c>
      <c r="C49" s="211">
        <v>1678.5</v>
      </c>
      <c r="D49" s="212">
        <v>1792.3</v>
      </c>
      <c r="E49" s="212">
        <v>1907</v>
      </c>
      <c r="F49" s="213">
        <v>1819.4</v>
      </c>
      <c r="G49" s="211">
        <v>2362.2999999999997</v>
      </c>
      <c r="H49" s="212">
        <v>2316</v>
      </c>
      <c r="I49" s="212">
        <v>2552.5</v>
      </c>
      <c r="J49" s="213">
        <v>2935.5</v>
      </c>
      <c r="K49" s="212">
        <v>2971.8</v>
      </c>
      <c r="L49" s="212">
        <v>2860.0000000000005</v>
      </c>
      <c r="M49" s="212">
        <v>2761.7</v>
      </c>
      <c r="N49" s="212">
        <v>2788.3</v>
      </c>
      <c r="O49" s="211">
        <v>2780.3999999999996</v>
      </c>
      <c r="P49" s="212">
        <v>2861.7999999999997</v>
      </c>
      <c r="Q49" s="212">
        <v>2940.7</v>
      </c>
      <c r="R49" s="213">
        <v>2947.1</v>
      </c>
      <c r="S49" s="212">
        <v>3149.9999999999995</v>
      </c>
      <c r="T49" s="212">
        <v>3228.5</v>
      </c>
      <c r="U49" s="212">
        <v>3491.7999999999993</v>
      </c>
      <c r="V49" s="212">
        <v>3573.9</v>
      </c>
      <c r="W49" s="211">
        <v>3862.3</v>
      </c>
      <c r="X49" s="212">
        <v>3793.7000000000003</v>
      </c>
      <c r="Y49" s="212">
        <v>3795.8999999999996</v>
      </c>
      <c r="Z49" s="213">
        <v>3736.1</v>
      </c>
      <c r="AA49" s="212">
        <v>3704.7</v>
      </c>
      <c r="AB49" s="212" t="s">
        <v>337</v>
      </c>
      <c r="AC49" s="212" t="s">
        <v>337</v>
      </c>
      <c r="AD49" s="213" t="s">
        <v>337</v>
      </c>
      <c r="AE49" s="211" t="s">
        <v>337</v>
      </c>
      <c r="AF49" s="212" t="s">
        <v>337</v>
      </c>
      <c r="AG49" s="212" t="s">
        <v>337</v>
      </c>
      <c r="AH49" s="213" t="s">
        <v>337</v>
      </c>
      <c r="AI49" s="212" t="s">
        <v>337</v>
      </c>
      <c r="AJ49" s="212" t="s">
        <v>337</v>
      </c>
      <c r="AK49" s="212" t="s">
        <v>337</v>
      </c>
      <c r="AL49" s="213" t="s">
        <v>337</v>
      </c>
      <c r="AM49" s="212" t="s">
        <v>337</v>
      </c>
      <c r="AN49" s="212" t="s">
        <v>337</v>
      </c>
      <c r="AO49" s="212" t="s">
        <v>337</v>
      </c>
      <c r="AP49" s="213" t="s">
        <v>337</v>
      </c>
      <c r="AQ49" s="211" t="s">
        <v>337</v>
      </c>
      <c r="AR49" s="212" t="s">
        <v>337</v>
      </c>
      <c r="AS49" s="212" t="s">
        <v>337</v>
      </c>
      <c r="AT49" s="212" t="s">
        <v>337</v>
      </c>
      <c r="AU49" s="211" t="s">
        <v>337</v>
      </c>
      <c r="AV49" s="212" t="s">
        <v>337</v>
      </c>
      <c r="AW49" s="212" t="s">
        <v>337</v>
      </c>
      <c r="AX49" s="212" t="s">
        <v>337</v>
      </c>
    </row>
    <row r="50" spans="1:50" s="151" customFormat="1" ht="11.25">
      <c r="A50" s="214"/>
      <c r="B50" s="214"/>
      <c r="C50" s="215"/>
      <c r="D50" s="216"/>
      <c r="E50" s="216"/>
      <c r="F50" s="217"/>
      <c r="G50" s="215"/>
      <c r="H50" s="216"/>
      <c r="I50" s="216"/>
      <c r="J50" s="217"/>
      <c r="K50" s="216"/>
      <c r="L50" s="216"/>
      <c r="M50" s="216"/>
      <c r="N50" s="216"/>
      <c r="O50" s="215"/>
      <c r="P50" s="216"/>
      <c r="Q50" s="216"/>
      <c r="R50" s="217"/>
      <c r="S50" s="218"/>
      <c r="T50" s="218"/>
      <c r="U50" s="218"/>
      <c r="V50" s="218"/>
      <c r="W50" s="219"/>
      <c r="X50" s="218"/>
      <c r="Y50" s="218"/>
      <c r="Z50" s="220"/>
      <c r="AA50" s="218"/>
      <c r="AB50" s="218"/>
      <c r="AC50" s="218"/>
      <c r="AD50" s="220"/>
      <c r="AE50" s="219"/>
      <c r="AF50" s="218"/>
      <c r="AG50" s="218"/>
      <c r="AH50" s="220"/>
      <c r="AI50" s="218"/>
      <c r="AJ50" s="218"/>
      <c r="AK50" s="218"/>
      <c r="AL50" s="220"/>
      <c r="AM50" s="218"/>
      <c r="AN50" s="218"/>
      <c r="AO50" s="218"/>
      <c r="AP50" s="542"/>
      <c r="AQ50" s="543"/>
      <c r="AR50" s="544"/>
      <c r="AS50" s="544"/>
      <c r="AT50" s="544"/>
      <c r="AU50" s="543"/>
      <c r="AV50" s="544"/>
      <c r="AW50" s="544"/>
      <c r="AX50" s="544"/>
    </row>
    <row r="51" spans="1:50" s="151" customFormat="1" ht="11.25">
      <c r="A51" s="65" t="s">
        <v>488</v>
      </c>
      <c r="B51" s="65" t="s">
        <v>481</v>
      </c>
      <c r="C51" s="221">
        <f>C54</f>
        <v>0.13739999999999999</v>
      </c>
      <c r="D51" s="222">
        <f t="shared" ref="D51:U51" si="16">D54</f>
        <v>0.1341</v>
      </c>
      <c r="E51" s="222">
        <f t="shared" si="16"/>
        <v>0.1305</v>
      </c>
      <c r="F51" s="223">
        <f t="shared" si="16"/>
        <v>0.13120000000000001</v>
      </c>
      <c r="G51" s="221">
        <f t="shared" si="16"/>
        <v>0.11020000000000001</v>
      </c>
      <c r="H51" s="222">
        <f t="shared" si="16"/>
        <v>0.11219999999999999</v>
      </c>
      <c r="I51" s="222">
        <f t="shared" si="16"/>
        <v>0.11899999999999999</v>
      </c>
      <c r="J51" s="223">
        <f t="shared" si="16"/>
        <v>0.10390000000000001</v>
      </c>
      <c r="K51" s="221">
        <f t="shared" si="16"/>
        <v>0.10100000000000001</v>
      </c>
      <c r="L51" s="222">
        <f t="shared" si="16"/>
        <v>0.1087</v>
      </c>
      <c r="M51" s="222">
        <f t="shared" si="16"/>
        <v>0.1207</v>
      </c>
      <c r="N51" s="223">
        <f t="shared" si="16"/>
        <v>0.1201</v>
      </c>
      <c r="O51" s="221">
        <f t="shared" si="16"/>
        <v>0.13</v>
      </c>
      <c r="P51" s="222">
        <f t="shared" si="16"/>
        <v>0.12559999999999999</v>
      </c>
      <c r="Q51" s="222">
        <f t="shared" si="16"/>
        <v>0.13300000000000001</v>
      </c>
      <c r="R51" s="223">
        <f t="shared" si="16"/>
        <v>0.13150000000000001</v>
      </c>
      <c r="S51" s="221">
        <f t="shared" si="16"/>
        <v>0.12740000000000001</v>
      </c>
      <c r="T51" s="222">
        <f t="shared" si="16"/>
        <v>0.12609999999999999</v>
      </c>
      <c r="U51" s="222">
        <f t="shared" si="16"/>
        <v>0.12559999999999999</v>
      </c>
      <c r="V51" s="223">
        <f t="shared" ref="V51:AA51" si="17">ROUND(V28/(V49*12.5),4)</f>
        <v>0.1192</v>
      </c>
      <c r="W51" s="221">
        <f t="shared" si="17"/>
        <v>0.1211</v>
      </c>
      <c r="X51" s="222">
        <f t="shared" si="17"/>
        <v>0.1298</v>
      </c>
      <c r="Y51" s="222">
        <f t="shared" si="17"/>
        <v>0.13669999999999999</v>
      </c>
      <c r="Z51" s="223">
        <f t="shared" si="17"/>
        <v>0.14549999999999999</v>
      </c>
      <c r="AA51" s="221">
        <f t="shared" si="17"/>
        <v>0.1515</v>
      </c>
      <c r="AB51" s="222">
        <f t="shared" ref="AB51:AX51" si="18">AB52</f>
        <v>0.1583</v>
      </c>
      <c r="AC51" s="222">
        <f t="shared" si="18"/>
        <v>0.1739</v>
      </c>
      <c r="AD51" s="223">
        <f t="shared" si="18"/>
        <v>0.17280000000000001</v>
      </c>
      <c r="AE51" s="221">
        <f t="shared" si="18"/>
        <v>0.1457</v>
      </c>
      <c r="AF51" s="222">
        <f t="shared" si="18"/>
        <v>0.15040000000000001</v>
      </c>
      <c r="AG51" s="222">
        <f t="shared" si="18"/>
        <v>0.14180000000000001</v>
      </c>
      <c r="AH51" s="223">
        <f t="shared" si="18"/>
        <v>0.14169999999999999</v>
      </c>
      <c r="AI51" s="222">
        <f t="shared" si="18"/>
        <v>0.14810000000000001</v>
      </c>
      <c r="AJ51" s="222">
        <f t="shared" si="18"/>
        <v>0.13700000000000001</v>
      </c>
      <c r="AK51" s="222">
        <f t="shared" si="18"/>
        <v>0.1366</v>
      </c>
      <c r="AL51" s="223">
        <f t="shared" si="18"/>
        <v>0.13739999999999999</v>
      </c>
      <c r="AM51" s="222">
        <f t="shared" si="18"/>
        <v>0.1411</v>
      </c>
      <c r="AN51" s="222">
        <f t="shared" si="18"/>
        <v>0.14580000000000001</v>
      </c>
      <c r="AO51" s="222">
        <f t="shared" si="18"/>
        <v>0.14799999999999999</v>
      </c>
      <c r="AP51" s="223">
        <f t="shared" si="18"/>
        <v>0.14729999999999999</v>
      </c>
      <c r="AQ51" s="221">
        <f t="shared" si="18"/>
        <v>0.1429</v>
      </c>
      <c r="AR51" s="222">
        <f t="shared" si="18"/>
        <v>0.15279999999999999</v>
      </c>
      <c r="AS51" s="222">
        <f t="shared" si="18"/>
        <v>0.15049999999999999</v>
      </c>
      <c r="AT51" s="222">
        <f t="shared" si="18"/>
        <v>0.1671</v>
      </c>
      <c r="AU51" s="221">
        <f t="shared" si="18"/>
        <v>0.1605</v>
      </c>
      <c r="AV51" s="222">
        <f t="shared" si="18"/>
        <v>0.15240000000000001</v>
      </c>
      <c r="AW51" s="222">
        <f t="shared" si="18"/>
        <v>0.15240000000000001</v>
      </c>
      <c r="AX51" s="222">
        <f t="shared" si="18"/>
        <v>0.156</v>
      </c>
    </row>
    <row r="52" spans="1:50" s="229" customFormat="1" ht="11.25">
      <c r="A52" s="224" t="s">
        <v>577</v>
      </c>
      <c r="B52" s="225" t="s">
        <v>583</v>
      </c>
      <c r="C52" s="226" t="s">
        <v>337</v>
      </c>
      <c r="D52" s="227" t="s">
        <v>337</v>
      </c>
      <c r="E52" s="227" t="s">
        <v>337</v>
      </c>
      <c r="F52" s="228" t="s">
        <v>337</v>
      </c>
      <c r="G52" s="226" t="s">
        <v>337</v>
      </c>
      <c r="H52" s="227" t="s">
        <v>337</v>
      </c>
      <c r="I52" s="227" t="s">
        <v>337</v>
      </c>
      <c r="J52" s="228" t="s">
        <v>337</v>
      </c>
      <c r="K52" s="226" t="s">
        <v>337</v>
      </c>
      <c r="L52" s="227" t="s">
        <v>337</v>
      </c>
      <c r="M52" s="227" t="s">
        <v>337</v>
      </c>
      <c r="N52" s="228" t="s">
        <v>337</v>
      </c>
      <c r="O52" s="226" t="s">
        <v>337</v>
      </c>
      <c r="P52" s="227" t="s">
        <v>337</v>
      </c>
      <c r="Q52" s="227" t="s">
        <v>337</v>
      </c>
      <c r="R52" s="228" t="s">
        <v>337</v>
      </c>
      <c r="S52" s="226" t="s">
        <v>337</v>
      </c>
      <c r="T52" s="227" t="s">
        <v>337</v>
      </c>
      <c r="U52" s="227" t="s">
        <v>337</v>
      </c>
      <c r="V52" s="228">
        <f t="shared" ref="V52:AU52" si="19">ROUND(V28/(V47*12.5),4)</f>
        <v>0.1313</v>
      </c>
      <c r="W52" s="226">
        <f t="shared" si="19"/>
        <v>0.13070000000000001</v>
      </c>
      <c r="X52" s="227">
        <f t="shared" si="19"/>
        <v>0.13489999999999999</v>
      </c>
      <c r="Y52" s="227">
        <f t="shared" si="19"/>
        <v>0.15160000000000001</v>
      </c>
      <c r="Z52" s="228">
        <f t="shared" si="19"/>
        <v>0.16520000000000001</v>
      </c>
      <c r="AA52" s="226">
        <f t="shared" si="19"/>
        <v>0.17380000000000001</v>
      </c>
      <c r="AB52" s="227">
        <f t="shared" si="19"/>
        <v>0.1583</v>
      </c>
      <c r="AC52" s="227">
        <f t="shared" si="19"/>
        <v>0.1739</v>
      </c>
      <c r="AD52" s="228">
        <f t="shared" si="19"/>
        <v>0.17280000000000001</v>
      </c>
      <c r="AE52" s="226">
        <f t="shared" si="19"/>
        <v>0.1457</v>
      </c>
      <c r="AF52" s="227">
        <f t="shared" si="19"/>
        <v>0.15040000000000001</v>
      </c>
      <c r="AG52" s="227">
        <f t="shared" si="19"/>
        <v>0.14180000000000001</v>
      </c>
      <c r="AH52" s="228">
        <f t="shared" si="19"/>
        <v>0.14169999999999999</v>
      </c>
      <c r="AI52" s="227">
        <f t="shared" si="19"/>
        <v>0.14810000000000001</v>
      </c>
      <c r="AJ52" s="227">
        <f t="shared" si="19"/>
        <v>0.13700000000000001</v>
      </c>
      <c r="AK52" s="227">
        <f t="shared" si="19"/>
        <v>0.1366</v>
      </c>
      <c r="AL52" s="228">
        <f t="shared" si="19"/>
        <v>0.13739999999999999</v>
      </c>
      <c r="AM52" s="227">
        <f t="shared" si="19"/>
        <v>0.1411</v>
      </c>
      <c r="AN52" s="227">
        <f t="shared" si="19"/>
        <v>0.14580000000000001</v>
      </c>
      <c r="AO52" s="227">
        <f t="shared" si="19"/>
        <v>0.14799999999999999</v>
      </c>
      <c r="AP52" s="228">
        <f t="shared" si="19"/>
        <v>0.14729999999999999</v>
      </c>
      <c r="AQ52" s="226">
        <f t="shared" si="19"/>
        <v>0.1429</v>
      </c>
      <c r="AR52" s="227">
        <f t="shared" si="19"/>
        <v>0.15279999999999999</v>
      </c>
      <c r="AS52" s="227">
        <f t="shared" si="19"/>
        <v>0.15049999999999999</v>
      </c>
      <c r="AT52" s="227">
        <f t="shared" si="19"/>
        <v>0.1671</v>
      </c>
      <c r="AU52" s="226">
        <f t="shared" si="19"/>
        <v>0.1605</v>
      </c>
      <c r="AV52" s="227">
        <f t="shared" ref="AV52:AW52" si="20">ROUND(AV28/(AV47*12.5),4)</f>
        <v>0.15240000000000001</v>
      </c>
      <c r="AW52" s="227">
        <f t="shared" si="20"/>
        <v>0.15240000000000001</v>
      </c>
      <c r="AX52" s="227">
        <f t="shared" ref="AX52" si="21">ROUND(AX28/(AX47*12.5),4)</f>
        <v>0.156</v>
      </c>
    </row>
    <row r="53" spans="1:50" s="229" customFormat="1" ht="11.25">
      <c r="A53" s="224" t="s">
        <v>578</v>
      </c>
      <c r="B53" s="225" t="s">
        <v>579</v>
      </c>
      <c r="C53" s="230" t="s">
        <v>337</v>
      </c>
      <c r="D53" s="231" t="s">
        <v>337</v>
      </c>
      <c r="E53" s="231" t="s">
        <v>337</v>
      </c>
      <c r="F53" s="232" t="s">
        <v>337</v>
      </c>
      <c r="G53" s="230" t="s">
        <v>337</v>
      </c>
      <c r="H53" s="231" t="s">
        <v>337</v>
      </c>
      <c r="I53" s="231" t="s">
        <v>337</v>
      </c>
      <c r="J53" s="232" t="s">
        <v>337</v>
      </c>
      <c r="K53" s="230" t="s">
        <v>337</v>
      </c>
      <c r="L53" s="231" t="s">
        <v>337</v>
      </c>
      <c r="M53" s="231" t="s">
        <v>337</v>
      </c>
      <c r="N53" s="232" t="s">
        <v>337</v>
      </c>
      <c r="O53" s="230" t="s">
        <v>337</v>
      </c>
      <c r="P53" s="231" t="s">
        <v>337</v>
      </c>
      <c r="Q53" s="231" t="s">
        <v>337</v>
      </c>
      <c r="R53" s="232" t="s">
        <v>337</v>
      </c>
      <c r="S53" s="230" t="s">
        <v>337</v>
      </c>
      <c r="T53" s="231" t="s">
        <v>337</v>
      </c>
      <c r="U53" s="231" t="s">
        <v>337</v>
      </c>
      <c r="V53" s="232" t="s">
        <v>337</v>
      </c>
      <c r="W53" s="230" t="s">
        <v>337</v>
      </c>
      <c r="X53" s="231" t="s">
        <v>337</v>
      </c>
      <c r="Y53" s="231" t="s">
        <v>337</v>
      </c>
      <c r="Z53" s="232" t="s">
        <v>337</v>
      </c>
      <c r="AA53" s="230" t="s">
        <v>337</v>
      </c>
      <c r="AB53" s="231" t="s">
        <v>337</v>
      </c>
      <c r="AC53" s="231" t="s">
        <v>337</v>
      </c>
      <c r="AD53" s="232" t="s">
        <v>337</v>
      </c>
      <c r="AE53" s="230" t="s">
        <v>337</v>
      </c>
      <c r="AF53" s="231" t="s">
        <v>337</v>
      </c>
      <c r="AG53" s="231" t="s">
        <v>337</v>
      </c>
      <c r="AH53" s="232" t="s">
        <v>337</v>
      </c>
      <c r="AI53" s="231" t="s">
        <v>337</v>
      </c>
      <c r="AJ53" s="231" t="s">
        <v>337</v>
      </c>
      <c r="AK53" s="231" t="s">
        <v>337</v>
      </c>
      <c r="AL53" s="232" t="s">
        <v>337</v>
      </c>
      <c r="AM53" s="231" t="s">
        <v>337</v>
      </c>
      <c r="AN53" s="231" t="s">
        <v>337</v>
      </c>
      <c r="AO53" s="231" t="s">
        <v>337</v>
      </c>
      <c r="AP53" s="232" t="s">
        <v>337</v>
      </c>
      <c r="AQ53" s="230" t="s">
        <v>337</v>
      </c>
      <c r="AR53" s="231" t="s">
        <v>337</v>
      </c>
      <c r="AS53" s="231" t="s">
        <v>337</v>
      </c>
      <c r="AT53" s="227" t="s">
        <v>337</v>
      </c>
      <c r="AU53" s="226">
        <f>ROUND((AU28-AU23)/(AU47*12.5),4)</f>
        <v>0.15720000000000001</v>
      </c>
      <c r="AV53" s="227">
        <f>ROUND((AV28-AV23)/(AV47*12.5),4)</f>
        <v>0.14929999999999999</v>
      </c>
      <c r="AW53" s="227">
        <f>ROUND((AW28-AW23)/(AW47*12.5),4)</f>
        <v>0.14979999999999999</v>
      </c>
      <c r="AX53" s="227">
        <f>ROUND((AX28-AX23)/(AX47*12.5),4)</f>
        <v>0.15310000000000001</v>
      </c>
    </row>
    <row r="54" spans="1:50" s="229" customFormat="1" ht="11.25">
      <c r="A54" s="225" t="s">
        <v>489</v>
      </c>
      <c r="B54" s="225" t="s">
        <v>482</v>
      </c>
      <c r="C54" s="226">
        <f t="shared" ref="C54:AA54" si="22">ROUND(C33/(C49*12.5),4)</f>
        <v>0.13739999999999999</v>
      </c>
      <c r="D54" s="227">
        <f t="shared" si="22"/>
        <v>0.1341</v>
      </c>
      <c r="E54" s="227">
        <f t="shared" si="22"/>
        <v>0.1305</v>
      </c>
      <c r="F54" s="228">
        <f t="shared" si="22"/>
        <v>0.13120000000000001</v>
      </c>
      <c r="G54" s="226">
        <f t="shared" si="22"/>
        <v>0.11020000000000001</v>
      </c>
      <c r="H54" s="227">
        <f t="shared" si="22"/>
        <v>0.11219999999999999</v>
      </c>
      <c r="I54" s="227">
        <f t="shared" si="22"/>
        <v>0.11899999999999999</v>
      </c>
      <c r="J54" s="228">
        <f t="shared" si="22"/>
        <v>0.10390000000000001</v>
      </c>
      <c r="K54" s="226">
        <f t="shared" si="22"/>
        <v>0.10100000000000001</v>
      </c>
      <c r="L54" s="227">
        <f t="shared" si="22"/>
        <v>0.1087</v>
      </c>
      <c r="M54" s="227">
        <f t="shared" si="22"/>
        <v>0.1207</v>
      </c>
      <c r="N54" s="228">
        <f t="shared" si="22"/>
        <v>0.1201</v>
      </c>
      <c r="O54" s="226">
        <f t="shared" si="22"/>
        <v>0.13</v>
      </c>
      <c r="P54" s="227">
        <f t="shared" si="22"/>
        <v>0.12559999999999999</v>
      </c>
      <c r="Q54" s="227">
        <f t="shared" si="22"/>
        <v>0.13300000000000001</v>
      </c>
      <c r="R54" s="228">
        <f t="shared" si="22"/>
        <v>0.13150000000000001</v>
      </c>
      <c r="S54" s="226">
        <f t="shared" si="22"/>
        <v>0.12740000000000001</v>
      </c>
      <c r="T54" s="227">
        <f t="shared" si="22"/>
        <v>0.12609999999999999</v>
      </c>
      <c r="U54" s="227">
        <f t="shared" si="22"/>
        <v>0.12559999999999999</v>
      </c>
      <c r="V54" s="228">
        <f t="shared" si="22"/>
        <v>0.1227</v>
      </c>
      <c r="W54" s="226">
        <f t="shared" si="22"/>
        <v>0.12429999999999999</v>
      </c>
      <c r="X54" s="227">
        <f t="shared" si="22"/>
        <v>0.1328</v>
      </c>
      <c r="Y54" s="227">
        <f t="shared" si="22"/>
        <v>0.13969999999999999</v>
      </c>
      <c r="Z54" s="228">
        <f t="shared" si="22"/>
        <v>0.14829999999999999</v>
      </c>
      <c r="AA54" s="226">
        <f t="shared" si="22"/>
        <v>0.1545</v>
      </c>
      <c r="AB54" s="227" t="s">
        <v>337</v>
      </c>
      <c r="AC54" s="227" t="s">
        <v>337</v>
      </c>
      <c r="AD54" s="228" t="s">
        <v>337</v>
      </c>
      <c r="AE54" s="226" t="s">
        <v>337</v>
      </c>
      <c r="AF54" s="227" t="s">
        <v>337</v>
      </c>
      <c r="AG54" s="227" t="s">
        <v>337</v>
      </c>
      <c r="AH54" s="228" t="s">
        <v>337</v>
      </c>
      <c r="AI54" s="227" t="s">
        <v>337</v>
      </c>
      <c r="AJ54" s="227" t="s">
        <v>337</v>
      </c>
      <c r="AK54" s="227" t="s">
        <v>337</v>
      </c>
      <c r="AL54" s="228" t="s">
        <v>337</v>
      </c>
      <c r="AM54" s="227" t="s">
        <v>337</v>
      </c>
      <c r="AN54" s="227" t="s">
        <v>337</v>
      </c>
      <c r="AO54" s="227" t="s">
        <v>337</v>
      </c>
      <c r="AP54" s="228" t="s">
        <v>337</v>
      </c>
      <c r="AQ54" s="226" t="s">
        <v>337</v>
      </c>
      <c r="AR54" s="227" t="s">
        <v>337</v>
      </c>
      <c r="AS54" s="227" t="s">
        <v>337</v>
      </c>
      <c r="AT54" s="227" t="s">
        <v>337</v>
      </c>
      <c r="AU54" s="226" t="s">
        <v>337</v>
      </c>
      <c r="AV54" s="227" t="s">
        <v>337</v>
      </c>
      <c r="AW54" s="227" t="s">
        <v>337</v>
      </c>
      <c r="AX54" s="227" t="s">
        <v>337</v>
      </c>
    </row>
    <row r="55" spans="1:50" s="151" customFormat="1" ht="11.25">
      <c r="A55" s="233"/>
      <c r="B55" s="233"/>
      <c r="C55" s="234"/>
      <c r="D55" s="235"/>
      <c r="E55" s="235"/>
      <c r="F55" s="236"/>
      <c r="G55" s="234"/>
      <c r="H55" s="235"/>
      <c r="I55" s="235"/>
      <c r="J55" s="236"/>
      <c r="K55" s="234"/>
      <c r="L55" s="235"/>
      <c r="M55" s="235"/>
      <c r="N55" s="236"/>
      <c r="O55" s="234"/>
      <c r="P55" s="235"/>
      <c r="Q55" s="235"/>
      <c r="R55" s="236"/>
      <c r="S55" s="234"/>
      <c r="T55" s="235"/>
      <c r="U55" s="235"/>
      <c r="V55" s="236"/>
      <c r="W55" s="234"/>
      <c r="X55" s="235"/>
      <c r="Y55" s="235"/>
      <c r="Z55" s="236"/>
      <c r="AA55" s="234"/>
      <c r="AB55" s="235"/>
      <c r="AC55" s="235"/>
      <c r="AD55" s="236"/>
      <c r="AE55" s="234"/>
      <c r="AF55" s="235"/>
      <c r="AG55" s="235"/>
      <c r="AH55" s="236"/>
      <c r="AI55" s="235"/>
      <c r="AJ55" s="235"/>
      <c r="AK55" s="235"/>
      <c r="AL55" s="236"/>
      <c r="AM55" s="235"/>
      <c r="AN55" s="235"/>
      <c r="AO55" s="235"/>
      <c r="AP55" s="236"/>
      <c r="AQ55" s="234"/>
      <c r="AR55" s="235"/>
      <c r="AS55" s="235"/>
      <c r="AT55" s="235"/>
      <c r="AU55" s="234"/>
      <c r="AV55" s="235"/>
      <c r="AW55" s="235"/>
      <c r="AX55" s="235"/>
    </row>
    <row r="56" spans="1:50" s="241" customFormat="1" ht="11.25">
      <c r="A56" s="237" t="s">
        <v>429</v>
      </c>
      <c r="B56" s="237" t="s">
        <v>424</v>
      </c>
      <c r="C56" s="238">
        <f>C59</f>
        <v>0.13450000000000001</v>
      </c>
      <c r="D56" s="239">
        <f t="shared" ref="D56:U56" si="23">D59</f>
        <v>0.13370000000000001</v>
      </c>
      <c r="E56" s="239">
        <f t="shared" si="23"/>
        <v>0.1246</v>
      </c>
      <c r="F56" s="240">
        <f t="shared" si="23"/>
        <v>0.12709999999999999</v>
      </c>
      <c r="G56" s="238">
        <f t="shared" si="23"/>
        <v>0.10920000000000001</v>
      </c>
      <c r="H56" s="239">
        <f t="shared" si="23"/>
        <v>0.11020000000000001</v>
      </c>
      <c r="I56" s="239">
        <f t="shared" si="23"/>
        <v>0.1162</v>
      </c>
      <c r="J56" s="240">
        <f t="shared" si="23"/>
        <v>0.1017</v>
      </c>
      <c r="K56" s="238">
        <f t="shared" si="23"/>
        <v>0.10100000000000001</v>
      </c>
      <c r="L56" s="239">
        <f t="shared" si="23"/>
        <v>0.1069</v>
      </c>
      <c r="M56" s="239">
        <f t="shared" si="23"/>
        <v>0.1191</v>
      </c>
      <c r="N56" s="240">
        <f t="shared" si="23"/>
        <v>0.1182</v>
      </c>
      <c r="O56" s="238">
        <f t="shared" si="23"/>
        <v>0.12839999999999999</v>
      </c>
      <c r="P56" s="239">
        <f t="shared" si="23"/>
        <v>0.1245</v>
      </c>
      <c r="Q56" s="239">
        <f t="shared" si="23"/>
        <v>0.1318</v>
      </c>
      <c r="R56" s="240">
        <f t="shared" si="23"/>
        <v>0.1308</v>
      </c>
      <c r="S56" s="238">
        <f t="shared" si="23"/>
        <v>0.1258</v>
      </c>
      <c r="T56" s="239">
        <f t="shared" si="23"/>
        <v>0.124</v>
      </c>
      <c r="U56" s="239">
        <f t="shared" si="23"/>
        <v>0.12470000000000001</v>
      </c>
      <c r="V56" s="240">
        <f t="shared" ref="V56:AA56" si="24">ROUND(V29/(V49*12.5),4)</f>
        <v>0.11849999999999999</v>
      </c>
      <c r="W56" s="238">
        <f t="shared" si="24"/>
        <v>0.1202</v>
      </c>
      <c r="X56" s="239">
        <f t="shared" si="24"/>
        <v>0.12820000000000001</v>
      </c>
      <c r="Y56" s="239">
        <f t="shared" si="24"/>
        <v>0.13170000000000001</v>
      </c>
      <c r="Z56" s="240">
        <f t="shared" si="24"/>
        <v>0.13389999999999999</v>
      </c>
      <c r="AA56" s="238">
        <f t="shared" si="24"/>
        <v>0.14360000000000001</v>
      </c>
      <c r="AB56" s="239">
        <f t="shared" ref="AB56:AI56" si="25">AB57</f>
        <v>0.15240000000000001</v>
      </c>
      <c r="AC56" s="239">
        <f t="shared" si="25"/>
        <v>0.1699</v>
      </c>
      <c r="AD56" s="240">
        <f t="shared" si="25"/>
        <v>0.1666</v>
      </c>
      <c r="AE56" s="238">
        <f t="shared" si="25"/>
        <v>0.1457</v>
      </c>
      <c r="AF56" s="239">
        <f t="shared" si="25"/>
        <v>0.15040000000000001</v>
      </c>
      <c r="AG56" s="239">
        <f t="shared" si="25"/>
        <v>0.14180000000000001</v>
      </c>
      <c r="AH56" s="240">
        <f t="shared" si="25"/>
        <v>0.14169999999999999</v>
      </c>
      <c r="AI56" s="239">
        <f t="shared" si="25"/>
        <v>0.14810000000000001</v>
      </c>
      <c r="AJ56" s="239">
        <f t="shared" ref="AJ56:AX56" si="26">AJ57</f>
        <v>0.13700000000000001</v>
      </c>
      <c r="AK56" s="239">
        <f t="shared" si="26"/>
        <v>0.1366</v>
      </c>
      <c r="AL56" s="240">
        <f t="shared" si="26"/>
        <v>0.13739999999999999</v>
      </c>
      <c r="AM56" s="239">
        <f t="shared" si="26"/>
        <v>0.1411</v>
      </c>
      <c r="AN56" s="239">
        <f t="shared" si="26"/>
        <v>0.13539999999999999</v>
      </c>
      <c r="AO56" s="239">
        <f t="shared" si="26"/>
        <v>0.13800000000000001</v>
      </c>
      <c r="AP56" s="240">
        <f t="shared" si="26"/>
        <v>0.13700000000000001</v>
      </c>
      <c r="AQ56" s="238">
        <f t="shared" si="26"/>
        <v>0.1333</v>
      </c>
      <c r="AR56" s="239">
        <f t="shared" si="26"/>
        <v>0.14349999999999999</v>
      </c>
      <c r="AS56" s="239">
        <f t="shared" si="26"/>
        <v>0.14119999999999999</v>
      </c>
      <c r="AT56" s="239">
        <f t="shared" si="26"/>
        <v>0.1578</v>
      </c>
      <c r="AU56" s="238">
        <f t="shared" si="26"/>
        <v>0.1512</v>
      </c>
      <c r="AV56" s="239">
        <f t="shared" si="26"/>
        <v>0.14349999999999999</v>
      </c>
      <c r="AW56" s="239">
        <f t="shared" si="26"/>
        <v>0.14410000000000001</v>
      </c>
      <c r="AX56" s="239">
        <f t="shared" si="26"/>
        <v>0.14749999999999999</v>
      </c>
    </row>
    <row r="57" spans="1:50" s="229" customFormat="1" ht="11.25">
      <c r="A57" s="242" t="s">
        <v>580</v>
      </c>
      <c r="B57" s="242" t="s">
        <v>584</v>
      </c>
      <c r="C57" s="230" t="s">
        <v>337</v>
      </c>
      <c r="D57" s="231" t="s">
        <v>337</v>
      </c>
      <c r="E57" s="231" t="s">
        <v>337</v>
      </c>
      <c r="F57" s="232" t="s">
        <v>337</v>
      </c>
      <c r="G57" s="230" t="s">
        <v>337</v>
      </c>
      <c r="H57" s="231" t="s">
        <v>337</v>
      </c>
      <c r="I57" s="231" t="s">
        <v>337</v>
      </c>
      <c r="J57" s="232" t="s">
        <v>337</v>
      </c>
      <c r="K57" s="230" t="s">
        <v>337</v>
      </c>
      <c r="L57" s="231" t="s">
        <v>337</v>
      </c>
      <c r="M57" s="231" t="s">
        <v>337</v>
      </c>
      <c r="N57" s="232" t="s">
        <v>337</v>
      </c>
      <c r="O57" s="230" t="s">
        <v>337</v>
      </c>
      <c r="P57" s="231" t="s">
        <v>337</v>
      </c>
      <c r="Q57" s="231" t="s">
        <v>337</v>
      </c>
      <c r="R57" s="232" t="s">
        <v>337</v>
      </c>
      <c r="S57" s="230" t="s">
        <v>337</v>
      </c>
      <c r="T57" s="231" t="s">
        <v>337</v>
      </c>
      <c r="U57" s="231" t="s">
        <v>337</v>
      </c>
      <c r="V57" s="232">
        <f t="shared" ref="V57:AU57" si="27">ROUND(V29/(V47*12.5),4)</f>
        <v>0.1305</v>
      </c>
      <c r="W57" s="230">
        <f t="shared" si="27"/>
        <v>0.1298</v>
      </c>
      <c r="X57" s="231">
        <f t="shared" si="27"/>
        <v>0.1331</v>
      </c>
      <c r="Y57" s="231">
        <f t="shared" si="27"/>
        <v>0.14599999999999999</v>
      </c>
      <c r="Z57" s="232">
        <f t="shared" si="27"/>
        <v>0.152</v>
      </c>
      <c r="AA57" s="230">
        <f t="shared" si="27"/>
        <v>0.16470000000000001</v>
      </c>
      <c r="AB57" s="231">
        <f t="shared" si="27"/>
        <v>0.15240000000000001</v>
      </c>
      <c r="AC57" s="231">
        <f t="shared" si="27"/>
        <v>0.1699</v>
      </c>
      <c r="AD57" s="232">
        <f t="shared" si="27"/>
        <v>0.1666</v>
      </c>
      <c r="AE57" s="230">
        <f t="shared" si="27"/>
        <v>0.1457</v>
      </c>
      <c r="AF57" s="231">
        <f t="shared" si="27"/>
        <v>0.15040000000000001</v>
      </c>
      <c r="AG57" s="231">
        <f t="shared" si="27"/>
        <v>0.14180000000000001</v>
      </c>
      <c r="AH57" s="232">
        <f t="shared" si="27"/>
        <v>0.14169999999999999</v>
      </c>
      <c r="AI57" s="231">
        <f t="shared" si="27"/>
        <v>0.14810000000000001</v>
      </c>
      <c r="AJ57" s="231">
        <f t="shared" si="27"/>
        <v>0.13700000000000001</v>
      </c>
      <c r="AK57" s="231">
        <f t="shared" si="27"/>
        <v>0.1366</v>
      </c>
      <c r="AL57" s="232">
        <f t="shared" si="27"/>
        <v>0.13739999999999999</v>
      </c>
      <c r="AM57" s="231">
        <f t="shared" si="27"/>
        <v>0.1411</v>
      </c>
      <c r="AN57" s="231">
        <f t="shared" si="27"/>
        <v>0.13539999999999999</v>
      </c>
      <c r="AO57" s="231">
        <f t="shared" si="27"/>
        <v>0.13800000000000001</v>
      </c>
      <c r="AP57" s="232">
        <f t="shared" si="27"/>
        <v>0.13700000000000001</v>
      </c>
      <c r="AQ57" s="230">
        <f t="shared" si="27"/>
        <v>0.1333</v>
      </c>
      <c r="AR57" s="231">
        <f t="shared" si="27"/>
        <v>0.14349999999999999</v>
      </c>
      <c r="AS57" s="231">
        <f t="shared" si="27"/>
        <v>0.14119999999999999</v>
      </c>
      <c r="AT57" s="231">
        <f t="shared" si="27"/>
        <v>0.1578</v>
      </c>
      <c r="AU57" s="230">
        <f t="shared" si="27"/>
        <v>0.1512</v>
      </c>
      <c r="AV57" s="231">
        <f t="shared" ref="AV57:AW57" si="28">ROUND(AV29/(AV47*12.5),4)</f>
        <v>0.14349999999999999</v>
      </c>
      <c r="AW57" s="231">
        <f t="shared" si="28"/>
        <v>0.14410000000000001</v>
      </c>
      <c r="AX57" s="231">
        <f t="shared" ref="AX57" si="29">ROUND(AX29/(AX47*12.5),4)</f>
        <v>0.14749999999999999</v>
      </c>
    </row>
    <row r="58" spans="1:50" s="229" customFormat="1" ht="11.25">
      <c r="A58" s="242" t="s">
        <v>581</v>
      </c>
      <c r="B58" s="242" t="s">
        <v>582</v>
      </c>
      <c r="C58" s="230" t="s">
        <v>337</v>
      </c>
      <c r="D58" s="231" t="s">
        <v>337</v>
      </c>
      <c r="E58" s="231" t="s">
        <v>337</v>
      </c>
      <c r="F58" s="232" t="s">
        <v>337</v>
      </c>
      <c r="G58" s="230" t="s">
        <v>337</v>
      </c>
      <c r="H58" s="231" t="s">
        <v>337</v>
      </c>
      <c r="I58" s="231" t="s">
        <v>337</v>
      </c>
      <c r="J58" s="232" t="s">
        <v>337</v>
      </c>
      <c r="K58" s="230" t="s">
        <v>337</v>
      </c>
      <c r="L58" s="231" t="s">
        <v>337</v>
      </c>
      <c r="M58" s="231" t="s">
        <v>337</v>
      </c>
      <c r="N58" s="232" t="s">
        <v>337</v>
      </c>
      <c r="O58" s="230" t="s">
        <v>337</v>
      </c>
      <c r="P58" s="231" t="s">
        <v>337</v>
      </c>
      <c r="Q58" s="231" t="s">
        <v>337</v>
      </c>
      <c r="R58" s="232" t="s">
        <v>337</v>
      </c>
      <c r="S58" s="230" t="s">
        <v>337</v>
      </c>
      <c r="T58" s="231" t="s">
        <v>337</v>
      </c>
      <c r="U58" s="231" t="s">
        <v>337</v>
      </c>
      <c r="V58" s="232" t="s">
        <v>337</v>
      </c>
      <c r="W58" s="230" t="s">
        <v>337</v>
      </c>
      <c r="X58" s="231" t="s">
        <v>337</v>
      </c>
      <c r="Y58" s="231" t="s">
        <v>337</v>
      </c>
      <c r="Z58" s="232" t="s">
        <v>337</v>
      </c>
      <c r="AA58" s="230" t="s">
        <v>337</v>
      </c>
      <c r="AB58" s="231" t="s">
        <v>337</v>
      </c>
      <c r="AC58" s="231" t="s">
        <v>337</v>
      </c>
      <c r="AD58" s="232" t="s">
        <v>337</v>
      </c>
      <c r="AE58" s="230" t="s">
        <v>337</v>
      </c>
      <c r="AF58" s="231" t="s">
        <v>337</v>
      </c>
      <c r="AG58" s="231" t="s">
        <v>337</v>
      </c>
      <c r="AH58" s="232" t="s">
        <v>337</v>
      </c>
      <c r="AI58" s="231" t="s">
        <v>337</v>
      </c>
      <c r="AJ58" s="231" t="s">
        <v>337</v>
      </c>
      <c r="AK58" s="231" t="s">
        <v>337</v>
      </c>
      <c r="AL58" s="232" t="s">
        <v>337</v>
      </c>
      <c r="AM58" s="231" t="s">
        <v>337</v>
      </c>
      <c r="AN58" s="231" t="s">
        <v>337</v>
      </c>
      <c r="AO58" s="231" t="s">
        <v>337</v>
      </c>
      <c r="AP58" s="232" t="s">
        <v>337</v>
      </c>
      <c r="AQ58" s="230" t="s">
        <v>337</v>
      </c>
      <c r="AR58" s="231" t="s">
        <v>337</v>
      </c>
      <c r="AS58" s="231" t="s">
        <v>337</v>
      </c>
      <c r="AT58" s="231" t="s">
        <v>337</v>
      </c>
      <c r="AU58" s="230">
        <f>ROUND((AU29-AU23)/(AU47*12.5),4)</f>
        <v>0.14799999999999999</v>
      </c>
      <c r="AV58" s="231">
        <f>ROUND((AV29-AV23)/(AV47*12.5),4)</f>
        <v>0.1404</v>
      </c>
      <c r="AW58" s="231">
        <f>ROUND((AW29-AW23)/(AW47*12.5),4)</f>
        <v>0.1414</v>
      </c>
      <c r="AX58" s="231">
        <f>ROUND((AX29-AX23)/(AX47*12.5),4)</f>
        <v>0.1447</v>
      </c>
    </row>
    <row r="59" spans="1:50" s="229" customFormat="1" ht="11.25">
      <c r="A59" s="243" t="s">
        <v>390</v>
      </c>
      <c r="B59" s="242" t="s">
        <v>425</v>
      </c>
      <c r="C59" s="230">
        <f t="shared" ref="C59:AA59" si="30">ROUND(C34/(C49*12.5),4)</f>
        <v>0.13450000000000001</v>
      </c>
      <c r="D59" s="231">
        <f t="shared" si="30"/>
        <v>0.13370000000000001</v>
      </c>
      <c r="E59" s="231">
        <f t="shared" si="30"/>
        <v>0.1246</v>
      </c>
      <c r="F59" s="232">
        <f t="shared" si="30"/>
        <v>0.12709999999999999</v>
      </c>
      <c r="G59" s="230">
        <f t="shared" si="30"/>
        <v>0.10920000000000001</v>
      </c>
      <c r="H59" s="231">
        <f t="shared" si="30"/>
        <v>0.11020000000000001</v>
      </c>
      <c r="I59" s="231">
        <f t="shared" si="30"/>
        <v>0.1162</v>
      </c>
      <c r="J59" s="232">
        <f t="shared" si="30"/>
        <v>0.1017</v>
      </c>
      <c r="K59" s="230">
        <f t="shared" si="30"/>
        <v>0.10100000000000001</v>
      </c>
      <c r="L59" s="231">
        <f t="shared" si="30"/>
        <v>0.1069</v>
      </c>
      <c r="M59" s="231">
        <f t="shared" si="30"/>
        <v>0.1191</v>
      </c>
      <c r="N59" s="232">
        <f t="shared" si="30"/>
        <v>0.1182</v>
      </c>
      <c r="O59" s="230">
        <f t="shared" si="30"/>
        <v>0.12839999999999999</v>
      </c>
      <c r="P59" s="231">
        <f t="shared" si="30"/>
        <v>0.1245</v>
      </c>
      <c r="Q59" s="231">
        <f t="shared" si="30"/>
        <v>0.1318</v>
      </c>
      <c r="R59" s="232">
        <f t="shared" si="30"/>
        <v>0.1308</v>
      </c>
      <c r="S59" s="230">
        <f t="shared" si="30"/>
        <v>0.1258</v>
      </c>
      <c r="T59" s="231">
        <f t="shared" si="30"/>
        <v>0.124</v>
      </c>
      <c r="U59" s="231">
        <f t="shared" si="30"/>
        <v>0.12470000000000001</v>
      </c>
      <c r="V59" s="232">
        <f t="shared" si="30"/>
        <v>0.1217</v>
      </c>
      <c r="W59" s="230">
        <f t="shared" si="30"/>
        <v>0.12180000000000001</v>
      </c>
      <c r="X59" s="231">
        <f t="shared" si="30"/>
        <v>0.12970000000000001</v>
      </c>
      <c r="Y59" s="231">
        <f t="shared" si="30"/>
        <v>0.13320000000000001</v>
      </c>
      <c r="Z59" s="232">
        <f t="shared" si="30"/>
        <v>0.1353</v>
      </c>
      <c r="AA59" s="230">
        <f t="shared" si="30"/>
        <v>0.14510000000000001</v>
      </c>
      <c r="AB59" s="231" t="s">
        <v>337</v>
      </c>
      <c r="AC59" s="231" t="s">
        <v>337</v>
      </c>
      <c r="AD59" s="232" t="s">
        <v>337</v>
      </c>
      <c r="AE59" s="230" t="s">
        <v>337</v>
      </c>
      <c r="AF59" s="231" t="s">
        <v>337</v>
      </c>
      <c r="AG59" s="231" t="s">
        <v>337</v>
      </c>
      <c r="AH59" s="232" t="s">
        <v>337</v>
      </c>
      <c r="AI59" s="231" t="s">
        <v>337</v>
      </c>
      <c r="AJ59" s="231" t="s">
        <v>337</v>
      </c>
      <c r="AK59" s="231" t="s">
        <v>337</v>
      </c>
      <c r="AL59" s="232" t="s">
        <v>337</v>
      </c>
      <c r="AM59" s="231" t="s">
        <v>337</v>
      </c>
      <c r="AN59" s="231" t="s">
        <v>337</v>
      </c>
      <c r="AO59" s="231" t="s">
        <v>337</v>
      </c>
      <c r="AP59" s="232" t="s">
        <v>337</v>
      </c>
      <c r="AQ59" s="230" t="s">
        <v>337</v>
      </c>
      <c r="AR59" s="231" t="s">
        <v>337</v>
      </c>
      <c r="AS59" s="231" t="s">
        <v>337</v>
      </c>
      <c r="AT59" s="231" t="s">
        <v>337</v>
      </c>
      <c r="AU59" s="230" t="s">
        <v>337</v>
      </c>
      <c r="AV59" s="231" t="s">
        <v>337</v>
      </c>
      <c r="AW59" s="231" t="s">
        <v>337</v>
      </c>
      <c r="AX59" s="231" t="s">
        <v>337</v>
      </c>
    </row>
    <row r="62" spans="1:50">
      <c r="C62" s="398"/>
      <c r="D62" s="398"/>
      <c r="E62" s="398"/>
      <c r="F62" s="398"/>
      <c r="G62" s="398"/>
      <c r="H62" s="398"/>
      <c r="I62" s="398"/>
      <c r="J62" s="398"/>
      <c r="K62" s="398"/>
      <c r="L62" s="398"/>
      <c r="M62" s="398"/>
      <c r="N62" s="398"/>
      <c r="O62" s="398"/>
      <c r="P62" s="398"/>
      <c r="Q62" s="398"/>
      <c r="R62" s="398"/>
      <c r="S62" s="398"/>
      <c r="T62" s="398"/>
      <c r="U62" s="398"/>
    </row>
    <row r="65" spans="3:31">
      <c r="C65" s="398"/>
      <c r="D65" s="398"/>
      <c r="E65" s="398"/>
      <c r="F65" s="398"/>
      <c r="G65" s="398"/>
      <c r="H65" s="398"/>
      <c r="I65" s="398"/>
      <c r="J65" s="398"/>
      <c r="K65" s="398"/>
      <c r="L65" s="398"/>
      <c r="M65" s="398"/>
      <c r="N65" s="398"/>
      <c r="O65" s="398"/>
      <c r="P65" s="398"/>
      <c r="Q65" s="398"/>
      <c r="R65" s="398"/>
      <c r="S65" s="398"/>
      <c r="T65" s="398"/>
      <c r="U65" s="398"/>
      <c r="V65" s="398"/>
      <c r="W65" s="398"/>
      <c r="X65" s="398"/>
      <c r="Y65" s="398"/>
      <c r="Z65" s="398"/>
      <c r="AA65" s="398"/>
      <c r="AB65" s="398"/>
      <c r="AC65" s="398"/>
      <c r="AD65" s="398"/>
      <c r="AE65" s="398"/>
    </row>
  </sheetData>
  <mergeCells count="14">
    <mergeCell ref="A10:A11"/>
    <mergeCell ref="B10:B11"/>
    <mergeCell ref="C10:F10"/>
    <mergeCell ref="G10:J10"/>
    <mergeCell ref="K10:N10"/>
    <mergeCell ref="AU10:AX10"/>
    <mergeCell ref="AI10:AL10"/>
    <mergeCell ref="O10:R10"/>
    <mergeCell ref="AA10:AD10"/>
    <mergeCell ref="AQ10:AT10"/>
    <mergeCell ref="S10:V10"/>
    <mergeCell ref="W10:Z10"/>
    <mergeCell ref="AE10:AH10"/>
    <mergeCell ref="AM10:AP10"/>
  </mergeCells>
  <pageMargins left="0.23622047244094491" right="0.23622047244094491" top="0.74803149606299213" bottom="0.74803149606299213" header="0.31496062992125984" footer="0.31496062992125984"/>
  <pageSetup paperSize="9" scale="18" orientation="portrait" r:id="rId1"/>
  <ignoredErrors>
    <ignoredError sqref="C56:U56 C54:AE55 C52:AD52 C38:AE38 C28:U28 C29:U29 C27:AE27 C26:AD26 C30:U31 C51:AE51 C32:AD32 C48:AE48 C50:AE50 W56:AD56" formulaRange="1"/>
  </ignoredError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dimension ref="A1:AX19"/>
  <sheetViews>
    <sheetView showGridLines="0" view="pageBreakPreview" zoomScaleNormal="100" zoomScaleSheetLayoutView="100" zoomScalePageLayoutView="80" workbookViewId="0">
      <pane xSplit="2" ySplit="4" topLeftCell="AI5" activePane="bottomRight" state="frozen"/>
      <selection activeCell="B1" sqref="B1"/>
      <selection pane="topRight" activeCell="C1" sqref="C1"/>
      <selection pane="bottomLeft" activeCell="B5" sqref="B5"/>
      <selection pane="bottomRight" activeCell="A2" sqref="A2:A3"/>
    </sheetView>
  </sheetViews>
  <sheetFormatPr defaultColWidth="8.85546875" defaultRowHeight="13.5" outlineLevelCol="1"/>
  <cols>
    <col min="1" max="1" width="45.42578125" style="58" customWidth="1" outlineLevel="1"/>
    <col min="2" max="2" width="49.5703125" style="58" bestFit="1" customWidth="1"/>
    <col min="3" max="50" width="5.7109375" style="13" customWidth="1"/>
    <col min="51" max="16384" width="8.85546875" style="13"/>
  </cols>
  <sheetData>
    <row r="1" spans="1:50">
      <c r="A1" s="59" t="s">
        <v>430</v>
      </c>
      <c r="B1" s="59" t="s">
        <v>431</v>
      </c>
    </row>
    <row r="2" spans="1:50">
      <c r="A2" s="481" t="s">
        <v>285</v>
      </c>
      <c r="B2" s="481" t="s">
        <v>126</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5"/>
      <c r="AA2" s="477">
        <v>2013</v>
      </c>
      <c r="AB2" s="475"/>
      <c r="AC2" s="475"/>
      <c r="AD2" s="475"/>
      <c r="AE2" s="477">
        <v>2014</v>
      </c>
      <c r="AF2" s="475"/>
      <c r="AG2" s="475"/>
      <c r="AH2" s="475"/>
      <c r="AI2" s="477">
        <v>2015</v>
      </c>
      <c r="AJ2" s="475"/>
      <c r="AK2" s="475"/>
      <c r="AL2" s="475"/>
      <c r="AM2" s="477">
        <v>2016</v>
      </c>
      <c r="AN2" s="475"/>
      <c r="AO2" s="475"/>
      <c r="AP2" s="475"/>
      <c r="AQ2" s="477">
        <v>2017</v>
      </c>
      <c r="AR2" s="475"/>
      <c r="AS2" s="475"/>
      <c r="AT2" s="476"/>
      <c r="AU2" s="477">
        <v>2018</v>
      </c>
      <c r="AV2" s="479"/>
      <c r="AW2" s="479"/>
      <c r="AX2" s="480"/>
    </row>
    <row r="3" spans="1:50"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23" t="s">
        <v>154</v>
      </c>
      <c r="AA3" s="22" t="s">
        <v>151</v>
      </c>
      <c r="AB3" s="23" t="s">
        <v>152</v>
      </c>
      <c r="AC3" s="23" t="s">
        <v>153</v>
      </c>
      <c r="AD3" s="23" t="s">
        <v>154</v>
      </c>
      <c r="AE3" s="22" t="s">
        <v>151</v>
      </c>
      <c r="AF3" s="23" t="s">
        <v>152</v>
      </c>
      <c r="AG3" s="23" t="s">
        <v>153</v>
      </c>
      <c r="AH3" s="23" t="s">
        <v>154</v>
      </c>
      <c r="AI3" s="22" t="s">
        <v>151</v>
      </c>
      <c r="AJ3" s="23" t="s">
        <v>152</v>
      </c>
      <c r="AK3" s="23" t="s">
        <v>153</v>
      </c>
      <c r="AL3" s="23" t="s">
        <v>154</v>
      </c>
      <c r="AM3" s="22" t="s">
        <v>151</v>
      </c>
      <c r="AN3" s="23" t="s">
        <v>152</v>
      </c>
      <c r="AO3" s="23" t="s">
        <v>153</v>
      </c>
      <c r="AP3" s="23" t="s">
        <v>154</v>
      </c>
      <c r="AQ3" s="22" t="s">
        <v>151</v>
      </c>
      <c r="AR3" s="23" t="s">
        <v>152</v>
      </c>
      <c r="AS3" s="23" t="s">
        <v>153</v>
      </c>
      <c r="AT3" s="23" t="s">
        <v>154</v>
      </c>
      <c r="AU3" s="22" t="s">
        <v>151</v>
      </c>
      <c r="AV3" s="23" t="s">
        <v>152</v>
      </c>
      <c r="AW3" s="23" t="s">
        <v>153</v>
      </c>
      <c r="AX3" s="23" t="s">
        <v>154</v>
      </c>
    </row>
    <row r="4" spans="1:50" s="267" customFormat="1" ht="12.75" customHeight="1">
      <c r="A4" s="24"/>
      <c r="B4" s="24"/>
      <c r="C4" s="128"/>
      <c r="D4" s="61"/>
      <c r="E4" s="61"/>
      <c r="F4" s="61"/>
      <c r="G4" s="128"/>
      <c r="H4" s="61"/>
      <c r="I4" s="61"/>
      <c r="J4" s="272"/>
      <c r="K4" s="128"/>
      <c r="L4" s="61"/>
      <c r="M4" s="61"/>
      <c r="N4" s="272"/>
      <c r="O4" s="128"/>
      <c r="P4" s="61"/>
      <c r="Q4" s="61"/>
      <c r="R4" s="272"/>
      <c r="S4" s="128"/>
      <c r="T4" s="61"/>
      <c r="U4" s="61"/>
      <c r="V4" s="272"/>
      <c r="W4" s="128"/>
      <c r="X4" s="61"/>
      <c r="Y4" s="61"/>
      <c r="Z4" s="61"/>
      <c r="AA4" s="128"/>
      <c r="AB4" s="61"/>
      <c r="AC4" s="61"/>
      <c r="AD4" s="61"/>
      <c r="AE4" s="128"/>
      <c r="AF4" s="61"/>
      <c r="AG4" s="61"/>
      <c r="AH4" s="61"/>
      <c r="AI4" s="128"/>
      <c r="AJ4" s="61"/>
      <c r="AK4" s="61"/>
      <c r="AL4" s="61"/>
      <c r="AM4" s="128"/>
      <c r="AN4" s="61"/>
      <c r="AO4" s="61"/>
      <c r="AP4" s="61"/>
      <c r="AQ4" s="128"/>
      <c r="AR4" s="61"/>
      <c r="AS4" s="61"/>
      <c r="AT4" s="61"/>
      <c r="AU4" s="128"/>
      <c r="AV4" s="61"/>
      <c r="AW4" s="61"/>
      <c r="AX4" s="61"/>
    </row>
    <row r="5" spans="1:50" s="268" customFormat="1" ht="11.25">
      <c r="A5" s="33" t="s">
        <v>286</v>
      </c>
      <c r="B5" s="33" t="s">
        <v>127</v>
      </c>
      <c r="C5" s="128"/>
      <c r="D5" s="61"/>
      <c r="E5" s="61"/>
      <c r="F5" s="61"/>
      <c r="G5" s="128"/>
      <c r="H5" s="61"/>
      <c r="I5" s="61"/>
      <c r="J5" s="272"/>
      <c r="K5" s="128"/>
      <c r="L5" s="61"/>
      <c r="M5" s="61"/>
      <c r="N5" s="272"/>
      <c r="O5" s="128"/>
      <c r="P5" s="61"/>
      <c r="Q5" s="61"/>
      <c r="R5" s="272"/>
      <c r="S5" s="128"/>
      <c r="T5" s="61"/>
      <c r="U5" s="61"/>
      <c r="V5" s="272"/>
      <c r="W5" s="128"/>
      <c r="X5" s="61"/>
      <c r="Y5" s="61"/>
      <c r="Z5" s="61"/>
      <c r="AA5" s="128"/>
      <c r="AB5" s="61"/>
      <c r="AC5" s="61"/>
      <c r="AD5" s="61"/>
      <c r="AE5" s="128"/>
      <c r="AF5" s="61"/>
      <c r="AG5" s="61"/>
      <c r="AH5" s="61"/>
      <c r="AI5" s="128"/>
      <c r="AJ5" s="61"/>
      <c r="AK5" s="61"/>
      <c r="AL5" s="61"/>
      <c r="AM5" s="128"/>
      <c r="AN5" s="61"/>
      <c r="AO5" s="61"/>
      <c r="AP5" s="61"/>
      <c r="AQ5" s="128"/>
      <c r="AR5" s="61"/>
      <c r="AS5" s="61"/>
      <c r="AT5" s="61"/>
      <c r="AU5" s="128"/>
      <c r="AV5" s="61"/>
      <c r="AW5" s="61"/>
      <c r="AX5" s="61"/>
    </row>
    <row r="6" spans="1:50" s="268" customFormat="1" ht="11.25">
      <c r="A6" s="28" t="s">
        <v>287</v>
      </c>
      <c r="B6" s="28" t="s">
        <v>128</v>
      </c>
      <c r="C6" s="128"/>
      <c r="D6" s="61"/>
      <c r="E6" s="61"/>
      <c r="F6" s="61"/>
      <c r="G6" s="128"/>
      <c r="H6" s="61"/>
      <c r="I6" s="61"/>
      <c r="J6" s="272"/>
      <c r="K6" s="128"/>
      <c r="L6" s="61"/>
      <c r="M6" s="61"/>
      <c r="N6" s="272"/>
      <c r="O6" s="128"/>
      <c r="P6" s="61"/>
      <c r="Q6" s="61"/>
      <c r="R6" s="272"/>
      <c r="S6" s="128"/>
      <c r="T6" s="61"/>
      <c r="U6" s="61"/>
      <c r="V6" s="272"/>
      <c r="W6" s="128"/>
      <c r="X6" s="61"/>
      <c r="Y6" s="61"/>
      <c r="Z6" s="61"/>
      <c r="AA6" s="128"/>
      <c r="AB6" s="61"/>
      <c r="AC6" s="61"/>
      <c r="AD6" s="61"/>
      <c r="AE6" s="128"/>
      <c r="AF6" s="61"/>
      <c r="AG6" s="61"/>
      <c r="AH6" s="61"/>
      <c r="AI6" s="128"/>
      <c r="AJ6" s="61"/>
      <c r="AK6" s="61"/>
      <c r="AL6" s="61"/>
      <c r="AM6" s="128"/>
      <c r="AN6" s="61"/>
      <c r="AO6" s="61"/>
      <c r="AP6" s="61"/>
      <c r="AQ6" s="128"/>
      <c r="AR6" s="61"/>
      <c r="AS6" s="61"/>
      <c r="AT6" s="61"/>
      <c r="AU6" s="128"/>
      <c r="AV6" s="61"/>
      <c r="AW6" s="61"/>
      <c r="AX6" s="61"/>
    </row>
    <row r="7" spans="1:50" s="268" customFormat="1" ht="11.25">
      <c r="A7" s="28" t="s">
        <v>288</v>
      </c>
      <c r="B7" s="28" t="s">
        <v>357</v>
      </c>
      <c r="C7" s="128">
        <v>7578</v>
      </c>
      <c r="D7" s="61">
        <v>7676</v>
      </c>
      <c r="E7" s="61">
        <v>7828</v>
      </c>
      <c r="F7" s="61">
        <v>8048</v>
      </c>
      <c r="G7" s="128">
        <v>8137</v>
      </c>
      <c r="H7" s="61">
        <v>8318</v>
      </c>
      <c r="I7" s="61">
        <v>8330</v>
      </c>
      <c r="J7" s="272">
        <v>8454</v>
      </c>
      <c r="K7" s="128">
        <v>8368</v>
      </c>
      <c r="L7" s="61">
        <v>8196</v>
      </c>
      <c r="M7" s="61">
        <v>8092</v>
      </c>
      <c r="N7" s="272">
        <v>8064</v>
      </c>
      <c r="O7" s="128">
        <v>8084</v>
      </c>
      <c r="P7" s="61">
        <v>8183</v>
      </c>
      <c r="Q7" s="61">
        <v>8366</v>
      </c>
      <c r="R7" s="272">
        <v>8314</v>
      </c>
      <c r="S7" s="128">
        <v>8358</v>
      </c>
      <c r="T7" s="61">
        <v>8357</v>
      </c>
      <c r="U7" s="61">
        <v>8212</v>
      </c>
      <c r="V7" s="272">
        <v>8344</v>
      </c>
      <c r="W7" s="128">
        <v>8608</v>
      </c>
      <c r="X7" s="61">
        <v>8639</v>
      </c>
      <c r="Y7" s="61">
        <v>8633</v>
      </c>
      <c r="Z7" s="61">
        <v>8603</v>
      </c>
      <c r="AA7" s="128">
        <v>8569</v>
      </c>
      <c r="AB7" s="61">
        <v>8511</v>
      </c>
      <c r="AC7" s="61">
        <v>8449</v>
      </c>
      <c r="AD7" s="61">
        <v>8396</v>
      </c>
      <c r="AE7" s="128">
        <v>8327</v>
      </c>
      <c r="AF7" s="61">
        <v>8302</v>
      </c>
      <c r="AG7" s="399">
        <v>8302</v>
      </c>
      <c r="AH7" s="399">
        <v>8287</v>
      </c>
      <c r="AI7" s="128">
        <v>8332</v>
      </c>
      <c r="AJ7" s="61">
        <v>8338</v>
      </c>
      <c r="AK7" s="61">
        <v>8314</v>
      </c>
      <c r="AL7" s="61">
        <v>8274</v>
      </c>
      <c r="AM7" s="128">
        <v>8271</v>
      </c>
      <c r="AN7" s="61">
        <v>8245</v>
      </c>
      <c r="AO7" s="61">
        <v>8179</v>
      </c>
      <c r="AP7" s="61">
        <v>8025</v>
      </c>
      <c r="AQ7" s="128">
        <v>7966</v>
      </c>
      <c r="AR7" s="61">
        <v>7980</v>
      </c>
      <c r="AS7" s="61">
        <v>8016</v>
      </c>
      <c r="AT7" s="61">
        <v>8032</v>
      </c>
      <c r="AU7" s="128">
        <v>8082</v>
      </c>
      <c r="AV7" s="61">
        <v>8075</v>
      </c>
      <c r="AW7" s="61">
        <v>8080</v>
      </c>
      <c r="AX7" s="61">
        <v>8086</v>
      </c>
    </row>
    <row r="8" spans="1:50" s="267" customFormat="1" ht="11.25">
      <c r="A8" s="28" t="s">
        <v>289</v>
      </c>
      <c r="B8" s="28" t="s">
        <v>358</v>
      </c>
      <c r="C8" s="128">
        <v>7331.8906250000009</v>
      </c>
      <c r="D8" s="61">
        <v>7417.3703125000002</v>
      </c>
      <c r="E8" s="61">
        <v>7578.3996875000003</v>
      </c>
      <c r="F8" s="61">
        <v>7792.9743749999998</v>
      </c>
      <c r="G8" s="128">
        <v>7946.2468750000007</v>
      </c>
      <c r="H8" s="61">
        <v>8125.2243749999998</v>
      </c>
      <c r="I8" s="61">
        <v>8143.5462500000012</v>
      </c>
      <c r="J8" s="272">
        <v>8279.6212500000001</v>
      </c>
      <c r="K8" s="128">
        <v>8206.4931250000009</v>
      </c>
      <c r="L8" s="61">
        <v>8048.7724999999991</v>
      </c>
      <c r="M8" s="61">
        <v>7951.6140625000007</v>
      </c>
      <c r="N8" s="272">
        <v>7914.1831250000005</v>
      </c>
      <c r="O8" s="128">
        <v>7931.9751086956512</v>
      </c>
      <c r="P8" s="61">
        <v>8027.0964285714272</v>
      </c>
      <c r="Q8" s="61">
        <v>8219.5053977272728</v>
      </c>
      <c r="R8" s="272">
        <v>8158.847826086957</v>
      </c>
      <c r="S8" s="128">
        <v>8216.8850000000002</v>
      </c>
      <c r="T8" s="61">
        <v>8204.3430000000008</v>
      </c>
      <c r="U8" s="61">
        <v>8061.3829999999998</v>
      </c>
      <c r="V8" s="272">
        <v>8194.9039999999986</v>
      </c>
      <c r="W8" s="128">
        <v>8453.421214554226</v>
      </c>
      <c r="X8" s="61">
        <v>8487.6032153000015</v>
      </c>
      <c r="Y8" s="61">
        <v>8465.2729999999992</v>
      </c>
      <c r="Z8" s="61">
        <v>8424.7649999999994</v>
      </c>
      <c r="AA8" s="128">
        <v>8391.2250000000004</v>
      </c>
      <c r="AB8" s="61">
        <v>8381.15</v>
      </c>
      <c r="AC8" s="61">
        <v>8336.17</v>
      </c>
      <c r="AD8" s="61">
        <v>8275.9549999999999</v>
      </c>
      <c r="AE8" s="128">
        <v>8208.8623809523815</v>
      </c>
      <c r="AF8" s="61">
        <v>8230.2400000000016</v>
      </c>
      <c r="AG8" s="61">
        <v>8229.130000000001</v>
      </c>
      <c r="AH8" s="61">
        <v>8223.8950000000004</v>
      </c>
      <c r="AI8" s="128">
        <v>8274.6200000000008</v>
      </c>
      <c r="AJ8" s="61">
        <v>8272.0249999999996</v>
      </c>
      <c r="AK8" s="61">
        <v>8254.363409090909</v>
      </c>
      <c r="AL8" s="61">
        <v>8218.66096590909</v>
      </c>
      <c r="AM8" s="128">
        <v>8215.8447727272724</v>
      </c>
      <c r="AN8" s="61">
        <v>8193.1556818181834</v>
      </c>
      <c r="AO8" s="61">
        <v>8130.4174999999996</v>
      </c>
      <c r="AP8" s="61">
        <v>7969.5550000000003</v>
      </c>
      <c r="AQ8" s="128">
        <v>7912.6159239130438</v>
      </c>
      <c r="AR8" s="61">
        <v>7932.7571428571428</v>
      </c>
      <c r="AS8" s="61">
        <v>7970.2934523809517</v>
      </c>
      <c r="AT8" s="61">
        <v>7979.35</v>
      </c>
      <c r="AU8" s="128">
        <v>8032.9943181818162</v>
      </c>
      <c r="AV8" s="61">
        <v>8026.2717261904754</v>
      </c>
      <c r="AW8" s="61">
        <v>8033.5629999999983</v>
      </c>
      <c r="AX8" s="61">
        <v>8033.6309999999976</v>
      </c>
    </row>
    <row r="9" spans="1:50" s="270" customFormat="1" ht="11.25">
      <c r="A9" s="28" t="s">
        <v>290</v>
      </c>
      <c r="B9" s="28" t="s">
        <v>129</v>
      </c>
      <c r="C9" s="128"/>
      <c r="D9" s="61"/>
      <c r="E9" s="61"/>
      <c r="F9" s="61"/>
      <c r="G9" s="128"/>
      <c r="H9" s="61"/>
      <c r="I9" s="61"/>
      <c r="J9" s="272"/>
      <c r="K9" s="128"/>
      <c r="L9" s="61"/>
      <c r="M9" s="61"/>
      <c r="N9" s="272"/>
      <c r="O9" s="128"/>
      <c r="P9" s="61"/>
      <c r="Q9" s="61"/>
      <c r="R9" s="272"/>
      <c r="S9" s="128"/>
      <c r="T9" s="61"/>
      <c r="U9" s="61"/>
      <c r="V9" s="272"/>
      <c r="W9" s="128"/>
      <c r="X9" s="61"/>
      <c r="Y9" s="61"/>
      <c r="Z9" s="61"/>
      <c r="AA9" s="128"/>
      <c r="AB9" s="61"/>
      <c r="AC9" s="61"/>
      <c r="AD9" s="61"/>
      <c r="AE9" s="128"/>
      <c r="AF9" s="61"/>
      <c r="AG9" s="399"/>
      <c r="AH9" s="399"/>
      <c r="AI9" s="128"/>
      <c r="AJ9" s="61"/>
      <c r="AK9" s="61"/>
      <c r="AL9" s="61"/>
      <c r="AM9" s="128"/>
      <c r="AN9" s="61"/>
      <c r="AO9" s="61"/>
      <c r="AP9" s="61"/>
      <c r="AQ9" s="128"/>
      <c r="AR9" s="61"/>
      <c r="AS9" s="61"/>
      <c r="AT9" s="61"/>
      <c r="AU9" s="128"/>
      <c r="AV9" s="61"/>
      <c r="AW9" s="61"/>
      <c r="AX9" s="61"/>
    </row>
    <row r="10" spans="1:50" s="270" customFormat="1" ht="11.25">
      <c r="A10" s="28" t="s">
        <v>288</v>
      </c>
      <c r="B10" s="28" t="s">
        <v>357</v>
      </c>
      <c r="C10" s="128">
        <v>7338</v>
      </c>
      <c r="D10" s="61">
        <v>7439</v>
      </c>
      <c r="E10" s="61">
        <v>7588</v>
      </c>
      <c r="F10" s="61">
        <v>7816</v>
      </c>
      <c r="G10" s="128">
        <v>7905</v>
      </c>
      <c r="H10" s="61">
        <v>8082</v>
      </c>
      <c r="I10" s="61">
        <v>8096</v>
      </c>
      <c r="J10" s="272">
        <v>8214</v>
      </c>
      <c r="K10" s="128">
        <v>8131</v>
      </c>
      <c r="L10" s="61">
        <v>7966</v>
      </c>
      <c r="M10" s="61">
        <v>7850</v>
      </c>
      <c r="N10" s="272">
        <v>7827</v>
      </c>
      <c r="O10" s="128">
        <v>7846</v>
      </c>
      <c r="P10" s="61">
        <v>7946</v>
      </c>
      <c r="Q10" s="61">
        <v>8127</v>
      </c>
      <c r="R10" s="272">
        <v>8068</v>
      </c>
      <c r="S10" s="128">
        <v>8113</v>
      </c>
      <c r="T10" s="61">
        <v>8115</v>
      </c>
      <c r="U10" s="61">
        <v>7984</v>
      </c>
      <c r="V10" s="272">
        <v>8149</v>
      </c>
      <c r="W10" s="128">
        <v>8206</v>
      </c>
      <c r="X10" s="61">
        <v>8221</v>
      </c>
      <c r="Y10" s="61">
        <v>8189</v>
      </c>
      <c r="Z10" s="61">
        <v>8156</v>
      </c>
      <c r="AA10" s="128">
        <v>8126</v>
      </c>
      <c r="AB10" s="61">
        <v>8069</v>
      </c>
      <c r="AC10" s="61">
        <v>8000</v>
      </c>
      <c r="AD10" s="61">
        <v>7929</v>
      </c>
      <c r="AE10" s="128">
        <v>7862</v>
      </c>
      <c r="AF10" s="61">
        <v>7824</v>
      </c>
      <c r="AG10" s="399">
        <v>7837</v>
      </c>
      <c r="AH10" s="399">
        <v>7817</v>
      </c>
      <c r="AI10" s="128">
        <v>7849</v>
      </c>
      <c r="AJ10" s="61">
        <v>7869</v>
      </c>
      <c r="AK10" s="61">
        <v>7856</v>
      </c>
      <c r="AL10" s="61">
        <v>7813</v>
      </c>
      <c r="AM10" s="128">
        <v>7804</v>
      </c>
      <c r="AN10" s="61">
        <v>7873</v>
      </c>
      <c r="AO10" s="61">
        <v>7821</v>
      </c>
      <c r="AP10" s="61">
        <v>7669</v>
      </c>
      <c r="AQ10" s="128">
        <v>7611</v>
      </c>
      <c r="AR10" s="61">
        <v>7624</v>
      </c>
      <c r="AS10" s="61">
        <v>7654</v>
      </c>
      <c r="AT10" s="61">
        <v>7661</v>
      </c>
      <c r="AU10" s="128">
        <v>7701</v>
      </c>
      <c r="AV10" s="61">
        <v>7676</v>
      </c>
      <c r="AW10" s="61">
        <v>7676</v>
      </c>
      <c r="AX10" s="61">
        <v>7665</v>
      </c>
    </row>
    <row r="11" spans="1:50" s="270" customFormat="1" ht="11.25">
      <c r="A11" s="28" t="s">
        <v>289</v>
      </c>
      <c r="B11" s="28" t="s">
        <v>358</v>
      </c>
      <c r="C11" s="128">
        <v>7104.1406250000009</v>
      </c>
      <c r="D11" s="61">
        <v>7192.2203125000005</v>
      </c>
      <c r="E11" s="61">
        <v>7349.8396874999999</v>
      </c>
      <c r="F11" s="61">
        <v>7573.7143749999996</v>
      </c>
      <c r="G11" s="128">
        <v>7726.4868750000005</v>
      </c>
      <c r="H11" s="61">
        <v>7900.7143749999996</v>
      </c>
      <c r="I11" s="61">
        <v>7920.786250000001</v>
      </c>
      <c r="J11" s="272">
        <v>8051.3612500000008</v>
      </c>
      <c r="K11" s="128">
        <v>7981.4331249999996</v>
      </c>
      <c r="L11" s="61">
        <v>7828.9124999999995</v>
      </c>
      <c r="M11" s="61">
        <v>7720.5540625000003</v>
      </c>
      <c r="N11" s="272">
        <v>7687.3731250000001</v>
      </c>
      <c r="O11" s="128">
        <v>7704.3251086956516</v>
      </c>
      <c r="P11" s="61">
        <v>7800.4464285714275</v>
      </c>
      <c r="Q11" s="61">
        <v>7989.2553977272728</v>
      </c>
      <c r="R11" s="272">
        <v>7920.847826086957</v>
      </c>
      <c r="S11" s="128">
        <v>7979.2349999999997</v>
      </c>
      <c r="T11" s="61">
        <v>7968.5630000000001</v>
      </c>
      <c r="U11" s="61">
        <v>7839.4529999999995</v>
      </c>
      <c r="V11" s="272">
        <v>8003.424</v>
      </c>
      <c r="W11" s="128">
        <v>8057.4409999999998</v>
      </c>
      <c r="X11" s="61">
        <v>8068.018</v>
      </c>
      <c r="Y11" s="61">
        <v>8033.5929999999998</v>
      </c>
      <c r="Z11" s="61">
        <v>7988.1049999999996</v>
      </c>
      <c r="AA11" s="128">
        <v>7962.8649999999998</v>
      </c>
      <c r="AB11" s="61">
        <v>7948.63</v>
      </c>
      <c r="AC11" s="61">
        <v>7894.6100000000006</v>
      </c>
      <c r="AD11" s="61">
        <v>7825.3450000000003</v>
      </c>
      <c r="AE11" s="128">
        <v>7759.9523809523807</v>
      </c>
      <c r="AF11" s="61">
        <v>7767.9000000000005</v>
      </c>
      <c r="AG11" s="399">
        <v>7779.4500000000016</v>
      </c>
      <c r="AH11" s="399">
        <v>7767.5349999999999</v>
      </c>
      <c r="AI11" s="128">
        <v>7803.9500000000007</v>
      </c>
      <c r="AJ11" s="61">
        <v>7817.7449999999999</v>
      </c>
      <c r="AK11" s="61">
        <v>7810.3084090909097</v>
      </c>
      <c r="AL11" s="61">
        <v>7771.2809659090899</v>
      </c>
      <c r="AM11" s="128">
        <v>7756.664772727273</v>
      </c>
      <c r="AN11" s="61">
        <v>7824.9556818181827</v>
      </c>
      <c r="AO11" s="61">
        <v>7776.0424999999996</v>
      </c>
      <c r="AP11" s="61">
        <v>7618.6550000000007</v>
      </c>
      <c r="AQ11" s="128">
        <v>7563.040923913044</v>
      </c>
      <c r="AR11" s="61">
        <v>7580.2321428571431</v>
      </c>
      <c r="AS11" s="61">
        <v>7611.4434523809523</v>
      </c>
      <c r="AT11" s="61">
        <v>7612.4210526315783</v>
      </c>
      <c r="AU11" s="128">
        <v>7655.4443181818169</v>
      </c>
      <c r="AV11" s="61">
        <v>7629.8467261904761</v>
      </c>
      <c r="AW11" s="61">
        <v>7633.6629999999986</v>
      </c>
      <c r="AX11" s="61">
        <v>7615.7059999999983</v>
      </c>
    </row>
    <row r="12" spans="1:50" s="268" customFormat="1" ht="11.25">
      <c r="A12" s="28"/>
      <c r="B12" s="28"/>
      <c r="C12" s="128"/>
      <c r="D12" s="61"/>
      <c r="E12" s="61"/>
      <c r="F12" s="61"/>
      <c r="G12" s="128"/>
      <c r="H12" s="61"/>
      <c r="I12" s="61"/>
      <c r="J12" s="272"/>
      <c r="K12" s="128"/>
      <c r="L12" s="61"/>
      <c r="M12" s="61"/>
      <c r="N12" s="272"/>
      <c r="O12" s="128"/>
      <c r="P12" s="61"/>
      <c r="Q12" s="61"/>
      <c r="R12" s="272"/>
      <c r="S12" s="128"/>
      <c r="T12" s="61"/>
      <c r="U12" s="61"/>
      <c r="V12" s="272"/>
      <c r="W12" s="128"/>
      <c r="X12" s="61"/>
      <c r="Y12" s="61"/>
      <c r="Z12" s="61"/>
      <c r="AA12" s="128"/>
      <c r="AB12" s="61"/>
      <c r="AC12" s="61"/>
      <c r="AD12" s="61"/>
      <c r="AE12" s="128"/>
      <c r="AF12" s="61"/>
      <c r="AG12" s="61"/>
      <c r="AH12" s="61"/>
      <c r="AI12" s="128"/>
      <c r="AJ12" s="61"/>
      <c r="AK12" s="61"/>
      <c r="AL12" s="61"/>
      <c r="AM12" s="128"/>
      <c r="AN12" s="61"/>
      <c r="AO12" s="61"/>
      <c r="AP12" s="61"/>
      <c r="AQ12" s="128"/>
      <c r="AR12" s="61"/>
      <c r="AS12" s="61"/>
      <c r="AT12" s="61"/>
      <c r="AU12" s="128"/>
      <c r="AV12" s="61"/>
      <c r="AW12" s="61"/>
      <c r="AX12" s="61"/>
    </row>
    <row r="13" spans="1:50" s="270" customFormat="1" ht="11.25">
      <c r="A13" s="33" t="s">
        <v>291</v>
      </c>
      <c r="B13" s="33" t="s">
        <v>130</v>
      </c>
      <c r="C13" s="128">
        <v>350</v>
      </c>
      <c r="D13" s="61">
        <v>361</v>
      </c>
      <c r="E13" s="61">
        <v>375</v>
      </c>
      <c r="F13" s="61">
        <v>404</v>
      </c>
      <c r="G13" s="128">
        <v>415</v>
      </c>
      <c r="H13" s="61">
        <v>430</v>
      </c>
      <c r="I13" s="61">
        <v>432</v>
      </c>
      <c r="J13" s="272">
        <v>439</v>
      </c>
      <c r="K13" s="128">
        <v>439</v>
      </c>
      <c r="L13" s="61">
        <v>438</v>
      </c>
      <c r="M13" s="61">
        <v>438</v>
      </c>
      <c r="N13" s="272">
        <v>441</v>
      </c>
      <c r="O13" s="128">
        <v>441</v>
      </c>
      <c r="P13" s="61">
        <v>442</v>
      </c>
      <c r="Q13" s="61">
        <v>441</v>
      </c>
      <c r="R13" s="272">
        <v>443</v>
      </c>
      <c r="S13" s="128">
        <v>445</v>
      </c>
      <c r="T13" s="61">
        <v>443</v>
      </c>
      <c r="U13" s="61">
        <v>441</v>
      </c>
      <c r="V13" s="272">
        <v>439</v>
      </c>
      <c r="W13" s="128">
        <v>438</v>
      </c>
      <c r="X13" s="61">
        <v>437</v>
      </c>
      <c r="Y13" s="61">
        <v>432</v>
      </c>
      <c r="Z13" s="61">
        <v>426</v>
      </c>
      <c r="AA13" s="128">
        <v>423</v>
      </c>
      <c r="AB13" s="61">
        <v>421</v>
      </c>
      <c r="AC13" s="61">
        <v>421</v>
      </c>
      <c r="AD13" s="61">
        <v>417</v>
      </c>
      <c r="AE13" s="128">
        <v>412</v>
      </c>
      <c r="AF13" s="61">
        <v>409</v>
      </c>
      <c r="AG13" s="61">
        <v>407</v>
      </c>
      <c r="AH13" s="61">
        <v>401</v>
      </c>
      <c r="AI13" s="128">
        <v>401</v>
      </c>
      <c r="AJ13" s="61">
        <v>399</v>
      </c>
      <c r="AK13" s="61">
        <v>398</v>
      </c>
      <c r="AL13" s="61">
        <v>395</v>
      </c>
      <c r="AM13" s="128">
        <v>394</v>
      </c>
      <c r="AN13" s="61">
        <v>391</v>
      </c>
      <c r="AO13" s="61">
        <v>386</v>
      </c>
      <c r="AP13" s="61">
        <v>384</v>
      </c>
      <c r="AQ13" s="128">
        <v>381</v>
      </c>
      <c r="AR13" s="399">
        <v>374</v>
      </c>
      <c r="AS13" s="399">
        <v>367</v>
      </c>
      <c r="AT13" s="61">
        <v>357</v>
      </c>
      <c r="AU13" s="128">
        <v>355</v>
      </c>
      <c r="AV13" s="61">
        <v>352</v>
      </c>
      <c r="AW13" s="61">
        <v>351</v>
      </c>
      <c r="AX13" s="61">
        <v>337</v>
      </c>
    </row>
    <row r="14" spans="1:50" s="270" customFormat="1" ht="11.25">
      <c r="A14" s="28"/>
      <c r="B14" s="28"/>
      <c r="C14" s="128"/>
      <c r="D14" s="61"/>
      <c r="E14" s="61"/>
      <c r="F14" s="61"/>
      <c r="G14" s="128"/>
      <c r="H14" s="61"/>
      <c r="I14" s="61"/>
      <c r="J14" s="272"/>
      <c r="K14" s="128"/>
      <c r="L14" s="61"/>
      <c r="M14" s="61"/>
      <c r="N14" s="272"/>
      <c r="O14" s="128"/>
      <c r="P14" s="61"/>
      <c r="Q14" s="61"/>
      <c r="R14" s="272"/>
      <c r="S14" s="128"/>
      <c r="T14" s="61"/>
      <c r="U14" s="61"/>
      <c r="V14" s="272"/>
      <c r="W14" s="128"/>
      <c r="X14" s="61"/>
      <c r="Y14" s="61"/>
      <c r="Z14" s="61"/>
      <c r="AA14" s="128"/>
      <c r="AB14" s="61"/>
      <c r="AC14" s="61"/>
      <c r="AD14" s="61"/>
      <c r="AE14" s="128"/>
      <c r="AF14" s="61"/>
      <c r="AG14" s="61"/>
      <c r="AH14" s="61"/>
      <c r="AI14" s="128"/>
      <c r="AJ14" s="61"/>
      <c r="AK14" s="61"/>
      <c r="AL14" s="61"/>
      <c r="AM14" s="128"/>
      <c r="AN14" s="61"/>
      <c r="AO14" s="61"/>
      <c r="AP14" s="61"/>
      <c r="AQ14" s="128"/>
      <c r="AR14" s="61"/>
      <c r="AS14" s="61"/>
      <c r="AT14" s="61"/>
      <c r="AU14" s="128"/>
      <c r="AV14" s="61"/>
      <c r="AW14" s="61"/>
      <c r="AX14" s="61"/>
    </row>
    <row r="15" spans="1:50" s="270" customFormat="1" ht="11.25">
      <c r="A15" s="33" t="s">
        <v>292</v>
      </c>
      <c r="B15" s="33" t="s">
        <v>132</v>
      </c>
      <c r="C15" s="400"/>
      <c r="D15" s="401"/>
      <c r="E15" s="401"/>
      <c r="F15" s="401"/>
      <c r="G15" s="400"/>
      <c r="H15" s="401"/>
      <c r="I15" s="401"/>
      <c r="J15" s="402"/>
      <c r="K15" s="400"/>
      <c r="L15" s="401"/>
      <c r="M15" s="401"/>
      <c r="N15" s="402"/>
      <c r="O15" s="400"/>
      <c r="P15" s="401"/>
      <c r="Q15" s="401"/>
      <c r="R15" s="402"/>
      <c r="S15" s="400"/>
      <c r="T15" s="401"/>
      <c r="U15" s="401"/>
      <c r="V15" s="402"/>
      <c r="W15" s="400"/>
      <c r="X15" s="401"/>
      <c r="Y15" s="401"/>
      <c r="Z15" s="401"/>
      <c r="AA15" s="400"/>
      <c r="AB15" s="401"/>
      <c r="AC15" s="401"/>
      <c r="AD15" s="401"/>
      <c r="AE15" s="400"/>
      <c r="AF15" s="401"/>
      <c r="AG15" s="401"/>
      <c r="AH15" s="401"/>
      <c r="AI15" s="400"/>
      <c r="AJ15" s="401"/>
      <c r="AK15" s="401"/>
      <c r="AL15" s="401"/>
      <c r="AM15" s="400"/>
      <c r="AN15" s="401"/>
      <c r="AO15" s="401"/>
      <c r="AP15" s="61"/>
      <c r="AQ15" s="128"/>
      <c r="AR15" s="61"/>
      <c r="AS15" s="61"/>
      <c r="AT15" s="61"/>
      <c r="AU15" s="128"/>
      <c r="AV15" s="61"/>
      <c r="AW15" s="61"/>
      <c r="AX15" s="61"/>
    </row>
    <row r="16" spans="1:50" s="270" customFormat="1" ht="11.25">
      <c r="A16" s="28" t="s">
        <v>293</v>
      </c>
      <c r="B16" s="28" t="s">
        <v>131</v>
      </c>
      <c r="C16" s="403">
        <f>SUM(C17:C19)</f>
        <v>1572</v>
      </c>
      <c r="D16" s="399">
        <f t="shared" ref="D16:X16" si="0">SUM(D17:D19)</f>
        <v>1619</v>
      </c>
      <c r="E16" s="399">
        <f t="shared" si="0"/>
        <v>1688</v>
      </c>
      <c r="F16" s="61">
        <f t="shared" si="0"/>
        <v>1777</v>
      </c>
      <c r="G16" s="128">
        <f t="shared" si="0"/>
        <v>1825</v>
      </c>
      <c r="H16" s="61">
        <f t="shared" si="0"/>
        <v>1904</v>
      </c>
      <c r="I16" s="61">
        <f t="shared" si="0"/>
        <v>1983</v>
      </c>
      <c r="J16" s="272">
        <f t="shared" si="0"/>
        <v>2003</v>
      </c>
      <c r="K16" s="128">
        <f t="shared" si="0"/>
        <v>2033</v>
      </c>
      <c r="L16" s="61">
        <f t="shared" si="0"/>
        <v>2056</v>
      </c>
      <c r="M16" s="61">
        <f t="shared" si="0"/>
        <v>2086</v>
      </c>
      <c r="N16" s="272">
        <f t="shared" si="0"/>
        <v>2082</v>
      </c>
      <c r="O16" s="128">
        <f t="shared" si="0"/>
        <v>2122</v>
      </c>
      <c r="P16" s="399">
        <f t="shared" si="0"/>
        <v>2166</v>
      </c>
      <c r="Q16" s="61">
        <f t="shared" si="0"/>
        <v>2226</v>
      </c>
      <c r="R16" s="272">
        <f t="shared" si="0"/>
        <v>2267</v>
      </c>
      <c r="S16" s="128">
        <f t="shared" si="0"/>
        <v>2300</v>
      </c>
      <c r="T16" s="61">
        <f t="shared" si="0"/>
        <v>2350</v>
      </c>
      <c r="U16" s="61">
        <f t="shared" si="0"/>
        <v>2375</v>
      </c>
      <c r="V16" s="272">
        <f t="shared" si="0"/>
        <v>2386</v>
      </c>
      <c r="W16" s="128">
        <f t="shared" si="0"/>
        <v>2405</v>
      </c>
      <c r="X16" s="61">
        <f t="shared" si="0"/>
        <v>2413</v>
      </c>
      <c r="Y16" s="61">
        <f>SUM(Y17:Y19)</f>
        <v>2456</v>
      </c>
      <c r="Z16" s="61">
        <f>SUM(Z17:Z19)</f>
        <v>2437</v>
      </c>
      <c r="AA16" s="128">
        <f>SUM(AA17:AA19)</f>
        <v>2447</v>
      </c>
      <c r="AB16" s="61">
        <f>SUM(AB17:AB19)</f>
        <v>2690</v>
      </c>
      <c r="AC16" s="61">
        <f>SUM(AC17:AC19)</f>
        <v>2820</v>
      </c>
      <c r="AD16" s="61">
        <v>2562</v>
      </c>
      <c r="AE16" s="128">
        <v>2568</v>
      </c>
      <c r="AF16" s="61">
        <v>2606</v>
      </c>
      <c r="AG16" s="61">
        <v>2667</v>
      </c>
      <c r="AH16" s="61">
        <v>2731</v>
      </c>
      <c r="AI16" s="128">
        <v>2806</v>
      </c>
      <c r="AJ16" s="61">
        <v>2877</v>
      </c>
      <c r="AK16" s="61">
        <v>2949</v>
      </c>
      <c r="AL16" s="61">
        <v>3003</v>
      </c>
      <c r="AM16" s="128">
        <v>3038</v>
      </c>
      <c r="AN16" s="61">
        <v>3093</v>
      </c>
      <c r="AO16" s="61">
        <v>3140</v>
      </c>
      <c r="AP16" s="61">
        <f t="shared" ref="AP16:AU16" si="1">AP17+AP18+AP19</f>
        <v>3160</v>
      </c>
      <c r="AQ16" s="128">
        <f t="shared" si="1"/>
        <v>2830</v>
      </c>
      <c r="AR16" s="61">
        <f t="shared" si="1"/>
        <v>2882</v>
      </c>
      <c r="AS16" s="61">
        <f t="shared" si="1"/>
        <v>2943</v>
      </c>
      <c r="AT16" s="61">
        <f t="shared" si="1"/>
        <v>3021</v>
      </c>
      <c r="AU16" s="128">
        <f t="shared" si="1"/>
        <v>3047</v>
      </c>
      <c r="AV16" s="61">
        <f>AV17+AV18+AV19</f>
        <v>2931</v>
      </c>
      <c r="AW16" s="61">
        <f>AW17+AW18+AW19</f>
        <v>3182</v>
      </c>
      <c r="AX16" s="61">
        <f>AX17+AX18+AX19</f>
        <v>3194</v>
      </c>
    </row>
    <row r="17" spans="1:50" s="270" customFormat="1" ht="11.25">
      <c r="A17" s="28" t="s">
        <v>294</v>
      </c>
      <c r="B17" s="28" t="s">
        <v>359</v>
      </c>
      <c r="C17" s="403">
        <v>1264</v>
      </c>
      <c r="D17" s="399">
        <v>1301</v>
      </c>
      <c r="E17" s="399">
        <v>1334</v>
      </c>
      <c r="F17" s="61">
        <v>1397</v>
      </c>
      <c r="G17" s="128">
        <v>1441</v>
      </c>
      <c r="H17" s="61">
        <v>1509</v>
      </c>
      <c r="I17" s="61">
        <v>1583</v>
      </c>
      <c r="J17" s="272">
        <v>1625</v>
      </c>
      <c r="K17" s="128">
        <v>1671</v>
      </c>
      <c r="L17" s="61">
        <v>1703</v>
      </c>
      <c r="M17" s="61">
        <v>1746</v>
      </c>
      <c r="N17" s="272">
        <v>1758</v>
      </c>
      <c r="O17" s="128">
        <v>1809</v>
      </c>
      <c r="P17" s="399">
        <v>1861</v>
      </c>
      <c r="Q17" s="61">
        <v>1934</v>
      </c>
      <c r="R17" s="272">
        <v>1987</v>
      </c>
      <c r="S17" s="128">
        <v>2020</v>
      </c>
      <c r="T17" s="61">
        <v>2075</v>
      </c>
      <c r="U17" s="61">
        <v>2102</v>
      </c>
      <c r="V17" s="272">
        <v>2116</v>
      </c>
      <c r="W17" s="128">
        <v>2132</v>
      </c>
      <c r="X17" s="399">
        <v>2144</v>
      </c>
      <c r="Y17" s="61">
        <v>2188</v>
      </c>
      <c r="Z17" s="61">
        <v>2144</v>
      </c>
      <c r="AA17" s="128">
        <v>2155</v>
      </c>
      <c r="AB17" s="399">
        <v>2401</v>
      </c>
      <c r="AC17" s="61">
        <v>2532</v>
      </c>
      <c r="AD17" s="61">
        <v>2271</v>
      </c>
      <c r="AE17" s="128">
        <v>2277</v>
      </c>
      <c r="AF17" s="399">
        <v>2311</v>
      </c>
      <c r="AG17" s="399">
        <v>2369</v>
      </c>
      <c r="AH17" s="399">
        <v>2431</v>
      </c>
      <c r="AI17" s="128">
        <v>2501</v>
      </c>
      <c r="AJ17" s="399">
        <v>2567</v>
      </c>
      <c r="AK17" s="399">
        <v>2636</v>
      </c>
      <c r="AL17" s="399">
        <v>2685</v>
      </c>
      <c r="AM17" s="128">
        <v>2722</v>
      </c>
      <c r="AN17" s="399">
        <v>2775</v>
      </c>
      <c r="AO17" s="399">
        <v>2818</v>
      </c>
      <c r="AP17" s="399">
        <v>2832</v>
      </c>
      <c r="AQ17" s="128">
        <v>2502</v>
      </c>
      <c r="AR17" s="399">
        <v>2548</v>
      </c>
      <c r="AS17" s="399">
        <v>2600</v>
      </c>
      <c r="AT17" s="399">
        <v>2674</v>
      </c>
      <c r="AU17" s="128">
        <v>2692</v>
      </c>
      <c r="AV17" s="399">
        <v>2550</v>
      </c>
      <c r="AW17" s="399">
        <v>2788</v>
      </c>
      <c r="AX17" s="399">
        <v>2795</v>
      </c>
    </row>
    <row r="18" spans="1:50" s="270" customFormat="1" ht="11.25">
      <c r="A18" s="28" t="s">
        <v>295</v>
      </c>
      <c r="B18" s="28" t="s">
        <v>360</v>
      </c>
      <c r="C18" s="403">
        <v>153</v>
      </c>
      <c r="D18" s="399">
        <v>185</v>
      </c>
      <c r="E18" s="399">
        <v>220</v>
      </c>
      <c r="F18" s="61">
        <v>261</v>
      </c>
      <c r="G18" s="128">
        <v>267</v>
      </c>
      <c r="H18" s="61">
        <v>274</v>
      </c>
      <c r="I18" s="61">
        <v>277</v>
      </c>
      <c r="J18" s="272">
        <v>278</v>
      </c>
      <c r="K18" s="128">
        <v>273</v>
      </c>
      <c r="L18" s="61">
        <v>265</v>
      </c>
      <c r="M18" s="61">
        <v>259</v>
      </c>
      <c r="N18" s="272">
        <v>254</v>
      </c>
      <c r="O18" s="128">
        <v>246</v>
      </c>
      <c r="P18" s="399">
        <v>248</v>
      </c>
      <c r="Q18" s="61">
        <v>237</v>
      </c>
      <c r="R18" s="272">
        <v>231</v>
      </c>
      <c r="S18" s="128">
        <v>226</v>
      </c>
      <c r="T18" s="61">
        <v>221</v>
      </c>
      <c r="U18" s="61">
        <v>216</v>
      </c>
      <c r="V18" s="272">
        <v>211</v>
      </c>
      <c r="W18" s="128">
        <v>211</v>
      </c>
      <c r="X18" s="399">
        <v>205</v>
      </c>
      <c r="Y18" s="61">
        <v>202</v>
      </c>
      <c r="Z18" s="61">
        <v>201</v>
      </c>
      <c r="AA18" s="128">
        <v>199</v>
      </c>
      <c r="AB18" s="399">
        <v>199</v>
      </c>
      <c r="AC18" s="61">
        <v>200</v>
      </c>
      <c r="AD18" s="61">
        <v>200</v>
      </c>
      <c r="AE18" s="128">
        <v>200</v>
      </c>
      <c r="AF18" s="399">
        <v>203</v>
      </c>
      <c r="AG18" s="399">
        <v>205</v>
      </c>
      <c r="AH18" s="399">
        <v>206</v>
      </c>
      <c r="AI18" s="128">
        <v>206</v>
      </c>
      <c r="AJ18" s="399">
        <v>208</v>
      </c>
      <c r="AK18" s="399">
        <v>210</v>
      </c>
      <c r="AL18" s="399">
        <v>211</v>
      </c>
      <c r="AM18" s="128">
        <v>212</v>
      </c>
      <c r="AN18" s="399">
        <v>214</v>
      </c>
      <c r="AO18" s="399">
        <v>217</v>
      </c>
      <c r="AP18" s="399">
        <v>218</v>
      </c>
      <c r="AQ18" s="128">
        <v>219</v>
      </c>
      <c r="AR18" s="399">
        <v>221</v>
      </c>
      <c r="AS18" s="399">
        <v>224</v>
      </c>
      <c r="AT18" s="399">
        <v>224</v>
      </c>
      <c r="AU18" s="128">
        <v>227</v>
      </c>
      <c r="AV18" s="399">
        <v>248</v>
      </c>
      <c r="AW18" s="399">
        <v>254</v>
      </c>
      <c r="AX18" s="399">
        <v>254</v>
      </c>
    </row>
    <row r="19" spans="1:50" s="270" customFormat="1" ht="11.25">
      <c r="A19" s="28" t="s">
        <v>296</v>
      </c>
      <c r="B19" s="28" t="s">
        <v>361</v>
      </c>
      <c r="C19" s="403">
        <v>155</v>
      </c>
      <c r="D19" s="399">
        <v>133</v>
      </c>
      <c r="E19" s="399">
        <v>134</v>
      </c>
      <c r="F19" s="61">
        <v>119</v>
      </c>
      <c r="G19" s="128">
        <v>117</v>
      </c>
      <c r="H19" s="61">
        <v>121</v>
      </c>
      <c r="I19" s="61">
        <v>123</v>
      </c>
      <c r="J19" s="272">
        <v>100</v>
      </c>
      <c r="K19" s="128">
        <v>89</v>
      </c>
      <c r="L19" s="61">
        <v>88</v>
      </c>
      <c r="M19" s="61">
        <v>81</v>
      </c>
      <c r="N19" s="272">
        <v>70</v>
      </c>
      <c r="O19" s="128">
        <v>67</v>
      </c>
      <c r="P19" s="399">
        <v>57</v>
      </c>
      <c r="Q19" s="61">
        <v>55</v>
      </c>
      <c r="R19" s="272">
        <v>49</v>
      </c>
      <c r="S19" s="128">
        <v>54</v>
      </c>
      <c r="T19" s="61">
        <v>54</v>
      </c>
      <c r="U19" s="61">
        <v>57</v>
      </c>
      <c r="V19" s="272">
        <v>59</v>
      </c>
      <c r="W19" s="128">
        <v>62</v>
      </c>
      <c r="X19" s="399">
        <v>64</v>
      </c>
      <c r="Y19" s="61">
        <v>66</v>
      </c>
      <c r="Z19" s="61">
        <v>92</v>
      </c>
      <c r="AA19" s="128">
        <v>93</v>
      </c>
      <c r="AB19" s="399">
        <v>90</v>
      </c>
      <c r="AC19" s="61">
        <v>88</v>
      </c>
      <c r="AD19" s="61">
        <v>91</v>
      </c>
      <c r="AE19" s="128">
        <v>91</v>
      </c>
      <c r="AF19" s="399">
        <v>92</v>
      </c>
      <c r="AG19" s="399">
        <v>93</v>
      </c>
      <c r="AH19" s="399">
        <v>94</v>
      </c>
      <c r="AI19" s="128">
        <v>99</v>
      </c>
      <c r="AJ19" s="399">
        <v>102</v>
      </c>
      <c r="AK19" s="399">
        <v>103</v>
      </c>
      <c r="AL19" s="399">
        <v>107</v>
      </c>
      <c r="AM19" s="128">
        <v>104</v>
      </c>
      <c r="AN19" s="399">
        <v>104</v>
      </c>
      <c r="AO19" s="399">
        <v>105</v>
      </c>
      <c r="AP19" s="399">
        <v>110</v>
      </c>
      <c r="AQ19" s="128">
        <v>109</v>
      </c>
      <c r="AR19" s="399">
        <v>113</v>
      </c>
      <c r="AS19" s="399">
        <v>119</v>
      </c>
      <c r="AT19" s="399">
        <v>123</v>
      </c>
      <c r="AU19" s="128">
        <v>128</v>
      </c>
      <c r="AV19" s="399">
        <v>133</v>
      </c>
      <c r="AW19" s="399">
        <v>140</v>
      </c>
      <c r="AX19" s="399">
        <v>145</v>
      </c>
    </row>
  </sheetData>
  <mergeCells count="14">
    <mergeCell ref="AU2:AX2"/>
    <mergeCell ref="AQ2:AT2"/>
    <mergeCell ref="A2:A3"/>
    <mergeCell ref="B2:B3"/>
    <mergeCell ref="C2:F2"/>
    <mergeCell ref="G2:J2"/>
    <mergeCell ref="K2:N2"/>
    <mergeCell ref="AI2:AL2"/>
    <mergeCell ref="S2:V2"/>
    <mergeCell ref="AM2:AP2"/>
    <mergeCell ref="O2:R2"/>
    <mergeCell ref="AE2:AH2"/>
    <mergeCell ref="AA2:AD2"/>
    <mergeCell ref="W2:Z2"/>
  </mergeCells>
  <printOptions horizontalCentered="1"/>
  <pageMargins left="0.23622047244094491" right="0.23622047244094491" top="0.74803149606299213" bottom="0.74803149606299213" header="0.31496062992125984" footer="0.31496062992125984"/>
  <pageSetup paperSize="9" scale="40" orientation="landscape" r:id="rId1"/>
  <headerFooter alignWithMargins="0">
    <oddHeader xml:space="preserve">&amp;C&amp;"Times New Roman,Kursywa"&amp;12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2:AT45"/>
  <sheetViews>
    <sheetView showGridLines="0" view="pageBreakPreview" topLeftCell="A2" zoomScaleNormal="100" zoomScaleSheetLayoutView="100" zoomScalePageLayoutView="80" workbookViewId="0">
      <pane xSplit="2" ySplit="4" topLeftCell="AK6" activePane="bottomRight" state="frozen"/>
      <selection activeCell="A2" sqref="A2"/>
      <selection pane="topRight" activeCell="C2" sqref="C2"/>
      <selection pane="bottomLeft" activeCell="A6" sqref="A6"/>
      <selection pane="bottomRight" activeCell="AT10" sqref="AT10"/>
    </sheetView>
  </sheetViews>
  <sheetFormatPr defaultColWidth="8.85546875" defaultRowHeight="13.5" outlineLevelCol="1"/>
  <cols>
    <col min="1" max="1" width="49.7109375" style="58" customWidth="1" outlineLevel="1"/>
    <col min="2" max="2" width="52.28515625" style="58" customWidth="1"/>
    <col min="3" max="46" width="8.7109375" style="13" customWidth="1"/>
    <col min="47" max="16384" width="8.85546875" style="13"/>
  </cols>
  <sheetData>
    <row r="2" spans="1:46">
      <c r="A2" s="59" t="s">
        <v>430</v>
      </c>
      <c r="B2" s="59" t="s">
        <v>431</v>
      </c>
    </row>
    <row r="3" spans="1:46">
      <c r="A3" s="481" t="s">
        <v>276</v>
      </c>
      <c r="B3" s="481" t="s">
        <v>121</v>
      </c>
      <c r="C3" s="477">
        <v>2007</v>
      </c>
      <c r="D3" s="475"/>
      <c r="E3" s="475"/>
      <c r="F3" s="475"/>
      <c r="G3" s="477">
        <v>2008</v>
      </c>
      <c r="H3" s="475"/>
      <c r="I3" s="475"/>
      <c r="J3" s="475"/>
      <c r="K3" s="477">
        <v>2009</v>
      </c>
      <c r="L3" s="475"/>
      <c r="M3" s="475"/>
      <c r="N3" s="475"/>
      <c r="O3" s="477">
        <v>2010</v>
      </c>
      <c r="P3" s="475"/>
      <c r="Q3" s="475"/>
      <c r="R3" s="475"/>
      <c r="S3" s="477">
        <v>2011</v>
      </c>
      <c r="T3" s="475"/>
      <c r="U3" s="475"/>
      <c r="V3" s="475"/>
      <c r="W3" s="477">
        <v>2012</v>
      </c>
      <c r="X3" s="475"/>
      <c r="Y3" s="475"/>
      <c r="Z3" s="478"/>
      <c r="AA3" s="477">
        <v>2013</v>
      </c>
      <c r="AB3" s="475"/>
      <c r="AC3" s="475"/>
      <c r="AD3" s="478"/>
      <c r="AE3" s="474">
        <v>2014</v>
      </c>
      <c r="AF3" s="475"/>
      <c r="AG3" s="475"/>
      <c r="AH3" s="478"/>
      <c r="AI3" s="474">
        <v>2015</v>
      </c>
      <c r="AJ3" s="475"/>
      <c r="AK3" s="475"/>
      <c r="AL3" s="478"/>
      <c r="AM3" s="474">
        <v>2016</v>
      </c>
      <c r="AN3" s="475"/>
      <c r="AO3" s="475"/>
      <c r="AP3" s="478"/>
      <c r="AQ3" s="515">
        <v>2017</v>
      </c>
      <c r="AR3" s="516"/>
      <c r="AS3" s="516"/>
      <c r="AT3" s="516"/>
    </row>
    <row r="4" spans="1:46" s="14" customFormat="1">
      <c r="A4" s="482"/>
      <c r="B4" s="482"/>
      <c r="C4" s="22" t="s">
        <v>151</v>
      </c>
      <c r="D4" s="23" t="s">
        <v>152</v>
      </c>
      <c r="E4" s="23" t="s">
        <v>153</v>
      </c>
      <c r="F4" s="23" t="s">
        <v>154</v>
      </c>
      <c r="G4" s="22" t="s">
        <v>151</v>
      </c>
      <c r="H4" s="23" t="s">
        <v>152</v>
      </c>
      <c r="I4" s="23" t="s">
        <v>153</v>
      </c>
      <c r="J4" s="23" t="s">
        <v>154</v>
      </c>
      <c r="K4" s="22" t="s">
        <v>151</v>
      </c>
      <c r="L4" s="23" t="s">
        <v>152</v>
      </c>
      <c r="M4" s="23" t="s">
        <v>153</v>
      </c>
      <c r="N4" s="23" t="s">
        <v>154</v>
      </c>
      <c r="O4" s="22" t="s">
        <v>151</v>
      </c>
      <c r="P4" s="23" t="s">
        <v>152</v>
      </c>
      <c r="Q4" s="23" t="s">
        <v>153</v>
      </c>
      <c r="R4" s="23" t="s">
        <v>154</v>
      </c>
      <c r="S4" s="22" t="s">
        <v>151</v>
      </c>
      <c r="T4" s="23" t="s">
        <v>152</v>
      </c>
      <c r="U4" s="23" t="s">
        <v>153</v>
      </c>
      <c r="V4" s="23" t="s">
        <v>154</v>
      </c>
      <c r="W4" s="22" t="s">
        <v>151</v>
      </c>
      <c r="X4" s="23" t="s">
        <v>152</v>
      </c>
      <c r="Y4" s="23" t="s">
        <v>153</v>
      </c>
      <c r="Z4" s="48" t="s">
        <v>154</v>
      </c>
      <c r="AA4" s="275" t="s">
        <v>151</v>
      </c>
      <c r="AB4" s="276" t="s">
        <v>152</v>
      </c>
      <c r="AC4" s="276" t="s">
        <v>153</v>
      </c>
      <c r="AD4" s="277" t="s">
        <v>154</v>
      </c>
      <c r="AE4" s="276" t="s">
        <v>151</v>
      </c>
      <c r="AF4" s="276" t="s">
        <v>152</v>
      </c>
      <c r="AG4" s="276" t="s">
        <v>153</v>
      </c>
      <c r="AH4" s="277" t="s">
        <v>154</v>
      </c>
      <c r="AI4" s="276" t="s">
        <v>151</v>
      </c>
      <c r="AJ4" s="276" t="s">
        <v>152</v>
      </c>
      <c r="AK4" s="276" t="s">
        <v>153</v>
      </c>
      <c r="AL4" s="277" t="s">
        <v>154</v>
      </c>
      <c r="AM4" s="276" t="s">
        <v>151</v>
      </c>
      <c r="AN4" s="276" t="s">
        <v>152</v>
      </c>
      <c r="AO4" s="276" t="s">
        <v>153</v>
      </c>
      <c r="AP4" s="277" t="s">
        <v>154</v>
      </c>
      <c r="AQ4" s="276" t="s">
        <v>151</v>
      </c>
      <c r="AR4" s="276" t="s">
        <v>152</v>
      </c>
      <c r="AS4" s="276" t="s">
        <v>153</v>
      </c>
      <c r="AT4" s="277" t="s">
        <v>154</v>
      </c>
    </row>
    <row r="5" spans="1:46" s="267" customFormat="1" ht="12.75" customHeight="1">
      <c r="A5" s="24" t="s">
        <v>156</v>
      </c>
      <c r="B5" s="24" t="s">
        <v>11</v>
      </c>
      <c r="C5" s="128"/>
      <c r="D5" s="129"/>
      <c r="E5" s="61"/>
      <c r="F5" s="129"/>
      <c r="G5" s="128"/>
      <c r="H5" s="129"/>
      <c r="I5" s="61"/>
      <c r="J5" s="130"/>
      <c r="K5" s="128"/>
      <c r="L5" s="129"/>
      <c r="M5" s="61"/>
      <c r="N5" s="130"/>
      <c r="O5" s="128"/>
      <c r="P5" s="129"/>
      <c r="Q5" s="61"/>
      <c r="R5" s="130"/>
      <c r="S5" s="128"/>
      <c r="T5" s="129"/>
      <c r="U5" s="61"/>
      <c r="V5" s="130"/>
      <c r="W5" s="128"/>
      <c r="X5" s="61"/>
      <c r="Y5" s="61"/>
      <c r="Z5" s="272"/>
      <c r="AA5" s="128"/>
      <c r="AB5" s="61"/>
      <c r="AC5" s="61"/>
      <c r="AD5" s="272"/>
      <c r="AE5" s="61"/>
      <c r="AF5" s="61"/>
      <c r="AG5" s="61"/>
      <c r="AH5" s="272"/>
      <c r="AI5" s="61"/>
      <c r="AJ5" s="61"/>
      <c r="AK5" s="61"/>
      <c r="AL5" s="272"/>
      <c r="AM5" s="61"/>
      <c r="AN5" s="61"/>
      <c r="AO5" s="61"/>
      <c r="AP5" s="272"/>
      <c r="AQ5" s="61"/>
      <c r="AR5" s="61"/>
      <c r="AS5" s="61"/>
      <c r="AT5" s="272"/>
    </row>
    <row r="6" spans="1:46" s="268" customFormat="1" ht="11.25">
      <c r="A6" s="32" t="s">
        <v>277</v>
      </c>
      <c r="B6" s="32" t="s">
        <v>112</v>
      </c>
      <c r="C6" s="29">
        <f t="shared" ref="C6:AF6" si="0">SUM(C15,C24,C29,C37)</f>
        <v>37903.5</v>
      </c>
      <c r="D6" s="30">
        <f t="shared" si="0"/>
        <v>37613</v>
      </c>
      <c r="E6" s="30">
        <f t="shared" si="0"/>
        <v>38935.5</v>
      </c>
      <c r="F6" s="30">
        <f t="shared" si="0"/>
        <v>42952.5</v>
      </c>
      <c r="G6" s="29">
        <f t="shared" si="0"/>
        <v>44148.4</v>
      </c>
      <c r="H6" s="30">
        <f t="shared" si="0"/>
        <v>46819.5</v>
      </c>
      <c r="I6" s="30">
        <f t="shared" si="0"/>
        <v>50369.599999999999</v>
      </c>
      <c r="J6" s="31">
        <f t="shared" si="0"/>
        <v>46317.7</v>
      </c>
      <c r="K6" s="29">
        <f t="shared" si="0"/>
        <v>45628.1</v>
      </c>
      <c r="L6" s="30">
        <f t="shared" si="0"/>
        <v>45008.2</v>
      </c>
      <c r="M6" s="30">
        <f t="shared" si="0"/>
        <v>45775.9</v>
      </c>
      <c r="N6" s="31">
        <f t="shared" si="0"/>
        <v>46762</v>
      </c>
      <c r="O6" s="29">
        <f t="shared" si="0"/>
        <v>45165.799999999996</v>
      </c>
      <c r="P6" s="30">
        <f t="shared" si="0"/>
        <v>45293.700000000004</v>
      </c>
      <c r="Q6" s="30">
        <f t="shared" si="0"/>
        <v>47122.899999999994</v>
      </c>
      <c r="R6" s="31">
        <f t="shared" si="0"/>
        <v>46884.899999999994</v>
      </c>
      <c r="S6" s="29">
        <f t="shared" si="0"/>
        <v>45740.9</v>
      </c>
      <c r="T6" s="30">
        <f t="shared" si="0"/>
        <v>47565.100000000006</v>
      </c>
      <c r="U6" s="30">
        <f t="shared" si="0"/>
        <v>50063.799999999996</v>
      </c>
      <c r="V6" s="31">
        <f t="shared" si="0"/>
        <v>52379.1</v>
      </c>
      <c r="W6" s="29">
        <f t="shared" si="0"/>
        <v>51557.8</v>
      </c>
      <c r="X6" s="30">
        <f t="shared" si="0"/>
        <v>53253.5</v>
      </c>
      <c r="Y6" s="30">
        <f t="shared" si="0"/>
        <v>53924.7</v>
      </c>
      <c r="Z6" s="31">
        <f t="shared" si="0"/>
        <v>56834.600000000006</v>
      </c>
      <c r="AA6" s="29">
        <f t="shared" si="0"/>
        <v>57034.1</v>
      </c>
      <c r="AB6" s="30">
        <f t="shared" si="0"/>
        <v>61127.499999999993</v>
      </c>
      <c r="AC6" s="30">
        <f t="shared" si="0"/>
        <v>65255.7</v>
      </c>
      <c r="AD6" s="31">
        <f t="shared" si="0"/>
        <v>66544</v>
      </c>
      <c r="AE6" s="30">
        <f t="shared" si="0"/>
        <v>66012.3</v>
      </c>
      <c r="AF6" s="30">
        <f t="shared" si="0"/>
        <v>68471</v>
      </c>
      <c r="AG6" s="30">
        <f t="shared" ref="AG6:AL6" si="1">SUM(AG15,AG24,AG29,AG37)</f>
        <v>70537.8</v>
      </c>
      <c r="AH6" s="31">
        <f t="shared" si="1"/>
        <v>74405.7</v>
      </c>
      <c r="AI6" s="30">
        <f t="shared" si="1"/>
        <v>76535.200000000012</v>
      </c>
      <c r="AJ6" s="30">
        <f t="shared" si="1"/>
        <v>79505.600000000006</v>
      </c>
      <c r="AK6" s="30">
        <f t="shared" si="1"/>
        <v>82585</v>
      </c>
      <c r="AL6" s="31">
        <f t="shared" si="1"/>
        <v>86463.7</v>
      </c>
      <c r="AM6" s="30">
        <f t="shared" ref="AM6:AR6" si="2">SUM(AM15,AM24,AM29,AM37)</f>
        <v>89106.8</v>
      </c>
      <c r="AN6" s="30">
        <f t="shared" si="2"/>
        <v>91728.099999999991</v>
      </c>
      <c r="AO6" s="30">
        <f t="shared" si="2"/>
        <v>90785</v>
      </c>
      <c r="AP6" s="31">
        <f t="shared" si="2"/>
        <v>94113.400000000009</v>
      </c>
      <c r="AQ6" s="30">
        <f t="shared" si="2"/>
        <v>95065.2</v>
      </c>
      <c r="AR6" s="30">
        <f t="shared" si="2"/>
        <v>95981.1</v>
      </c>
      <c r="AS6" s="30">
        <f>SUM(AS15,AS24,AS29,AS37)</f>
        <v>96965</v>
      </c>
      <c r="AT6" s="30">
        <f>SUM(AT15,AT24,AT29,AT37)</f>
        <v>102850.59999999999</v>
      </c>
    </row>
    <row r="7" spans="1:46" s="268" customFormat="1" ht="11.25">
      <c r="A7" s="28" t="s">
        <v>278</v>
      </c>
      <c r="B7" s="28" t="s">
        <v>113</v>
      </c>
      <c r="C7" s="29">
        <f t="shared" ref="C7:AF7" si="3">SUM(C18,C27,C32,C40)</f>
        <v>481</v>
      </c>
      <c r="D7" s="30">
        <f t="shared" si="3"/>
        <v>648.69999999999993</v>
      </c>
      <c r="E7" s="30">
        <f t="shared" si="3"/>
        <v>659.79999999999973</v>
      </c>
      <c r="F7" s="30">
        <f t="shared" si="3"/>
        <v>694</v>
      </c>
      <c r="G7" s="29">
        <f t="shared" si="3"/>
        <v>543.1</v>
      </c>
      <c r="H7" s="30">
        <f t="shared" si="3"/>
        <v>626.09999999999991</v>
      </c>
      <c r="I7" s="30">
        <f t="shared" si="3"/>
        <v>634.80000000000007</v>
      </c>
      <c r="J7" s="31">
        <f t="shared" si="3"/>
        <v>592.20000000000005</v>
      </c>
      <c r="K7" s="29">
        <f t="shared" si="3"/>
        <v>716.69999999999993</v>
      </c>
      <c r="L7" s="30">
        <f t="shared" si="3"/>
        <v>720.4</v>
      </c>
      <c r="M7" s="30">
        <f t="shared" si="3"/>
        <v>729.1</v>
      </c>
      <c r="N7" s="31">
        <f t="shared" si="3"/>
        <v>557.1</v>
      </c>
      <c r="O7" s="29">
        <f t="shared" si="3"/>
        <v>541.79999999999995</v>
      </c>
      <c r="P7" s="30">
        <f t="shared" si="3"/>
        <v>597.6</v>
      </c>
      <c r="Q7" s="30">
        <f t="shared" si="3"/>
        <v>578.70000000000005</v>
      </c>
      <c r="R7" s="31">
        <f t="shared" si="3"/>
        <v>563.29999999999995</v>
      </c>
      <c r="S7" s="29">
        <f t="shared" si="3"/>
        <v>624.20000000000005</v>
      </c>
      <c r="T7" s="30">
        <f t="shared" si="3"/>
        <v>646.50000000000011</v>
      </c>
      <c r="U7" s="30">
        <f t="shared" si="3"/>
        <v>656.69999999999993</v>
      </c>
      <c r="V7" s="31">
        <f t="shared" si="3"/>
        <v>481.50000000000006</v>
      </c>
      <c r="W7" s="29">
        <f t="shared" si="3"/>
        <v>863.69999999999993</v>
      </c>
      <c r="X7" s="30">
        <f t="shared" si="3"/>
        <v>928.90000000000009</v>
      </c>
      <c r="Y7" s="30">
        <f t="shared" si="3"/>
        <v>967.00000000000011</v>
      </c>
      <c r="Z7" s="31">
        <f t="shared" si="3"/>
        <v>1063.8</v>
      </c>
      <c r="AA7" s="29">
        <f t="shared" si="3"/>
        <v>1092.7</v>
      </c>
      <c r="AB7" s="30">
        <f t="shared" si="3"/>
        <v>1093.0999999999999</v>
      </c>
      <c r="AC7" s="30">
        <f t="shared" si="3"/>
        <v>1142.2000000000003</v>
      </c>
      <c r="AD7" s="31">
        <f t="shared" si="3"/>
        <v>1003.9000000000001</v>
      </c>
      <c r="AE7" s="30">
        <f t="shared" si="3"/>
        <v>1013.6</v>
      </c>
      <c r="AF7" s="30">
        <f t="shared" si="3"/>
        <v>1218.2</v>
      </c>
      <c r="AG7" s="30">
        <f t="shared" ref="AG7:AL7" si="4">SUM(AG18,AG27,AG32,AG40)</f>
        <v>1160.6999999999998</v>
      </c>
      <c r="AH7" s="31">
        <f t="shared" si="4"/>
        <v>1253.2</v>
      </c>
      <c r="AI7" s="30">
        <f t="shared" si="4"/>
        <v>1071.5</v>
      </c>
      <c r="AJ7" s="30">
        <f t="shared" si="4"/>
        <v>1245.0000000000002</v>
      </c>
      <c r="AK7" s="30">
        <f t="shared" si="4"/>
        <v>1240.8999999999999</v>
      </c>
      <c r="AL7" s="31">
        <f t="shared" si="4"/>
        <v>1354.8000000000002</v>
      </c>
      <c r="AM7" s="30">
        <f t="shared" ref="AM7:AR7" si="5">SUM(AM18,AM27,AM32,AM40)</f>
        <v>1296.2</v>
      </c>
      <c r="AN7" s="30">
        <f t="shared" si="5"/>
        <v>1755.2</v>
      </c>
      <c r="AO7" s="30">
        <f t="shared" si="5"/>
        <v>1519.6</v>
      </c>
      <c r="AP7" s="31">
        <f t="shared" si="5"/>
        <v>1712</v>
      </c>
      <c r="AQ7" s="30">
        <f t="shared" si="5"/>
        <v>1555.5</v>
      </c>
      <c r="AR7" s="30">
        <f t="shared" si="5"/>
        <v>1727.6999999999998</v>
      </c>
      <c r="AS7" s="30">
        <f>SUM(AS18,AS27,AS32,AS40)</f>
        <v>1494.7999999999997</v>
      </c>
      <c r="AT7" s="30">
        <f>SUM(AT18,AT27,AT32,AT40)</f>
        <v>1652.7</v>
      </c>
    </row>
    <row r="8" spans="1:46" s="271" customFormat="1" ht="17.45" customHeight="1">
      <c r="A8" s="57" t="s">
        <v>279</v>
      </c>
      <c r="B8" s="57" t="s">
        <v>122</v>
      </c>
      <c r="C8" s="42">
        <f>SUM(C6:C7)</f>
        <v>38384.5</v>
      </c>
      <c r="D8" s="43">
        <f t="shared" ref="D8:AB8" si="6">SUM(D6:D7)</f>
        <v>38261.699999999997</v>
      </c>
      <c r="E8" s="43">
        <f t="shared" si="6"/>
        <v>39595.300000000003</v>
      </c>
      <c r="F8" s="43">
        <f t="shared" si="6"/>
        <v>43646.5</v>
      </c>
      <c r="G8" s="42">
        <f t="shared" si="6"/>
        <v>44691.5</v>
      </c>
      <c r="H8" s="43">
        <f t="shared" si="6"/>
        <v>47445.599999999999</v>
      </c>
      <c r="I8" s="43">
        <f t="shared" si="6"/>
        <v>51004.4</v>
      </c>
      <c r="J8" s="44">
        <f t="shared" si="6"/>
        <v>46909.899999999994</v>
      </c>
      <c r="K8" s="42">
        <f t="shared" si="6"/>
        <v>46344.799999999996</v>
      </c>
      <c r="L8" s="43">
        <f t="shared" si="6"/>
        <v>45728.6</v>
      </c>
      <c r="M8" s="43">
        <f t="shared" si="6"/>
        <v>46505</v>
      </c>
      <c r="N8" s="44">
        <f t="shared" si="6"/>
        <v>47319.1</v>
      </c>
      <c r="O8" s="42">
        <f t="shared" si="6"/>
        <v>45707.6</v>
      </c>
      <c r="P8" s="43">
        <f t="shared" si="6"/>
        <v>45891.3</v>
      </c>
      <c r="Q8" s="43">
        <f t="shared" si="6"/>
        <v>47701.599999999991</v>
      </c>
      <c r="R8" s="44">
        <f t="shared" si="6"/>
        <v>47448.2</v>
      </c>
      <c r="S8" s="42">
        <f t="shared" si="6"/>
        <v>46365.1</v>
      </c>
      <c r="T8" s="43">
        <f t="shared" si="6"/>
        <v>48211.600000000006</v>
      </c>
      <c r="U8" s="43">
        <f t="shared" si="6"/>
        <v>50720.499999999993</v>
      </c>
      <c r="V8" s="44">
        <f t="shared" si="6"/>
        <v>52860.6</v>
      </c>
      <c r="W8" s="42">
        <f t="shared" si="6"/>
        <v>52421.5</v>
      </c>
      <c r="X8" s="43">
        <f t="shared" si="6"/>
        <v>54182.400000000001</v>
      </c>
      <c r="Y8" s="43">
        <f t="shared" si="6"/>
        <v>54891.7</v>
      </c>
      <c r="Z8" s="44">
        <f t="shared" si="6"/>
        <v>57898.400000000009</v>
      </c>
      <c r="AA8" s="42">
        <f t="shared" si="6"/>
        <v>58126.799999999996</v>
      </c>
      <c r="AB8" s="43">
        <f t="shared" si="6"/>
        <v>62220.599999999991</v>
      </c>
      <c r="AC8" s="43">
        <f t="shared" ref="AC8:AH8" si="7">SUM(AC6:AC7)</f>
        <v>66397.899999999994</v>
      </c>
      <c r="AD8" s="44">
        <f t="shared" si="7"/>
        <v>67547.899999999994</v>
      </c>
      <c r="AE8" s="43">
        <f t="shared" si="7"/>
        <v>67025.900000000009</v>
      </c>
      <c r="AF8" s="43">
        <f t="shared" si="7"/>
        <v>69689.2</v>
      </c>
      <c r="AG8" s="43">
        <f t="shared" si="7"/>
        <v>71698.5</v>
      </c>
      <c r="AH8" s="44">
        <f t="shared" si="7"/>
        <v>75658.899999999994</v>
      </c>
      <c r="AI8" s="43">
        <f t="shared" ref="AI8:AR8" si="8">SUM(AI6:AI7)</f>
        <v>77606.700000000012</v>
      </c>
      <c r="AJ8" s="43">
        <f t="shared" si="8"/>
        <v>80750.600000000006</v>
      </c>
      <c r="AK8" s="43">
        <f t="shared" si="8"/>
        <v>83825.899999999994</v>
      </c>
      <c r="AL8" s="44">
        <f t="shared" si="8"/>
        <v>87818.5</v>
      </c>
      <c r="AM8" s="43">
        <f t="shared" si="8"/>
        <v>90403</v>
      </c>
      <c r="AN8" s="43">
        <f>SUM(AN6:AN7)</f>
        <v>93483.299999999988</v>
      </c>
      <c r="AO8" s="43">
        <f>SUM(AO6:AO7)</f>
        <v>92304.6</v>
      </c>
      <c r="AP8" s="44">
        <f t="shared" si="8"/>
        <v>95825.400000000009</v>
      </c>
      <c r="AQ8" s="43">
        <f t="shared" si="8"/>
        <v>96620.7</v>
      </c>
      <c r="AR8" s="43">
        <f t="shared" si="8"/>
        <v>97708.800000000003</v>
      </c>
      <c r="AS8" s="43">
        <f>SUM(AS6:AS7)</f>
        <v>98459.8</v>
      </c>
      <c r="AT8" s="43">
        <f>SUM(AT6:AT7)</f>
        <v>104503.29999999999</v>
      </c>
    </row>
    <row r="9" spans="1:46" s="270" customFormat="1" ht="22.5">
      <c r="A9" s="37" t="s">
        <v>326</v>
      </c>
      <c r="B9" s="37" t="s">
        <v>123</v>
      </c>
      <c r="C9" s="29">
        <f>SUM(C19)</f>
        <v>2997.5</v>
      </c>
      <c r="D9" s="30">
        <f t="shared" ref="D9:X9" si="9">SUM(D19)</f>
        <v>2818.1000000000004</v>
      </c>
      <c r="E9" s="30">
        <f t="shared" si="9"/>
        <v>2449.8999999999996</v>
      </c>
      <c r="F9" s="30">
        <f t="shared" si="9"/>
        <v>2342.1999999999998</v>
      </c>
      <c r="G9" s="29">
        <f t="shared" si="9"/>
        <v>2498.6</v>
      </c>
      <c r="H9" s="30">
        <f t="shared" si="9"/>
        <v>3802.2</v>
      </c>
      <c r="I9" s="30">
        <f t="shared" si="9"/>
        <v>3351</v>
      </c>
      <c r="J9" s="31">
        <f t="shared" si="9"/>
        <v>4396.4000000000005</v>
      </c>
      <c r="K9" s="29">
        <f t="shared" si="9"/>
        <v>4990.7</v>
      </c>
      <c r="L9" s="30">
        <f t="shared" si="9"/>
        <v>4152.5</v>
      </c>
      <c r="M9" s="30">
        <f t="shared" si="9"/>
        <v>4327</v>
      </c>
      <c r="N9" s="31">
        <f t="shared" si="9"/>
        <v>3445.4999999999995</v>
      </c>
      <c r="O9" s="29">
        <f t="shared" si="9"/>
        <v>3147.7000000000003</v>
      </c>
      <c r="P9" s="30">
        <f t="shared" si="9"/>
        <v>3962.7000000000003</v>
      </c>
      <c r="Q9" s="30">
        <f t="shared" si="9"/>
        <v>3319.5</v>
      </c>
      <c r="R9" s="31">
        <f t="shared" si="9"/>
        <v>2726</v>
      </c>
      <c r="S9" s="29">
        <f t="shared" si="9"/>
        <v>2774.4</v>
      </c>
      <c r="T9" s="30">
        <f t="shared" si="9"/>
        <v>2772.2000000000003</v>
      </c>
      <c r="U9" s="30">
        <f t="shared" si="9"/>
        <v>2440.5</v>
      </c>
      <c r="V9" s="31">
        <f t="shared" si="9"/>
        <v>3010.7</v>
      </c>
      <c r="W9" s="29">
        <f t="shared" si="9"/>
        <v>3104.7</v>
      </c>
      <c r="X9" s="30">
        <f t="shared" si="9"/>
        <v>3719.4</v>
      </c>
      <c r="Y9" s="30">
        <f t="shared" ref="Y9:AD9" si="10">SUM(Y19)</f>
        <v>3209</v>
      </c>
      <c r="Z9" s="31">
        <f t="shared" si="10"/>
        <v>3544.6999999999994</v>
      </c>
      <c r="AA9" s="29">
        <f t="shared" si="10"/>
        <v>2440.6999999999998</v>
      </c>
      <c r="AB9" s="30">
        <f t="shared" si="10"/>
        <v>2763</v>
      </c>
      <c r="AC9" s="30">
        <f t="shared" si="10"/>
        <v>3874.7000000000007</v>
      </c>
      <c r="AD9" s="31">
        <f t="shared" si="10"/>
        <v>3216.2</v>
      </c>
      <c r="AE9" s="30">
        <f t="shared" ref="AE9:AJ9" si="11">SUM(AE19)</f>
        <v>2392.3000000000002</v>
      </c>
      <c r="AF9" s="30">
        <f t="shared" si="11"/>
        <v>2641.5</v>
      </c>
      <c r="AG9" s="30">
        <f t="shared" si="11"/>
        <v>2921.7999999999997</v>
      </c>
      <c r="AH9" s="31">
        <f t="shared" si="11"/>
        <v>2243.7999999999997</v>
      </c>
      <c r="AI9" s="30">
        <f t="shared" si="11"/>
        <v>2426.3000000000002</v>
      </c>
      <c r="AJ9" s="30">
        <f t="shared" si="11"/>
        <v>2083.7000000000003</v>
      </c>
      <c r="AK9" s="30">
        <f t="shared" ref="AK9:AR9" si="12">SUM(AK19)</f>
        <v>2689.7000000000003</v>
      </c>
      <c r="AL9" s="31">
        <f t="shared" si="12"/>
        <v>2417.3000000000002</v>
      </c>
      <c r="AM9" s="30">
        <f t="shared" si="12"/>
        <v>2527.9</v>
      </c>
      <c r="AN9" s="30">
        <f t="shared" si="12"/>
        <v>2700.1</v>
      </c>
      <c r="AO9" s="30">
        <f t="shared" si="12"/>
        <v>2775.5</v>
      </c>
      <c r="AP9" s="31">
        <f t="shared" si="12"/>
        <v>3617.9</v>
      </c>
      <c r="AQ9" s="30">
        <f t="shared" si="12"/>
        <v>2957.6</v>
      </c>
      <c r="AR9" s="30">
        <f t="shared" si="12"/>
        <v>4115.5</v>
      </c>
      <c r="AS9" s="30">
        <f>SUM(AS19)</f>
        <v>3615.5000000000005</v>
      </c>
      <c r="AT9" s="30">
        <f>SUM(AT19)</f>
        <v>4258.3999999999996</v>
      </c>
    </row>
    <row r="10" spans="1:46" s="270" customFormat="1" ht="12.75" customHeight="1">
      <c r="A10" s="32" t="s">
        <v>327</v>
      </c>
      <c r="B10" s="32" t="s">
        <v>124</v>
      </c>
      <c r="C10" s="29">
        <f>SUM(C33)</f>
        <v>33444.9</v>
      </c>
      <c r="D10" s="30">
        <f t="shared" ref="D10:X10" si="13">SUM(D33)</f>
        <v>33312.699999999997</v>
      </c>
      <c r="E10" s="30">
        <f t="shared" si="13"/>
        <v>34912.6</v>
      </c>
      <c r="F10" s="30">
        <f t="shared" si="13"/>
        <v>38725.300000000003</v>
      </c>
      <c r="G10" s="29">
        <f t="shared" si="13"/>
        <v>39810.700000000004</v>
      </c>
      <c r="H10" s="30">
        <f t="shared" si="13"/>
        <v>40753.4</v>
      </c>
      <c r="I10" s="30">
        <f t="shared" si="13"/>
        <v>45088.3</v>
      </c>
      <c r="J10" s="31">
        <f t="shared" si="13"/>
        <v>39611.299999999996</v>
      </c>
      <c r="K10" s="29">
        <f t="shared" si="13"/>
        <v>39154.1</v>
      </c>
      <c r="L10" s="30">
        <f t="shared" si="13"/>
        <v>39901.399999999994</v>
      </c>
      <c r="M10" s="30">
        <f t="shared" si="13"/>
        <v>40493.199999999997</v>
      </c>
      <c r="N10" s="31">
        <f t="shared" si="13"/>
        <v>42364.3</v>
      </c>
      <c r="O10" s="29">
        <f t="shared" si="13"/>
        <v>41033.699999999997</v>
      </c>
      <c r="P10" s="30">
        <f t="shared" si="13"/>
        <v>40545.5</v>
      </c>
      <c r="Q10" s="30">
        <f t="shared" si="13"/>
        <v>41582.299999999996</v>
      </c>
      <c r="R10" s="31">
        <f t="shared" si="13"/>
        <v>43025.299999999996</v>
      </c>
      <c r="S10" s="29">
        <f t="shared" si="13"/>
        <v>41801.299999999996</v>
      </c>
      <c r="T10" s="30">
        <f t="shared" si="13"/>
        <v>43799.899999999994</v>
      </c>
      <c r="U10" s="30">
        <f t="shared" si="13"/>
        <v>46054.7</v>
      </c>
      <c r="V10" s="31">
        <f t="shared" si="13"/>
        <v>47745.2</v>
      </c>
      <c r="W10" s="29">
        <f t="shared" si="13"/>
        <v>47634.900000000009</v>
      </c>
      <c r="X10" s="30">
        <f t="shared" si="13"/>
        <v>48818.400000000001</v>
      </c>
      <c r="Y10" s="30">
        <f t="shared" ref="Y10:AD10" si="14">SUM(Y33)</f>
        <v>50048.899999999994</v>
      </c>
      <c r="Z10" s="31">
        <f t="shared" si="14"/>
        <v>52251.100000000006</v>
      </c>
      <c r="AA10" s="29">
        <f t="shared" si="14"/>
        <v>53749.500000000007</v>
      </c>
      <c r="AB10" s="30">
        <f t="shared" si="14"/>
        <v>57471.799999999996</v>
      </c>
      <c r="AC10" s="30">
        <f t="shared" si="14"/>
        <v>60576.7</v>
      </c>
      <c r="AD10" s="31">
        <f t="shared" si="14"/>
        <v>62231.3</v>
      </c>
      <c r="AE10" s="30">
        <f t="shared" ref="AE10:AJ10" si="15">SUM(AE33)</f>
        <v>62610.9</v>
      </c>
      <c r="AF10" s="30">
        <f t="shared" si="15"/>
        <v>65126.400000000001</v>
      </c>
      <c r="AG10" s="30">
        <f t="shared" si="15"/>
        <v>66832.600000000006</v>
      </c>
      <c r="AH10" s="31">
        <f t="shared" si="15"/>
        <v>71539.299999999988</v>
      </c>
      <c r="AI10" s="30">
        <f t="shared" si="15"/>
        <v>73225.8</v>
      </c>
      <c r="AJ10" s="30">
        <f t="shared" si="15"/>
        <v>76942.5</v>
      </c>
      <c r="AK10" s="30">
        <f t="shared" ref="AK10:AR10" si="16">SUM(AK33)</f>
        <v>79348.800000000003</v>
      </c>
      <c r="AL10" s="31">
        <f t="shared" si="16"/>
        <v>83769.299999999988</v>
      </c>
      <c r="AM10" s="30">
        <f t="shared" si="16"/>
        <v>86077.3</v>
      </c>
      <c r="AN10" s="30">
        <f t="shared" si="16"/>
        <v>88521.8</v>
      </c>
      <c r="AO10" s="30">
        <f t="shared" si="16"/>
        <v>87572.299999999988</v>
      </c>
      <c r="AP10" s="31">
        <f t="shared" si="16"/>
        <v>90456.5</v>
      </c>
      <c r="AQ10" s="30">
        <f t="shared" si="16"/>
        <v>91082.7</v>
      </c>
      <c r="AR10" s="30">
        <f t="shared" si="16"/>
        <v>91830.200000000012</v>
      </c>
      <c r="AS10" s="30">
        <f>SUM(AS33)</f>
        <v>92532.7</v>
      </c>
      <c r="AT10" s="30">
        <f>SUM(AT33)</f>
        <v>98438.799999999988</v>
      </c>
    </row>
    <row r="11" spans="1:46" s="270" customFormat="1" ht="33.75">
      <c r="A11" s="32" t="s">
        <v>328</v>
      </c>
      <c r="B11" s="32" t="s">
        <v>125</v>
      </c>
      <c r="C11" s="29">
        <f>SUM(C41)</f>
        <v>1942.1</v>
      </c>
      <c r="D11" s="30">
        <f t="shared" ref="D11:X11" si="17">SUM(D41)</f>
        <v>2130.8999999999996</v>
      </c>
      <c r="E11" s="30">
        <f t="shared" si="17"/>
        <v>2232.8000000000002</v>
      </c>
      <c r="F11" s="30">
        <f t="shared" si="17"/>
        <v>2579</v>
      </c>
      <c r="G11" s="29">
        <f t="shared" si="17"/>
        <v>2382.1999999999998</v>
      </c>
      <c r="H11" s="30">
        <f t="shared" si="17"/>
        <v>2890</v>
      </c>
      <c r="I11" s="30">
        <f t="shared" si="17"/>
        <v>2565.1</v>
      </c>
      <c r="J11" s="31">
        <f t="shared" si="17"/>
        <v>2902.2</v>
      </c>
      <c r="K11" s="29">
        <f t="shared" si="17"/>
        <v>2200</v>
      </c>
      <c r="L11" s="30">
        <f t="shared" si="17"/>
        <v>1674.7</v>
      </c>
      <c r="M11" s="30">
        <f t="shared" si="17"/>
        <v>1684.8</v>
      </c>
      <c r="N11" s="31">
        <f t="shared" si="17"/>
        <v>1509.3</v>
      </c>
      <c r="O11" s="29">
        <f t="shared" si="17"/>
        <v>1526.2</v>
      </c>
      <c r="P11" s="30">
        <f t="shared" si="17"/>
        <v>1383.1</v>
      </c>
      <c r="Q11" s="30">
        <f t="shared" si="17"/>
        <v>2799.7999999999997</v>
      </c>
      <c r="R11" s="31">
        <f t="shared" si="17"/>
        <v>1696.9</v>
      </c>
      <c r="S11" s="29">
        <f t="shared" si="17"/>
        <v>1789.4</v>
      </c>
      <c r="T11" s="30">
        <f t="shared" si="17"/>
        <v>1639.5000000000002</v>
      </c>
      <c r="U11" s="30">
        <f t="shared" si="17"/>
        <v>2225.2999999999997</v>
      </c>
      <c r="V11" s="31">
        <f t="shared" si="17"/>
        <v>2104.6999999999998</v>
      </c>
      <c r="W11" s="29">
        <f t="shared" si="17"/>
        <v>1681.9</v>
      </c>
      <c r="X11" s="30">
        <f t="shared" si="17"/>
        <v>1644.6000000000001</v>
      </c>
      <c r="Y11" s="30">
        <f t="shared" ref="Y11:AD11" si="18">SUM(Y41)</f>
        <v>1633.8</v>
      </c>
      <c r="Z11" s="31">
        <f t="shared" si="18"/>
        <v>2102.6</v>
      </c>
      <c r="AA11" s="29">
        <f t="shared" si="18"/>
        <v>1936.6</v>
      </c>
      <c r="AB11" s="30">
        <f t="shared" si="18"/>
        <v>1985.8000000000002</v>
      </c>
      <c r="AC11" s="30">
        <f t="shared" si="18"/>
        <v>1946.5000000000002</v>
      </c>
      <c r="AD11" s="31">
        <f t="shared" si="18"/>
        <v>2100.4</v>
      </c>
      <c r="AE11" s="30">
        <f t="shared" ref="AE11:AJ11" si="19">SUM(AE41)</f>
        <v>2022.7</v>
      </c>
      <c r="AF11" s="30">
        <f t="shared" si="19"/>
        <v>1921.3</v>
      </c>
      <c r="AG11" s="30">
        <f t="shared" si="19"/>
        <v>1944.1</v>
      </c>
      <c r="AH11" s="31">
        <f t="shared" si="19"/>
        <v>1875.8</v>
      </c>
      <c r="AI11" s="30">
        <f t="shared" si="19"/>
        <v>1954.6</v>
      </c>
      <c r="AJ11" s="30">
        <f t="shared" si="19"/>
        <v>1724.4</v>
      </c>
      <c r="AK11" s="30">
        <f t="shared" ref="AK11:AR11" si="20">SUM(AK41)</f>
        <v>1787.4</v>
      </c>
      <c r="AL11" s="31">
        <f t="shared" si="20"/>
        <v>1631.9</v>
      </c>
      <c r="AM11" s="30">
        <f t="shared" si="20"/>
        <v>1797.7999999999997</v>
      </c>
      <c r="AN11" s="30">
        <f t="shared" si="20"/>
        <v>2261.3999999999996</v>
      </c>
      <c r="AO11" s="30">
        <f t="shared" si="20"/>
        <v>1956.7999999999997</v>
      </c>
      <c r="AP11" s="31">
        <f t="shared" si="20"/>
        <v>1751</v>
      </c>
      <c r="AQ11" s="30">
        <f t="shared" si="20"/>
        <v>2580.4</v>
      </c>
      <c r="AR11" s="30">
        <f t="shared" si="20"/>
        <v>1763.1000000000001</v>
      </c>
      <c r="AS11" s="30">
        <f>SUM(AS41)</f>
        <v>2311.6000000000004</v>
      </c>
      <c r="AT11" s="30">
        <f>SUM(AT41)</f>
        <v>1806.1000000000001</v>
      </c>
    </row>
    <row r="12" spans="1:46" s="19" customFormat="1" ht="11.25">
      <c r="A12" s="353"/>
      <c r="B12" s="353"/>
      <c r="C12" s="29"/>
      <c r="D12" s="30"/>
      <c r="E12" s="30"/>
      <c r="F12" s="30"/>
      <c r="G12" s="29"/>
      <c r="H12" s="30"/>
      <c r="I12" s="30"/>
      <c r="J12" s="31"/>
      <c r="K12" s="29"/>
      <c r="L12" s="30"/>
      <c r="M12" s="30"/>
      <c r="N12" s="31"/>
      <c r="O12" s="29"/>
      <c r="P12" s="30"/>
      <c r="Q12" s="30"/>
      <c r="R12" s="31"/>
      <c r="S12" s="29"/>
      <c r="T12" s="30"/>
      <c r="U12" s="30"/>
      <c r="V12" s="31"/>
      <c r="W12" s="29"/>
      <c r="X12" s="30"/>
      <c r="Y12" s="30"/>
      <c r="Z12" s="31"/>
      <c r="AA12" s="29"/>
      <c r="AB12" s="30"/>
      <c r="AC12" s="30"/>
      <c r="AD12" s="31"/>
      <c r="AE12" s="30"/>
      <c r="AF12" s="30"/>
      <c r="AG12" s="30"/>
      <c r="AH12" s="31"/>
      <c r="AI12" s="30"/>
      <c r="AJ12" s="30"/>
      <c r="AK12" s="30"/>
      <c r="AL12" s="31"/>
      <c r="AM12" s="30"/>
      <c r="AN12" s="30"/>
      <c r="AO12" s="30"/>
      <c r="AP12" s="31"/>
      <c r="AQ12" s="30"/>
      <c r="AR12" s="30"/>
      <c r="AS12" s="30"/>
      <c r="AT12" s="31"/>
    </row>
    <row r="13" spans="1:46" s="270" customFormat="1" ht="22.5">
      <c r="A13" s="55" t="s">
        <v>280</v>
      </c>
      <c r="B13" s="55" t="s">
        <v>114</v>
      </c>
      <c r="C13" s="29"/>
      <c r="D13" s="30"/>
      <c r="E13" s="30"/>
      <c r="F13" s="30"/>
      <c r="G13" s="29"/>
      <c r="H13" s="30"/>
      <c r="I13" s="30"/>
      <c r="J13" s="31"/>
      <c r="K13" s="29"/>
      <c r="L13" s="30"/>
      <c r="M13" s="30"/>
      <c r="N13" s="31"/>
      <c r="O13" s="29"/>
      <c r="P13" s="30"/>
      <c r="Q13" s="30"/>
      <c r="R13" s="31"/>
      <c r="S13" s="29"/>
      <c r="T13" s="30"/>
      <c r="U13" s="30"/>
      <c r="V13" s="31"/>
      <c r="W13" s="29"/>
      <c r="X13" s="30"/>
      <c r="Y13" s="30"/>
      <c r="Z13" s="31"/>
      <c r="AA13" s="29"/>
      <c r="AB13" s="30"/>
      <c r="AC13" s="30"/>
      <c r="AD13" s="31"/>
      <c r="AE13" s="30"/>
      <c r="AF13" s="30"/>
      <c r="AG13" s="30"/>
      <c r="AH13" s="31"/>
      <c r="AI13" s="30"/>
      <c r="AJ13" s="30"/>
      <c r="AK13" s="30"/>
      <c r="AL13" s="31"/>
      <c r="AM13" s="30"/>
      <c r="AN13" s="30"/>
      <c r="AO13" s="30"/>
      <c r="AP13" s="31"/>
      <c r="AQ13" s="30"/>
      <c r="AR13" s="30"/>
      <c r="AS13" s="30"/>
      <c r="AT13" s="31"/>
    </row>
    <row r="14" spans="1:46" s="270" customFormat="1" ht="6" customHeight="1">
      <c r="A14" s="37"/>
      <c r="B14" s="37"/>
      <c r="C14" s="29"/>
      <c r="D14" s="30"/>
      <c r="E14" s="30"/>
      <c r="F14" s="30"/>
      <c r="G14" s="29"/>
      <c r="H14" s="30"/>
      <c r="I14" s="30"/>
      <c r="J14" s="31"/>
      <c r="K14" s="29"/>
      <c r="L14" s="30"/>
      <c r="M14" s="30"/>
      <c r="N14" s="31"/>
      <c r="O14" s="29"/>
      <c r="P14" s="30"/>
      <c r="Q14" s="30"/>
      <c r="R14" s="31"/>
      <c r="S14" s="29"/>
      <c r="T14" s="30"/>
      <c r="U14" s="30"/>
      <c r="V14" s="31"/>
      <c r="W14" s="29"/>
      <c r="X14" s="30"/>
      <c r="Y14" s="30"/>
      <c r="Z14" s="31"/>
      <c r="AA14" s="29"/>
      <c r="AB14" s="30"/>
      <c r="AC14" s="30"/>
      <c r="AD14" s="31"/>
      <c r="AE14" s="30"/>
      <c r="AF14" s="30"/>
      <c r="AG14" s="30"/>
      <c r="AH14" s="31"/>
      <c r="AI14" s="30"/>
      <c r="AJ14" s="30"/>
      <c r="AK14" s="30"/>
      <c r="AL14" s="31"/>
      <c r="AM14" s="30"/>
      <c r="AN14" s="30"/>
      <c r="AO14" s="30"/>
      <c r="AP14" s="31"/>
      <c r="AQ14" s="30"/>
      <c r="AR14" s="30"/>
      <c r="AS14" s="30"/>
      <c r="AT14" s="31"/>
    </row>
    <row r="15" spans="1:46" s="270" customFormat="1" ht="11.25">
      <c r="A15" s="37" t="s">
        <v>277</v>
      </c>
      <c r="B15" s="37" t="s">
        <v>115</v>
      </c>
      <c r="C15" s="29">
        <f>SUM(C16:C17)</f>
        <v>2886.5</v>
      </c>
      <c r="D15" s="30">
        <f>SUM(D16:D17)</f>
        <v>2746.2000000000003</v>
      </c>
      <c r="E15" s="30">
        <f>SUM(E16:E17)</f>
        <v>2399.6999999999998</v>
      </c>
      <c r="F15" s="30">
        <f>SUM(F16:F17)</f>
        <v>2226.6999999999998</v>
      </c>
      <c r="G15" s="29">
        <f t="shared" ref="G15:X15" si="21">SUM(G16:G17)</f>
        <v>2414.1</v>
      </c>
      <c r="H15" s="30">
        <f t="shared" si="21"/>
        <v>3649</v>
      </c>
      <c r="I15" s="30">
        <f t="shared" si="21"/>
        <v>3265.5</v>
      </c>
      <c r="J15" s="31">
        <f t="shared" si="21"/>
        <v>4312.3</v>
      </c>
      <c r="K15" s="29">
        <f t="shared" si="21"/>
        <v>4862.8</v>
      </c>
      <c r="L15" s="30">
        <f t="shared" si="21"/>
        <v>4011.1</v>
      </c>
      <c r="M15" s="30">
        <f t="shared" si="21"/>
        <v>4210.3</v>
      </c>
      <c r="N15" s="31">
        <f t="shared" si="21"/>
        <v>3352.3999999999996</v>
      </c>
      <c r="O15" s="29">
        <f t="shared" si="21"/>
        <v>3046.8</v>
      </c>
      <c r="P15" s="30">
        <f t="shared" si="21"/>
        <v>3804.6000000000004</v>
      </c>
      <c r="Q15" s="30">
        <f t="shared" si="21"/>
        <v>3210.7</v>
      </c>
      <c r="R15" s="31">
        <f t="shared" si="21"/>
        <v>2588.6</v>
      </c>
      <c r="S15" s="29">
        <f t="shared" si="21"/>
        <v>2667</v>
      </c>
      <c r="T15" s="30">
        <f t="shared" si="21"/>
        <v>2662.3</v>
      </c>
      <c r="U15" s="30">
        <f t="shared" si="21"/>
        <v>2328.4</v>
      </c>
      <c r="V15" s="31">
        <f t="shared" si="21"/>
        <v>2954.5</v>
      </c>
      <c r="W15" s="29">
        <f t="shared" si="21"/>
        <v>2977.7</v>
      </c>
      <c r="X15" s="30">
        <f t="shared" si="21"/>
        <v>3602.9</v>
      </c>
      <c r="Y15" s="30">
        <f t="shared" ref="Y15:AD15" si="22">SUM(Y16:Y17)</f>
        <v>3077.2</v>
      </c>
      <c r="Z15" s="31">
        <f t="shared" si="22"/>
        <v>3367.9999999999995</v>
      </c>
      <c r="AA15" s="29">
        <f t="shared" si="22"/>
        <v>2323</v>
      </c>
      <c r="AB15" s="30">
        <f t="shared" si="22"/>
        <v>2659.2</v>
      </c>
      <c r="AC15" s="30">
        <f t="shared" si="22"/>
        <v>3656.4000000000005</v>
      </c>
      <c r="AD15" s="31">
        <f t="shared" si="22"/>
        <v>3143.1</v>
      </c>
      <c r="AE15" s="30">
        <f t="shared" ref="AE15:AJ15" si="23">SUM(AE16:AE17)</f>
        <v>2252</v>
      </c>
      <c r="AF15" s="30">
        <f t="shared" si="23"/>
        <v>2442.9</v>
      </c>
      <c r="AG15" s="30">
        <f t="shared" si="23"/>
        <v>2842.7</v>
      </c>
      <c r="AH15" s="31">
        <f t="shared" si="23"/>
        <v>2142.7999999999997</v>
      </c>
      <c r="AI15" s="30">
        <f t="shared" si="23"/>
        <v>2367.5</v>
      </c>
      <c r="AJ15" s="30">
        <f t="shared" si="23"/>
        <v>1957.9</v>
      </c>
      <c r="AK15" s="30">
        <f t="shared" ref="AK15:AT15" si="24">SUM(AK16:AK17)</f>
        <v>2630.9</v>
      </c>
      <c r="AL15" s="31">
        <f t="shared" si="24"/>
        <v>2353.8000000000002</v>
      </c>
      <c r="AM15" s="30">
        <f t="shared" si="24"/>
        <v>2469</v>
      </c>
      <c r="AN15" s="30">
        <f t="shared" si="24"/>
        <v>2661.1</v>
      </c>
      <c r="AO15" s="30">
        <f t="shared" si="24"/>
        <v>2700.8</v>
      </c>
      <c r="AP15" s="31">
        <f t="shared" si="24"/>
        <v>3429.2000000000003</v>
      </c>
      <c r="AQ15" s="30">
        <f t="shared" si="24"/>
        <v>2847.6</v>
      </c>
      <c r="AR15" s="30">
        <f t="shared" si="24"/>
        <v>4044.7</v>
      </c>
      <c r="AS15" s="30">
        <f t="shared" si="24"/>
        <v>3348.2000000000003</v>
      </c>
      <c r="AT15" s="30">
        <f t="shared" si="24"/>
        <v>3961.5</v>
      </c>
    </row>
    <row r="16" spans="1:46" s="273" customFormat="1" ht="11.25">
      <c r="A16" s="51" t="s">
        <v>281</v>
      </c>
      <c r="B16" s="51" t="s">
        <v>116</v>
      </c>
      <c r="C16" s="52">
        <v>2550.4</v>
      </c>
      <c r="D16" s="53">
        <v>2099.3000000000002</v>
      </c>
      <c r="E16" s="53">
        <v>1707.7</v>
      </c>
      <c r="F16" s="53">
        <v>1229.8</v>
      </c>
      <c r="G16" s="52">
        <v>1477.4</v>
      </c>
      <c r="H16" s="53">
        <v>2129.1</v>
      </c>
      <c r="I16" s="53">
        <v>1801.3999999999999</v>
      </c>
      <c r="J16" s="54">
        <v>1312.8999999999999</v>
      </c>
      <c r="K16" s="52">
        <v>1547.4</v>
      </c>
      <c r="L16" s="53">
        <v>1840.5</v>
      </c>
      <c r="M16" s="53">
        <v>1702.5</v>
      </c>
      <c r="N16" s="54">
        <v>1727.1</v>
      </c>
      <c r="O16" s="52">
        <v>1598.7</v>
      </c>
      <c r="P16" s="53">
        <v>1886.1000000000001</v>
      </c>
      <c r="Q16" s="53">
        <v>1647.9</v>
      </c>
      <c r="R16" s="54">
        <v>1461.7</v>
      </c>
      <c r="S16" s="52">
        <v>1435.6</v>
      </c>
      <c r="T16" s="53">
        <v>1731.5</v>
      </c>
      <c r="U16" s="53">
        <v>1409</v>
      </c>
      <c r="V16" s="54">
        <v>1266</v>
      </c>
      <c r="W16" s="52">
        <v>1735</v>
      </c>
      <c r="X16" s="53">
        <v>2478.4</v>
      </c>
      <c r="Y16" s="53">
        <v>2556.1</v>
      </c>
      <c r="Z16" s="54">
        <v>2333.2999999999997</v>
      </c>
      <c r="AA16" s="52">
        <v>1517.1000000000001</v>
      </c>
      <c r="AB16" s="53">
        <v>1738.6</v>
      </c>
      <c r="AC16" s="53">
        <v>2781.1000000000004</v>
      </c>
      <c r="AD16" s="54">
        <v>2211.1999999999998</v>
      </c>
      <c r="AE16" s="53">
        <v>1646.4</v>
      </c>
      <c r="AF16" s="53">
        <v>1999.6</v>
      </c>
      <c r="AG16" s="53">
        <v>2145.7999999999997</v>
      </c>
      <c r="AH16" s="54">
        <v>1707.6</v>
      </c>
      <c r="AI16" s="53">
        <v>1850.4</v>
      </c>
      <c r="AJ16" s="53">
        <v>1931.9</v>
      </c>
      <c r="AK16" s="53">
        <v>2515.6</v>
      </c>
      <c r="AL16" s="54">
        <v>2272.3000000000002</v>
      </c>
      <c r="AM16" s="53">
        <v>2393.6</v>
      </c>
      <c r="AN16" s="53">
        <v>2536.1999999999998</v>
      </c>
      <c r="AO16" s="53">
        <v>2241.3000000000002</v>
      </c>
      <c r="AP16" s="54">
        <v>3233.8</v>
      </c>
      <c r="AQ16" s="53">
        <v>2709.1</v>
      </c>
      <c r="AR16" s="53">
        <v>3944</v>
      </c>
      <c r="AS16" s="53">
        <v>3133.3</v>
      </c>
      <c r="AT16" s="54">
        <v>3847.2</v>
      </c>
    </row>
    <row r="17" spans="1:46" s="273" customFormat="1" ht="11.25">
      <c r="A17" s="51" t="s">
        <v>356</v>
      </c>
      <c r="B17" s="51" t="s">
        <v>117</v>
      </c>
      <c r="C17" s="52">
        <f>332.4+3.7</f>
        <v>336.09999999999997</v>
      </c>
      <c r="D17" s="53">
        <f>645+1.9</f>
        <v>646.9</v>
      </c>
      <c r="E17" s="53">
        <f>690.4+1.6</f>
        <v>692</v>
      </c>
      <c r="F17" s="53">
        <v>996.9</v>
      </c>
      <c r="G17" s="52">
        <v>936.69999999999993</v>
      </c>
      <c r="H17" s="53">
        <v>1519.8999999999999</v>
      </c>
      <c r="I17" s="53">
        <v>1464.1</v>
      </c>
      <c r="J17" s="54">
        <v>2999.4</v>
      </c>
      <c r="K17" s="52">
        <v>3315.4</v>
      </c>
      <c r="L17" s="53">
        <v>2170.6</v>
      </c>
      <c r="M17" s="53">
        <v>2507.8000000000002</v>
      </c>
      <c r="N17" s="54">
        <v>1625.3</v>
      </c>
      <c r="O17" s="52">
        <v>1448.1000000000001</v>
      </c>
      <c r="P17" s="53">
        <v>1918.5</v>
      </c>
      <c r="Q17" s="53">
        <v>1562.8</v>
      </c>
      <c r="R17" s="54">
        <v>1126.8999999999999</v>
      </c>
      <c r="S17" s="52">
        <v>1231.4000000000001</v>
      </c>
      <c r="T17" s="53">
        <v>930.80000000000007</v>
      </c>
      <c r="U17" s="53">
        <v>919.4</v>
      </c>
      <c r="V17" s="54">
        <v>1688.5</v>
      </c>
      <c r="W17" s="52">
        <v>1242.6999999999998</v>
      </c>
      <c r="X17" s="53">
        <v>1124.5</v>
      </c>
      <c r="Y17" s="53">
        <v>521.09999999999991</v>
      </c>
      <c r="Z17" s="54">
        <v>1034.6999999999998</v>
      </c>
      <c r="AA17" s="52">
        <v>805.9</v>
      </c>
      <c r="AB17" s="53">
        <v>920.6</v>
      </c>
      <c r="AC17" s="53">
        <v>875.3</v>
      </c>
      <c r="AD17" s="54">
        <v>931.9</v>
      </c>
      <c r="AE17" s="53">
        <v>605.6</v>
      </c>
      <c r="AF17" s="53">
        <v>443.3</v>
      </c>
      <c r="AG17" s="53">
        <v>696.90000000000009</v>
      </c>
      <c r="AH17" s="54">
        <v>435.2</v>
      </c>
      <c r="AI17" s="53">
        <v>517.1</v>
      </c>
      <c r="AJ17" s="53">
        <v>26</v>
      </c>
      <c r="AK17" s="53">
        <v>115.3</v>
      </c>
      <c r="AL17" s="54">
        <v>81.5</v>
      </c>
      <c r="AM17" s="53">
        <v>75.400000000000006</v>
      </c>
      <c r="AN17" s="53">
        <v>124.9</v>
      </c>
      <c r="AO17" s="53">
        <v>459.5</v>
      </c>
      <c r="AP17" s="54">
        <v>195.4</v>
      </c>
      <c r="AQ17" s="53">
        <v>138.5</v>
      </c>
      <c r="AR17" s="53">
        <v>100.7</v>
      </c>
      <c r="AS17" s="53">
        <v>214.9</v>
      </c>
      <c r="AT17" s="54">
        <v>114.3</v>
      </c>
    </row>
    <row r="18" spans="1:46" s="267" customFormat="1" ht="11.25">
      <c r="A18" s="390" t="s">
        <v>278</v>
      </c>
      <c r="B18" s="390" t="s">
        <v>113</v>
      </c>
      <c r="C18" s="29">
        <v>111</v>
      </c>
      <c r="D18" s="30">
        <v>71.900000000000006</v>
      </c>
      <c r="E18" s="30">
        <f>50.2</f>
        <v>50.2</v>
      </c>
      <c r="F18" s="30">
        <v>115.5</v>
      </c>
      <c r="G18" s="29">
        <v>84.5</v>
      </c>
      <c r="H18" s="30">
        <v>153.19999999999999</v>
      </c>
      <c r="I18" s="30">
        <v>85.5</v>
      </c>
      <c r="J18" s="31">
        <v>84.100000000000009</v>
      </c>
      <c r="K18" s="29">
        <v>127.9</v>
      </c>
      <c r="L18" s="30">
        <v>141.39999999999998</v>
      </c>
      <c r="M18" s="30">
        <v>116.7</v>
      </c>
      <c r="N18" s="31">
        <v>93.100000000000009</v>
      </c>
      <c r="O18" s="29">
        <v>100.9</v>
      </c>
      <c r="P18" s="30">
        <v>158.1</v>
      </c>
      <c r="Q18" s="30">
        <v>108.8</v>
      </c>
      <c r="R18" s="31">
        <v>137.4</v>
      </c>
      <c r="S18" s="29">
        <v>107.39999999999999</v>
      </c>
      <c r="T18" s="30">
        <v>109.89999999999999</v>
      </c>
      <c r="U18" s="30">
        <v>112.1</v>
      </c>
      <c r="V18" s="31">
        <v>56.2</v>
      </c>
      <c r="W18" s="29">
        <v>127</v>
      </c>
      <c r="X18" s="30">
        <v>116.5</v>
      </c>
      <c r="Y18" s="30">
        <v>131.79999999999998</v>
      </c>
      <c r="Z18" s="31">
        <v>176.7</v>
      </c>
      <c r="AA18" s="29">
        <v>117.69999999999999</v>
      </c>
      <c r="AB18" s="30">
        <v>103.8</v>
      </c>
      <c r="AC18" s="30">
        <v>218.29999999999998</v>
      </c>
      <c r="AD18" s="31">
        <v>73.099999999999994</v>
      </c>
      <c r="AE18" s="30">
        <v>140.29999999999998</v>
      </c>
      <c r="AF18" s="30">
        <v>198.6</v>
      </c>
      <c r="AG18" s="30">
        <v>79.099999999999994</v>
      </c>
      <c r="AH18" s="31">
        <v>101</v>
      </c>
      <c r="AI18" s="30">
        <v>58.8</v>
      </c>
      <c r="AJ18" s="30">
        <v>125.80000000000001</v>
      </c>
      <c r="AK18" s="30">
        <v>58.8</v>
      </c>
      <c r="AL18" s="31">
        <v>63.5</v>
      </c>
      <c r="AM18" s="30">
        <v>58.9</v>
      </c>
      <c r="AN18" s="30">
        <v>39</v>
      </c>
      <c r="AO18" s="30">
        <v>74.7</v>
      </c>
      <c r="AP18" s="31">
        <v>188.7</v>
      </c>
      <c r="AQ18" s="30">
        <v>110</v>
      </c>
      <c r="AR18" s="30">
        <v>70.8</v>
      </c>
      <c r="AS18" s="30">
        <v>267.3</v>
      </c>
      <c r="AT18" s="31">
        <v>296.89999999999998</v>
      </c>
    </row>
    <row r="19" spans="1:46" s="271" customFormat="1" ht="11.25">
      <c r="A19" s="57" t="s">
        <v>282</v>
      </c>
      <c r="B19" s="57" t="s">
        <v>118</v>
      </c>
      <c r="C19" s="42">
        <f t="shared" ref="C19:AA19" si="25">C15+C18</f>
        <v>2997.5</v>
      </c>
      <c r="D19" s="43">
        <f t="shared" si="25"/>
        <v>2818.1000000000004</v>
      </c>
      <c r="E19" s="43">
        <f t="shared" si="25"/>
        <v>2449.8999999999996</v>
      </c>
      <c r="F19" s="43">
        <f t="shared" si="25"/>
        <v>2342.1999999999998</v>
      </c>
      <c r="G19" s="42">
        <f t="shared" si="25"/>
        <v>2498.6</v>
      </c>
      <c r="H19" s="43">
        <f t="shared" si="25"/>
        <v>3802.2</v>
      </c>
      <c r="I19" s="43">
        <f t="shared" si="25"/>
        <v>3351</v>
      </c>
      <c r="J19" s="44">
        <f t="shared" si="25"/>
        <v>4396.4000000000005</v>
      </c>
      <c r="K19" s="42">
        <f t="shared" si="25"/>
        <v>4990.7</v>
      </c>
      <c r="L19" s="43">
        <f t="shared" si="25"/>
        <v>4152.5</v>
      </c>
      <c r="M19" s="43">
        <f t="shared" si="25"/>
        <v>4327</v>
      </c>
      <c r="N19" s="44">
        <f t="shared" si="25"/>
        <v>3445.4999999999995</v>
      </c>
      <c r="O19" s="42">
        <f t="shared" si="25"/>
        <v>3147.7000000000003</v>
      </c>
      <c r="P19" s="43">
        <f t="shared" si="25"/>
        <v>3962.7000000000003</v>
      </c>
      <c r="Q19" s="43">
        <f t="shared" si="25"/>
        <v>3319.5</v>
      </c>
      <c r="R19" s="44">
        <f t="shared" si="25"/>
        <v>2726</v>
      </c>
      <c r="S19" s="42">
        <f t="shared" si="25"/>
        <v>2774.4</v>
      </c>
      <c r="T19" s="43">
        <f t="shared" si="25"/>
        <v>2772.2000000000003</v>
      </c>
      <c r="U19" s="43">
        <f t="shared" si="25"/>
        <v>2440.5</v>
      </c>
      <c r="V19" s="44">
        <f t="shared" si="25"/>
        <v>3010.7</v>
      </c>
      <c r="W19" s="42">
        <f t="shared" si="25"/>
        <v>3104.7</v>
      </c>
      <c r="X19" s="43">
        <f t="shared" si="25"/>
        <v>3719.4</v>
      </c>
      <c r="Y19" s="43">
        <f t="shared" si="25"/>
        <v>3209</v>
      </c>
      <c r="Z19" s="44">
        <f t="shared" si="25"/>
        <v>3544.6999999999994</v>
      </c>
      <c r="AA19" s="42">
        <f t="shared" si="25"/>
        <v>2440.6999999999998</v>
      </c>
      <c r="AB19" s="43">
        <f t="shared" ref="AB19:AG19" si="26">AB15+AB18</f>
        <v>2763</v>
      </c>
      <c r="AC19" s="43">
        <f t="shared" si="26"/>
        <v>3874.7000000000007</v>
      </c>
      <c r="AD19" s="44">
        <f t="shared" si="26"/>
        <v>3216.2</v>
      </c>
      <c r="AE19" s="43">
        <f t="shared" si="26"/>
        <v>2392.3000000000002</v>
      </c>
      <c r="AF19" s="43">
        <f t="shared" si="26"/>
        <v>2641.5</v>
      </c>
      <c r="AG19" s="43">
        <f t="shared" si="26"/>
        <v>2921.7999999999997</v>
      </c>
      <c r="AH19" s="44">
        <f t="shared" ref="AH19:AM19" si="27">AH15+AH18</f>
        <v>2243.7999999999997</v>
      </c>
      <c r="AI19" s="43">
        <f t="shared" si="27"/>
        <v>2426.3000000000002</v>
      </c>
      <c r="AJ19" s="43">
        <f t="shared" si="27"/>
        <v>2083.7000000000003</v>
      </c>
      <c r="AK19" s="43">
        <f t="shared" si="27"/>
        <v>2689.7000000000003</v>
      </c>
      <c r="AL19" s="44">
        <f t="shared" si="27"/>
        <v>2417.3000000000002</v>
      </c>
      <c r="AM19" s="43">
        <f t="shared" si="27"/>
        <v>2527.9</v>
      </c>
      <c r="AN19" s="43">
        <f t="shared" ref="AN19:AT19" si="28">AN15+AN18</f>
        <v>2700.1</v>
      </c>
      <c r="AO19" s="43">
        <f t="shared" si="28"/>
        <v>2775.5</v>
      </c>
      <c r="AP19" s="44">
        <f t="shared" si="28"/>
        <v>3617.9</v>
      </c>
      <c r="AQ19" s="43">
        <f t="shared" si="28"/>
        <v>2957.6</v>
      </c>
      <c r="AR19" s="43">
        <f t="shared" si="28"/>
        <v>4115.5</v>
      </c>
      <c r="AS19" s="43">
        <f t="shared" si="28"/>
        <v>3615.5000000000005</v>
      </c>
      <c r="AT19" s="43">
        <f t="shared" si="28"/>
        <v>4258.3999999999996</v>
      </c>
    </row>
    <row r="20" spans="1:46" s="19" customFormat="1" ht="11.25">
      <c r="A20" s="353"/>
      <c r="B20" s="353"/>
      <c r="C20" s="29"/>
      <c r="D20" s="30"/>
      <c r="E20" s="30"/>
      <c r="F20" s="30"/>
      <c r="G20" s="29"/>
      <c r="H20" s="30"/>
      <c r="I20" s="30"/>
      <c r="J20" s="31"/>
      <c r="K20" s="29"/>
      <c r="L20" s="30"/>
      <c r="M20" s="30"/>
      <c r="N20" s="31"/>
      <c r="O20" s="29"/>
      <c r="P20" s="30"/>
      <c r="Q20" s="30"/>
      <c r="R20" s="31"/>
      <c r="S20" s="29"/>
      <c r="T20" s="30"/>
      <c r="U20" s="30"/>
      <c r="V20" s="31"/>
      <c r="W20" s="29"/>
      <c r="X20" s="30"/>
      <c r="Y20" s="30"/>
      <c r="Z20" s="31"/>
      <c r="AA20" s="29"/>
      <c r="AB20" s="30"/>
      <c r="AC20" s="30"/>
      <c r="AD20" s="31"/>
      <c r="AE20" s="30"/>
      <c r="AF20" s="30"/>
      <c r="AG20" s="30"/>
      <c r="AH20" s="31"/>
      <c r="AI20" s="30"/>
      <c r="AJ20" s="30"/>
      <c r="AK20" s="30"/>
      <c r="AL20" s="31"/>
      <c r="AM20" s="30"/>
      <c r="AN20" s="30"/>
      <c r="AO20" s="30"/>
      <c r="AP20" s="31"/>
      <c r="AQ20" s="30"/>
      <c r="AR20" s="30"/>
      <c r="AS20" s="30"/>
      <c r="AT20" s="31"/>
    </row>
    <row r="21" spans="1:46" s="270" customFormat="1" ht="11.25">
      <c r="A21" s="55" t="s">
        <v>283</v>
      </c>
      <c r="B21" s="55" t="s">
        <v>119</v>
      </c>
      <c r="C21" s="29"/>
      <c r="D21" s="30"/>
      <c r="E21" s="30"/>
      <c r="F21" s="30"/>
      <c r="G21" s="29"/>
      <c r="H21" s="30"/>
      <c r="I21" s="30"/>
      <c r="J21" s="31"/>
      <c r="K21" s="29"/>
      <c r="L21" s="30"/>
      <c r="M21" s="30"/>
      <c r="N21" s="31"/>
      <c r="O21" s="29"/>
      <c r="P21" s="30"/>
      <c r="Q21" s="30"/>
      <c r="R21" s="31"/>
      <c r="S21" s="29"/>
      <c r="T21" s="30"/>
      <c r="U21" s="30"/>
      <c r="V21" s="31"/>
      <c r="W21" s="29"/>
      <c r="X21" s="30"/>
      <c r="Y21" s="30"/>
      <c r="Z21" s="31"/>
      <c r="AA21" s="29"/>
      <c r="AB21" s="30"/>
      <c r="AC21" s="30"/>
      <c r="AD21" s="31"/>
      <c r="AE21" s="30"/>
      <c r="AF21" s="30"/>
      <c r="AG21" s="30"/>
      <c r="AH21" s="31"/>
      <c r="AI21" s="30"/>
      <c r="AJ21" s="30"/>
      <c r="AK21" s="30"/>
      <c r="AL21" s="31"/>
      <c r="AM21" s="30"/>
      <c r="AN21" s="30"/>
      <c r="AO21" s="30"/>
      <c r="AP21" s="31"/>
      <c r="AQ21" s="30"/>
      <c r="AR21" s="30"/>
      <c r="AS21" s="30"/>
      <c r="AT21" s="31"/>
    </row>
    <row r="22" spans="1:46" s="270" customFormat="1" ht="11.25">
      <c r="A22" s="37"/>
      <c r="B22" s="37"/>
      <c r="C22" s="29"/>
      <c r="D22" s="30"/>
      <c r="E22" s="30"/>
      <c r="F22" s="30"/>
      <c r="G22" s="29"/>
      <c r="H22" s="30"/>
      <c r="I22" s="30"/>
      <c r="J22" s="31"/>
      <c r="K22" s="29"/>
      <c r="L22" s="30"/>
      <c r="M22" s="30"/>
      <c r="N22" s="31"/>
      <c r="O22" s="29"/>
      <c r="P22" s="30"/>
      <c r="Q22" s="30"/>
      <c r="R22" s="31"/>
      <c r="S22" s="29"/>
      <c r="T22" s="30"/>
      <c r="U22" s="30"/>
      <c r="V22" s="31"/>
      <c r="W22" s="29"/>
      <c r="X22" s="30"/>
      <c r="Y22" s="30"/>
      <c r="Z22" s="31"/>
      <c r="AA22" s="29"/>
      <c r="AB22" s="30"/>
      <c r="AC22" s="30"/>
      <c r="AD22" s="31"/>
      <c r="AE22" s="30"/>
      <c r="AF22" s="30"/>
      <c r="AG22" s="30"/>
      <c r="AH22" s="31"/>
      <c r="AI22" s="30"/>
      <c r="AJ22" s="30"/>
      <c r="AK22" s="30"/>
      <c r="AL22" s="31"/>
      <c r="AM22" s="30"/>
      <c r="AN22" s="30"/>
      <c r="AO22" s="30"/>
      <c r="AP22" s="31"/>
      <c r="AQ22" s="30"/>
      <c r="AR22" s="30"/>
      <c r="AS22" s="30"/>
      <c r="AT22" s="31"/>
    </row>
    <row r="23" spans="1:46" s="270" customFormat="1" ht="11.25">
      <c r="A23" s="55" t="s">
        <v>463</v>
      </c>
      <c r="B23" s="55" t="s">
        <v>433</v>
      </c>
      <c r="C23" s="34">
        <f t="shared" ref="C23:AF23" si="29">SUM(C27,C24)</f>
        <v>10876.6</v>
      </c>
      <c r="D23" s="35">
        <f t="shared" si="29"/>
        <v>10972.900000000001</v>
      </c>
      <c r="E23" s="35">
        <f t="shared" si="29"/>
        <v>11286.9</v>
      </c>
      <c r="F23" s="35">
        <f t="shared" si="29"/>
        <v>13085.8</v>
      </c>
      <c r="G23" s="34">
        <f t="shared" si="29"/>
        <v>12080.900000000001</v>
      </c>
      <c r="H23" s="35">
        <f t="shared" si="29"/>
        <v>12392.6</v>
      </c>
      <c r="I23" s="35">
        <f t="shared" si="29"/>
        <v>12806.800000000001</v>
      </c>
      <c r="J23" s="36">
        <f t="shared" si="29"/>
        <v>11600</v>
      </c>
      <c r="K23" s="34">
        <f t="shared" si="29"/>
        <v>10613.1</v>
      </c>
      <c r="L23" s="35">
        <f t="shared" si="29"/>
        <v>10476.799999999999</v>
      </c>
      <c r="M23" s="35">
        <f t="shared" si="29"/>
        <v>11467.800000000001</v>
      </c>
      <c r="N23" s="36">
        <f t="shared" si="29"/>
        <v>12260.400000000001</v>
      </c>
      <c r="O23" s="34">
        <f t="shared" si="29"/>
        <v>12097.1</v>
      </c>
      <c r="P23" s="35">
        <f t="shared" si="29"/>
        <v>11531.400000000001</v>
      </c>
      <c r="Q23" s="35">
        <f t="shared" si="29"/>
        <v>11952.799999999997</v>
      </c>
      <c r="R23" s="36">
        <f t="shared" si="29"/>
        <v>12858.099999999999</v>
      </c>
      <c r="S23" s="34">
        <f t="shared" si="29"/>
        <v>11553.1</v>
      </c>
      <c r="T23" s="35">
        <f t="shared" si="29"/>
        <v>12538.5</v>
      </c>
      <c r="U23" s="35">
        <f t="shared" si="29"/>
        <v>13579.2</v>
      </c>
      <c r="V23" s="36">
        <f t="shared" si="29"/>
        <v>14263.400000000001</v>
      </c>
      <c r="W23" s="34">
        <f t="shared" si="29"/>
        <v>13893.2</v>
      </c>
      <c r="X23" s="35">
        <f t="shared" si="29"/>
        <v>13569.4</v>
      </c>
      <c r="Y23" s="35">
        <f t="shared" si="29"/>
        <v>13912</v>
      </c>
      <c r="Z23" s="36">
        <f t="shared" si="29"/>
        <v>14567.4</v>
      </c>
      <c r="AA23" s="34">
        <f t="shared" si="29"/>
        <v>14314.4</v>
      </c>
      <c r="AB23" s="35">
        <f t="shared" si="29"/>
        <v>16619</v>
      </c>
      <c r="AC23" s="35">
        <f t="shared" si="29"/>
        <v>17472.3</v>
      </c>
      <c r="AD23" s="36">
        <f t="shared" si="29"/>
        <v>18602.399999999998</v>
      </c>
      <c r="AE23" s="35">
        <f t="shared" si="29"/>
        <v>17512.599999999999</v>
      </c>
      <c r="AF23" s="35">
        <f t="shared" si="29"/>
        <v>19136.700000000004</v>
      </c>
      <c r="AG23" s="35">
        <f t="shared" ref="AG23:AL23" si="30">SUM(AG27,AG24)</f>
        <v>19702.2</v>
      </c>
      <c r="AH23" s="36">
        <f t="shared" si="30"/>
        <v>21260.500000000004</v>
      </c>
      <c r="AI23" s="35">
        <f t="shared" si="30"/>
        <v>20717.899999999998</v>
      </c>
      <c r="AJ23" s="35">
        <f t="shared" si="30"/>
        <v>22162.2</v>
      </c>
      <c r="AK23" s="35">
        <f t="shared" si="30"/>
        <v>23347.8</v>
      </c>
      <c r="AL23" s="36">
        <f t="shared" si="30"/>
        <v>24792.899999999998</v>
      </c>
      <c r="AM23" s="35">
        <f t="shared" ref="AM23:AT23" si="31">SUM(AM27,AM24)</f>
        <v>24268.7</v>
      </c>
      <c r="AN23" s="35">
        <f t="shared" si="31"/>
        <v>25447.600000000002</v>
      </c>
      <c r="AO23" s="35">
        <f t="shared" si="31"/>
        <v>25975.1</v>
      </c>
      <c r="AP23" s="36">
        <f t="shared" si="31"/>
        <v>26840.9</v>
      </c>
      <c r="AQ23" s="35">
        <f t="shared" si="31"/>
        <v>26273.1</v>
      </c>
      <c r="AR23" s="35">
        <f t="shared" si="31"/>
        <v>26682.799999999999</v>
      </c>
      <c r="AS23" s="35">
        <f t="shared" si="31"/>
        <v>26965.5</v>
      </c>
      <c r="AT23" s="35">
        <f t="shared" si="31"/>
        <v>30438.2</v>
      </c>
    </row>
    <row r="24" spans="1:46" s="270" customFormat="1" ht="11.25">
      <c r="A24" s="37" t="s">
        <v>478</v>
      </c>
      <c r="B24" s="37" t="s">
        <v>434</v>
      </c>
      <c r="C24" s="29">
        <f t="shared" ref="C24:AF24" si="32">SUM(C25:C26)</f>
        <v>10570.4</v>
      </c>
      <c r="D24" s="30">
        <f t="shared" si="32"/>
        <v>10703.7</v>
      </c>
      <c r="E24" s="30">
        <f t="shared" si="32"/>
        <v>10969.1</v>
      </c>
      <c r="F24" s="30">
        <f t="shared" si="32"/>
        <v>12760.8</v>
      </c>
      <c r="G24" s="29">
        <f t="shared" si="32"/>
        <v>11704.400000000001</v>
      </c>
      <c r="H24" s="30">
        <f t="shared" si="32"/>
        <v>12007.7</v>
      </c>
      <c r="I24" s="30">
        <f t="shared" si="32"/>
        <v>12316.2</v>
      </c>
      <c r="J24" s="31">
        <f t="shared" si="32"/>
        <v>11173.5</v>
      </c>
      <c r="K24" s="29">
        <f t="shared" si="32"/>
        <v>10094</v>
      </c>
      <c r="L24" s="30">
        <f t="shared" si="32"/>
        <v>9973</v>
      </c>
      <c r="M24" s="30">
        <f t="shared" si="32"/>
        <v>10922.900000000001</v>
      </c>
      <c r="N24" s="31">
        <f t="shared" si="32"/>
        <v>11861.7</v>
      </c>
      <c r="O24" s="29">
        <f t="shared" si="32"/>
        <v>11717.6</v>
      </c>
      <c r="P24" s="30">
        <f t="shared" si="32"/>
        <v>11136.7</v>
      </c>
      <c r="Q24" s="30">
        <f t="shared" si="32"/>
        <v>11554.999999999998</v>
      </c>
      <c r="R24" s="31">
        <f t="shared" si="32"/>
        <v>12483.599999999999</v>
      </c>
      <c r="S24" s="29">
        <f t="shared" si="32"/>
        <v>11140</v>
      </c>
      <c r="T24" s="30">
        <f t="shared" si="32"/>
        <v>12110.7</v>
      </c>
      <c r="U24" s="30">
        <f t="shared" si="32"/>
        <v>13100.1</v>
      </c>
      <c r="V24" s="31">
        <f t="shared" si="32"/>
        <v>13887.300000000001</v>
      </c>
      <c r="W24" s="29">
        <f t="shared" si="32"/>
        <v>13203.2</v>
      </c>
      <c r="X24" s="30">
        <f t="shared" si="32"/>
        <v>12810.1</v>
      </c>
      <c r="Y24" s="30">
        <f t="shared" si="32"/>
        <v>13132.6</v>
      </c>
      <c r="Z24" s="31">
        <f t="shared" si="32"/>
        <v>13739.9</v>
      </c>
      <c r="AA24" s="29">
        <f t="shared" si="32"/>
        <v>13459.1</v>
      </c>
      <c r="AB24" s="30">
        <f t="shared" si="32"/>
        <v>15738.599999999999</v>
      </c>
      <c r="AC24" s="30">
        <f t="shared" si="32"/>
        <v>16618.3</v>
      </c>
      <c r="AD24" s="31">
        <f t="shared" si="32"/>
        <v>17746.3</v>
      </c>
      <c r="AE24" s="30">
        <f t="shared" si="32"/>
        <v>16705.3</v>
      </c>
      <c r="AF24" s="30">
        <f t="shared" si="32"/>
        <v>18207.300000000003</v>
      </c>
      <c r="AG24" s="30">
        <f t="shared" ref="AG24:AL24" si="33">SUM(AG25:AG26)</f>
        <v>18690.5</v>
      </c>
      <c r="AH24" s="31">
        <f t="shared" si="33"/>
        <v>20177.300000000003</v>
      </c>
      <c r="AI24" s="30">
        <f t="shared" si="33"/>
        <v>19777.599999999999</v>
      </c>
      <c r="AJ24" s="30">
        <f t="shared" si="33"/>
        <v>21154.3</v>
      </c>
      <c r="AK24" s="30">
        <f t="shared" si="33"/>
        <v>22258.5</v>
      </c>
      <c r="AL24" s="31">
        <f t="shared" si="33"/>
        <v>23594.199999999997</v>
      </c>
      <c r="AM24" s="30">
        <f t="shared" ref="AM24:AT24" si="34">SUM(AM25:AM26)</f>
        <v>23122.5</v>
      </c>
      <c r="AN24" s="30">
        <f t="shared" si="34"/>
        <v>23805.9</v>
      </c>
      <c r="AO24" s="30">
        <f t="shared" si="34"/>
        <v>24618.5</v>
      </c>
      <c r="AP24" s="31">
        <f t="shared" si="34"/>
        <v>25395.4</v>
      </c>
      <c r="AQ24" s="30">
        <f t="shared" si="34"/>
        <v>24901.1</v>
      </c>
      <c r="AR24" s="30">
        <f t="shared" si="34"/>
        <v>25099.7</v>
      </c>
      <c r="AS24" s="30">
        <f t="shared" si="34"/>
        <v>25826.9</v>
      </c>
      <c r="AT24" s="30">
        <f t="shared" si="34"/>
        <v>29196.5</v>
      </c>
    </row>
    <row r="25" spans="1:46" s="273" customFormat="1" ht="11.25">
      <c r="A25" s="51" t="s">
        <v>479</v>
      </c>
      <c r="B25" s="51" t="s">
        <v>116</v>
      </c>
      <c r="C25" s="52">
        <v>5611.5</v>
      </c>
      <c r="D25" s="53">
        <v>6202.7</v>
      </c>
      <c r="E25" s="53">
        <v>6353.8</v>
      </c>
      <c r="F25" s="53">
        <v>7970.4</v>
      </c>
      <c r="G25" s="52">
        <v>6808.1</v>
      </c>
      <c r="H25" s="53">
        <v>7124.1</v>
      </c>
      <c r="I25" s="53">
        <v>7482.4</v>
      </c>
      <c r="J25" s="54">
        <v>7292.1</v>
      </c>
      <c r="K25" s="52">
        <v>5979.3</v>
      </c>
      <c r="L25" s="53">
        <v>5985</v>
      </c>
      <c r="M25" s="53">
        <v>6214.7000000000007</v>
      </c>
      <c r="N25" s="54">
        <v>6418.5</v>
      </c>
      <c r="O25" s="52">
        <v>7328.5</v>
      </c>
      <c r="P25" s="53">
        <v>6996.5</v>
      </c>
      <c r="Q25" s="53">
        <v>7044.1999999999989</v>
      </c>
      <c r="R25" s="54">
        <v>7688.7</v>
      </c>
      <c r="S25" s="52">
        <v>6864.8</v>
      </c>
      <c r="T25" s="53">
        <v>7566.4</v>
      </c>
      <c r="U25" s="53">
        <v>8153</v>
      </c>
      <c r="V25" s="54">
        <v>8842.9000000000015</v>
      </c>
      <c r="W25" s="52">
        <v>7619.2</v>
      </c>
      <c r="X25" s="53">
        <v>7487.2000000000007</v>
      </c>
      <c r="Y25" s="53">
        <v>7733.6</v>
      </c>
      <c r="Z25" s="54">
        <v>8410.4</v>
      </c>
      <c r="AA25" s="52">
        <v>7605.6</v>
      </c>
      <c r="AB25" s="53">
        <v>8979.2999999999993</v>
      </c>
      <c r="AC25" s="53">
        <v>10185.599999999999</v>
      </c>
      <c r="AD25" s="54">
        <v>10756.099999999999</v>
      </c>
      <c r="AE25" s="53">
        <v>9393.4</v>
      </c>
      <c r="AF25" s="53">
        <v>10590.6</v>
      </c>
      <c r="AG25" s="53">
        <v>10853.1</v>
      </c>
      <c r="AH25" s="54">
        <v>10641.5</v>
      </c>
      <c r="AI25" s="53">
        <v>10648.5</v>
      </c>
      <c r="AJ25" s="53">
        <v>11638.5</v>
      </c>
      <c r="AK25" s="53">
        <v>12693.5</v>
      </c>
      <c r="AL25" s="54">
        <v>13123.8</v>
      </c>
      <c r="AM25" s="53">
        <v>12346.1</v>
      </c>
      <c r="AN25" s="53">
        <v>12577.6</v>
      </c>
      <c r="AO25" s="53">
        <v>13431.2</v>
      </c>
      <c r="AP25" s="54">
        <v>15542.2</v>
      </c>
      <c r="AQ25" s="53">
        <v>15262.4</v>
      </c>
      <c r="AR25" s="53">
        <v>15951.6</v>
      </c>
      <c r="AS25" s="53">
        <f>16323.9</f>
        <v>16323.9</v>
      </c>
      <c r="AT25" s="54">
        <v>18337.599999999999</v>
      </c>
    </row>
    <row r="26" spans="1:46" s="273" customFormat="1" ht="11.25">
      <c r="A26" s="51" t="s">
        <v>506</v>
      </c>
      <c r="B26" s="51" t="s">
        <v>505</v>
      </c>
      <c r="C26" s="52">
        <v>4958.8999999999996</v>
      </c>
      <c r="D26" s="53">
        <v>4501</v>
      </c>
      <c r="E26" s="53">
        <v>4615.3</v>
      </c>
      <c r="F26" s="53">
        <v>4790.3999999999996</v>
      </c>
      <c r="G26" s="52">
        <v>4896.3</v>
      </c>
      <c r="H26" s="53">
        <v>4883.6000000000004</v>
      </c>
      <c r="I26" s="53">
        <v>4833.8</v>
      </c>
      <c r="J26" s="54">
        <v>3881.4</v>
      </c>
      <c r="K26" s="52">
        <v>4114.7</v>
      </c>
      <c r="L26" s="53">
        <v>3988</v>
      </c>
      <c r="M26" s="53">
        <v>4708.2000000000007</v>
      </c>
      <c r="N26" s="54">
        <v>5443.2</v>
      </c>
      <c r="O26" s="52">
        <v>4389.1000000000004</v>
      </c>
      <c r="P26" s="53">
        <v>4140.2</v>
      </c>
      <c r="Q26" s="53">
        <v>4510.7999999999993</v>
      </c>
      <c r="R26" s="54">
        <v>4794.8999999999996</v>
      </c>
      <c r="S26" s="52">
        <v>4275.2</v>
      </c>
      <c r="T26" s="53">
        <v>4544.3</v>
      </c>
      <c r="U26" s="53">
        <v>4947.1000000000004</v>
      </c>
      <c r="V26" s="54">
        <v>5044.3999999999996</v>
      </c>
      <c r="W26" s="52">
        <v>5584</v>
      </c>
      <c r="X26" s="53">
        <v>5322.9</v>
      </c>
      <c r="Y26" s="53">
        <v>5399</v>
      </c>
      <c r="Z26" s="54">
        <v>5329.5</v>
      </c>
      <c r="AA26" s="52">
        <v>5853.5</v>
      </c>
      <c r="AB26" s="53">
        <v>6759.3</v>
      </c>
      <c r="AC26" s="53">
        <v>6432.7</v>
      </c>
      <c r="AD26" s="54">
        <v>6990.2000000000007</v>
      </c>
      <c r="AE26" s="53">
        <v>7311.9</v>
      </c>
      <c r="AF26" s="53">
        <v>7616.7000000000007</v>
      </c>
      <c r="AG26" s="53">
        <f>5482+2355.4</f>
        <v>7837.4</v>
      </c>
      <c r="AH26" s="54">
        <v>9535.8000000000011</v>
      </c>
      <c r="AI26" s="53">
        <v>9129.1</v>
      </c>
      <c r="AJ26" s="53">
        <v>9515.7999999999993</v>
      </c>
      <c r="AK26" s="53">
        <v>9565</v>
      </c>
      <c r="AL26" s="54">
        <v>10470.4</v>
      </c>
      <c r="AM26" s="53">
        <v>10776.4</v>
      </c>
      <c r="AN26" s="53">
        <v>11228.3</v>
      </c>
      <c r="AO26" s="53">
        <v>11187.3</v>
      </c>
      <c r="AP26" s="54">
        <f>8414.4+1438.8</f>
        <v>9853.1999999999989</v>
      </c>
      <c r="AQ26" s="53">
        <f>7932.5+1706.2</f>
        <v>9638.7000000000007</v>
      </c>
      <c r="AR26" s="53">
        <f>7798.7+1349.4</f>
        <v>9148.1</v>
      </c>
      <c r="AS26" s="53">
        <f>8126.8+1376.2</f>
        <v>9503</v>
      </c>
      <c r="AT26" s="54">
        <f>8405.8+2453.1</f>
        <v>10858.9</v>
      </c>
    </row>
    <row r="27" spans="1:46" s="270" customFormat="1" ht="11.25">
      <c r="A27" s="37" t="s">
        <v>201</v>
      </c>
      <c r="B27" s="37" t="s">
        <v>435</v>
      </c>
      <c r="C27" s="29">
        <v>306.20000000000005</v>
      </c>
      <c r="D27" s="30">
        <v>269.19999999999993</v>
      </c>
      <c r="E27" s="30">
        <v>317.79999999999984</v>
      </c>
      <c r="F27" s="30">
        <v>325</v>
      </c>
      <c r="G27" s="29">
        <v>376.5</v>
      </c>
      <c r="H27" s="30">
        <v>384.9</v>
      </c>
      <c r="I27" s="30">
        <v>490.6</v>
      </c>
      <c r="J27" s="31">
        <v>426.5</v>
      </c>
      <c r="K27" s="29">
        <v>519.09999999999991</v>
      </c>
      <c r="L27" s="30">
        <v>503.79999999999995</v>
      </c>
      <c r="M27" s="30">
        <v>544.9</v>
      </c>
      <c r="N27" s="31">
        <v>398.7</v>
      </c>
      <c r="O27" s="29">
        <v>379.5</v>
      </c>
      <c r="P27" s="30">
        <v>394.7</v>
      </c>
      <c r="Q27" s="30">
        <v>397.8</v>
      </c>
      <c r="R27" s="31">
        <v>374.5</v>
      </c>
      <c r="S27" s="29">
        <v>413.1</v>
      </c>
      <c r="T27" s="30">
        <v>427.8</v>
      </c>
      <c r="U27" s="30">
        <v>479.09999999999997</v>
      </c>
      <c r="V27" s="31">
        <v>376.1</v>
      </c>
      <c r="W27" s="29">
        <v>690</v>
      </c>
      <c r="X27" s="30">
        <v>759.30000000000007</v>
      </c>
      <c r="Y27" s="30">
        <v>779.40000000000009</v>
      </c>
      <c r="Z27" s="31">
        <v>827.5</v>
      </c>
      <c r="AA27" s="29">
        <v>855.30000000000007</v>
      </c>
      <c r="AB27" s="30">
        <v>880.4</v>
      </c>
      <c r="AC27" s="30">
        <v>854.00000000000011</v>
      </c>
      <c r="AD27" s="31">
        <v>856.1</v>
      </c>
      <c r="AE27" s="30">
        <v>807.30000000000007</v>
      </c>
      <c r="AF27" s="30">
        <v>929.40000000000009</v>
      </c>
      <c r="AG27" s="30">
        <v>1011.7</v>
      </c>
      <c r="AH27" s="31">
        <v>1083.2</v>
      </c>
      <c r="AI27" s="30">
        <v>940.3</v>
      </c>
      <c r="AJ27" s="30">
        <v>1007.9</v>
      </c>
      <c r="AK27" s="30">
        <v>1089.3</v>
      </c>
      <c r="AL27" s="31">
        <v>1198.7</v>
      </c>
      <c r="AM27" s="30">
        <v>1146.2</v>
      </c>
      <c r="AN27" s="30">
        <v>1641.7</v>
      </c>
      <c r="AO27" s="30">
        <v>1356.6</v>
      </c>
      <c r="AP27" s="31">
        <v>1445.5</v>
      </c>
      <c r="AQ27" s="30">
        <v>1372</v>
      </c>
      <c r="AR27" s="30">
        <v>1583.1</v>
      </c>
      <c r="AS27" s="30">
        <v>1138.5999999999999</v>
      </c>
      <c r="AT27" s="31">
        <v>1241.7</v>
      </c>
    </row>
    <row r="28" spans="1:46" s="270" customFormat="1" ht="11.25">
      <c r="A28" s="55" t="s">
        <v>466</v>
      </c>
      <c r="B28" s="55" t="s">
        <v>436</v>
      </c>
      <c r="C28" s="34">
        <f t="shared" ref="C28:AF28" si="35">SUM(C32,C29)</f>
        <v>22568.300000000003</v>
      </c>
      <c r="D28" s="35">
        <f t="shared" si="35"/>
        <v>22339.8</v>
      </c>
      <c r="E28" s="35">
        <f t="shared" si="35"/>
        <v>23625.7</v>
      </c>
      <c r="F28" s="35">
        <f t="shared" si="35"/>
        <v>25639.5</v>
      </c>
      <c r="G28" s="34">
        <f t="shared" si="35"/>
        <v>27729.800000000003</v>
      </c>
      <c r="H28" s="35">
        <f t="shared" si="35"/>
        <v>28360.799999999999</v>
      </c>
      <c r="I28" s="35">
        <f t="shared" si="35"/>
        <v>32281.5</v>
      </c>
      <c r="J28" s="36">
        <f t="shared" si="35"/>
        <v>28011.299999999996</v>
      </c>
      <c r="K28" s="34">
        <f t="shared" si="35"/>
        <v>28541</v>
      </c>
      <c r="L28" s="35">
        <f t="shared" si="35"/>
        <v>29424.6</v>
      </c>
      <c r="M28" s="35">
        <f t="shared" si="35"/>
        <v>29025.399999999998</v>
      </c>
      <c r="N28" s="36">
        <f t="shared" si="35"/>
        <v>30103.9</v>
      </c>
      <c r="O28" s="34">
        <f t="shared" si="35"/>
        <v>28936.6</v>
      </c>
      <c r="P28" s="35">
        <f t="shared" si="35"/>
        <v>29014.100000000002</v>
      </c>
      <c r="Q28" s="35">
        <f t="shared" si="35"/>
        <v>29629.5</v>
      </c>
      <c r="R28" s="36">
        <f t="shared" si="35"/>
        <v>30167.199999999997</v>
      </c>
      <c r="S28" s="34">
        <f t="shared" si="35"/>
        <v>30248.199999999997</v>
      </c>
      <c r="T28" s="35">
        <f t="shared" si="35"/>
        <v>31261.399999999998</v>
      </c>
      <c r="U28" s="35">
        <f t="shared" si="35"/>
        <v>32475.5</v>
      </c>
      <c r="V28" s="36">
        <f t="shared" si="35"/>
        <v>33481.799999999996</v>
      </c>
      <c r="W28" s="34">
        <f t="shared" si="35"/>
        <v>33741.700000000004</v>
      </c>
      <c r="X28" s="35">
        <f t="shared" si="35"/>
        <v>35249</v>
      </c>
      <c r="Y28" s="35">
        <f t="shared" si="35"/>
        <v>36136.899999999994</v>
      </c>
      <c r="Z28" s="36">
        <f t="shared" si="35"/>
        <v>37683.700000000004</v>
      </c>
      <c r="AA28" s="34">
        <f t="shared" si="35"/>
        <v>39435.100000000006</v>
      </c>
      <c r="AB28" s="35">
        <f t="shared" si="35"/>
        <v>40852.799999999996</v>
      </c>
      <c r="AC28" s="35">
        <f t="shared" si="35"/>
        <v>43104.399999999994</v>
      </c>
      <c r="AD28" s="36">
        <f t="shared" si="35"/>
        <v>43628.9</v>
      </c>
      <c r="AE28" s="35">
        <f t="shared" si="35"/>
        <v>45098.3</v>
      </c>
      <c r="AF28" s="35">
        <f t="shared" si="35"/>
        <v>45989.7</v>
      </c>
      <c r="AG28" s="35">
        <f t="shared" ref="AG28:AL28" si="36">SUM(AG32,AG29)</f>
        <v>47130.400000000001</v>
      </c>
      <c r="AH28" s="36">
        <f t="shared" si="36"/>
        <v>50278.799999999988</v>
      </c>
      <c r="AI28" s="35">
        <f t="shared" si="36"/>
        <v>52507.9</v>
      </c>
      <c r="AJ28" s="35">
        <f t="shared" si="36"/>
        <v>54780.3</v>
      </c>
      <c r="AK28" s="35">
        <f t="shared" si="36"/>
        <v>56001</v>
      </c>
      <c r="AL28" s="36">
        <f t="shared" si="36"/>
        <v>58976.399999999994</v>
      </c>
      <c r="AM28" s="35">
        <f t="shared" ref="AM28:AT28" si="37">SUM(AM32,AM29)</f>
        <v>61808.6</v>
      </c>
      <c r="AN28" s="35">
        <f t="shared" si="37"/>
        <v>63074.2</v>
      </c>
      <c r="AO28" s="35">
        <f t="shared" si="37"/>
        <v>61597.2</v>
      </c>
      <c r="AP28" s="36">
        <f t="shared" si="37"/>
        <v>63615.6</v>
      </c>
      <c r="AQ28" s="35">
        <f t="shared" si="37"/>
        <v>64809.599999999999</v>
      </c>
      <c r="AR28" s="35">
        <f t="shared" si="37"/>
        <v>65147.400000000009</v>
      </c>
      <c r="AS28" s="35">
        <f t="shared" si="37"/>
        <v>65567.199999999997</v>
      </c>
      <c r="AT28" s="35">
        <f t="shared" si="37"/>
        <v>68000.599999999991</v>
      </c>
    </row>
    <row r="29" spans="1:46" s="270" customFormat="1" ht="11.25">
      <c r="A29" s="37" t="s">
        <v>478</v>
      </c>
      <c r="B29" s="37" t="s">
        <v>115</v>
      </c>
      <c r="C29" s="29">
        <f t="shared" ref="C29:AF29" si="38">SUM(C30:C31)</f>
        <v>22505.9</v>
      </c>
      <c r="D29" s="30">
        <f t="shared" si="38"/>
        <v>22032.899999999998</v>
      </c>
      <c r="E29" s="30">
        <f t="shared" si="38"/>
        <v>23343.200000000001</v>
      </c>
      <c r="F29" s="30">
        <f t="shared" si="38"/>
        <v>25392.6</v>
      </c>
      <c r="G29" s="29">
        <f t="shared" si="38"/>
        <v>27654.9</v>
      </c>
      <c r="H29" s="30">
        <f t="shared" si="38"/>
        <v>28277.399999999998</v>
      </c>
      <c r="I29" s="30">
        <f t="shared" si="38"/>
        <v>32225</v>
      </c>
      <c r="J29" s="31">
        <f t="shared" si="38"/>
        <v>27945.699999999997</v>
      </c>
      <c r="K29" s="29">
        <f t="shared" si="38"/>
        <v>28475.8</v>
      </c>
      <c r="L29" s="30">
        <f t="shared" si="38"/>
        <v>29363.1</v>
      </c>
      <c r="M29" s="30">
        <f t="shared" si="38"/>
        <v>28963.399999999998</v>
      </c>
      <c r="N29" s="31">
        <f t="shared" si="38"/>
        <v>30039.7</v>
      </c>
      <c r="O29" s="29">
        <f t="shared" si="38"/>
        <v>28875.8</v>
      </c>
      <c r="P29" s="30">
        <f t="shared" si="38"/>
        <v>28969.9</v>
      </c>
      <c r="Q29" s="30">
        <f t="shared" si="38"/>
        <v>29558</v>
      </c>
      <c r="R29" s="31">
        <f t="shared" si="38"/>
        <v>30117.699999999997</v>
      </c>
      <c r="S29" s="29">
        <f t="shared" si="38"/>
        <v>30146.6</v>
      </c>
      <c r="T29" s="30">
        <f t="shared" si="38"/>
        <v>31154.799999999999</v>
      </c>
      <c r="U29" s="30">
        <f t="shared" si="38"/>
        <v>32412.1</v>
      </c>
      <c r="V29" s="31">
        <f t="shared" si="38"/>
        <v>33434.699999999997</v>
      </c>
      <c r="W29" s="29">
        <f t="shared" si="38"/>
        <v>33696.9</v>
      </c>
      <c r="X29" s="30">
        <f t="shared" si="38"/>
        <v>35197.300000000003</v>
      </c>
      <c r="Y29" s="30">
        <f t="shared" si="38"/>
        <v>36082.699999999997</v>
      </c>
      <c r="Z29" s="31">
        <f t="shared" si="38"/>
        <v>37627.700000000004</v>
      </c>
      <c r="AA29" s="29">
        <f t="shared" si="38"/>
        <v>39370.300000000003</v>
      </c>
      <c r="AB29" s="30">
        <f t="shared" si="38"/>
        <v>40795.799999999996</v>
      </c>
      <c r="AC29" s="30">
        <f t="shared" si="38"/>
        <v>43042.2</v>
      </c>
      <c r="AD29" s="31">
        <f t="shared" si="38"/>
        <v>43563.8</v>
      </c>
      <c r="AE29" s="30">
        <f t="shared" si="38"/>
        <v>45038.3</v>
      </c>
      <c r="AF29" s="30">
        <f t="shared" si="38"/>
        <v>45910.299999999996</v>
      </c>
      <c r="AG29" s="30">
        <f t="shared" ref="AG29:AL29" si="39">SUM(AG30:AG31)</f>
        <v>47067.8</v>
      </c>
      <c r="AH29" s="31">
        <f t="shared" si="39"/>
        <v>50217.099999999991</v>
      </c>
      <c r="AI29" s="30">
        <f t="shared" si="39"/>
        <v>52442</v>
      </c>
      <c r="AJ29" s="30">
        <f t="shared" si="39"/>
        <v>54687.9</v>
      </c>
      <c r="AK29" s="30">
        <f t="shared" si="39"/>
        <v>55918</v>
      </c>
      <c r="AL29" s="31">
        <f t="shared" si="39"/>
        <v>58896.2</v>
      </c>
      <c r="AM29" s="30">
        <f t="shared" ref="AM29:AT29" si="40">SUM(AM30:AM31)</f>
        <v>61729.1</v>
      </c>
      <c r="AN29" s="30">
        <f t="shared" si="40"/>
        <v>63008.799999999996</v>
      </c>
      <c r="AO29" s="30">
        <f t="shared" si="40"/>
        <v>61521</v>
      </c>
      <c r="AP29" s="31">
        <f t="shared" si="40"/>
        <v>63548</v>
      </c>
      <c r="AQ29" s="30">
        <f t="shared" si="40"/>
        <v>64744</v>
      </c>
      <c r="AR29" s="30">
        <f t="shared" si="40"/>
        <v>65081.100000000006</v>
      </c>
      <c r="AS29" s="30">
        <f t="shared" si="40"/>
        <v>65488.6</v>
      </c>
      <c r="AT29" s="30">
        <f t="shared" si="40"/>
        <v>67918.7</v>
      </c>
    </row>
    <row r="30" spans="1:46" s="292" customFormat="1" ht="11.25">
      <c r="A30" s="391" t="s">
        <v>479</v>
      </c>
      <c r="B30" s="391" t="s">
        <v>116</v>
      </c>
      <c r="C30" s="52">
        <v>3030</v>
      </c>
      <c r="D30" s="53">
        <v>2999.1</v>
      </c>
      <c r="E30" s="53">
        <v>2254.1</v>
      </c>
      <c r="F30" s="53">
        <v>2603.8000000000002</v>
      </c>
      <c r="G30" s="52">
        <v>3482.7</v>
      </c>
      <c r="H30" s="53">
        <v>3582.6</v>
      </c>
      <c r="I30" s="53">
        <v>2313.1</v>
      </c>
      <c r="J30" s="54">
        <v>3796.1</v>
      </c>
      <c r="K30" s="52">
        <v>3711.3</v>
      </c>
      <c r="L30" s="53">
        <v>3858.3</v>
      </c>
      <c r="M30" s="53">
        <v>3847.6</v>
      </c>
      <c r="N30" s="54">
        <v>4122.2</v>
      </c>
      <c r="O30" s="52">
        <v>3957.1</v>
      </c>
      <c r="P30" s="53">
        <v>4239.1000000000004</v>
      </c>
      <c r="Q30" s="53">
        <v>4257.5</v>
      </c>
      <c r="R30" s="54">
        <v>4792.3999999999996</v>
      </c>
      <c r="S30" s="52">
        <v>4926.8999999999996</v>
      </c>
      <c r="T30" s="53">
        <v>4957.8</v>
      </c>
      <c r="U30" s="53">
        <v>4880.8</v>
      </c>
      <c r="V30" s="54">
        <v>5065.5</v>
      </c>
      <c r="W30" s="52">
        <v>4983.6000000000004</v>
      </c>
      <c r="X30" s="53">
        <v>5215.3999999999996</v>
      </c>
      <c r="Y30" s="53">
        <v>5909.5999999999995</v>
      </c>
      <c r="Z30" s="54">
        <v>7520.3</v>
      </c>
      <c r="AA30" s="52">
        <v>5464.8</v>
      </c>
      <c r="AB30" s="53">
        <v>5815.2</v>
      </c>
      <c r="AC30" s="53">
        <v>5897.2</v>
      </c>
      <c r="AD30" s="54">
        <v>6456.3</v>
      </c>
      <c r="AE30" s="53">
        <v>6379.1</v>
      </c>
      <c r="AF30" s="53">
        <v>7459.2</v>
      </c>
      <c r="AG30" s="53">
        <v>6924.5999999999995</v>
      </c>
      <c r="AH30" s="54">
        <v>7715.2999999999993</v>
      </c>
      <c r="AI30" s="53">
        <v>10354.5</v>
      </c>
      <c r="AJ30" s="53">
        <v>8702.5</v>
      </c>
      <c r="AK30" s="53">
        <v>9043.6999999999989</v>
      </c>
      <c r="AL30" s="54">
        <v>9875.2000000000007</v>
      </c>
      <c r="AM30" s="53">
        <v>10004.1</v>
      </c>
      <c r="AN30" s="53">
        <v>10769.1</v>
      </c>
      <c r="AO30" s="53">
        <v>11259.2</v>
      </c>
      <c r="AP30" s="54">
        <v>11960.2</v>
      </c>
      <c r="AQ30" s="53">
        <v>12385</v>
      </c>
      <c r="AR30" s="53">
        <v>13167.4</v>
      </c>
      <c r="AS30" s="53">
        <v>13516.9</v>
      </c>
      <c r="AT30" s="54">
        <v>14816.2</v>
      </c>
    </row>
    <row r="31" spans="1:46" s="292" customFormat="1" ht="11.25">
      <c r="A31" s="51" t="s">
        <v>506</v>
      </c>
      <c r="B31" s="51" t="s">
        <v>505</v>
      </c>
      <c r="C31" s="269">
        <v>19475.900000000001</v>
      </c>
      <c r="D31" s="269">
        <v>19033.8</v>
      </c>
      <c r="E31" s="269">
        <v>21089.100000000002</v>
      </c>
      <c r="F31" s="269">
        <v>22788.799999999999</v>
      </c>
      <c r="G31" s="269">
        <v>24172.2</v>
      </c>
      <c r="H31" s="269">
        <v>24694.799999999999</v>
      </c>
      <c r="I31" s="269">
        <v>29911.9</v>
      </c>
      <c r="J31" s="269">
        <v>24149.599999999999</v>
      </c>
      <c r="K31" s="269">
        <v>24764.5</v>
      </c>
      <c r="L31" s="269">
        <v>25504.799999999999</v>
      </c>
      <c r="M31" s="269">
        <v>25115.8</v>
      </c>
      <c r="N31" s="269">
        <v>25917.5</v>
      </c>
      <c r="O31" s="269">
        <v>24918.7</v>
      </c>
      <c r="P31" s="269">
        <v>24730.799999999999</v>
      </c>
      <c r="Q31" s="269">
        <v>25300.5</v>
      </c>
      <c r="R31" s="269">
        <v>25325.3</v>
      </c>
      <c r="S31" s="269">
        <v>25219.7</v>
      </c>
      <c r="T31" s="269">
        <v>26197</v>
      </c>
      <c r="U31" s="269">
        <v>27531.3</v>
      </c>
      <c r="V31" s="269">
        <v>28369.199999999997</v>
      </c>
      <c r="W31" s="269">
        <v>28713.3</v>
      </c>
      <c r="X31" s="269">
        <v>29981.9</v>
      </c>
      <c r="Y31" s="269">
        <v>30173.1</v>
      </c>
      <c r="Z31" s="269">
        <v>30107.4</v>
      </c>
      <c r="AA31" s="269">
        <v>33905.5</v>
      </c>
      <c r="AB31" s="269">
        <v>34980.6</v>
      </c>
      <c r="AC31" s="269">
        <v>37145</v>
      </c>
      <c r="AD31" s="269">
        <v>37107.5</v>
      </c>
      <c r="AE31" s="269">
        <v>38659.200000000004</v>
      </c>
      <c r="AF31" s="269">
        <v>38451.1</v>
      </c>
      <c r="AG31" s="269">
        <v>40143.200000000004</v>
      </c>
      <c r="AH31" s="392">
        <v>42501.799999999996</v>
      </c>
      <c r="AI31" s="269">
        <v>42087.5</v>
      </c>
      <c r="AJ31" s="269">
        <v>45985.4</v>
      </c>
      <c r="AK31" s="269">
        <v>46874.3</v>
      </c>
      <c r="AL31" s="392">
        <v>49021</v>
      </c>
      <c r="AM31" s="269">
        <v>51725</v>
      </c>
      <c r="AN31" s="269">
        <v>52239.7</v>
      </c>
      <c r="AO31" s="269">
        <v>50261.8</v>
      </c>
      <c r="AP31" s="392">
        <f>47726+3861.8</f>
        <v>51587.8</v>
      </c>
      <c r="AQ31" s="269">
        <f>48905+3454</f>
        <v>52359</v>
      </c>
      <c r="AR31" s="269">
        <f>2933.9+48979.8</f>
        <v>51913.700000000004</v>
      </c>
      <c r="AS31" s="269">
        <f>49373+2598.7</f>
        <v>51971.7</v>
      </c>
      <c r="AT31" s="392">
        <f>49767.7+3334.8</f>
        <v>53102.5</v>
      </c>
    </row>
    <row r="32" spans="1:46" s="19" customFormat="1" ht="11.25">
      <c r="A32" s="37" t="s">
        <v>201</v>
      </c>
      <c r="B32" s="37" t="s">
        <v>435</v>
      </c>
      <c r="C32" s="29">
        <v>62.4</v>
      </c>
      <c r="D32" s="30">
        <v>306.89999999999998</v>
      </c>
      <c r="E32" s="30">
        <v>282.5</v>
      </c>
      <c r="F32" s="30">
        <v>246.9</v>
      </c>
      <c r="G32" s="29">
        <v>74.900000000000006</v>
      </c>
      <c r="H32" s="30">
        <v>83.4</v>
      </c>
      <c r="I32" s="30">
        <v>56.5</v>
      </c>
      <c r="J32" s="31">
        <v>65.600000000000009</v>
      </c>
      <c r="K32" s="29">
        <v>65.2</v>
      </c>
      <c r="L32" s="30">
        <v>61.5</v>
      </c>
      <c r="M32" s="30">
        <v>62</v>
      </c>
      <c r="N32" s="31">
        <v>64.2</v>
      </c>
      <c r="O32" s="29">
        <v>60.8</v>
      </c>
      <c r="P32" s="30">
        <v>44.2</v>
      </c>
      <c r="Q32" s="30">
        <v>71.5</v>
      </c>
      <c r="R32" s="31">
        <v>49.5</v>
      </c>
      <c r="S32" s="29">
        <v>101.6</v>
      </c>
      <c r="T32" s="30">
        <v>106.6</v>
      </c>
      <c r="U32" s="30">
        <v>63.400000000000006</v>
      </c>
      <c r="V32" s="31">
        <v>47.1</v>
      </c>
      <c r="W32" s="29">
        <v>44.8</v>
      </c>
      <c r="X32" s="30">
        <v>51.699999999999996</v>
      </c>
      <c r="Y32" s="30">
        <v>54.199999999999996</v>
      </c>
      <c r="Z32" s="31">
        <v>56</v>
      </c>
      <c r="AA32" s="29">
        <v>64.8</v>
      </c>
      <c r="AB32" s="30">
        <v>57</v>
      </c>
      <c r="AC32" s="30">
        <v>62.199999999999996</v>
      </c>
      <c r="AD32" s="31">
        <v>65.099999999999994</v>
      </c>
      <c r="AE32" s="30">
        <v>60</v>
      </c>
      <c r="AF32" s="30">
        <v>79.400000000000006</v>
      </c>
      <c r="AG32" s="30">
        <v>62.6</v>
      </c>
      <c r="AH32" s="31">
        <v>61.699999999999996</v>
      </c>
      <c r="AI32" s="30">
        <v>65.900000000000006</v>
      </c>
      <c r="AJ32" s="30">
        <v>92.4</v>
      </c>
      <c r="AK32" s="30">
        <v>83</v>
      </c>
      <c r="AL32" s="31">
        <v>80.2</v>
      </c>
      <c r="AM32" s="30">
        <v>79.5</v>
      </c>
      <c r="AN32" s="30">
        <v>65.400000000000006</v>
      </c>
      <c r="AO32" s="30">
        <v>76.2</v>
      </c>
      <c r="AP32" s="31">
        <v>67.599999999999994</v>
      </c>
      <c r="AQ32" s="30">
        <v>65.599999999999994</v>
      </c>
      <c r="AR32" s="30">
        <v>66.3</v>
      </c>
      <c r="AS32" s="30">
        <v>78.599999999999994</v>
      </c>
      <c r="AT32" s="31">
        <v>81.900000000000006</v>
      </c>
    </row>
    <row r="33" spans="1:46" s="271" customFormat="1" ht="11.25">
      <c r="A33" s="57" t="s">
        <v>282</v>
      </c>
      <c r="B33" s="57" t="s">
        <v>63</v>
      </c>
      <c r="C33" s="42">
        <f t="shared" ref="C33:AE33" si="41">C23+C28</f>
        <v>33444.9</v>
      </c>
      <c r="D33" s="43">
        <f t="shared" si="41"/>
        <v>33312.699999999997</v>
      </c>
      <c r="E33" s="43">
        <f t="shared" si="41"/>
        <v>34912.6</v>
      </c>
      <c r="F33" s="43">
        <f t="shared" si="41"/>
        <v>38725.300000000003</v>
      </c>
      <c r="G33" s="42">
        <f t="shared" si="41"/>
        <v>39810.700000000004</v>
      </c>
      <c r="H33" s="43">
        <f t="shared" si="41"/>
        <v>40753.4</v>
      </c>
      <c r="I33" s="43">
        <f t="shared" si="41"/>
        <v>45088.3</v>
      </c>
      <c r="J33" s="44">
        <f t="shared" si="41"/>
        <v>39611.299999999996</v>
      </c>
      <c r="K33" s="42">
        <f t="shared" si="41"/>
        <v>39154.1</v>
      </c>
      <c r="L33" s="43">
        <f t="shared" si="41"/>
        <v>39901.399999999994</v>
      </c>
      <c r="M33" s="43">
        <f t="shared" si="41"/>
        <v>40493.199999999997</v>
      </c>
      <c r="N33" s="44">
        <f t="shared" si="41"/>
        <v>42364.3</v>
      </c>
      <c r="O33" s="42">
        <f t="shared" si="41"/>
        <v>41033.699999999997</v>
      </c>
      <c r="P33" s="43">
        <f t="shared" si="41"/>
        <v>40545.5</v>
      </c>
      <c r="Q33" s="43">
        <f t="shared" si="41"/>
        <v>41582.299999999996</v>
      </c>
      <c r="R33" s="44">
        <f t="shared" si="41"/>
        <v>43025.299999999996</v>
      </c>
      <c r="S33" s="42">
        <f t="shared" si="41"/>
        <v>41801.299999999996</v>
      </c>
      <c r="T33" s="43">
        <f t="shared" si="41"/>
        <v>43799.899999999994</v>
      </c>
      <c r="U33" s="43">
        <f t="shared" si="41"/>
        <v>46054.7</v>
      </c>
      <c r="V33" s="44">
        <f t="shared" si="41"/>
        <v>47745.2</v>
      </c>
      <c r="W33" s="42">
        <f t="shared" si="41"/>
        <v>47634.900000000009</v>
      </c>
      <c r="X33" s="43">
        <f t="shared" si="41"/>
        <v>48818.400000000001</v>
      </c>
      <c r="Y33" s="43">
        <f t="shared" si="41"/>
        <v>50048.899999999994</v>
      </c>
      <c r="Z33" s="44">
        <f t="shared" si="41"/>
        <v>52251.100000000006</v>
      </c>
      <c r="AA33" s="42">
        <f t="shared" si="41"/>
        <v>53749.500000000007</v>
      </c>
      <c r="AB33" s="43">
        <f t="shared" si="41"/>
        <v>57471.799999999996</v>
      </c>
      <c r="AC33" s="43">
        <f t="shared" si="41"/>
        <v>60576.7</v>
      </c>
      <c r="AD33" s="44">
        <f t="shared" si="41"/>
        <v>62231.3</v>
      </c>
      <c r="AE33" s="43">
        <f t="shared" si="41"/>
        <v>62610.9</v>
      </c>
      <c r="AF33" s="43">
        <f t="shared" ref="AF33:AK33" si="42">SUM(AF23,AF28)</f>
        <v>65126.400000000001</v>
      </c>
      <c r="AG33" s="43">
        <f t="shared" si="42"/>
        <v>66832.600000000006</v>
      </c>
      <c r="AH33" s="44">
        <f t="shared" si="42"/>
        <v>71539.299999999988</v>
      </c>
      <c r="AI33" s="43">
        <f t="shared" si="42"/>
        <v>73225.8</v>
      </c>
      <c r="AJ33" s="43">
        <f t="shared" si="42"/>
        <v>76942.5</v>
      </c>
      <c r="AK33" s="43">
        <f t="shared" si="42"/>
        <v>79348.800000000003</v>
      </c>
      <c r="AL33" s="44">
        <f t="shared" ref="AL33:AT33" si="43">SUM(AL23,AL28)</f>
        <v>83769.299999999988</v>
      </c>
      <c r="AM33" s="43">
        <f t="shared" si="43"/>
        <v>86077.3</v>
      </c>
      <c r="AN33" s="43">
        <f t="shared" si="43"/>
        <v>88521.8</v>
      </c>
      <c r="AO33" s="43">
        <f t="shared" si="43"/>
        <v>87572.299999999988</v>
      </c>
      <c r="AP33" s="44">
        <f t="shared" si="43"/>
        <v>90456.5</v>
      </c>
      <c r="AQ33" s="43">
        <f t="shared" si="43"/>
        <v>91082.7</v>
      </c>
      <c r="AR33" s="43">
        <f t="shared" si="43"/>
        <v>91830.200000000012</v>
      </c>
      <c r="AS33" s="43">
        <f t="shared" si="43"/>
        <v>92532.7</v>
      </c>
      <c r="AT33" s="43">
        <f t="shared" si="43"/>
        <v>98438.799999999988</v>
      </c>
    </row>
    <row r="34" spans="1:46" s="270" customFormat="1" ht="11.25">
      <c r="A34" s="37"/>
      <c r="B34" s="37"/>
      <c r="C34" s="29"/>
      <c r="D34" s="30"/>
      <c r="E34" s="30"/>
      <c r="F34" s="30"/>
      <c r="G34" s="29"/>
      <c r="H34" s="30"/>
      <c r="I34" s="30"/>
      <c r="J34" s="31"/>
      <c r="K34" s="29"/>
      <c r="L34" s="30"/>
      <c r="M34" s="30"/>
      <c r="N34" s="31"/>
      <c r="O34" s="29"/>
      <c r="P34" s="30"/>
      <c r="Q34" s="30"/>
      <c r="R34" s="31"/>
      <c r="S34" s="29"/>
      <c r="T34" s="30"/>
      <c r="U34" s="30"/>
      <c r="V34" s="31"/>
      <c r="W34" s="29"/>
      <c r="X34" s="30"/>
      <c r="Y34" s="30"/>
      <c r="Z34" s="31"/>
      <c r="AA34" s="29"/>
      <c r="AB34" s="30"/>
      <c r="AC34" s="30"/>
      <c r="AD34" s="31"/>
      <c r="AE34" s="30"/>
      <c r="AF34" s="30"/>
      <c r="AG34" s="30"/>
      <c r="AH34" s="31"/>
      <c r="AI34" s="30"/>
      <c r="AJ34" s="30"/>
      <c r="AK34" s="30"/>
      <c r="AL34" s="31"/>
      <c r="AM34" s="30"/>
      <c r="AN34" s="30"/>
      <c r="AO34" s="30"/>
      <c r="AP34" s="31"/>
      <c r="AQ34" s="30"/>
      <c r="AR34" s="30"/>
      <c r="AS34" s="30"/>
      <c r="AT34" s="31"/>
    </row>
    <row r="35" spans="1:46" s="270" customFormat="1" ht="22.5">
      <c r="A35" s="55" t="s">
        <v>284</v>
      </c>
      <c r="B35" s="55" t="s">
        <v>120</v>
      </c>
      <c r="C35" s="29"/>
      <c r="D35" s="30"/>
      <c r="E35" s="30"/>
      <c r="F35" s="30"/>
      <c r="G35" s="29"/>
      <c r="H35" s="30"/>
      <c r="I35" s="30"/>
      <c r="J35" s="31"/>
      <c r="K35" s="29"/>
      <c r="L35" s="30"/>
      <c r="M35" s="30"/>
      <c r="N35" s="31"/>
      <c r="O35" s="29"/>
      <c r="P35" s="30"/>
      <c r="Q35" s="30"/>
      <c r="R35" s="31"/>
      <c r="S35" s="29"/>
      <c r="T35" s="30"/>
      <c r="U35" s="30"/>
      <c r="V35" s="31"/>
      <c r="W35" s="29"/>
      <c r="X35" s="30"/>
      <c r="Y35" s="30"/>
      <c r="Z35" s="31"/>
      <c r="AA35" s="29"/>
      <c r="AB35" s="30"/>
      <c r="AC35" s="30"/>
      <c r="AD35" s="31"/>
      <c r="AE35" s="30"/>
      <c r="AF35" s="30"/>
      <c r="AG35" s="30"/>
      <c r="AH35" s="31"/>
      <c r="AI35" s="30"/>
      <c r="AJ35" s="30"/>
      <c r="AK35" s="30"/>
      <c r="AL35" s="31"/>
      <c r="AM35" s="30"/>
      <c r="AN35" s="30"/>
      <c r="AO35" s="30"/>
      <c r="AP35" s="31"/>
      <c r="AQ35" s="30"/>
      <c r="AR35" s="30"/>
      <c r="AS35" s="30"/>
      <c r="AT35" s="31"/>
    </row>
    <row r="36" spans="1:46" s="270" customFormat="1" ht="11.25">
      <c r="A36" s="37"/>
      <c r="B36" s="37"/>
      <c r="C36" s="29"/>
      <c r="D36" s="30"/>
      <c r="E36" s="30"/>
      <c r="F36" s="30"/>
      <c r="G36" s="29"/>
      <c r="H36" s="30"/>
      <c r="I36" s="30"/>
      <c r="J36" s="31"/>
      <c r="K36" s="29"/>
      <c r="L36" s="30"/>
      <c r="M36" s="30"/>
      <c r="N36" s="31"/>
      <c r="O36" s="29"/>
      <c r="P36" s="30"/>
      <c r="Q36" s="30"/>
      <c r="R36" s="31"/>
      <c r="S36" s="29"/>
      <c r="T36" s="30"/>
      <c r="U36" s="30"/>
      <c r="V36" s="31"/>
      <c r="W36" s="29"/>
      <c r="X36" s="30"/>
      <c r="Y36" s="30"/>
      <c r="Z36" s="31"/>
      <c r="AA36" s="29"/>
      <c r="AB36" s="30"/>
      <c r="AC36" s="30"/>
      <c r="AD36" s="31"/>
      <c r="AE36" s="30"/>
      <c r="AF36" s="30"/>
      <c r="AG36" s="30"/>
      <c r="AH36" s="31"/>
      <c r="AI36" s="30"/>
      <c r="AJ36" s="30"/>
      <c r="AK36" s="30"/>
      <c r="AL36" s="31"/>
      <c r="AM36" s="30"/>
      <c r="AN36" s="30"/>
      <c r="AO36" s="30"/>
      <c r="AP36" s="31"/>
      <c r="AQ36" s="30"/>
      <c r="AR36" s="30"/>
      <c r="AS36" s="30"/>
      <c r="AT36" s="31"/>
    </row>
    <row r="37" spans="1:46" s="270" customFormat="1" ht="11.25">
      <c r="A37" s="37" t="s">
        <v>277</v>
      </c>
      <c r="B37" s="37" t="s">
        <v>115</v>
      </c>
      <c r="C37" s="29">
        <f>SUM(C38:C39)</f>
        <v>1940.6999999999998</v>
      </c>
      <c r="D37" s="30">
        <f t="shared" ref="D37:X37" si="44">SUM(D38:D39)</f>
        <v>2130.1999999999998</v>
      </c>
      <c r="E37" s="30">
        <f t="shared" si="44"/>
        <v>2223.5</v>
      </c>
      <c r="F37" s="30">
        <f t="shared" si="44"/>
        <v>2572.4</v>
      </c>
      <c r="G37" s="29">
        <f t="shared" si="44"/>
        <v>2375</v>
      </c>
      <c r="H37" s="30">
        <f t="shared" si="44"/>
        <v>2885.4</v>
      </c>
      <c r="I37" s="30">
        <f t="shared" si="44"/>
        <v>2562.9</v>
      </c>
      <c r="J37" s="31">
        <f t="shared" si="44"/>
        <v>2886.2</v>
      </c>
      <c r="K37" s="29">
        <f t="shared" si="44"/>
        <v>2195.5</v>
      </c>
      <c r="L37" s="30">
        <f t="shared" si="44"/>
        <v>1661</v>
      </c>
      <c r="M37" s="30">
        <f t="shared" si="44"/>
        <v>1679.3</v>
      </c>
      <c r="N37" s="31">
        <f t="shared" si="44"/>
        <v>1508.2</v>
      </c>
      <c r="O37" s="29">
        <f t="shared" si="44"/>
        <v>1525.6000000000001</v>
      </c>
      <c r="P37" s="30">
        <f t="shared" si="44"/>
        <v>1382.5</v>
      </c>
      <c r="Q37" s="30">
        <f t="shared" si="44"/>
        <v>2799.2</v>
      </c>
      <c r="R37" s="31">
        <f t="shared" si="44"/>
        <v>1695</v>
      </c>
      <c r="S37" s="29">
        <f t="shared" si="44"/>
        <v>1787.3000000000002</v>
      </c>
      <c r="T37" s="30">
        <f t="shared" si="44"/>
        <v>1637.3000000000002</v>
      </c>
      <c r="U37" s="30">
        <f t="shared" si="44"/>
        <v>2223.1999999999998</v>
      </c>
      <c r="V37" s="31">
        <f t="shared" si="44"/>
        <v>2102.6</v>
      </c>
      <c r="W37" s="29">
        <f t="shared" si="44"/>
        <v>1680</v>
      </c>
      <c r="X37" s="30">
        <f t="shared" si="44"/>
        <v>1643.2</v>
      </c>
      <c r="Y37" s="30">
        <f t="shared" ref="Y37:AD37" si="45">SUM(Y38:Y39)</f>
        <v>1632.2</v>
      </c>
      <c r="Z37" s="31">
        <f t="shared" si="45"/>
        <v>2099</v>
      </c>
      <c r="AA37" s="29">
        <f t="shared" si="45"/>
        <v>1881.6999999999998</v>
      </c>
      <c r="AB37" s="30">
        <f t="shared" si="45"/>
        <v>1933.9</v>
      </c>
      <c r="AC37" s="30">
        <f t="shared" si="45"/>
        <v>1938.8000000000002</v>
      </c>
      <c r="AD37" s="31">
        <f t="shared" si="45"/>
        <v>2090.8000000000002</v>
      </c>
      <c r="AE37" s="30">
        <f t="shared" ref="AE37:AJ37" si="46">SUM(AE38:AE39)</f>
        <v>2016.7</v>
      </c>
      <c r="AF37" s="30">
        <f t="shared" si="46"/>
        <v>1910.5</v>
      </c>
      <c r="AG37" s="30">
        <f t="shared" si="46"/>
        <v>1936.8</v>
      </c>
      <c r="AH37" s="31">
        <f t="shared" si="46"/>
        <v>1868.5</v>
      </c>
      <c r="AI37" s="30">
        <f t="shared" si="46"/>
        <v>1948.1</v>
      </c>
      <c r="AJ37" s="30">
        <f t="shared" si="46"/>
        <v>1705.5</v>
      </c>
      <c r="AK37" s="30">
        <f t="shared" ref="AK37:AT37" si="47">SUM(AK38:AK39)</f>
        <v>1777.6000000000001</v>
      </c>
      <c r="AL37" s="31">
        <f t="shared" si="47"/>
        <v>1619.5</v>
      </c>
      <c r="AM37" s="30">
        <f t="shared" si="47"/>
        <v>1786.1999999999998</v>
      </c>
      <c r="AN37" s="30">
        <f t="shared" si="47"/>
        <v>2252.2999999999997</v>
      </c>
      <c r="AO37" s="30">
        <f t="shared" si="47"/>
        <v>1944.6999999999998</v>
      </c>
      <c r="AP37" s="31">
        <f t="shared" si="47"/>
        <v>1740.8</v>
      </c>
      <c r="AQ37" s="30">
        <f t="shared" si="47"/>
        <v>2572.5</v>
      </c>
      <c r="AR37" s="30">
        <f t="shared" si="47"/>
        <v>1755.6000000000001</v>
      </c>
      <c r="AS37" s="30">
        <f t="shared" si="47"/>
        <v>2301.3000000000002</v>
      </c>
      <c r="AT37" s="30">
        <f t="shared" si="47"/>
        <v>1773.9</v>
      </c>
    </row>
    <row r="38" spans="1:46" s="273" customFormat="1" ht="11.25">
      <c r="A38" s="51" t="s">
        <v>281</v>
      </c>
      <c r="B38" s="51" t="s">
        <v>116</v>
      </c>
      <c r="C38" s="52">
        <v>852.5</v>
      </c>
      <c r="D38" s="53">
        <v>910</v>
      </c>
      <c r="E38" s="53">
        <v>1104.9000000000001</v>
      </c>
      <c r="F38" s="53">
        <v>2028.9</v>
      </c>
      <c r="G38" s="52">
        <v>1264.2</v>
      </c>
      <c r="H38" s="53">
        <v>1695.5</v>
      </c>
      <c r="I38" s="53">
        <v>1176.2</v>
      </c>
      <c r="J38" s="54">
        <v>2400.6999999999998</v>
      </c>
      <c r="K38" s="52">
        <v>1266.0999999999999</v>
      </c>
      <c r="L38" s="53">
        <v>1182.3</v>
      </c>
      <c r="M38" s="53">
        <v>1198.3</v>
      </c>
      <c r="N38" s="54">
        <v>1304</v>
      </c>
      <c r="O38" s="52">
        <v>1141.4000000000001</v>
      </c>
      <c r="P38" s="53">
        <v>1081.4000000000001</v>
      </c>
      <c r="Q38" s="53">
        <v>1878.3</v>
      </c>
      <c r="R38" s="54">
        <v>1455.3</v>
      </c>
      <c r="S38" s="52">
        <v>1357.9</v>
      </c>
      <c r="T38" s="53">
        <v>1285.7</v>
      </c>
      <c r="U38" s="53">
        <v>1569.5</v>
      </c>
      <c r="V38" s="54">
        <v>1930.9</v>
      </c>
      <c r="W38" s="52">
        <v>1216.3</v>
      </c>
      <c r="X38" s="53">
        <v>1254.5</v>
      </c>
      <c r="Y38" s="53">
        <v>1318.5</v>
      </c>
      <c r="Z38" s="54">
        <v>1982.1</v>
      </c>
      <c r="AA38" s="52">
        <v>1446.1</v>
      </c>
      <c r="AB38" s="53">
        <v>1501.7</v>
      </c>
      <c r="AC38" s="53">
        <v>1511.7</v>
      </c>
      <c r="AD38" s="54">
        <v>2029</v>
      </c>
      <c r="AE38" s="53">
        <v>1589</v>
      </c>
      <c r="AF38" s="53">
        <v>1625.2</v>
      </c>
      <c r="AG38" s="53">
        <v>1622.5</v>
      </c>
      <c r="AH38" s="54">
        <v>1809.4</v>
      </c>
      <c r="AI38" s="53">
        <v>1577.6</v>
      </c>
      <c r="AJ38" s="53">
        <v>1549.5</v>
      </c>
      <c r="AK38" s="53">
        <v>1657.4</v>
      </c>
      <c r="AL38" s="54">
        <v>1530.6</v>
      </c>
      <c r="AM38" s="53">
        <v>1669.6</v>
      </c>
      <c r="AN38" s="53">
        <v>2091.6999999999998</v>
      </c>
      <c r="AO38" s="53">
        <v>1747.1</v>
      </c>
      <c r="AP38" s="54">
        <v>1684.3</v>
      </c>
      <c r="AQ38" s="53">
        <v>1693.5</v>
      </c>
      <c r="AR38" s="53">
        <v>1647.2</v>
      </c>
      <c r="AS38" s="53">
        <v>1705.6</v>
      </c>
      <c r="AT38" s="54">
        <v>1712.7</v>
      </c>
    </row>
    <row r="39" spans="1:46" s="292" customFormat="1" ht="11.25">
      <c r="A39" s="51" t="s">
        <v>356</v>
      </c>
      <c r="B39" s="51" t="s">
        <v>117</v>
      </c>
      <c r="C39" s="52">
        <f>1086.6+1.6</f>
        <v>1088.1999999999998</v>
      </c>
      <c r="D39" s="53">
        <f>1218.2+2</f>
        <v>1220.2</v>
      </c>
      <c r="E39" s="53">
        <f>1116.5+2.1</f>
        <v>1118.5999999999999</v>
      </c>
      <c r="F39" s="53">
        <v>543.5</v>
      </c>
      <c r="G39" s="52">
        <v>1110.8</v>
      </c>
      <c r="H39" s="53">
        <v>1189.9000000000001</v>
      </c>
      <c r="I39" s="53">
        <v>1386.7</v>
      </c>
      <c r="J39" s="54">
        <v>485.5</v>
      </c>
      <c r="K39" s="52">
        <v>929.4</v>
      </c>
      <c r="L39" s="53">
        <v>478.7</v>
      </c>
      <c r="M39" s="53">
        <v>481</v>
      </c>
      <c r="N39" s="54">
        <v>204.2</v>
      </c>
      <c r="O39" s="52">
        <v>384.2</v>
      </c>
      <c r="P39" s="53">
        <v>301.10000000000002</v>
      </c>
      <c r="Q39" s="53">
        <v>920.9</v>
      </c>
      <c r="R39" s="54">
        <v>239.7</v>
      </c>
      <c r="S39" s="52">
        <v>429.4</v>
      </c>
      <c r="T39" s="53">
        <v>351.6</v>
      </c>
      <c r="U39" s="53">
        <v>653.70000000000005</v>
      </c>
      <c r="V39" s="54">
        <v>171.7</v>
      </c>
      <c r="W39" s="52">
        <v>463.7</v>
      </c>
      <c r="X39" s="53">
        <v>388.7</v>
      </c>
      <c r="Y39" s="53">
        <v>313.7</v>
      </c>
      <c r="Z39" s="54">
        <v>116.9</v>
      </c>
      <c r="AA39" s="52">
        <v>435.6</v>
      </c>
      <c r="AB39" s="53">
        <v>432.2</v>
      </c>
      <c r="AC39" s="53">
        <v>427.1</v>
      </c>
      <c r="AD39" s="54">
        <v>61.8</v>
      </c>
      <c r="AE39" s="53">
        <v>427.7</v>
      </c>
      <c r="AF39" s="53">
        <v>285.3</v>
      </c>
      <c r="AG39" s="53">
        <v>314.3</v>
      </c>
      <c r="AH39" s="54">
        <v>59.1</v>
      </c>
      <c r="AI39" s="53">
        <v>370.5</v>
      </c>
      <c r="AJ39" s="53">
        <v>156</v>
      </c>
      <c r="AK39" s="53">
        <v>120.2</v>
      </c>
      <c r="AL39" s="54">
        <v>88.9</v>
      </c>
      <c r="AM39" s="53">
        <v>116.60000000000001</v>
      </c>
      <c r="AN39" s="53">
        <v>160.6</v>
      </c>
      <c r="AO39" s="53">
        <v>197.6</v>
      </c>
      <c r="AP39" s="54">
        <v>56.5</v>
      </c>
      <c r="AQ39" s="53">
        <v>879</v>
      </c>
      <c r="AR39" s="53">
        <v>108.4</v>
      </c>
      <c r="AS39" s="53">
        <v>595.70000000000005</v>
      </c>
      <c r="AT39" s="54">
        <v>61.2</v>
      </c>
    </row>
    <row r="40" spans="1:46" s="19" customFormat="1" ht="11.25">
      <c r="A40" s="19" t="s">
        <v>278</v>
      </c>
      <c r="B40" s="19" t="s">
        <v>113</v>
      </c>
      <c r="C40" s="29">
        <v>1.4</v>
      </c>
      <c r="D40" s="30">
        <v>0.7</v>
      </c>
      <c r="E40" s="30">
        <v>9.3000000000000007</v>
      </c>
      <c r="F40" s="30">
        <v>6.6</v>
      </c>
      <c r="G40" s="29">
        <v>7.2</v>
      </c>
      <c r="H40" s="30">
        <v>4.5999999999999996</v>
      </c>
      <c r="I40" s="30">
        <v>2.2000000000000002</v>
      </c>
      <c r="J40" s="31">
        <v>16</v>
      </c>
      <c r="K40" s="29">
        <v>4.5</v>
      </c>
      <c r="L40" s="30">
        <v>13.7</v>
      </c>
      <c r="M40" s="30">
        <v>5.5</v>
      </c>
      <c r="N40" s="31">
        <v>1.1000000000000001</v>
      </c>
      <c r="O40" s="29">
        <v>0.6</v>
      </c>
      <c r="P40" s="30">
        <v>0.6</v>
      </c>
      <c r="Q40" s="30">
        <v>0.6</v>
      </c>
      <c r="R40" s="31">
        <v>1.9</v>
      </c>
      <c r="S40" s="29">
        <v>2.1</v>
      </c>
      <c r="T40" s="30">
        <v>2.2000000000000002</v>
      </c>
      <c r="U40" s="30">
        <v>2.1</v>
      </c>
      <c r="V40" s="31">
        <v>2.1</v>
      </c>
      <c r="W40" s="29">
        <v>1.9</v>
      </c>
      <c r="X40" s="30">
        <v>1.4</v>
      </c>
      <c r="Y40" s="30">
        <v>1.6</v>
      </c>
      <c r="Z40" s="31">
        <v>3.6</v>
      </c>
      <c r="AA40" s="29">
        <v>54.9</v>
      </c>
      <c r="AB40" s="30">
        <v>51.9</v>
      </c>
      <c r="AC40" s="30">
        <v>7.7</v>
      </c>
      <c r="AD40" s="31">
        <v>9.6</v>
      </c>
      <c r="AE40" s="30">
        <v>6</v>
      </c>
      <c r="AF40" s="30">
        <v>10.8</v>
      </c>
      <c r="AG40" s="30">
        <v>7.3</v>
      </c>
      <c r="AH40" s="31">
        <v>7.3</v>
      </c>
      <c r="AI40" s="30">
        <v>6.5</v>
      </c>
      <c r="AJ40" s="30">
        <v>18.899999999999999</v>
      </c>
      <c r="AK40" s="30">
        <v>9.8000000000000007</v>
      </c>
      <c r="AL40" s="31">
        <v>12.4</v>
      </c>
      <c r="AM40" s="30">
        <v>11.600000000000001</v>
      </c>
      <c r="AN40" s="30">
        <v>9.1</v>
      </c>
      <c r="AO40" s="30">
        <v>12.1</v>
      </c>
      <c r="AP40" s="31">
        <v>10.199999999999999</v>
      </c>
      <c r="AQ40" s="30">
        <v>7.9</v>
      </c>
      <c r="AR40" s="30">
        <v>7.5</v>
      </c>
      <c r="AS40" s="30">
        <v>10.3</v>
      </c>
      <c r="AT40" s="31">
        <v>32.199999999999996</v>
      </c>
    </row>
    <row r="41" spans="1:46" s="271" customFormat="1" ht="11.25">
      <c r="A41" s="57" t="s">
        <v>282</v>
      </c>
      <c r="B41" s="57" t="s">
        <v>63</v>
      </c>
      <c r="C41" s="42">
        <f t="shared" ref="C41:AA41" si="48">C37+C40</f>
        <v>1942.1</v>
      </c>
      <c r="D41" s="43">
        <f t="shared" si="48"/>
        <v>2130.8999999999996</v>
      </c>
      <c r="E41" s="43">
        <f t="shared" si="48"/>
        <v>2232.8000000000002</v>
      </c>
      <c r="F41" s="43">
        <f t="shared" si="48"/>
        <v>2579</v>
      </c>
      <c r="G41" s="42">
        <f t="shared" si="48"/>
        <v>2382.1999999999998</v>
      </c>
      <c r="H41" s="43">
        <f t="shared" si="48"/>
        <v>2890</v>
      </c>
      <c r="I41" s="43">
        <f t="shared" si="48"/>
        <v>2565.1</v>
      </c>
      <c r="J41" s="44">
        <f t="shared" si="48"/>
        <v>2902.2</v>
      </c>
      <c r="K41" s="42">
        <f t="shared" si="48"/>
        <v>2200</v>
      </c>
      <c r="L41" s="43">
        <f t="shared" si="48"/>
        <v>1674.7</v>
      </c>
      <c r="M41" s="43">
        <f t="shared" si="48"/>
        <v>1684.8</v>
      </c>
      <c r="N41" s="44">
        <f t="shared" si="48"/>
        <v>1509.3</v>
      </c>
      <c r="O41" s="42">
        <f t="shared" si="48"/>
        <v>1526.2</v>
      </c>
      <c r="P41" s="43">
        <f t="shared" si="48"/>
        <v>1383.1</v>
      </c>
      <c r="Q41" s="43">
        <f t="shared" si="48"/>
        <v>2799.7999999999997</v>
      </c>
      <c r="R41" s="44">
        <f t="shared" si="48"/>
        <v>1696.9</v>
      </c>
      <c r="S41" s="42">
        <f t="shared" si="48"/>
        <v>1789.4</v>
      </c>
      <c r="T41" s="43">
        <f t="shared" si="48"/>
        <v>1639.5000000000002</v>
      </c>
      <c r="U41" s="43">
        <f t="shared" si="48"/>
        <v>2225.2999999999997</v>
      </c>
      <c r="V41" s="44">
        <f t="shared" si="48"/>
        <v>2104.6999999999998</v>
      </c>
      <c r="W41" s="42">
        <f t="shared" si="48"/>
        <v>1681.9</v>
      </c>
      <c r="X41" s="43">
        <f t="shared" si="48"/>
        <v>1644.6000000000001</v>
      </c>
      <c r="Y41" s="43">
        <f t="shared" si="48"/>
        <v>1633.8</v>
      </c>
      <c r="Z41" s="44">
        <f t="shared" si="48"/>
        <v>2102.6</v>
      </c>
      <c r="AA41" s="42">
        <f t="shared" si="48"/>
        <v>1936.6</v>
      </c>
      <c r="AB41" s="43">
        <f t="shared" ref="AB41:AG41" si="49">AB37+AB40</f>
        <v>1985.8000000000002</v>
      </c>
      <c r="AC41" s="43">
        <f t="shared" si="49"/>
        <v>1946.5000000000002</v>
      </c>
      <c r="AD41" s="44">
        <f t="shared" si="49"/>
        <v>2100.4</v>
      </c>
      <c r="AE41" s="43">
        <f t="shared" si="49"/>
        <v>2022.7</v>
      </c>
      <c r="AF41" s="43">
        <f t="shared" si="49"/>
        <v>1921.3</v>
      </c>
      <c r="AG41" s="43">
        <f t="shared" si="49"/>
        <v>1944.1</v>
      </c>
      <c r="AH41" s="44">
        <f t="shared" ref="AH41:AM41" si="50">AH37+AH40</f>
        <v>1875.8</v>
      </c>
      <c r="AI41" s="43">
        <f t="shared" si="50"/>
        <v>1954.6</v>
      </c>
      <c r="AJ41" s="43">
        <f t="shared" si="50"/>
        <v>1724.4</v>
      </c>
      <c r="AK41" s="43">
        <f t="shared" si="50"/>
        <v>1787.4</v>
      </c>
      <c r="AL41" s="44">
        <f t="shared" si="50"/>
        <v>1631.9</v>
      </c>
      <c r="AM41" s="43">
        <f t="shared" si="50"/>
        <v>1797.7999999999997</v>
      </c>
      <c r="AN41" s="43">
        <f t="shared" ref="AN41:AT41" si="51">AN37+AN40</f>
        <v>2261.3999999999996</v>
      </c>
      <c r="AO41" s="43">
        <f t="shared" si="51"/>
        <v>1956.7999999999997</v>
      </c>
      <c r="AP41" s="44">
        <f t="shared" si="51"/>
        <v>1751</v>
      </c>
      <c r="AQ41" s="43">
        <f t="shared" si="51"/>
        <v>2580.4</v>
      </c>
      <c r="AR41" s="43">
        <f t="shared" si="51"/>
        <v>1763.1000000000001</v>
      </c>
      <c r="AS41" s="43">
        <f t="shared" si="51"/>
        <v>2311.6000000000004</v>
      </c>
      <c r="AT41" s="43">
        <f t="shared" si="51"/>
        <v>1806.1000000000001</v>
      </c>
    </row>
    <row r="43" spans="1:46">
      <c r="C43" s="21"/>
      <c r="D43" s="21"/>
      <c r="E43" s="21"/>
      <c r="F43" s="21"/>
      <c r="G43" s="21"/>
      <c r="H43" s="21"/>
      <c r="I43" s="21"/>
      <c r="J43" s="21"/>
      <c r="K43" s="21"/>
      <c r="L43" s="21"/>
      <c r="M43" s="21"/>
      <c r="N43" s="21"/>
      <c r="O43" s="21"/>
      <c r="P43" s="21"/>
      <c r="Q43" s="21"/>
      <c r="R43" s="21"/>
    </row>
    <row r="45" spans="1:46">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S45" s="21"/>
      <c r="AT45" s="21"/>
    </row>
  </sheetData>
  <mergeCells count="13">
    <mergeCell ref="AQ3:AT3"/>
    <mergeCell ref="A3:A4"/>
    <mergeCell ref="B3:B4"/>
    <mergeCell ref="C3:F3"/>
    <mergeCell ref="G3:J3"/>
    <mergeCell ref="K3:N3"/>
    <mergeCell ref="AE3:AH3"/>
    <mergeCell ref="AA3:AD3"/>
    <mergeCell ref="AM3:AP3"/>
    <mergeCell ref="AI3:AL3"/>
    <mergeCell ref="W3:Z3"/>
    <mergeCell ref="O3:R3"/>
    <mergeCell ref="S3:V3"/>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ignoredErrors>
    <ignoredError sqref="N15:X15 N20:X22 S34:X34 N36:X37 F36:M41 F15:M15 P24:X24 P29:X30 AB38:AC39 F19:M23 F16:F18 AD38:AF39 AD40:AH45 AG38:AH39 P35:X35 N29:O30 F27:M30 F24:O24 F32:M35 N35:O35 C25:O26 C35:E35 C32:E34 N32:O34 C24:E24 C31:O31 C27:E30 N27:O28 AH6:AI6 AI21:AI23 AI15 AI33 AI34:AI37 AI24 AI28 AI29 AI19:AI20 AH7:AI14 AH17:AH18 AH31 AH28 AH25:AH26 AH24 AH33 AH29:AH30 AH27 AH34:AH37 AH32 AH15 AH21:AH23 AH19:AH20 AH16 AE16:AG16 Y35:Z35 AG19:AG20 AG21:AG23 AG15 AG32 AG34:AG37 AG27 AG29:AG30 AG33 AG24 AG25:AG26 AG28 AG31 AD17:AG18 AD27:AD30 AD24 AD33 AE29:AE30 AE27 AD34:AE37 AD32:AE32 AD15 AD25:AF26 AE15:AF15 AE21:AF23 AE33:AF33 AF32 AF34:AF37 AE28:AF28 AF27 AD31:AF31 AF29:AF30 AE24:AF24 AD19:AD23 AE19:AF20 AB19:AB20 AC19:AC23 AA19:AA20 AA14:AB14 AB23 AB31:AC31 AB21 AB25:AC26 AB15 AC15 AB32:AC32 AB34:AC37 AB33:AC33 AB22 AB24:AC24 AB27:AC30 AA15 Y29:AA30 Y24:AA24 AA21 AA22 AA34:AA37 Y36:Z37 Y34:Z34 Y20:Z22 AA8:AB11 Y15:Z15 Y7:AG7 Y16:AD16 Y12:AG13 Y8:Z11 AC8:AG11 Y23:AA23 AJ22:AL22 AJ21:AL21 Y25:AA26 Y31:AA31 Y27:AA28 Y33:AA33 Y32:AA32 AI25:AL26 AI31:AL31 AJ23:AL23 Y14:Z14 AC14:AG14 Y19:Z19 AJ20:AL20 AJ19:AL19 AJ24:AL24 AI30:AL30 AI27:AL27 AJ28:AL28 AJ34:AL34 AJ36:AL37 AJ35:AL35 AI32:AL32 AJ33:AL33 AJ15:AL15 Y17:AC18 AI17:AL18 AI16:AL16 AJ7:AL7 AJ12:AL13 AJ8:AL11 AJ14:AL14 AJ29:AL29 AM24:AM37" formulaRange="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AT97"/>
  <sheetViews>
    <sheetView showGridLines="0" view="pageBreakPreview" zoomScaleNormal="100" zoomScaleSheetLayoutView="100" zoomScalePageLayoutView="80" workbookViewId="0">
      <pane xSplit="2" ySplit="4" topLeftCell="AB5" activePane="bottomRight" state="frozen"/>
      <selection pane="topRight" activeCell="C1" sqref="C1"/>
      <selection pane="bottomLeft" activeCell="A5" sqref="A5"/>
      <selection pane="bottomRight"/>
    </sheetView>
  </sheetViews>
  <sheetFormatPr defaultColWidth="8.85546875" defaultRowHeight="13.5" outlineLevelCol="1"/>
  <cols>
    <col min="1" max="1" width="54.140625" style="58" customWidth="1" outlineLevel="1"/>
    <col min="2" max="2" width="55.7109375" style="58" customWidth="1"/>
    <col min="3" max="46" width="8.140625" style="13" customWidth="1"/>
    <col min="47" max="16384" width="8.85546875" style="13"/>
  </cols>
  <sheetData>
    <row r="1" spans="1:46">
      <c r="A1" s="59" t="s">
        <v>430</v>
      </c>
      <c r="B1" s="59" t="s">
        <v>431</v>
      </c>
      <c r="C1" s="274"/>
      <c r="D1" s="274"/>
      <c r="E1" s="274"/>
      <c r="F1" s="274"/>
      <c r="G1" s="274"/>
      <c r="H1" s="274"/>
      <c r="I1" s="274"/>
      <c r="J1" s="274"/>
      <c r="K1" s="274"/>
      <c r="L1" s="274"/>
      <c r="M1" s="274"/>
      <c r="N1" s="274"/>
      <c r="O1" s="274"/>
      <c r="P1" s="274"/>
      <c r="Q1" s="274"/>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AP1" s="274"/>
      <c r="AQ1" s="274"/>
      <c r="AS1" s="274"/>
      <c r="AT1" s="274"/>
    </row>
    <row r="2" spans="1:46">
      <c r="A2" s="481" t="s">
        <v>245</v>
      </c>
      <c r="B2" s="481" t="s">
        <v>75</v>
      </c>
      <c r="C2" s="477">
        <v>2007</v>
      </c>
      <c r="D2" s="475"/>
      <c r="E2" s="475"/>
      <c r="F2" s="475"/>
      <c r="G2" s="477">
        <v>2008</v>
      </c>
      <c r="H2" s="475"/>
      <c r="I2" s="475"/>
      <c r="J2" s="475"/>
      <c r="K2" s="477">
        <v>2009</v>
      </c>
      <c r="L2" s="475"/>
      <c r="M2" s="475"/>
      <c r="N2" s="475"/>
      <c r="O2" s="477">
        <v>2010</v>
      </c>
      <c r="P2" s="475"/>
      <c r="Q2" s="475"/>
      <c r="R2" s="475"/>
      <c r="S2" s="477">
        <v>2011</v>
      </c>
      <c r="T2" s="475"/>
      <c r="U2" s="475"/>
      <c r="V2" s="475"/>
      <c r="W2" s="477">
        <v>2012</v>
      </c>
      <c r="X2" s="475"/>
      <c r="Y2" s="475"/>
      <c r="Z2" s="478"/>
      <c r="AA2" s="477">
        <v>2013</v>
      </c>
      <c r="AB2" s="475"/>
      <c r="AC2" s="475"/>
      <c r="AD2" s="478"/>
      <c r="AE2" s="474">
        <v>2014</v>
      </c>
      <c r="AF2" s="475"/>
      <c r="AG2" s="475"/>
      <c r="AH2" s="478"/>
      <c r="AI2" s="474">
        <v>2015</v>
      </c>
      <c r="AJ2" s="475"/>
      <c r="AK2" s="475"/>
      <c r="AL2" s="478"/>
      <c r="AM2" s="474">
        <v>2016</v>
      </c>
      <c r="AN2" s="475"/>
      <c r="AO2" s="475"/>
      <c r="AP2" s="478"/>
      <c r="AQ2" s="523">
        <v>2017</v>
      </c>
      <c r="AR2" s="524"/>
      <c r="AS2" s="524"/>
      <c r="AT2" s="524"/>
    </row>
    <row r="3" spans="1:46" s="14" customFormat="1">
      <c r="A3" s="482"/>
      <c r="B3" s="482"/>
      <c r="C3" s="22" t="s">
        <v>151</v>
      </c>
      <c r="D3" s="23" t="s">
        <v>152</v>
      </c>
      <c r="E3" s="23" t="s">
        <v>153</v>
      </c>
      <c r="F3" s="23" t="s">
        <v>154</v>
      </c>
      <c r="G3" s="22" t="s">
        <v>151</v>
      </c>
      <c r="H3" s="23" t="s">
        <v>152</v>
      </c>
      <c r="I3" s="23" t="s">
        <v>153</v>
      </c>
      <c r="J3" s="23" t="s">
        <v>154</v>
      </c>
      <c r="K3" s="22" t="s">
        <v>151</v>
      </c>
      <c r="L3" s="23" t="s">
        <v>152</v>
      </c>
      <c r="M3" s="23" t="s">
        <v>153</v>
      </c>
      <c r="N3" s="23" t="s">
        <v>154</v>
      </c>
      <c r="O3" s="22" t="s">
        <v>151</v>
      </c>
      <c r="P3" s="23" t="s">
        <v>152</v>
      </c>
      <c r="Q3" s="23" t="s">
        <v>153</v>
      </c>
      <c r="R3" s="23" t="s">
        <v>154</v>
      </c>
      <c r="S3" s="22" t="s">
        <v>151</v>
      </c>
      <c r="T3" s="23" t="s">
        <v>152</v>
      </c>
      <c r="U3" s="23" t="s">
        <v>153</v>
      </c>
      <c r="V3" s="23" t="s">
        <v>154</v>
      </c>
      <c r="W3" s="22" t="s">
        <v>151</v>
      </c>
      <c r="X3" s="23" t="s">
        <v>152</v>
      </c>
      <c r="Y3" s="23" t="s">
        <v>153</v>
      </c>
      <c r="Z3" s="48" t="s">
        <v>154</v>
      </c>
      <c r="AA3" s="22" t="s">
        <v>151</v>
      </c>
      <c r="AB3" s="23" t="s">
        <v>152</v>
      </c>
      <c r="AC3" s="23" t="s">
        <v>153</v>
      </c>
      <c r="AD3" s="48" t="s">
        <v>154</v>
      </c>
      <c r="AE3" s="275" t="s">
        <v>151</v>
      </c>
      <c r="AF3" s="276" t="s">
        <v>152</v>
      </c>
      <c r="AG3" s="276" t="s">
        <v>153</v>
      </c>
      <c r="AH3" s="277" t="s">
        <v>154</v>
      </c>
      <c r="AI3" s="276" t="s">
        <v>151</v>
      </c>
      <c r="AJ3" s="276" t="s">
        <v>152</v>
      </c>
      <c r="AK3" s="276" t="s">
        <v>153</v>
      </c>
      <c r="AL3" s="277" t="s">
        <v>154</v>
      </c>
      <c r="AM3" s="276" t="s">
        <v>151</v>
      </c>
      <c r="AN3" s="276" t="s">
        <v>152</v>
      </c>
      <c r="AO3" s="276" t="s">
        <v>153</v>
      </c>
      <c r="AP3" s="277" t="s">
        <v>154</v>
      </c>
      <c r="AQ3" s="276" t="s">
        <v>151</v>
      </c>
      <c r="AR3" s="276" t="s">
        <v>152</v>
      </c>
      <c r="AS3" s="276" t="s">
        <v>153</v>
      </c>
      <c r="AT3" s="277" t="s">
        <v>154</v>
      </c>
    </row>
    <row r="4" spans="1:46" s="267" customFormat="1" ht="12.75" customHeight="1">
      <c r="A4" s="24" t="s">
        <v>156</v>
      </c>
      <c r="B4" s="24" t="s">
        <v>11</v>
      </c>
      <c r="C4" s="128"/>
      <c r="D4" s="129"/>
      <c r="E4" s="61"/>
      <c r="F4" s="129"/>
      <c r="G4" s="128"/>
      <c r="H4" s="129"/>
      <c r="I4" s="61"/>
      <c r="J4" s="130"/>
      <c r="K4" s="128"/>
      <c r="L4" s="129"/>
      <c r="M4" s="61"/>
      <c r="N4" s="130"/>
      <c r="O4" s="128"/>
      <c r="P4" s="129"/>
      <c r="Q4" s="61"/>
      <c r="R4" s="130"/>
      <c r="S4" s="128"/>
      <c r="T4" s="129"/>
      <c r="U4" s="61"/>
      <c r="V4" s="130"/>
      <c r="W4" s="128"/>
      <c r="X4" s="61"/>
      <c r="Y4" s="61"/>
      <c r="Z4" s="272"/>
      <c r="AA4" s="128"/>
      <c r="AB4" s="61"/>
      <c r="AC4" s="61"/>
      <c r="AD4" s="272"/>
      <c r="AE4" s="128"/>
      <c r="AF4" s="61"/>
      <c r="AG4" s="61"/>
      <c r="AH4" s="272"/>
      <c r="AI4" s="61"/>
      <c r="AJ4" s="61"/>
      <c r="AK4" s="61"/>
      <c r="AL4" s="272"/>
      <c r="AM4" s="61"/>
      <c r="AN4" s="61"/>
      <c r="AO4" s="61"/>
      <c r="AP4" s="272"/>
      <c r="AQ4" s="61"/>
      <c r="AR4" s="61"/>
      <c r="AS4" s="61"/>
      <c r="AT4" s="272"/>
    </row>
    <row r="5" spans="1:46" s="268" customFormat="1" ht="11.25">
      <c r="A5" s="33" t="s">
        <v>452</v>
      </c>
      <c r="B5" s="33" t="s">
        <v>444</v>
      </c>
      <c r="C5" s="34">
        <f>SUM(C6:C9)</f>
        <v>14362</v>
      </c>
      <c r="D5" s="35">
        <f t="shared" ref="D5:AC5" si="0">SUM(D6:D9)</f>
        <v>15091.300000000001</v>
      </c>
      <c r="E5" s="35">
        <f t="shared" si="0"/>
        <v>15905.499999999998</v>
      </c>
      <c r="F5" s="35">
        <f t="shared" si="0"/>
        <v>16786.899999999998</v>
      </c>
      <c r="G5" s="34">
        <f t="shared" si="0"/>
        <v>18454.099999999999</v>
      </c>
      <c r="H5" s="35">
        <f t="shared" si="0"/>
        <v>19814.300000000003</v>
      </c>
      <c r="I5" s="35">
        <f t="shared" si="0"/>
        <v>22105.7</v>
      </c>
      <c r="J5" s="36">
        <f t="shared" si="0"/>
        <v>24298</v>
      </c>
      <c r="K5" s="34">
        <f t="shared" si="0"/>
        <v>25614.5</v>
      </c>
      <c r="L5" s="35">
        <f t="shared" si="0"/>
        <v>25776.7</v>
      </c>
      <c r="M5" s="35">
        <f t="shared" si="0"/>
        <v>26134</v>
      </c>
      <c r="N5" s="36">
        <f t="shared" si="0"/>
        <v>27361.399999999998</v>
      </c>
      <c r="O5" s="34">
        <f t="shared" si="0"/>
        <v>27576.400000000001</v>
      </c>
      <c r="P5" s="35">
        <f t="shared" si="0"/>
        <v>28994.400000000001</v>
      </c>
      <c r="Q5" s="35">
        <f t="shared" si="0"/>
        <v>30667.8</v>
      </c>
      <c r="R5" s="36">
        <f t="shared" si="0"/>
        <v>32178.300000000003</v>
      </c>
      <c r="S5" s="34">
        <f t="shared" si="0"/>
        <v>32988.699999999997</v>
      </c>
      <c r="T5" s="35">
        <f t="shared" si="0"/>
        <v>34754.699999999997</v>
      </c>
      <c r="U5" s="35">
        <f t="shared" si="0"/>
        <v>36919.199999999997</v>
      </c>
      <c r="V5" s="36">
        <f t="shared" si="0"/>
        <v>39466.1</v>
      </c>
      <c r="W5" s="34">
        <f t="shared" si="0"/>
        <v>45105.9</v>
      </c>
      <c r="X5" s="35">
        <f t="shared" si="0"/>
        <v>45907.599999999991</v>
      </c>
      <c r="Y5" s="35">
        <f t="shared" si="0"/>
        <v>46744.9</v>
      </c>
      <c r="Z5" s="36">
        <f t="shared" si="0"/>
        <v>46509.999999999993</v>
      </c>
      <c r="AA5" s="34">
        <f t="shared" si="0"/>
        <v>46670.400000000001</v>
      </c>
      <c r="AB5" s="35">
        <f t="shared" si="0"/>
        <v>48136.700000000004</v>
      </c>
      <c r="AC5" s="35">
        <f t="shared" si="0"/>
        <v>49764.499999999993</v>
      </c>
      <c r="AD5" s="36">
        <f t="shared" ref="AD5:AI5" si="1">SUM(AD6:AD9)</f>
        <v>49982.299999999996</v>
      </c>
      <c r="AE5" s="34">
        <f t="shared" si="1"/>
        <v>52346.200000000012</v>
      </c>
      <c r="AF5" s="35">
        <f t="shared" si="1"/>
        <v>55099.1</v>
      </c>
      <c r="AG5" s="35">
        <f t="shared" si="1"/>
        <v>57750.80000000001</v>
      </c>
      <c r="AH5" s="36">
        <f t="shared" si="1"/>
        <v>58750.499999999993</v>
      </c>
      <c r="AI5" s="35">
        <f t="shared" si="1"/>
        <v>61323.1</v>
      </c>
      <c r="AJ5" s="35">
        <f t="shared" ref="AJ5:AT5" si="2">SUM(AJ6:AJ9)</f>
        <v>65943.7</v>
      </c>
      <c r="AK5" s="35">
        <f t="shared" si="2"/>
        <v>69046.499999999985</v>
      </c>
      <c r="AL5" s="36">
        <f t="shared" si="2"/>
        <v>70046.899999999994</v>
      </c>
      <c r="AM5" s="35">
        <f t="shared" si="2"/>
        <v>72906.999999999985</v>
      </c>
      <c r="AN5" s="35">
        <f t="shared" si="2"/>
        <v>75810.8</v>
      </c>
      <c r="AO5" s="35">
        <f>SUM(AO6:AO9)</f>
        <v>77888.3</v>
      </c>
      <c r="AP5" s="36">
        <f t="shared" si="2"/>
        <v>79447.899999999994</v>
      </c>
      <c r="AQ5" s="35">
        <f t="shared" si="2"/>
        <v>82129.999999999985</v>
      </c>
      <c r="AR5" s="35">
        <f t="shared" si="2"/>
        <v>84778.500000000015</v>
      </c>
      <c r="AS5" s="35">
        <f t="shared" si="2"/>
        <v>87895.900000000009</v>
      </c>
      <c r="AT5" s="35">
        <f t="shared" si="2"/>
        <v>89043.599999999991</v>
      </c>
    </row>
    <row r="6" spans="1:46" s="268" customFormat="1" ht="11.25">
      <c r="A6" s="32" t="s">
        <v>453</v>
      </c>
      <c r="B6" s="32" t="s">
        <v>445</v>
      </c>
      <c r="C6" s="29">
        <f>SUM(C30,C46,C54,C77)</f>
        <v>14102.2</v>
      </c>
      <c r="D6" s="30">
        <f t="shared" ref="D6:AD6" si="3">SUM(D30,D46,D54,D77)</f>
        <v>14839.2</v>
      </c>
      <c r="E6" s="30">
        <f t="shared" si="3"/>
        <v>15680.999999999998</v>
      </c>
      <c r="F6" s="30">
        <f t="shared" si="3"/>
        <v>16642.399999999998</v>
      </c>
      <c r="G6" s="29">
        <f t="shared" si="3"/>
        <v>18307.5</v>
      </c>
      <c r="H6" s="30">
        <f t="shared" si="3"/>
        <v>19662.900000000001</v>
      </c>
      <c r="I6" s="30">
        <f t="shared" si="3"/>
        <v>21911.9</v>
      </c>
      <c r="J6" s="31">
        <f t="shared" si="3"/>
        <v>23490.5</v>
      </c>
      <c r="K6" s="29">
        <f t="shared" si="3"/>
        <v>24706.100000000002</v>
      </c>
      <c r="L6" s="30">
        <f t="shared" si="3"/>
        <v>24904.100000000002</v>
      </c>
      <c r="M6" s="30">
        <f t="shared" si="3"/>
        <v>25418.5</v>
      </c>
      <c r="N6" s="31">
        <f t="shared" si="3"/>
        <v>26540.399999999998</v>
      </c>
      <c r="O6" s="29">
        <f t="shared" si="3"/>
        <v>26775.4</v>
      </c>
      <c r="P6" s="30">
        <f t="shared" si="3"/>
        <v>28108.9</v>
      </c>
      <c r="Q6" s="30">
        <f t="shared" si="3"/>
        <v>29478.9</v>
      </c>
      <c r="R6" s="31">
        <f t="shared" si="3"/>
        <v>30875.600000000002</v>
      </c>
      <c r="S6" s="29">
        <f t="shared" si="3"/>
        <v>31757.3</v>
      </c>
      <c r="T6" s="30">
        <f t="shared" si="3"/>
        <v>33488.199999999997</v>
      </c>
      <c r="U6" s="30">
        <f t="shared" si="3"/>
        <v>35278.699999999997</v>
      </c>
      <c r="V6" s="31">
        <f t="shared" si="3"/>
        <v>37103.699999999997</v>
      </c>
      <c r="W6" s="29">
        <f t="shared" si="3"/>
        <v>37990</v>
      </c>
      <c r="X6" s="30">
        <f t="shared" si="3"/>
        <v>38680.399999999994</v>
      </c>
      <c r="Y6" s="30">
        <f t="shared" si="3"/>
        <v>39366.6</v>
      </c>
      <c r="Z6" s="31">
        <f t="shared" si="3"/>
        <v>38898.599999999991</v>
      </c>
      <c r="AA6" s="29">
        <f t="shared" si="3"/>
        <v>39620.5</v>
      </c>
      <c r="AB6" s="30">
        <f t="shared" si="3"/>
        <v>40531.500000000007</v>
      </c>
      <c r="AC6" s="30">
        <f t="shared" si="3"/>
        <v>41697.399999999994</v>
      </c>
      <c r="AD6" s="31">
        <f t="shared" si="3"/>
        <v>41690.400000000001</v>
      </c>
      <c r="AE6" s="29">
        <f t="shared" ref="AE6:AJ6" si="4">SUM(AE30,AE46,AE54,AE77)</f>
        <v>43906.100000000006</v>
      </c>
      <c r="AF6" s="30">
        <f t="shared" si="4"/>
        <v>45983.3</v>
      </c>
      <c r="AG6" s="30">
        <f t="shared" si="4"/>
        <v>47661.600000000006</v>
      </c>
      <c r="AH6" s="31">
        <f t="shared" si="4"/>
        <v>48750.7</v>
      </c>
      <c r="AI6" s="30">
        <f t="shared" si="4"/>
        <v>51561.799999999996</v>
      </c>
      <c r="AJ6" s="30">
        <f t="shared" si="4"/>
        <v>55607</v>
      </c>
      <c r="AK6" s="30">
        <f>SUM(AK30,AK46,AK54,AK77)</f>
        <v>58058.7</v>
      </c>
      <c r="AL6" s="31">
        <f>SUM(AL30,AL46,AL54,AL77)</f>
        <v>58563.8</v>
      </c>
      <c r="AM6" s="30">
        <f>SUM(AM30,AM46,AM54,AM77)</f>
        <v>61492.399999999994</v>
      </c>
      <c r="AN6" s="30">
        <f>SUM(AN30,AN46,AN54,AN77)</f>
        <v>63743.5</v>
      </c>
      <c r="AO6" s="30">
        <v>65486.5</v>
      </c>
      <c r="AP6" s="31">
        <v>66783.899999999994</v>
      </c>
      <c r="AQ6" s="30">
        <v>69318.399999999994</v>
      </c>
      <c r="AR6" s="30">
        <f>SUM(AR30,AR46,AR54,AR77)</f>
        <v>71703.700000000012</v>
      </c>
      <c r="AS6" s="30">
        <f>SUM(AS30,AS46,AS54,AS77)</f>
        <v>74540.100000000006</v>
      </c>
      <c r="AT6" s="30">
        <f>SUM(AT30,AT46,AT54,AT77)</f>
        <v>75281.899999999994</v>
      </c>
    </row>
    <row r="7" spans="1:46" s="268" customFormat="1" ht="11.25">
      <c r="A7" s="28" t="s">
        <v>454</v>
      </c>
      <c r="B7" s="28" t="s">
        <v>439</v>
      </c>
      <c r="C7" s="29">
        <f>SUM(C33,C49,C57,C80)</f>
        <v>0</v>
      </c>
      <c r="D7" s="30">
        <f t="shared" ref="D7:AD7" si="5">SUM(D33,D49,D57,D80)</f>
        <v>0</v>
      </c>
      <c r="E7" s="30">
        <f t="shared" si="5"/>
        <v>0</v>
      </c>
      <c r="F7" s="30">
        <f t="shared" si="5"/>
        <v>0</v>
      </c>
      <c r="G7" s="29">
        <f t="shared" si="5"/>
        <v>0</v>
      </c>
      <c r="H7" s="30">
        <f t="shared" si="5"/>
        <v>0</v>
      </c>
      <c r="I7" s="30">
        <f t="shared" si="5"/>
        <v>0</v>
      </c>
      <c r="J7" s="31">
        <f t="shared" si="5"/>
        <v>0</v>
      </c>
      <c r="K7" s="29">
        <f t="shared" si="5"/>
        <v>0</v>
      </c>
      <c r="L7" s="30">
        <f t="shared" si="5"/>
        <v>0</v>
      </c>
      <c r="M7" s="30">
        <f t="shared" si="5"/>
        <v>0</v>
      </c>
      <c r="N7" s="31">
        <f t="shared" si="5"/>
        <v>0</v>
      </c>
      <c r="O7" s="29">
        <f t="shared" si="5"/>
        <v>0</v>
      </c>
      <c r="P7" s="30">
        <f t="shared" si="5"/>
        <v>0</v>
      </c>
      <c r="Q7" s="30">
        <f t="shared" si="5"/>
        <v>0</v>
      </c>
      <c r="R7" s="31">
        <f t="shared" si="5"/>
        <v>0</v>
      </c>
      <c r="S7" s="29">
        <f t="shared" si="5"/>
        <v>0</v>
      </c>
      <c r="T7" s="30">
        <f t="shared" si="5"/>
        <v>0</v>
      </c>
      <c r="U7" s="30">
        <f t="shared" si="5"/>
        <v>0</v>
      </c>
      <c r="V7" s="31">
        <f t="shared" si="5"/>
        <v>0</v>
      </c>
      <c r="W7" s="29">
        <f t="shared" si="5"/>
        <v>3108.2999999999997</v>
      </c>
      <c r="X7" s="30">
        <f t="shared" si="5"/>
        <v>3146.2</v>
      </c>
      <c r="Y7" s="30">
        <f t="shared" si="5"/>
        <v>3135.3999999999996</v>
      </c>
      <c r="Z7" s="31">
        <f t="shared" si="5"/>
        <v>3233.9</v>
      </c>
      <c r="AA7" s="29">
        <f t="shared" si="5"/>
        <v>3251.8</v>
      </c>
      <c r="AB7" s="30">
        <f>SUM(AB33,AB49,AB57,AB80)</f>
        <v>3382.4</v>
      </c>
      <c r="AC7" s="30">
        <f t="shared" si="5"/>
        <v>3526.6</v>
      </c>
      <c r="AD7" s="31">
        <f t="shared" si="5"/>
        <v>3650.5</v>
      </c>
      <c r="AE7" s="29">
        <f t="shared" ref="AE7:AL8" si="6">SUM(AE33,AE49,AE57,AE80)</f>
        <v>3836.9</v>
      </c>
      <c r="AF7" s="30">
        <f t="shared" si="6"/>
        <v>4226.7</v>
      </c>
      <c r="AG7" s="30">
        <f t="shared" si="6"/>
        <v>4307.8</v>
      </c>
      <c r="AH7" s="31">
        <f t="shared" si="6"/>
        <v>4397.7000000000007</v>
      </c>
      <c r="AI7" s="30">
        <f t="shared" si="6"/>
        <v>4353.2000000000007</v>
      </c>
      <c r="AJ7" s="30">
        <f t="shared" si="6"/>
        <v>4655.2000000000007</v>
      </c>
      <c r="AK7" s="30">
        <f t="shared" si="6"/>
        <v>4828</v>
      </c>
      <c r="AL7" s="31">
        <f t="shared" si="6"/>
        <v>4922.0999999999995</v>
      </c>
      <c r="AM7" s="30">
        <f>SUM(AM33,AM49,AM57,AM80)</f>
        <v>5066.3999999999996</v>
      </c>
      <c r="AN7" s="30">
        <f>SUM(AN33,AN49,AN57,AN80)</f>
        <v>5492.9</v>
      </c>
      <c r="AO7" s="30">
        <v>5555.7</v>
      </c>
      <c r="AP7" s="31">
        <v>5760.5</v>
      </c>
      <c r="AQ7" s="30">
        <v>5814.2</v>
      </c>
      <c r="AR7" s="30">
        <f t="shared" ref="AR7:AT8" si="7">SUM(AR33,AR49,AR57,AR80)</f>
        <v>6126.4</v>
      </c>
      <c r="AS7" s="30">
        <f t="shared" si="7"/>
        <v>6356.0999999999995</v>
      </c>
      <c r="AT7" s="30">
        <f t="shared" si="7"/>
        <v>6593</v>
      </c>
    </row>
    <row r="8" spans="1:46" s="268" customFormat="1" ht="11.25">
      <c r="A8" s="28" t="s">
        <v>455</v>
      </c>
      <c r="B8" s="28" t="s">
        <v>440</v>
      </c>
      <c r="C8" s="29">
        <f>SUM(C34,C50,C58,C81)</f>
        <v>151.30000000000001</v>
      </c>
      <c r="D8" s="30">
        <f t="shared" ref="D8:AD8" si="8">SUM(D34,D50,D58,D81)</f>
        <v>150.70000000000002</v>
      </c>
      <c r="E8" s="30">
        <f t="shared" si="8"/>
        <v>127.9</v>
      </c>
      <c r="F8" s="30">
        <f t="shared" si="8"/>
        <v>131</v>
      </c>
      <c r="G8" s="29">
        <f t="shared" si="8"/>
        <v>133.1</v>
      </c>
      <c r="H8" s="30">
        <f t="shared" si="8"/>
        <v>137.9</v>
      </c>
      <c r="I8" s="30">
        <f t="shared" si="8"/>
        <v>180.3</v>
      </c>
      <c r="J8" s="31">
        <f t="shared" si="8"/>
        <v>167</v>
      </c>
      <c r="K8" s="29">
        <f t="shared" si="8"/>
        <v>273.59999999999997</v>
      </c>
      <c r="L8" s="30">
        <f t="shared" si="8"/>
        <v>255.5</v>
      </c>
      <c r="M8" s="30">
        <f t="shared" si="8"/>
        <v>178.5</v>
      </c>
      <c r="N8" s="31">
        <f t="shared" si="8"/>
        <v>175.6</v>
      </c>
      <c r="O8" s="29">
        <f t="shared" si="8"/>
        <v>144.60000000000002</v>
      </c>
      <c r="P8" s="30">
        <f t="shared" si="8"/>
        <v>173.6</v>
      </c>
      <c r="Q8" s="30">
        <f t="shared" si="8"/>
        <v>167.3</v>
      </c>
      <c r="R8" s="31">
        <f t="shared" si="8"/>
        <v>124.8</v>
      </c>
      <c r="S8" s="29">
        <f t="shared" si="8"/>
        <v>110.5</v>
      </c>
      <c r="T8" s="30">
        <f t="shared" si="8"/>
        <v>198.6</v>
      </c>
      <c r="U8" s="30">
        <f t="shared" si="8"/>
        <v>283.10000000000002</v>
      </c>
      <c r="V8" s="31">
        <f t="shared" si="8"/>
        <v>275.40000000000003</v>
      </c>
      <c r="W8" s="29">
        <f t="shared" si="8"/>
        <v>1860.1000000000001</v>
      </c>
      <c r="X8" s="30">
        <f t="shared" si="8"/>
        <v>2100.3000000000002</v>
      </c>
      <c r="Y8" s="30">
        <f t="shared" si="8"/>
        <v>2028.9</v>
      </c>
      <c r="Z8" s="31">
        <f t="shared" si="8"/>
        <v>2212.1</v>
      </c>
      <c r="AA8" s="29">
        <f t="shared" si="8"/>
        <v>1966.5</v>
      </c>
      <c r="AB8" s="30">
        <f t="shared" si="8"/>
        <v>2231.6000000000004</v>
      </c>
      <c r="AC8" s="30">
        <f t="shared" si="8"/>
        <v>2452.1999999999994</v>
      </c>
      <c r="AD8" s="31">
        <f t="shared" si="8"/>
        <v>2465.6999999999998</v>
      </c>
      <c r="AE8" s="29">
        <f t="shared" si="6"/>
        <v>2375.2999999999997</v>
      </c>
      <c r="AF8" s="30">
        <f t="shared" si="6"/>
        <v>2638.0000000000005</v>
      </c>
      <c r="AG8" s="30">
        <f t="shared" si="6"/>
        <v>2881.1</v>
      </c>
      <c r="AH8" s="31">
        <f t="shared" si="6"/>
        <v>2830.4</v>
      </c>
      <c r="AI8" s="30">
        <f t="shared" si="6"/>
        <v>2582.6000000000004</v>
      </c>
      <c r="AJ8" s="30">
        <f t="shared" si="6"/>
        <v>2836.4000000000005</v>
      </c>
      <c r="AK8" s="30">
        <f t="shared" si="6"/>
        <v>3151.4</v>
      </c>
      <c r="AL8" s="31">
        <f t="shared" si="6"/>
        <v>3402</v>
      </c>
      <c r="AM8" s="30">
        <f>SUM(AM34,AM50,AM58,AM81)</f>
        <v>3413.9</v>
      </c>
      <c r="AN8" s="30">
        <f>SUM(AN34,AN50,AN58,AN81)</f>
        <v>4047.3</v>
      </c>
      <c r="AO8" s="30">
        <v>4286</v>
      </c>
      <c r="AP8" s="31">
        <v>4373.6000000000004</v>
      </c>
      <c r="AQ8" s="30">
        <v>4536.8999999999996</v>
      </c>
      <c r="AR8" s="30">
        <f t="shared" si="7"/>
        <v>4643.0999999999995</v>
      </c>
      <c r="AS8" s="30">
        <f t="shared" si="7"/>
        <v>4743.3</v>
      </c>
      <c r="AT8" s="30">
        <f t="shared" si="7"/>
        <v>4620.3999999999996</v>
      </c>
    </row>
    <row r="9" spans="1:46" s="267" customFormat="1" ht="11.25">
      <c r="A9" s="32" t="s">
        <v>525</v>
      </c>
      <c r="B9" s="32" t="s">
        <v>520</v>
      </c>
      <c r="C9" s="29">
        <f>SUM(C51,C82)</f>
        <v>108.5</v>
      </c>
      <c r="D9" s="30">
        <f t="shared" ref="D9:AD9" si="9">SUM(D51,D82)</f>
        <v>101.4</v>
      </c>
      <c r="E9" s="30">
        <f t="shared" si="9"/>
        <v>96.6</v>
      </c>
      <c r="F9" s="30">
        <f t="shared" si="9"/>
        <v>13.5</v>
      </c>
      <c r="G9" s="29">
        <f t="shared" si="9"/>
        <v>13.5</v>
      </c>
      <c r="H9" s="30">
        <f t="shared" si="9"/>
        <v>13.5</v>
      </c>
      <c r="I9" s="30">
        <f t="shared" si="9"/>
        <v>13.5</v>
      </c>
      <c r="J9" s="31">
        <f t="shared" si="9"/>
        <v>640.49999999999989</v>
      </c>
      <c r="K9" s="29">
        <f t="shared" si="9"/>
        <v>634.79999999999995</v>
      </c>
      <c r="L9" s="30">
        <f t="shared" si="9"/>
        <v>617.09999999999991</v>
      </c>
      <c r="M9" s="30">
        <f t="shared" si="9"/>
        <v>537</v>
      </c>
      <c r="N9" s="31">
        <f t="shared" si="9"/>
        <v>645.40000000000009</v>
      </c>
      <c r="O9" s="29">
        <f t="shared" si="9"/>
        <v>656.39999999999986</v>
      </c>
      <c r="P9" s="30">
        <f t="shared" si="9"/>
        <v>711.90000000000032</v>
      </c>
      <c r="Q9" s="30">
        <f t="shared" si="9"/>
        <v>1021.5999999999999</v>
      </c>
      <c r="R9" s="31">
        <f t="shared" si="9"/>
        <v>1177.9000000000001</v>
      </c>
      <c r="S9" s="29">
        <f t="shared" si="9"/>
        <v>1120.8999999999999</v>
      </c>
      <c r="T9" s="30">
        <f t="shared" si="9"/>
        <v>1067.9000000000001</v>
      </c>
      <c r="U9" s="30">
        <f t="shared" si="9"/>
        <v>1357.4000000000003</v>
      </c>
      <c r="V9" s="31">
        <f t="shared" si="9"/>
        <v>2087</v>
      </c>
      <c r="W9" s="29">
        <f t="shared" si="9"/>
        <v>2147.5</v>
      </c>
      <c r="X9" s="30">
        <f t="shared" si="9"/>
        <v>1980.7000000000003</v>
      </c>
      <c r="Y9" s="30">
        <f t="shared" si="9"/>
        <v>2214</v>
      </c>
      <c r="Z9" s="31">
        <f t="shared" si="9"/>
        <v>2165.4000000000005</v>
      </c>
      <c r="AA9" s="29">
        <f t="shared" si="9"/>
        <v>1831.6000000000001</v>
      </c>
      <c r="AB9" s="30">
        <f t="shared" si="9"/>
        <v>1991.1999999999998</v>
      </c>
      <c r="AC9" s="30">
        <f t="shared" si="9"/>
        <v>2088.3000000000002</v>
      </c>
      <c r="AD9" s="31">
        <f t="shared" si="9"/>
        <v>2175.6999999999998</v>
      </c>
      <c r="AE9" s="29">
        <f t="shared" ref="AE9:AJ9" si="10">SUM(AE51,AE82)</f>
        <v>2227.9</v>
      </c>
      <c r="AF9" s="30">
        <f t="shared" si="10"/>
        <v>2251.1</v>
      </c>
      <c r="AG9" s="30">
        <f t="shared" si="10"/>
        <v>2900.3</v>
      </c>
      <c r="AH9" s="31">
        <f t="shared" si="10"/>
        <v>2771.7</v>
      </c>
      <c r="AI9" s="30">
        <f t="shared" si="10"/>
        <v>2825.5</v>
      </c>
      <c r="AJ9" s="30">
        <f t="shared" si="10"/>
        <v>2845.1</v>
      </c>
      <c r="AK9" s="30">
        <f>SUM(AK51,AK82)</f>
        <v>3008.4</v>
      </c>
      <c r="AL9" s="31">
        <f>SUM(AL35,AL51,AL82)</f>
        <v>3159</v>
      </c>
      <c r="AM9" s="30">
        <f>SUM(AM35,AM51,AM82)</f>
        <v>2934.3</v>
      </c>
      <c r="AN9" s="30">
        <f>SUM(AN35,AN51,AN82)</f>
        <v>2527.1</v>
      </c>
      <c r="AO9" s="30">
        <v>2560.1</v>
      </c>
      <c r="AP9" s="31">
        <v>2529.9</v>
      </c>
      <c r="AQ9" s="30">
        <v>2460.5</v>
      </c>
      <c r="AR9" s="30">
        <f>SUM(AR35,AR51,AR82)</f>
        <v>2305.3000000000002</v>
      </c>
      <c r="AS9" s="30">
        <f>SUM(AS35,AS51,AS82)</f>
        <v>2256.4</v>
      </c>
      <c r="AT9" s="30">
        <f>SUM(AT35,AT51,AT82)</f>
        <v>2548.3000000000002</v>
      </c>
    </row>
    <row r="10" spans="1:46" s="270" customFormat="1" ht="11.25">
      <c r="A10" s="33" t="s">
        <v>456</v>
      </c>
      <c r="B10" s="33" t="s">
        <v>446</v>
      </c>
      <c r="C10" s="34">
        <f>SUM(C11:C12)</f>
        <v>95.1</v>
      </c>
      <c r="D10" s="35">
        <f t="shared" ref="D10:AD10" si="11">SUM(D11:D12)</f>
        <v>103.9</v>
      </c>
      <c r="E10" s="35">
        <f t="shared" si="11"/>
        <v>101</v>
      </c>
      <c r="F10" s="35">
        <f t="shared" si="11"/>
        <v>153.6</v>
      </c>
      <c r="G10" s="34">
        <f t="shared" si="11"/>
        <v>159.1</v>
      </c>
      <c r="H10" s="35">
        <f t="shared" si="11"/>
        <v>158.5</v>
      </c>
      <c r="I10" s="35">
        <f t="shared" si="11"/>
        <v>224.10000000000002</v>
      </c>
      <c r="J10" s="36">
        <f t="shared" si="11"/>
        <v>1788.9</v>
      </c>
      <c r="K10" s="34">
        <f t="shared" si="11"/>
        <v>3930.2</v>
      </c>
      <c r="L10" s="35">
        <f t="shared" si="11"/>
        <v>3602.2999999999997</v>
      </c>
      <c r="M10" s="35">
        <f t="shared" si="11"/>
        <v>3511.2000000000003</v>
      </c>
      <c r="N10" s="36">
        <f t="shared" si="11"/>
        <v>3486</v>
      </c>
      <c r="O10" s="34">
        <f t="shared" si="11"/>
        <v>3331.7000000000003</v>
      </c>
      <c r="P10" s="35">
        <f t="shared" si="11"/>
        <v>3635.2999999999997</v>
      </c>
      <c r="Q10" s="35">
        <f t="shared" si="11"/>
        <v>3604.2999999999997</v>
      </c>
      <c r="R10" s="36">
        <f t="shared" si="11"/>
        <v>3416.1</v>
      </c>
      <c r="S10" s="34">
        <f t="shared" si="11"/>
        <v>3429.7999999999997</v>
      </c>
      <c r="T10" s="35">
        <f t="shared" si="11"/>
        <v>3401.6</v>
      </c>
      <c r="U10" s="35">
        <f t="shared" si="11"/>
        <v>3964.8999999999996</v>
      </c>
      <c r="V10" s="36">
        <f t="shared" si="11"/>
        <v>3977.6</v>
      </c>
      <c r="W10" s="34">
        <f t="shared" si="11"/>
        <v>3808.1</v>
      </c>
      <c r="X10" s="35">
        <f t="shared" si="11"/>
        <v>3874.7999999999997</v>
      </c>
      <c r="Y10" s="35">
        <f t="shared" si="11"/>
        <v>3890.1</v>
      </c>
      <c r="Z10" s="36">
        <f t="shared" si="11"/>
        <v>3904.5</v>
      </c>
      <c r="AA10" s="34">
        <f t="shared" si="11"/>
        <v>3923.1</v>
      </c>
      <c r="AB10" s="35">
        <f t="shared" si="11"/>
        <v>3910.5</v>
      </c>
      <c r="AC10" s="35">
        <f t="shared" si="11"/>
        <v>3838.7999999999997</v>
      </c>
      <c r="AD10" s="36">
        <f t="shared" si="11"/>
        <v>3815.2000000000003</v>
      </c>
      <c r="AE10" s="34">
        <f t="shared" ref="AE10:AJ10" si="12">SUM(AE11:AE12)</f>
        <v>3894.7999999999997</v>
      </c>
      <c r="AF10" s="35">
        <f t="shared" si="12"/>
        <v>3837.3</v>
      </c>
      <c r="AG10" s="35">
        <f t="shared" si="12"/>
        <v>4134.8999999999996</v>
      </c>
      <c r="AH10" s="36">
        <f t="shared" si="12"/>
        <v>4029.8</v>
      </c>
      <c r="AI10" s="35">
        <f t="shared" si="12"/>
        <v>3867.7999999999997</v>
      </c>
      <c r="AJ10" s="35">
        <f t="shared" si="12"/>
        <v>3846.1</v>
      </c>
      <c r="AK10" s="35">
        <f t="shared" ref="AK10:AR10" si="13">SUM(AK11:AK12)</f>
        <v>3884.6</v>
      </c>
      <c r="AL10" s="36">
        <f t="shared" si="13"/>
        <v>4019.6</v>
      </c>
      <c r="AM10" s="35">
        <f t="shared" si="13"/>
        <v>3980.1</v>
      </c>
      <c r="AN10" s="35">
        <f t="shared" si="13"/>
        <v>3978.6</v>
      </c>
      <c r="AO10" s="35">
        <f t="shared" si="13"/>
        <v>3944</v>
      </c>
      <c r="AP10" s="36">
        <f t="shared" si="13"/>
        <v>3999.2999999999997</v>
      </c>
      <c r="AQ10" s="35">
        <f t="shared" si="13"/>
        <v>3765.8</v>
      </c>
      <c r="AR10" s="35">
        <f t="shared" si="13"/>
        <v>3659.6000000000004</v>
      </c>
      <c r="AS10" s="35">
        <f>SUM(AS11:AS12)</f>
        <v>3784.1</v>
      </c>
      <c r="AT10" s="35">
        <f>SUM(AT11:AT12)</f>
        <v>3712.3</v>
      </c>
    </row>
    <row r="11" spans="1:46" s="267" customFormat="1" ht="11.25">
      <c r="A11" s="32" t="s">
        <v>457</v>
      </c>
      <c r="B11" s="32" t="s">
        <v>447</v>
      </c>
      <c r="C11" s="29">
        <f>SUM(C83)</f>
        <v>0</v>
      </c>
      <c r="D11" s="30">
        <f t="shared" ref="D11:AD11" si="14">SUM(D83)</f>
        <v>0</v>
      </c>
      <c r="E11" s="30">
        <f t="shared" si="14"/>
        <v>0</v>
      </c>
      <c r="F11" s="30">
        <f t="shared" si="14"/>
        <v>0</v>
      </c>
      <c r="G11" s="29">
        <f t="shared" si="14"/>
        <v>0</v>
      </c>
      <c r="H11" s="30">
        <f t="shared" si="14"/>
        <v>0</v>
      </c>
      <c r="I11" s="30">
        <f t="shared" si="14"/>
        <v>0</v>
      </c>
      <c r="J11" s="31">
        <f t="shared" si="14"/>
        <v>1654</v>
      </c>
      <c r="K11" s="29">
        <f t="shared" si="14"/>
        <v>3775.2</v>
      </c>
      <c r="L11" s="30">
        <f t="shared" si="14"/>
        <v>3439.1</v>
      </c>
      <c r="M11" s="30">
        <f t="shared" si="14"/>
        <v>3348.9</v>
      </c>
      <c r="N11" s="31">
        <f t="shared" si="14"/>
        <v>3261.9</v>
      </c>
      <c r="O11" s="29">
        <f t="shared" si="14"/>
        <v>3147.9</v>
      </c>
      <c r="P11" s="30">
        <f t="shared" si="14"/>
        <v>3447.7</v>
      </c>
      <c r="Q11" s="30">
        <f t="shared" si="14"/>
        <v>3425.1</v>
      </c>
      <c r="R11" s="31">
        <f t="shared" si="14"/>
        <v>3268.5</v>
      </c>
      <c r="S11" s="29">
        <f t="shared" si="14"/>
        <v>3215.6</v>
      </c>
      <c r="T11" s="30">
        <f t="shared" si="14"/>
        <v>3189</v>
      </c>
      <c r="U11" s="30">
        <f t="shared" si="14"/>
        <v>3786.2</v>
      </c>
      <c r="V11" s="31">
        <f t="shared" si="14"/>
        <v>3872.6</v>
      </c>
      <c r="W11" s="29">
        <f t="shared" si="14"/>
        <v>3680.7</v>
      </c>
      <c r="X11" s="30">
        <f t="shared" si="14"/>
        <v>3758.2</v>
      </c>
      <c r="Y11" s="30">
        <f t="shared" si="14"/>
        <v>3732.5</v>
      </c>
      <c r="Z11" s="31">
        <f t="shared" si="14"/>
        <v>3779.7</v>
      </c>
      <c r="AA11" s="29">
        <f t="shared" si="14"/>
        <v>3817.7</v>
      </c>
      <c r="AB11" s="30">
        <f t="shared" si="14"/>
        <v>3794.3</v>
      </c>
      <c r="AC11" s="30">
        <f t="shared" si="14"/>
        <v>3723.1</v>
      </c>
      <c r="AD11" s="31">
        <f t="shared" si="14"/>
        <v>3685.8</v>
      </c>
      <c r="AE11" s="29">
        <f t="shared" ref="AE11:AJ11" si="15">SUM(AE83)</f>
        <v>3750.2</v>
      </c>
      <c r="AF11" s="30">
        <f t="shared" si="15"/>
        <v>3723.5</v>
      </c>
      <c r="AG11" s="30">
        <f t="shared" si="15"/>
        <v>3800.5</v>
      </c>
      <c r="AH11" s="31">
        <f t="shared" si="15"/>
        <v>3923.9</v>
      </c>
      <c r="AI11" s="30">
        <f t="shared" si="15"/>
        <v>3750.6</v>
      </c>
      <c r="AJ11" s="30">
        <f t="shared" si="15"/>
        <v>3711.2</v>
      </c>
      <c r="AK11" s="30">
        <f>SUM(AK83)</f>
        <v>3793.6</v>
      </c>
      <c r="AL11" s="31">
        <f>SUM(AL83)</f>
        <v>3838.6</v>
      </c>
      <c r="AM11" s="30">
        <f>SUM(AM83)</f>
        <v>3853.4</v>
      </c>
      <c r="AN11" s="30">
        <f>SUM(AN83)</f>
        <v>3909.7</v>
      </c>
      <c r="AO11" s="30">
        <v>3822.7</v>
      </c>
      <c r="AP11" s="31">
        <v>3910.7</v>
      </c>
      <c r="AQ11" s="30">
        <v>3686.5</v>
      </c>
      <c r="AR11" s="30">
        <f>SUM(AR83)</f>
        <v>3589.8</v>
      </c>
      <c r="AS11" s="30">
        <f>SUM(AS83)</f>
        <v>3674.4</v>
      </c>
      <c r="AT11" s="30">
        <f>SUM(AT83)</f>
        <v>3564.8</v>
      </c>
    </row>
    <row r="12" spans="1:46" s="270" customFormat="1" ht="11.25">
      <c r="A12" s="37" t="s">
        <v>458</v>
      </c>
      <c r="B12" s="37" t="s">
        <v>441</v>
      </c>
      <c r="C12" s="29">
        <f>SUM(C36,C52,C59,C84)</f>
        <v>95.1</v>
      </c>
      <c r="D12" s="30">
        <f t="shared" ref="D12:AD12" si="16">SUM(D36,D52,D59,D84)</f>
        <v>103.9</v>
      </c>
      <c r="E12" s="30">
        <f t="shared" si="16"/>
        <v>101</v>
      </c>
      <c r="F12" s="30">
        <f t="shared" si="16"/>
        <v>153.6</v>
      </c>
      <c r="G12" s="29">
        <f t="shared" si="16"/>
        <v>159.1</v>
      </c>
      <c r="H12" s="30">
        <f t="shared" si="16"/>
        <v>158.5</v>
      </c>
      <c r="I12" s="30">
        <f t="shared" si="16"/>
        <v>224.10000000000002</v>
      </c>
      <c r="J12" s="31">
        <f t="shared" si="16"/>
        <v>134.9</v>
      </c>
      <c r="K12" s="29">
        <f t="shared" si="16"/>
        <v>155</v>
      </c>
      <c r="L12" s="30">
        <f t="shared" si="16"/>
        <v>163.19999999999999</v>
      </c>
      <c r="M12" s="30">
        <f t="shared" si="16"/>
        <v>162.30000000000001</v>
      </c>
      <c r="N12" s="31">
        <f t="shared" si="16"/>
        <v>224.10000000000002</v>
      </c>
      <c r="O12" s="29">
        <f t="shared" si="16"/>
        <v>183.8</v>
      </c>
      <c r="P12" s="30">
        <f t="shared" si="16"/>
        <v>187.6</v>
      </c>
      <c r="Q12" s="30">
        <f t="shared" si="16"/>
        <v>179.2</v>
      </c>
      <c r="R12" s="31">
        <f t="shared" si="16"/>
        <v>147.6</v>
      </c>
      <c r="S12" s="29">
        <f t="shared" si="16"/>
        <v>214.2</v>
      </c>
      <c r="T12" s="30">
        <f t="shared" si="16"/>
        <v>212.60000000000002</v>
      </c>
      <c r="U12" s="30">
        <f t="shared" si="16"/>
        <v>178.7</v>
      </c>
      <c r="V12" s="31">
        <f t="shared" si="16"/>
        <v>105</v>
      </c>
      <c r="W12" s="29">
        <f t="shared" si="16"/>
        <v>127.4</v>
      </c>
      <c r="X12" s="30">
        <f t="shared" si="16"/>
        <v>116.60000000000001</v>
      </c>
      <c r="Y12" s="30">
        <f t="shared" si="16"/>
        <v>157.6</v>
      </c>
      <c r="Z12" s="31">
        <f t="shared" si="16"/>
        <v>124.80000000000001</v>
      </c>
      <c r="AA12" s="29">
        <f t="shared" si="16"/>
        <v>105.39999999999999</v>
      </c>
      <c r="AB12" s="30">
        <f t="shared" si="16"/>
        <v>116.2</v>
      </c>
      <c r="AC12" s="30">
        <f t="shared" si="16"/>
        <v>115.7</v>
      </c>
      <c r="AD12" s="31">
        <f t="shared" si="16"/>
        <v>129.4</v>
      </c>
      <c r="AE12" s="29">
        <f t="shared" ref="AE12:AJ12" si="17">SUM(AE36,AE52,AE59,AE84)</f>
        <v>144.60000000000002</v>
      </c>
      <c r="AF12" s="30">
        <f t="shared" si="17"/>
        <v>113.80000000000001</v>
      </c>
      <c r="AG12" s="30">
        <f t="shared" si="17"/>
        <v>334.4</v>
      </c>
      <c r="AH12" s="31">
        <f t="shared" si="17"/>
        <v>105.9</v>
      </c>
      <c r="AI12" s="30">
        <f t="shared" si="17"/>
        <v>117.2</v>
      </c>
      <c r="AJ12" s="30">
        <f t="shared" si="17"/>
        <v>134.9</v>
      </c>
      <c r="AK12" s="30">
        <f>SUM(AK36,AK52,AK59,AK84)</f>
        <v>91</v>
      </c>
      <c r="AL12" s="31">
        <f>SUM(AL36,AL52,AL59,AL84)</f>
        <v>181</v>
      </c>
      <c r="AM12" s="30">
        <f>SUM(AM36,AM52,AM59,AM84)</f>
        <v>126.69999999999999</v>
      </c>
      <c r="AN12" s="30">
        <f>SUM(AN36,AN52,AN59,AN84)</f>
        <v>68.900000000000006</v>
      </c>
      <c r="AO12" s="30">
        <v>121.3</v>
      </c>
      <c r="AP12" s="31">
        <v>88.6</v>
      </c>
      <c r="AQ12" s="30">
        <v>79.3</v>
      </c>
      <c r="AR12" s="30">
        <f>SUM(AR36,AR52,AR59,AR84)</f>
        <v>69.8</v>
      </c>
      <c r="AS12" s="30">
        <f>SUM(AS36,AS52,AS59,AS84)</f>
        <v>109.7</v>
      </c>
      <c r="AT12" s="30">
        <f>SUM(AT36,AT52,AT59,AT84)</f>
        <v>147.5</v>
      </c>
    </row>
    <row r="13" spans="1:46" s="268" customFormat="1" ht="11.25">
      <c r="A13" s="33" t="s">
        <v>249</v>
      </c>
      <c r="B13" s="33" t="s">
        <v>79</v>
      </c>
      <c r="C13" s="34">
        <f>SUM(C5,C10)</f>
        <v>14457.1</v>
      </c>
      <c r="D13" s="35">
        <f t="shared" ref="D13:AD13" si="18">SUM(D5,D10)</f>
        <v>15195.2</v>
      </c>
      <c r="E13" s="35">
        <f t="shared" si="18"/>
        <v>16006.499999999998</v>
      </c>
      <c r="F13" s="35">
        <f t="shared" si="18"/>
        <v>16940.499999999996</v>
      </c>
      <c r="G13" s="34">
        <f t="shared" si="18"/>
        <v>18613.199999999997</v>
      </c>
      <c r="H13" s="35">
        <f t="shared" si="18"/>
        <v>19972.800000000003</v>
      </c>
      <c r="I13" s="35">
        <f t="shared" si="18"/>
        <v>22329.8</v>
      </c>
      <c r="J13" s="36">
        <f t="shared" si="18"/>
        <v>26086.9</v>
      </c>
      <c r="K13" s="34">
        <f t="shared" si="18"/>
        <v>29544.7</v>
      </c>
      <c r="L13" s="35">
        <f t="shared" si="18"/>
        <v>29379</v>
      </c>
      <c r="M13" s="35">
        <f t="shared" si="18"/>
        <v>29645.200000000001</v>
      </c>
      <c r="N13" s="36">
        <f t="shared" si="18"/>
        <v>30847.399999999998</v>
      </c>
      <c r="O13" s="34">
        <f t="shared" si="18"/>
        <v>30908.100000000002</v>
      </c>
      <c r="P13" s="35">
        <f t="shared" si="18"/>
        <v>32629.7</v>
      </c>
      <c r="Q13" s="35">
        <f t="shared" si="18"/>
        <v>34272.1</v>
      </c>
      <c r="R13" s="36">
        <f t="shared" si="18"/>
        <v>35594.400000000001</v>
      </c>
      <c r="S13" s="34">
        <f t="shared" si="18"/>
        <v>36418.5</v>
      </c>
      <c r="T13" s="35">
        <f t="shared" si="18"/>
        <v>38156.299999999996</v>
      </c>
      <c r="U13" s="35">
        <f t="shared" si="18"/>
        <v>40884.1</v>
      </c>
      <c r="V13" s="36">
        <f t="shared" si="18"/>
        <v>43443.7</v>
      </c>
      <c r="W13" s="34">
        <f t="shared" si="18"/>
        <v>48914</v>
      </c>
      <c r="X13" s="35">
        <f t="shared" si="18"/>
        <v>49782.399999999994</v>
      </c>
      <c r="Y13" s="35">
        <f>SUM(Y5,Y10)</f>
        <v>50635</v>
      </c>
      <c r="Z13" s="36">
        <f t="shared" si="18"/>
        <v>50414.499999999993</v>
      </c>
      <c r="AA13" s="34">
        <f t="shared" si="18"/>
        <v>50593.5</v>
      </c>
      <c r="AB13" s="35">
        <f t="shared" si="18"/>
        <v>52047.200000000004</v>
      </c>
      <c r="AC13" s="35">
        <f t="shared" si="18"/>
        <v>53603.299999999996</v>
      </c>
      <c r="AD13" s="36">
        <f t="shared" si="18"/>
        <v>53797.499999999993</v>
      </c>
      <c r="AE13" s="34">
        <f t="shared" ref="AE13:AJ13" si="19">SUM(AE5,AE10)</f>
        <v>56241.000000000015</v>
      </c>
      <c r="AF13" s="35">
        <f t="shared" si="19"/>
        <v>58936.4</v>
      </c>
      <c r="AG13" s="35">
        <f t="shared" si="19"/>
        <v>61885.700000000012</v>
      </c>
      <c r="AH13" s="36">
        <f t="shared" si="19"/>
        <v>62780.299999999996</v>
      </c>
      <c r="AI13" s="35">
        <f t="shared" si="19"/>
        <v>65190.9</v>
      </c>
      <c r="AJ13" s="35">
        <f t="shared" si="19"/>
        <v>69789.8</v>
      </c>
      <c r="AK13" s="35">
        <f t="shared" ref="AK13:AS13" si="20">SUM(AK5,AK10)</f>
        <v>72931.099999999991</v>
      </c>
      <c r="AL13" s="36">
        <f t="shared" si="20"/>
        <v>74066.5</v>
      </c>
      <c r="AM13" s="35">
        <f t="shared" si="20"/>
        <v>76887.099999999991</v>
      </c>
      <c r="AN13" s="35">
        <f t="shared" si="20"/>
        <v>79789.400000000009</v>
      </c>
      <c r="AO13" s="35">
        <f t="shared" si="20"/>
        <v>81832.3</v>
      </c>
      <c r="AP13" s="36">
        <f t="shared" si="20"/>
        <v>83447.199999999997</v>
      </c>
      <c r="AQ13" s="35">
        <f t="shared" si="20"/>
        <v>85895.799999999988</v>
      </c>
      <c r="AR13" s="35">
        <f t="shared" si="20"/>
        <v>88438.10000000002</v>
      </c>
      <c r="AS13" s="35">
        <f t="shared" si="20"/>
        <v>91680.000000000015</v>
      </c>
      <c r="AT13" s="35">
        <f>SUM(AT5,AT10)</f>
        <v>92755.9</v>
      </c>
    </row>
    <row r="14" spans="1:46" s="270" customFormat="1" ht="11.25">
      <c r="A14" s="32" t="s">
        <v>250</v>
      </c>
      <c r="B14" s="32" t="s">
        <v>80</v>
      </c>
      <c r="C14" s="29">
        <f>SUM(C15,C20)</f>
        <v>-674.50000000000011</v>
      </c>
      <c r="D14" s="30">
        <f t="shared" ref="D14:AD14" si="21">SUM(D15,D20)</f>
        <v>-628.00000000000011</v>
      </c>
      <c r="E14" s="30">
        <f t="shared" si="21"/>
        <v>-557.09999999999991</v>
      </c>
      <c r="F14" s="30">
        <f t="shared" si="21"/>
        <v>-561.40000000000009</v>
      </c>
      <c r="G14" s="29">
        <f t="shared" si="21"/>
        <v>-573.29999999999995</v>
      </c>
      <c r="H14" s="30">
        <f t="shared" si="21"/>
        <v>-403.4</v>
      </c>
      <c r="I14" s="30">
        <f t="shared" si="21"/>
        <v>-414.00000000000006</v>
      </c>
      <c r="J14" s="31">
        <f t="shared" si="21"/>
        <v>-502.2</v>
      </c>
      <c r="K14" s="29">
        <f t="shared" si="21"/>
        <v>-673.40000000000009</v>
      </c>
      <c r="L14" s="30">
        <f t="shared" si="21"/>
        <v>-765.09999999999991</v>
      </c>
      <c r="M14" s="30">
        <f t="shared" si="21"/>
        <v>-810</v>
      </c>
      <c r="N14" s="31">
        <f t="shared" si="21"/>
        <v>-881.3</v>
      </c>
      <c r="O14" s="29">
        <f t="shared" si="21"/>
        <v>-934.80000000000007</v>
      </c>
      <c r="P14" s="30">
        <f t="shared" si="21"/>
        <v>-976.60000000000014</v>
      </c>
      <c r="Q14" s="30">
        <f t="shared" si="21"/>
        <v>-1042.3</v>
      </c>
      <c r="R14" s="31">
        <f t="shared" si="21"/>
        <v>-1085.4000000000001</v>
      </c>
      <c r="S14" s="29">
        <f t="shared" si="21"/>
        <v>-1125.5999999999999</v>
      </c>
      <c r="T14" s="30">
        <f t="shared" si="21"/>
        <v>-1142.2</v>
      </c>
      <c r="U14" s="30">
        <f t="shared" si="21"/>
        <v>-1184.5</v>
      </c>
      <c r="V14" s="31">
        <f t="shared" si="21"/>
        <v>-1114</v>
      </c>
      <c r="W14" s="29">
        <f t="shared" si="21"/>
        <v>-1196.7</v>
      </c>
      <c r="X14" s="30">
        <f t="shared" si="21"/>
        <v>-1291.8</v>
      </c>
      <c r="Y14" s="30">
        <f t="shared" si="21"/>
        <v>-1359.9</v>
      </c>
      <c r="Z14" s="31">
        <f t="shared" si="21"/>
        <v>-1429.2000000000003</v>
      </c>
      <c r="AA14" s="29">
        <f t="shared" si="21"/>
        <v>-1474.2000000000003</v>
      </c>
      <c r="AB14" s="30">
        <f t="shared" si="21"/>
        <v>-1574.6999999999998</v>
      </c>
      <c r="AC14" s="30">
        <f t="shared" si="21"/>
        <v>-1498.1000000000001</v>
      </c>
      <c r="AD14" s="31">
        <f t="shared" si="21"/>
        <v>-1559.6</v>
      </c>
      <c r="AE14" s="29">
        <f t="shared" ref="AE14:AJ14" si="22">SUM(AE15,AE20)</f>
        <v>-1643.8999999999994</v>
      </c>
      <c r="AF14" s="30">
        <f t="shared" si="22"/>
        <v>-1617.3999999999999</v>
      </c>
      <c r="AG14" s="30">
        <f t="shared" si="22"/>
        <v>-1666.7</v>
      </c>
      <c r="AH14" s="31">
        <f t="shared" si="22"/>
        <v>-1725.5</v>
      </c>
      <c r="AI14" s="30">
        <f t="shared" si="22"/>
        <v>-1791.9</v>
      </c>
      <c r="AJ14" s="30">
        <f t="shared" si="22"/>
        <v>-1662.6</v>
      </c>
      <c r="AK14" s="30">
        <f t="shared" ref="AK14:AQ14" si="23">SUM(AK15,AK20)</f>
        <v>-1505.9000000000003</v>
      </c>
      <c r="AL14" s="31">
        <f t="shared" si="23"/>
        <v>-1546.9</v>
      </c>
      <c r="AM14" s="30">
        <f t="shared" si="23"/>
        <v>-1557.1</v>
      </c>
      <c r="AN14" s="30">
        <f t="shared" si="23"/>
        <v>-1480.7999999999997</v>
      </c>
      <c r="AO14" s="30">
        <f t="shared" si="23"/>
        <v>-1454.9</v>
      </c>
      <c r="AP14" s="31">
        <f t="shared" si="23"/>
        <v>-1467.7</v>
      </c>
      <c r="AQ14" s="30">
        <f t="shared" si="23"/>
        <v>-1516.2</v>
      </c>
      <c r="AR14" s="30">
        <f>SUM(AR15,AR20)</f>
        <v>-1535.8</v>
      </c>
      <c r="AS14" s="30">
        <f>SUM(AS15,AS20)</f>
        <v>-1592.6999999999998</v>
      </c>
      <c r="AT14" s="30">
        <f>SUM(AT15,AT20)</f>
        <v>-1667.5999999999997</v>
      </c>
    </row>
    <row r="15" spans="1:46" s="270" customFormat="1" ht="11.25">
      <c r="A15" s="32" t="s">
        <v>459</v>
      </c>
      <c r="B15" s="32" t="s">
        <v>448</v>
      </c>
      <c r="C15" s="29">
        <f>SUM(C16:C19)</f>
        <v>-665.90000000000009</v>
      </c>
      <c r="D15" s="30">
        <f t="shared" ref="D15:AD15" si="24">SUM(D16:D19)</f>
        <v>-619.40000000000009</v>
      </c>
      <c r="E15" s="30">
        <f t="shared" si="24"/>
        <v>-548.49999999999989</v>
      </c>
      <c r="F15" s="30">
        <f t="shared" si="24"/>
        <v>-552.80000000000007</v>
      </c>
      <c r="G15" s="29">
        <f t="shared" si="24"/>
        <v>-564.69999999999993</v>
      </c>
      <c r="H15" s="30">
        <f t="shared" si="24"/>
        <v>-394.79999999999995</v>
      </c>
      <c r="I15" s="30">
        <f t="shared" si="24"/>
        <v>-405.40000000000003</v>
      </c>
      <c r="J15" s="31">
        <f t="shared" si="24"/>
        <v>-493.59999999999997</v>
      </c>
      <c r="K15" s="29">
        <f t="shared" si="24"/>
        <v>-664.80000000000007</v>
      </c>
      <c r="L15" s="30">
        <f t="shared" si="24"/>
        <v>-756.49999999999989</v>
      </c>
      <c r="M15" s="30">
        <f t="shared" si="24"/>
        <v>-801.4</v>
      </c>
      <c r="N15" s="31">
        <f t="shared" si="24"/>
        <v>-872.69999999999993</v>
      </c>
      <c r="O15" s="29">
        <f t="shared" si="24"/>
        <v>-926.2</v>
      </c>
      <c r="P15" s="30">
        <f t="shared" si="24"/>
        <v>-968.00000000000011</v>
      </c>
      <c r="Q15" s="30">
        <f t="shared" si="24"/>
        <v>-1037.0999999999999</v>
      </c>
      <c r="R15" s="31">
        <f t="shared" si="24"/>
        <v>-1080.2</v>
      </c>
      <c r="S15" s="29">
        <f t="shared" si="24"/>
        <v>-1120.3999999999999</v>
      </c>
      <c r="T15" s="30">
        <f t="shared" si="24"/>
        <v>-1137</v>
      </c>
      <c r="U15" s="30">
        <f t="shared" si="24"/>
        <v>-1179.3</v>
      </c>
      <c r="V15" s="31">
        <f t="shared" si="24"/>
        <v>-1108.8</v>
      </c>
      <c r="W15" s="29">
        <f t="shared" si="24"/>
        <v>-1191.6000000000001</v>
      </c>
      <c r="X15" s="30">
        <f t="shared" si="24"/>
        <v>-1286.5999999999999</v>
      </c>
      <c r="Y15" s="30">
        <f t="shared" si="24"/>
        <v>-1354.7</v>
      </c>
      <c r="Z15" s="31">
        <f t="shared" si="24"/>
        <v>-1424.0000000000002</v>
      </c>
      <c r="AA15" s="29">
        <f t="shared" si="24"/>
        <v>-1469.0000000000002</v>
      </c>
      <c r="AB15" s="30">
        <f t="shared" si="24"/>
        <v>-1569.3999999999999</v>
      </c>
      <c r="AC15" s="30">
        <f t="shared" si="24"/>
        <v>-1492.8000000000002</v>
      </c>
      <c r="AD15" s="31">
        <f t="shared" si="24"/>
        <v>-1554</v>
      </c>
      <c r="AE15" s="29">
        <f t="shared" ref="AE15:AJ15" si="25">SUM(AE16:AE19)</f>
        <v>-1638.2999999999995</v>
      </c>
      <c r="AF15" s="30">
        <f t="shared" si="25"/>
        <v>-1611.8</v>
      </c>
      <c r="AG15" s="30">
        <f t="shared" si="25"/>
        <v>-1661.1000000000001</v>
      </c>
      <c r="AH15" s="31">
        <f t="shared" si="25"/>
        <v>-1719.8</v>
      </c>
      <c r="AI15" s="30">
        <f t="shared" si="25"/>
        <v>-1791</v>
      </c>
      <c r="AJ15" s="30">
        <f t="shared" si="25"/>
        <v>-1661.6999999999998</v>
      </c>
      <c r="AK15" s="30">
        <f t="shared" ref="AK15:AQ15" si="26">SUM(AK16:AK19)</f>
        <v>-1504.9000000000003</v>
      </c>
      <c r="AL15" s="31">
        <f t="shared" si="26"/>
        <v>-1545.9</v>
      </c>
      <c r="AM15" s="30">
        <f t="shared" si="26"/>
        <v>-1555.8999999999999</v>
      </c>
      <c r="AN15" s="30">
        <f t="shared" si="26"/>
        <v>-1479.5999999999997</v>
      </c>
      <c r="AO15" s="30">
        <f t="shared" si="26"/>
        <v>-1453.7</v>
      </c>
      <c r="AP15" s="31">
        <f t="shared" si="26"/>
        <v>-1467</v>
      </c>
      <c r="AQ15" s="30">
        <f t="shared" si="26"/>
        <v>-1515.5</v>
      </c>
      <c r="AR15" s="30">
        <f>SUM(AR16:AR19)</f>
        <v>-1535.1</v>
      </c>
      <c r="AS15" s="30">
        <f>SUM(AS16:AS19)</f>
        <v>-1591.9999999999998</v>
      </c>
      <c r="AT15" s="30">
        <f>SUM(AT16:AT19)</f>
        <v>-1666.8999999999996</v>
      </c>
    </row>
    <row r="16" spans="1:46" s="273" customFormat="1" ht="11.25">
      <c r="A16" s="51" t="s">
        <v>460</v>
      </c>
      <c r="B16" s="51" t="s">
        <v>449</v>
      </c>
      <c r="C16" s="52">
        <f>SUM(C39,C63,C69,C87)</f>
        <v>-648.30000000000007</v>
      </c>
      <c r="D16" s="53">
        <f t="shared" ref="D16:AD16" si="27">SUM(D39,D63,D69,D87)</f>
        <v>-602.30000000000007</v>
      </c>
      <c r="E16" s="53">
        <f t="shared" si="27"/>
        <v>-532.19999999999993</v>
      </c>
      <c r="F16" s="53">
        <f t="shared" si="27"/>
        <v>-536.90000000000009</v>
      </c>
      <c r="G16" s="52">
        <f t="shared" si="27"/>
        <v>-548.59999999999991</v>
      </c>
      <c r="H16" s="53">
        <f t="shared" si="27"/>
        <v>-392.79999999999995</v>
      </c>
      <c r="I16" s="53">
        <f t="shared" si="27"/>
        <v>-403.3</v>
      </c>
      <c r="J16" s="54">
        <f t="shared" si="27"/>
        <v>-491.2</v>
      </c>
      <c r="K16" s="52">
        <f t="shared" si="27"/>
        <v>-661.30000000000007</v>
      </c>
      <c r="L16" s="53">
        <f t="shared" si="27"/>
        <v>-753.19999999999993</v>
      </c>
      <c r="M16" s="53">
        <f t="shared" si="27"/>
        <v>-797.6</v>
      </c>
      <c r="N16" s="54">
        <f t="shared" si="27"/>
        <v>-868.19999999999993</v>
      </c>
      <c r="O16" s="52">
        <f t="shared" si="27"/>
        <v>-920.7</v>
      </c>
      <c r="P16" s="53">
        <f t="shared" si="27"/>
        <v>-962.20000000000016</v>
      </c>
      <c r="Q16" s="53">
        <f t="shared" si="27"/>
        <v>-1031.7</v>
      </c>
      <c r="R16" s="54">
        <f t="shared" si="27"/>
        <v>-1077.9000000000001</v>
      </c>
      <c r="S16" s="52">
        <f t="shared" si="27"/>
        <v>-1118.0999999999999</v>
      </c>
      <c r="T16" s="53">
        <f t="shared" si="27"/>
        <v>-1134.5</v>
      </c>
      <c r="U16" s="53">
        <f t="shared" si="27"/>
        <v>-1175.8</v>
      </c>
      <c r="V16" s="54">
        <f t="shared" si="27"/>
        <v>-1105.5999999999999</v>
      </c>
      <c r="W16" s="52">
        <f t="shared" si="27"/>
        <v>-1121.1000000000001</v>
      </c>
      <c r="X16" s="53">
        <f t="shared" si="27"/>
        <v>-1186.4000000000001</v>
      </c>
      <c r="Y16" s="53">
        <f t="shared" si="27"/>
        <v>-1233.7</v>
      </c>
      <c r="Z16" s="54">
        <f t="shared" si="27"/>
        <v>-1287.4000000000001</v>
      </c>
      <c r="AA16" s="52">
        <f t="shared" si="27"/>
        <v>-1338.4</v>
      </c>
      <c r="AB16" s="53">
        <f t="shared" si="27"/>
        <v>-1437</v>
      </c>
      <c r="AC16" s="53">
        <f t="shared" si="27"/>
        <v>-1360</v>
      </c>
      <c r="AD16" s="54">
        <f t="shared" si="27"/>
        <v>-1481.6</v>
      </c>
      <c r="AE16" s="52">
        <f t="shared" ref="AE16:AJ16" si="28">SUM(AE39,AE63,AE69,AE87)</f>
        <v>-1560.4999999999998</v>
      </c>
      <c r="AF16" s="53">
        <f t="shared" si="28"/>
        <v>-1529.2</v>
      </c>
      <c r="AG16" s="53">
        <f t="shared" si="28"/>
        <v>-1583.8</v>
      </c>
      <c r="AH16" s="54">
        <f t="shared" si="28"/>
        <v>-1638.2</v>
      </c>
      <c r="AI16" s="53">
        <f t="shared" si="28"/>
        <v>-1679.4</v>
      </c>
      <c r="AJ16" s="53">
        <f t="shared" si="28"/>
        <v>-1542.1</v>
      </c>
      <c r="AK16" s="53">
        <f>SUM(AK39,AK63,AK69,AK87)</f>
        <v>-1376.6000000000001</v>
      </c>
      <c r="AL16" s="54">
        <f>SUM(AL39,AL63,AL69,AL87)</f>
        <v>-1390.7</v>
      </c>
      <c r="AM16" s="53">
        <f>SUM(AM39,AM63,AM69,AM87)</f>
        <v>-1365.7</v>
      </c>
      <c r="AN16" s="53">
        <f>SUM(AN39,AN63,AN69,AN87)</f>
        <v>-1409.8999999999999</v>
      </c>
      <c r="AO16" s="53">
        <v>-1384.6</v>
      </c>
      <c r="AP16" s="54">
        <v>-1376.7</v>
      </c>
      <c r="AQ16" s="53">
        <v>-1435.1</v>
      </c>
      <c r="AR16" s="53">
        <f>SUM(AR39,AR63,AR69,AR87)</f>
        <v>-1470.2</v>
      </c>
      <c r="AS16" s="53">
        <f>SUM(AS39,AS63,AS69,AS87)</f>
        <v>-1519.6</v>
      </c>
      <c r="AT16" s="53">
        <f>SUM(AT39,AT63,AT69,AT87)</f>
        <v>-1587.1</v>
      </c>
    </row>
    <row r="17" spans="1:46" s="273" customFormat="1" ht="11.25">
      <c r="A17" s="51" t="s">
        <v>461</v>
      </c>
      <c r="B17" s="51" t="s">
        <v>450</v>
      </c>
      <c r="C17" s="52">
        <f>SUM(C64,C70)</f>
        <v>0</v>
      </c>
      <c r="D17" s="53">
        <f t="shared" ref="D17:AD17" si="29">SUM(D64,D70)</f>
        <v>0</v>
      </c>
      <c r="E17" s="53">
        <f t="shared" si="29"/>
        <v>0</v>
      </c>
      <c r="F17" s="53">
        <f t="shared" si="29"/>
        <v>0</v>
      </c>
      <c r="G17" s="52">
        <f t="shared" si="29"/>
        <v>0</v>
      </c>
      <c r="H17" s="53">
        <f t="shared" si="29"/>
        <v>0</v>
      </c>
      <c r="I17" s="53">
        <f t="shared" si="29"/>
        <v>0</v>
      </c>
      <c r="J17" s="54">
        <f t="shared" si="29"/>
        <v>0</v>
      </c>
      <c r="K17" s="52">
        <f t="shared" si="29"/>
        <v>0</v>
      </c>
      <c r="L17" s="53">
        <f t="shared" si="29"/>
        <v>0</v>
      </c>
      <c r="M17" s="53">
        <f t="shared" si="29"/>
        <v>0</v>
      </c>
      <c r="N17" s="54">
        <f t="shared" si="29"/>
        <v>0</v>
      </c>
      <c r="O17" s="52">
        <f t="shared" si="29"/>
        <v>0</v>
      </c>
      <c r="P17" s="53">
        <f t="shared" si="29"/>
        <v>0</v>
      </c>
      <c r="Q17" s="53">
        <f t="shared" si="29"/>
        <v>0</v>
      </c>
      <c r="R17" s="54">
        <f t="shared" si="29"/>
        <v>0</v>
      </c>
      <c r="S17" s="52">
        <f t="shared" si="29"/>
        <v>0</v>
      </c>
      <c r="T17" s="53">
        <f t="shared" si="29"/>
        <v>0</v>
      </c>
      <c r="U17" s="53">
        <f t="shared" si="29"/>
        <v>0</v>
      </c>
      <c r="V17" s="54">
        <f t="shared" si="29"/>
        <v>0</v>
      </c>
      <c r="W17" s="52">
        <f t="shared" si="29"/>
        <v>-62.7</v>
      </c>
      <c r="X17" s="53">
        <f t="shared" si="29"/>
        <v>-61.800000000000004</v>
      </c>
      <c r="Y17" s="53">
        <f t="shared" si="29"/>
        <v>-68.2</v>
      </c>
      <c r="Z17" s="54">
        <f t="shared" si="29"/>
        <v>-69.399999999999991</v>
      </c>
      <c r="AA17" s="52">
        <f t="shared" si="29"/>
        <v>-63.400000000000006</v>
      </c>
      <c r="AB17" s="53">
        <f t="shared" si="29"/>
        <v>-60</v>
      </c>
      <c r="AC17" s="53">
        <f t="shared" si="29"/>
        <v>-54.4</v>
      </c>
      <c r="AD17" s="54">
        <f t="shared" si="29"/>
        <v>-59.7</v>
      </c>
      <c r="AE17" s="52">
        <f t="shared" ref="AE17:AJ17" si="30">SUM(AE64,AE70)</f>
        <v>-62.6</v>
      </c>
      <c r="AF17" s="53">
        <f t="shared" si="30"/>
        <v>-64.599999999999994</v>
      </c>
      <c r="AG17" s="53">
        <f t="shared" si="30"/>
        <v>-63.7</v>
      </c>
      <c r="AH17" s="54">
        <f t="shared" si="30"/>
        <v>-62.099999999999994</v>
      </c>
      <c r="AI17" s="53">
        <f t="shared" si="30"/>
        <v>-51.999999999999993</v>
      </c>
      <c r="AJ17" s="53">
        <f t="shared" si="30"/>
        <v>-43.6</v>
      </c>
      <c r="AK17" s="53">
        <f>SUM(AK64,AK70)</f>
        <v>-38.4</v>
      </c>
      <c r="AL17" s="54">
        <f>SUM(AL64,AL70)</f>
        <v>-39.4</v>
      </c>
      <c r="AM17" s="53">
        <f>SUM(AM64,AM70)</f>
        <v>-43.099999999999994</v>
      </c>
      <c r="AN17" s="53">
        <f>SUM(AN64,AN70)</f>
        <v>-48.8</v>
      </c>
      <c r="AO17" s="53">
        <v>-46.4</v>
      </c>
      <c r="AP17" s="54">
        <v>-50.4</v>
      </c>
      <c r="AQ17" s="53">
        <v>-40.9</v>
      </c>
      <c r="AR17" s="53">
        <f>SUM(AR64,AR70)</f>
        <v>-28.8</v>
      </c>
      <c r="AS17" s="53">
        <f>SUM(AS64,AS70)</f>
        <v>-29.5</v>
      </c>
      <c r="AT17" s="53">
        <f>SUM(AT64,AT70)</f>
        <v>-33.6</v>
      </c>
    </row>
    <row r="18" spans="1:46" s="273" customFormat="1" ht="11.25">
      <c r="A18" s="51" t="s">
        <v>462</v>
      </c>
      <c r="B18" s="51" t="s">
        <v>451</v>
      </c>
      <c r="C18" s="52">
        <f>SUM(C65,C71,C88)</f>
        <v>-2.5999999999999996</v>
      </c>
      <c r="D18" s="53">
        <f t="shared" ref="D18:AD18" si="31">SUM(D65,D71,D88)</f>
        <v>-2.5999999999999996</v>
      </c>
      <c r="E18" s="53">
        <f t="shared" si="31"/>
        <v>-2.4</v>
      </c>
      <c r="F18" s="53">
        <f t="shared" si="31"/>
        <v>-2.4000000000000004</v>
      </c>
      <c r="G18" s="52">
        <f t="shared" si="31"/>
        <v>-2.6</v>
      </c>
      <c r="H18" s="53">
        <f t="shared" si="31"/>
        <v>-1.9</v>
      </c>
      <c r="I18" s="53">
        <f t="shared" si="31"/>
        <v>-2.1</v>
      </c>
      <c r="J18" s="54">
        <f t="shared" si="31"/>
        <v>-2.4</v>
      </c>
      <c r="K18" s="52">
        <f t="shared" si="31"/>
        <v>-3.5</v>
      </c>
      <c r="L18" s="53">
        <f t="shared" si="31"/>
        <v>-2.8</v>
      </c>
      <c r="M18" s="53">
        <f t="shared" si="31"/>
        <v>-2.9</v>
      </c>
      <c r="N18" s="54">
        <f t="shared" si="31"/>
        <v>-2.5</v>
      </c>
      <c r="O18" s="52">
        <f t="shared" si="31"/>
        <v>-2.2000000000000002</v>
      </c>
      <c r="P18" s="53">
        <f t="shared" si="31"/>
        <v>-2.5</v>
      </c>
      <c r="Q18" s="53">
        <f t="shared" si="31"/>
        <v>-2.2999999999999998</v>
      </c>
      <c r="R18" s="54">
        <f t="shared" si="31"/>
        <v>-2.1</v>
      </c>
      <c r="S18" s="52">
        <f t="shared" si="31"/>
        <v>-2.1</v>
      </c>
      <c r="T18" s="53">
        <f t="shared" si="31"/>
        <v>-2.2999999999999998</v>
      </c>
      <c r="U18" s="53">
        <f t="shared" si="31"/>
        <v>-3.2</v>
      </c>
      <c r="V18" s="54">
        <f t="shared" si="31"/>
        <v>-3</v>
      </c>
      <c r="W18" s="52">
        <f t="shared" si="31"/>
        <v>-7.6</v>
      </c>
      <c r="X18" s="53">
        <f t="shared" si="31"/>
        <v>-6.1000000000000005</v>
      </c>
      <c r="Y18" s="53">
        <f t="shared" si="31"/>
        <v>-6.2999999999999989</v>
      </c>
      <c r="Z18" s="54">
        <f t="shared" si="31"/>
        <v>-9.4</v>
      </c>
      <c r="AA18" s="52">
        <f t="shared" si="31"/>
        <v>-8.1999999999999993</v>
      </c>
      <c r="AB18" s="53">
        <f t="shared" si="31"/>
        <v>-8.6000000000000014</v>
      </c>
      <c r="AC18" s="53">
        <f t="shared" si="31"/>
        <v>-9.4</v>
      </c>
      <c r="AD18" s="54">
        <f t="shared" si="31"/>
        <v>-11.899999999999999</v>
      </c>
      <c r="AE18" s="52">
        <f t="shared" ref="AE18:AJ18" si="32">SUM(AE65,AE71,AE88)</f>
        <v>-14.099999999999998</v>
      </c>
      <c r="AF18" s="53">
        <f t="shared" si="32"/>
        <v>-17.000000000000004</v>
      </c>
      <c r="AG18" s="53">
        <f t="shared" si="32"/>
        <v>-12.399999999999999</v>
      </c>
      <c r="AH18" s="54">
        <f t="shared" si="32"/>
        <v>-13.9</v>
      </c>
      <c r="AI18" s="53">
        <f t="shared" si="32"/>
        <v>-15</v>
      </c>
      <c r="AJ18" s="53">
        <f t="shared" si="32"/>
        <v>-14</v>
      </c>
      <c r="AK18" s="53">
        <f>SUM(AK65,AK71,AK88)</f>
        <v>-12</v>
      </c>
      <c r="AL18" s="54">
        <f>SUM(AL65,AL71,AL88)</f>
        <v>-12.3</v>
      </c>
      <c r="AM18" s="53">
        <f>SUM(AM65,AM71,AM88)</f>
        <v>-17.100000000000001</v>
      </c>
      <c r="AN18" s="53">
        <f>SUM(AN65,AN71,AN88)</f>
        <v>-19.8</v>
      </c>
      <c r="AO18" s="53">
        <v>-21.3</v>
      </c>
      <c r="AP18" s="54">
        <v>-22.8</v>
      </c>
      <c r="AQ18" s="53">
        <v>-23.1</v>
      </c>
      <c r="AR18" s="53">
        <f>SUM(AR65,AR71,AR88)</f>
        <v>-20</v>
      </c>
      <c r="AS18" s="53">
        <f>SUM(AS65,AS71,AS88)</f>
        <v>-26.800000000000004</v>
      </c>
      <c r="AT18" s="53">
        <f>SUM(AT65,AT71,AT88)</f>
        <v>-30.1</v>
      </c>
    </row>
    <row r="19" spans="1:46" s="273" customFormat="1" ht="22.5">
      <c r="A19" s="51" t="s">
        <v>526</v>
      </c>
      <c r="B19" s="51" t="s">
        <v>521</v>
      </c>
      <c r="C19" s="52">
        <f t="shared" ref="C19:AH19" si="33">SUM(C66,C89)</f>
        <v>-15</v>
      </c>
      <c r="D19" s="53">
        <f t="shared" si="33"/>
        <v>-14.5</v>
      </c>
      <c r="E19" s="53">
        <f t="shared" si="33"/>
        <v>-13.9</v>
      </c>
      <c r="F19" s="53">
        <f t="shared" si="33"/>
        <v>-13.5</v>
      </c>
      <c r="G19" s="52">
        <f t="shared" si="33"/>
        <v>-13.5</v>
      </c>
      <c r="H19" s="53">
        <f t="shared" si="33"/>
        <v>-0.1</v>
      </c>
      <c r="I19" s="53">
        <f t="shared" si="33"/>
        <v>0</v>
      </c>
      <c r="J19" s="54">
        <f t="shared" si="33"/>
        <v>0</v>
      </c>
      <c r="K19" s="52">
        <f t="shared" si="33"/>
        <v>0</v>
      </c>
      <c r="L19" s="53">
        <f t="shared" si="33"/>
        <v>-0.5</v>
      </c>
      <c r="M19" s="53">
        <f t="shared" si="33"/>
        <v>-0.9</v>
      </c>
      <c r="N19" s="54">
        <f t="shared" si="33"/>
        <v>-2</v>
      </c>
      <c r="O19" s="52">
        <f t="shared" si="33"/>
        <v>-3.3</v>
      </c>
      <c r="P19" s="53">
        <f t="shared" si="33"/>
        <v>-3.3</v>
      </c>
      <c r="Q19" s="53">
        <f t="shared" si="33"/>
        <v>-3.1</v>
      </c>
      <c r="R19" s="54">
        <f t="shared" si="33"/>
        <v>-0.2</v>
      </c>
      <c r="S19" s="52">
        <f t="shared" si="33"/>
        <v>-0.2</v>
      </c>
      <c r="T19" s="53">
        <f t="shared" si="33"/>
        <v>-0.2</v>
      </c>
      <c r="U19" s="53">
        <f t="shared" si="33"/>
        <v>-0.3</v>
      </c>
      <c r="V19" s="54">
        <f t="shared" si="33"/>
        <v>-0.2</v>
      </c>
      <c r="W19" s="52">
        <f t="shared" si="33"/>
        <v>-0.2</v>
      </c>
      <c r="X19" s="53">
        <f t="shared" si="33"/>
        <v>-32.299999999999997</v>
      </c>
      <c r="Y19" s="53">
        <f t="shared" si="33"/>
        <v>-46.5</v>
      </c>
      <c r="Z19" s="54">
        <f t="shared" si="33"/>
        <v>-57.8</v>
      </c>
      <c r="AA19" s="52">
        <f t="shared" si="33"/>
        <v>-59</v>
      </c>
      <c r="AB19" s="53">
        <f t="shared" si="33"/>
        <v>-63.800000000000004</v>
      </c>
      <c r="AC19" s="53">
        <f t="shared" si="33"/>
        <v>-69</v>
      </c>
      <c r="AD19" s="54">
        <f t="shared" si="33"/>
        <v>-0.8</v>
      </c>
      <c r="AE19" s="52">
        <f t="shared" si="33"/>
        <v>-1.1000000000000001</v>
      </c>
      <c r="AF19" s="53">
        <f t="shared" si="33"/>
        <v>-1</v>
      </c>
      <c r="AG19" s="53">
        <f t="shared" si="33"/>
        <v>-1.2</v>
      </c>
      <c r="AH19" s="54">
        <f t="shared" si="33"/>
        <v>-5.6</v>
      </c>
      <c r="AI19" s="53">
        <f>SUM(AI66,AI89)</f>
        <v>-44.600000000000009</v>
      </c>
      <c r="AJ19" s="53">
        <f>SUM(AJ66,AJ89)</f>
        <v>-62</v>
      </c>
      <c r="AK19" s="53">
        <f>SUM(AK66,AK89)</f>
        <v>-77.900000000000006</v>
      </c>
      <c r="AL19" s="54">
        <f>SUM(AL40,AL66,AL89)</f>
        <v>-103.49999999999999</v>
      </c>
      <c r="AM19" s="53">
        <f>SUM(AM40,AM66,AM89)</f>
        <v>-129.99999999999997</v>
      </c>
      <c r="AN19" s="53">
        <f>SUM(AN40,AN66,AN89)</f>
        <v>-1.0999999999999999</v>
      </c>
      <c r="AO19" s="53">
        <v>-1.4</v>
      </c>
      <c r="AP19" s="54">
        <v>-17.100000000000001</v>
      </c>
      <c r="AQ19" s="53">
        <v>-16.399999999999999</v>
      </c>
      <c r="AR19" s="53">
        <f>SUM(AR40,AR66,AR89)</f>
        <v>-16.099999999999998</v>
      </c>
      <c r="AS19" s="53">
        <f>SUM(AS40,AS66,AS89)</f>
        <v>-16.099999999999998</v>
      </c>
      <c r="AT19" s="53">
        <f>SUM(AT40,AT66,AT89)</f>
        <v>-16.099999999999998</v>
      </c>
    </row>
    <row r="20" spans="1:46" s="270" customFormat="1" ht="11.25">
      <c r="A20" s="64" t="s">
        <v>252</v>
      </c>
      <c r="B20" s="64" t="s">
        <v>513</v>
      </c>
      <c r="C20" s="29">
        <f>SUM(C21:C22)</f>
        <v>-8.6</v>
      </c>
      <c r="D20" s="30">
        <f t="shared" ref="D20:AH20" si="34">SUM(D21:D22)</f>
        <v>-8.6</v>
      </c>
      <c r="E20" s="30">
        <f t="shared" si="34"/>
        <v>-8.6</v>
      </c>
      <c r="F20" s="30">
        <f t="shared" si="34"/>
        <v>-8.6</v>
      </c>
      <c r="G20" s="29">
        <f t="shared" si="34"/>
        <v>-8.6</v>
      </c>
      <c r="H20" s="30">
        <f t="shared" si="34"/>
        <v>-8.6</v>
      </c>
      <c r="I20" s="30">
        <f t="shared" si="34"/>
        <v>-8.6</v>
      </c>
      <c r="J20" s="31">
        <f t="shared" si="34"/>
        <v>-8.6</v>
      </c>
      <c r="K20" s="29">
        <f t="shared" si="34"/>
        <v>-8.6</v>
      </c>
      <c r="L20" s="30">
        <f t="shared" si="34"/>
        <v>-8.6</v>
      </c>
      <c r="M20" s="30">
        <f t="shared" si="34"/>
        <v>-8.6</v>
      </c>
      <c r="N20" s="31">
        <f t="shared" si="34"/>
        <v>-8.6</v>
      </c>
      <c r="O20" s="29">
        <f t="shared" si="34"/>
        <v>-8.6</v>
      </c>
      <c r="P20" s="30">
        <f t="shared" si="34"/>
        <v>-8.6</v>
      </c>
      <c r="Q20" s="30">
        <f t="shared" si="34"/>
        <v>-5.2</v>
      </c>
      <c r="R20" s="31">
        <f t="shared" si="34"/>
        <v>-5.2</v>
      </c>
      <c r="S20" s="29">
        <f t="shared" si="34"/>
        <v>-5.2</v>
      </c>
      <c r="T20" s="30">
        <f t="shared" si="34"/>
        <v>-5.2</v>
      </c>
      <c r="U20" s="30">
        <f t="shared" si="34"/>
        <v>-5.2</v>
      </c>
      <c r="V20" s="31">
        <f t="shared" si="34"/>
        <v>-5.2</v>
      </c>
      <c r="W20" s="29">
        <f t="shared" si="34"/>
        <v>-5.0999999999999996</v>
      </c>
      <c r="X20" s="30">
        <f t="shared" si="34"/>
        <v>-5.2</v>
      </c>
      <c r="Y20" s="30">
        <f t="shared" si="34"/>
        <v>-5.2</v>
      </c>
      <c r="Z20" s="31">
        <f t="shared" si="34"/>
        <v>-5.2</v>
      </c>
      <c r="AA20" s="29">
        <f t="shared" si="34"/>
        <v>-5.2</v>
      </c>
      <c r="AB20" s="30">
        <f t="shared" si="34"/>
        <v>-5.3</v>
      </c>
      <c r="AC20" s="30">
        <f t="shared" si="34"/>
        <v>-5.3</v>
      </c>
      <c r="AD20" s="31">
        <f t="shared" si="34"/>
        <v>-5.6000000000000005</v>
      </c>
      <c r="AE20" s="29">
        <f t="shared" si="34"/>
        <v>-5.6000000000000005</v>
      </c>
      <c r="AF20" s="30">
        <f t="shared" si="34"/>
        <v>-5.6000000000000005</v>
      </c>
      <c r="AG20" s="30">
        <f t="shared" si="34"/>
        <v>-5.6000000000000005</v>
      </c>
      <c r="AH20" s="31">
        <f t="shared" si="34"/>
        <v>-5.7</v>
      </c>
      <c r="AI20" s="30">
        <f t="shared" ref="AI20:AQ20" si="35">SUM(AI21:AI22)</f>
        <v>-0.9</v>
      </c>
      <c r="AJ20" s="30">
        <f t="shared" si="35"/>
        <v>-0.9</v>
      </c>
      <c r="AK20" s="30">
        <f t="shared" si="35"/>
        <v>-1</v>
      </c>
      <c r="AL20" s="31">
        <f t="shared" si="35"/>
        <v>-1</v>
      </c>
      <c r="AM20" s="30">
        <f t="shared" si="35"/>
        <v>-1.2</v>
      </c>
      <c r="AN20" s="30">
        <f>SUM(AN21:AN22)</f>
        <v>-1.2</v>
      </c>
      <c r="AO20" s="30">
        <f>SUM(AO21:AO22)</f>
        <v>-1.2</v>
      </c>
      <c r="AP20" s="31">
        <f t="shared" si="35"/>
        <v>-0.7</v>
      </c>
      <c r="AQ20" s="30">
        <f t="shared" si="35"/>
        <v>-0.7</v>
      </c>
      <c r="AR20" s="30">
        <f>SUM(AR21:AR22)</f>
        <v>-0.7</v>
      </c>
      <c r="AS20" s="30">
        <f>SUM(AS21:AS22)</f>
        <v>-0.7</v>
      </c>
      <c r="AT20" s="30">
        <f>SUM(AT21:AT22)</f>
        <v>-0.7</v>
      </c>
    </row>
    <row r="21" spans="1:46" s="270" customFormat="1" ht="11.25">
      <c r="A21" s="51" t="s">
        <v>514</v>
      </c>
      <c r="B21" s="51" t="s">
        <v>511</v>
      </c>
      <c r="C21" s="29">
        <f t="shared" ref="C21:AH21" si="36">C90</f>
        <v>0</v>
      </c>
      <c r="D21" s="30">
        <f t="shared" si="36"/>
        <v>0</v>
      </c>
      <c r="E21" s="30">
        <f t="shared" si="36"/>
        <v>0</v>
      </c>
      <c r="F21" s="30">
        <f t="shared" si="36"/>
        <v>0</v>
      </c>
      <c r="G21" s="29">
        <f t="shared" si="36"/>
        <v>0</v>
      </c>
      <c r="H21" s="30">
        <f t="shared" si="36"/>
        <v>0</v>
      </c>
      <c r="I21" s="30">
        <f t="shared" si="36"/>
        <v>0</v>
      </c>
      <c r="J21" s="31">
        <f t="shared" si="36"/>
        <v>0</v>
      </c>
      <c r="K21" s="29">
        <f t="shared" si="36"/>
        <v>0</v>
      </c>
      <c r="L21" s="30">
        <f t="shared" si="36"/>
        <v>0</v>
      </c>
      <c r="M21" s="30">
        <f t="shared" si="36"/>
        <v>0</v>
      </c>
      <c r="N21" s="31">
        <f t="shared" si="36"/>
        <v>0</v>
      </c>
      <c r="O21" s="29">
        <f t="shared" si="36"/>
        <v>0</v>
      </c>
      <c r="P21" s="30">
        <f t="shared" si="36"/>
        <v>0</v>
      </c>
      <c r="Q21" s="30">
        <f t="shared" si="36"/>
        <v>0</v>
      </c>
      <c r="R21" s="31">
        <f t="shared" si="36"/>
        <v>0</v>
      </c>
      <c r="S21" s="29">
        <f t="shared" si="36"/>
        <v>0</v>
      </c>
      <c r="T21" s="30">
        <f t="shared" si="36"/>
        <v>0</v>
      </c>
      <c r="U21" s="30">
        <f t="shared" si="36"/>
        <v>0</v>
      </c>
      <c r="V21" s="31">
        <f t="shared" si="36"/>
        <v>0</v>
      </c>
      <c r="W21" s="29">
        <f t="shared" si="36"/>
        <v>0</v>
      </c>
      <c r="X21" s="30">
        <f t="shared" si="36"/>
        <v>0</v>
      </c>
      <c r="Y21" s="30">
        <f t="shared" si="36"/>
        <v>0</v>
      </c>
      <c r="Z21" s="31">
        <f t="shared" si="36"/>
        <v>0</v>
      </c>
      <c r="AA21" s="29">
        <f t="shared" si="36"/>
        <v>0</v>
      </c>
      <c r="AB21" s="30">
        <f t="shared" si="36"/>
        <v>-0.1</v>
      </c>
      <c r="AC21" s="30">
        <f t="shared" si="36"/>
        <v>-0.1</v>
      </c>
      <c r="AD21" s="31">
        <f t="shared" si="36"/>
        <v>-0.4</v>
      </c>
      <c r="AE21" s="29">
        <f t="shared" si="36"/>
        <v>-0.4</v>
      </c>
      <c r="AF21" s="30">
        <f t="shared" si="36"/>
        <v>-0.4</v>
      </c>
      <c r="AG21" s="30">
        <f t="shared" si="36"/>
        <v>-0.4</v>
      </c>
      <c r="AH21" s="31">
        <f t="shared" si="36"/>
        <v>-0.5</v>
      </c>
      <c r="AI21" s="30">
        <f t="shared" ref="AI21:AQ21" si="37">AI90</f>
        <v>-0.4</v>
      </c>
      <c r="AJ21" s="30">
        <f t="shared" si="37"/>
        <v>-0.4</v>
      </c>
      <c r="AK21" s="30">
        <f t="shared" si="37"/>
        <v>-0.5</v>
      </c>
      <c r="AL21" s="31">
        <f t="shared" si="37"/>
        <v>-0.5</v>
      </c>
      <c r="AM21" s="30">
        <f t="shared" si="37"/>
        <v>-0.7</v>
      </c>
      <c r="AN21" s="30">
        <f t="shared" si="37"/>
        <v>-0.7</v>
      </c>
      <c r="AO21" s="30">
        <f t="shared" si="37"/>
        <v>-0.7</v>
      </c>
      <c r="AP21" s="31">
        <f t="shared" si="37"/>
        <v>-0.7</v>
      </c>
      <c r="AQ21" s="30">
        <f t="shared" si="37"/>
        <v>-0.7</v>
      </c>
      <c r="AR21" s="30">
        <f>AR90</f>
        <v>-0.7</v>
      </c>
      <c r="AS21" s="30">
        <f>AS90</f>
        <v>-0.7</v>
      </c>
      <c r="AT21" s="30">
        <f>AT90</f>
        <v>-0.7</v>
      </c>
    </row>
    <row r="22" spans="1:46" s="270" customFormat="1" ht="11.25">
      <c r="A22" s="51" t="s">
        <v>515</v>
      </c>
      <c r="B22" s="51" t="s">
        <v>512</v>
      </c>
      <c r="C22" s="29">
        <f t="shared" ref="C22:AG22" si="38">SUM(C67,C72)</f>
        <v>-8.6</v>
      </c>
      <c r="D22" s="30">
        <f t="shared" si="38"/>
        <v>-8.6</v>
      </c>
      <c r="E22" s="30">
        <f t="shared" si="38"/>
        <v>-8.6</v>
      </c>
      <c r="F22" s="30">
        <f t="shared" si="38"/>
        <v>-8.6</v>
      </c>
      <c r="G22" s="29">
        <f t="shared" si="38"/>
        <v>-8.6</v>
      </c>
      <c r="H22" s="30">
        <f t="shared" si="38"/>
        <v>-8.6</v>
      </c>
      <c r="I22" s="30">
        <f t="shared" si="38"/>
        <v>-8.6</v>
      </c>
      <c r="J22" s="31">
        <f t="shared" si="38"/>
        <v>-8.6</v>
      </c>
      <c r="K22" s="29">
        <f t="shared" si="38"/>
        <v>-8.6</v>
      </c>
      <c r="L22" s="30">
        <f t="shared" si="38"/>
        <v>-8.6</v>
      </c>
      <c r="M22" s="30">
        <f t="shared" si="38"/>
        <v>-8.6</v>
      </c>
      <c r="N22" s="31">
        <f t="shared" si="38"/>
        <v>-8.6</v>
      </c>
      <c r="O22" s="29">
        <f t="shared" si="38"/>
        <v>-8.6</v>
      </c>
      <c r="P22" s="30">
        <f t="shared" si="38"/>
        <v>-8.6</v>
      </c>
      <c r="Q22" s="30">
        <f t="shared" si="38"/>
        <v>-5.2</v>
      </c>
      <c r="R22" s="31">
        <f t="shared" si="38"/>
        <v>-5.2</v>
      </c>
      <c r="S22" s="29">
        <f t="shared" si="38"/>
        <v>-5.2</v>
      </c>
      <c r="T22" s="30">
        <f t="shared" si="38"/>
        <v>-5.2</v>
      </c>
      <c r="U22" s="30">
        <f t="shared" si="38"/>
        <v>-5.2</v>
      </c>
      <c r="V22" s="31">
        <f t="shared" si="38"/>
        <v>-5.2</v>
      </c>
      <c r="W22" s="29">
        <f t="shared" si="38"/>
        <v>-5.0999999999999996</v>
      </c>
      <c r="X22" s="30">
        <f t="shared" si="38"/>
        <v>-5.2</v>
      </c>
      <c r="Y22" s="30">
        <f t="shared" si="38"/>
        <v>-5.2</v>
      </c>
      <c r="Z22" s="31">
        <f t="shared" si="38"/>
        <v>-5.2</v>
      </c>
      <c r="AA22" s="29">
        <f t="shared" si="38"/>
        <v>-5.2</v>
      </c>
      <c r="AB22" s="30">
        <f t="shared" si="38"/>
        <v>-5.2</v>
      </c>
      <c r="AC22" s="30">
        <f t="shared" si="38"/>
        <v>-5.2</v>
      </c>
      <c r="AD22" s="31">
        <f t="shared" si="38"/>
        <v>-5.2</v>
      </c>
      <c r="AE22" s="29">
        <f t="shared" si="38"/>
        <v>-5.2</v>
      </c>
      <c r="AF22" s="30">
        <f t="shared" si="38"/>
        <v>-5.2</v>
      </c>
      <c r="AG22" s="30">
        <f t="shared" si="38"/>
        <v>-5.2</v>
      </c>
      <c r="AH22" s="31">
        <f t="shared" ref="AH22:AM22" si="39">SUM(AH67,AH72)</f>
        <v>-5.2</v>
      </c>
      <c r="AI22" s="30">
        <f t="shared" si="39"/>
        <v>-0.5</v>
      </c>
      <c r="AJ22" s="30">
        <f t="shared" si="39"/>
        <v>-0.5</v>
      </c>
      <c r="AK22" s="30">
        <f t="shared" si="39"/>
        <v>-0.5</v>
      </c>
      <c r="AL22" s="31">
        <f t="shared" si="39"/>
        <v>-0.5</v>
      </c>
      <c r="AM22" s="30">
        <f t="shared" si="39"/>
        <v>-0.5</v>
      </c>
      <c r="AN22" s="30">
        <f>SUM(AN67,AN72)</f>
        <v>-0.5</v>
      </c>
      <c r="AO22" s="30">
        <f>SUM(AO67,AO72)</f>
        <v>-0.5</v>
      </c>
      <c r="AP22" s="31">
        <f>SUM(AP67,AP72)</f>
        <v>0</v>
      </c>
      <c r="AQ22" s="30">
        <v>0</v>
      </c>
      <c r="AR22" s="30">
        <f>SUM(AR67,AR72)</f>
        <v>0</v>
      </c>
      <c r="AS22" s="30">
        <f>SUM(AS67,AS72)</f>
        <v>0</v>
      </c>
      <c r="AT22" s="30">
        <f>SUM(AT67,AT72)</f>
        <v>0</v>
      </c>
    </row>
    <row r="23" spans="1:46" s="271" customFormat="1" ht="21.6" customHeight="1">
      <c r="A23" s="57" t="s">
        <v>253</v>
      </c>
      <c r="B23" s="57" t="s">
        <v>92</v>
      </c>
      <c r="C23" s="42">
        <f>C13+C14</f>
        <v>13782.6</v>
      </c>
      <c r="D23" s="43">
        <f t="shared" ref="D23:AD23" si="40">D13+D14</f>
        <v>14567.2</v>
      </c>
      <c r="E23" s="43">
        <f t="shared" si="40"/>
        <v>15449.399999999998</v>
      </c>
      <c r="F23" s="43">
        <f t="shared" si="40"/>
        <v>16379.099999999997</v>
      </c>
      <c r="G23" s="42">
        <f t="shared" si="40"/>
        <v>18039.899999999998</v>
      </c>
      <c r="H23" s="43">
        <f t="shared" si="40"/>
        <v>19569.400000000001</v>
      </c>
      <c r="I23" s="43">
        <f t="shared" si="40"/>
        <v>21915.8</v>
      </c>
      <c r="J23" s="44">
        <f t="shared" si="40"/>
        <v>25584.7</v>
      </c>
      <c r="K23" s="42">
        <f t="shared" si="40"/>
        <v>28871.3</v>
      </c>
      <c r="L23" s="43">
        <f t="shared" si="40"/>
        <v>28613.9</v>
      </c>
      <c r="M23" s="43">
        <f t="shared" si="40"/>
        <v>28835.200000000001</v>
      </c>
      <c r="N23" s="44">
        <f t="shared" si="40"/>
        <v>29966.1</v>
      </c>
      <c r="O23" s="42">
        <f t="shared" si="40"/>
        <v>29973.300000000003</v>
      </c>
      <c r="P23" s="43">
        <f t="shared" si="40"/>
        <v>31653.100000000002</v>
      </c>
      <c r="Q23" s="43">
        <f t="shared" si="40"/>
        <v>33229.799999999996</v>
      </c>
      <c r="R23" s="44">
        <f t="shared" si="40"/>
        <v>34509</v>
      </c>
      <c r="S23" s="42">
        <f t="shared" si="40"/>
        <v>35292.9</v>
      </c>
      <c r="T23" s="43">
        <f t="shared" si="40"/>
        <v>37014.1</v>
      </c>
      <c r="U23" s="43">
        <f t="shared" si="40"/>
        <v>39699.599999999999</v>
      </c>
      <c r="V23" s="44">
        <f t="shared" si="40"/>
        <v>42329.7</v>
      </c>
      <c r="W23" s="42">
        <f t="shared" si="40"/>
        <v>47717.3</v>
      </c>
      <c r="X23" s="43">
        <f t="shared" si="40"/>
        <v>48490.599999999991</v>
      </c>
      <c r="Y23" s="43">
        <f t="shared" si="40"/>
        <v>49275.1</v>
      </c>
      <c r="Z23" s="44">
        <f t="shared" si="40"/>
        <v>48985.299999999996</v>
      </c>
      <c r="AA23" s="42">
        <f t="shared" si="40"/>
        <v>49119.3</v>
      </c>
      <c r="AB23" s="43">
        <f t="shared" si="40"/>
        <v>50472.500000000007</v>
      </c>
      <c r="AC23" s="43">
        <f t="shared" si="40"/>
        <v>52105.2</v>
      </c>
      <c r="AD23" s="44">
        <f t="shared" si="40"/>
        <v>52237.899999999994</v>
      </c>
      <c r="AE23" s="42">
        <f t="shared" ref="AE23:AJ23" si="41">AE13+AE14</f>
        <v>54597.100000000013</v>
      </c>
      <c r="AF23" s="43">
        <f t="shared" si="41"/>
        <v>57319</v>
      </c>
      <c r="AG23" s="43">
        <f t="shared" si="41"/>
        <v>60219.000000000015</v>
      </c>
      <c r="AH23" s="44">
        <f t="shared" si="41"/>
        <v>61054.799999999996</v>
      </c>
      <c r="AI23" s="43">
        <f t="shared" si="41"/>
        <v>63399</v>
      </c>
      <c r="AJ23" s="43">
        <f t="shared" si="41"/>
        <v>68127.199999999997</v>
      </c>
      <c r="AK23" s="43">
        <f t="shared" ref="AK23:AT23" si="42">AK13+AK14</f>
        <v>71425.2</v>
      </c>
      <c r="AL23" s="44">
        <f t="shared" si="42"/>
        <v>72519.600000000006</v>
      </c>
      <c r="AM23" s="43">
        <f t="shared" si="42"/>
        <v>75329.999999999985</v>
      </c>
      <c r="AN23" s="43">
        <f t="shared" si="42"/>
        <v>78308.600000000006</v>
      </c>
      <c r="AO23" s="43">
        <f t="shared" si="42"/>
        <v>80377.400000000009</v>
      </c>
      <c r="AP23" s="44">
        <f t="shared" si="42"/>
        <v>81979.5</v>
      </c>
      <c r="AQ23" s="43">
        <f>AQ13+AQ14</f>
        <v>84379.599999999991</v>
      </c>
      <c r="AR23" s="43">
        <f t="shared" si="42"/>
        <v>86902.300000000017</v>
      </c>
      <c r="AS23" s="43">
        <f t="shared" si="42"/>
        <v>90087.300000000017</v>
      </c>
      <c r="AT23" s="43">
        <f t="shared" si="42"/>
        <v>91088.299999999988</v>
      </c>
    </row>
    <row r="24" spans="1:46" s="19" customFormat="1" ht="22.5">
      <c r="A24" s="37" t="s">
        <v>329</v>
      </c>
      <c r="B24" s="37" t="s">
        <v>93</v>
      </c>
      <c r="C24" s="29">
        <f>SUM(C41)</f>
        <v>2250.1000000000004</v>
      </c>
      <c r="D24" s="30">
        <f t="shared" ref="D24:X24" si="43">SUM(D41)</f>
        <v>2122.5</v>
      </c>
      <c r="E24" s="30">
        <f t="shared" si="43"/>
        <v>2125.6999999999998</v>
      </c>
      <c r="F24" s="30">
        <f t="shared" si="43"/>
        <v>2336.7999999999997</v>
      </c>
      <c r="G24" s="29">
        <f t="shared" si="43"/>
        <v>2551.2000000000003</v>
      </c>
      <c r="H24" s="30">
        <f t="shared" si="43"/>
        <v>2702.2</v>
      </c>
      <c r="I24" s="30">
        <f t="shared" si="43"/>
        <v>3069.0000000000005</v>
      </c>
      <c r="J24" s="31">
        <f t="shared" si="43"/>
        <v>3021.2999999999997</v>
      </c>
      <c r="K24" s="29">
        <f t="shared" si="43"/>
        <v>2968.2000000000003</v>
      </c>
      <c r="L24" s="30">
        <f t="shared" si="43"/>
        <v>2833.2999999999997</v>
      </c>
      <c r="M24" s="30">
        <f t="shared" si="43"/>
        <v>2809.5000000000005</v>
      </c>
      <c r="N24" s="31">
        <f t="shared" si="43"/>
        <v>2695.2</v>
      </c>
      <c r="O24" s="29">
        <f t="shared" si="43"/>
        <v>2513</v>
      </c>
      <c r="P24" s="30">
        <f t="shared" si="43"/>
        <v>2547.9</v>
      </c>
      <c r="Q24" s="30">
        <f t="shared" si="43"/>
        <v>2580.1</v>
      </c>
      <c r="R24" s="31">
        <f t="shared" si="43"/>
        <v>2666.2999999999997</v>
      </c>
      <c r="S24" s="29">
        <f t="shared" si="43"/>
        <v>2664.8999999999996</v>
      </c>
      <c r="T24" s="30">
        <f t="shared" si="43"/>
        <v>2868.7000000000003</v>
      </c>
      <c r="U24" s="30">
        <f t="shared" si="43"/>
        <v>2873.2</v>
      </c>
      <c r="V24" s="31">
        <f t="shared" si="43"/>
        <v>2908.8999999999996</v>
      </c>
      <c r="W24" s="29">
        <f t="shared" si="43"/>
        <v>1248.9000000000001</v>
      </c>
      <c r="X24" s="30">
        <f t="shared" si="43"/>
        <v>1377.1000000000001</v>
      </c>
      <c r="Y24" s="30">
        <f t="shared" ref="Y24:AD24" si="44">SUM(Y41)</f>
        <v>1525.4999999999995</v>
      </c>
      <c r="Z24" s="31">
        <f t="shared" si="44"/>
        <v>1645.3999999999999</v>
      </c>
      <c r="AA24" s="29">
        <f t="shared" si="44"/>
        <v>1405.8999999999996</v>
      </c>
      <c r="AB24" s="30">
        <f t="shared" si="44"/>
        <v>1421.8000000000002</v>
      </c>
      <c r="AC24" s="30">
        <f t="shared" si="44"/>
        <v>1531</v>
      </c>
      <c r="AD24" s="31">
        <f t="shared" si="44"/>
        <v>1568.1</v>
      </c>
      <c r="AE24" s="29">
        <f t="shared" ref="AE24:AJ24" si="45">SUM(AE41)</f>
        <v>1544.0999999999997</v>
      </c>
      <c r="AF24" s="30">
        <f t="shared" si="45"/>
        <v>1733.2</v>
      </c>
      <c r="AG24" s="30">
        <f t="shared" si="45"/>
        <v>1780.4</v>
      </c>
      <c r="AH24" s="31">
        <f t="shared" si="45"/>
        <v>1869.0999999999997</v>
      </c>
      <c r="AI24" s="30">
        <f t="shared" si="45"/>
        <v>1750.6999999999998</v>
      </c>
      <c r="AJ24" s="30">
        <f t="shared" si="45"/>
        <v>2197.4</v>
      </c>
      <c r="AK24" s="30">
        <f>SUM(AK41)</f>
        <v>2017.2</v>
      </c>
      <c r="AL24" s="31">
        <f>SUM(AL41)</f>
        <v>2510</v>
      </c>
      <c r="AM24" s="30">
        <f>SUM(AM41)</f>
        <v>2306.6</v>
      </c>
      <c r="AN24" s="30">
        <f>SUM(AN41)</f>
        <v>2335.8000000000002</v>
      </c>
      <c r="AO24" s="30">
        <v>2065.4</v>
      </c>
      <c r="AP24" s="31">
        <v>2347.3000000000002</v>
      </c>
      <c r="AQ24" s="30">
        <v>2373.6</v>
      </c>
      <c r="AR24" s="30">
        <f>SUM(AR41)</f>
        <v>2525.3999999999996</v>
      </c>
      <c r="AS24" s="30">
        <f>SUM(AS41)</f>
        <v>2448.1999999999998</v>
      </c>
      <c r="AT24" s="30">
        <f>SUM(AT41)</f>
        <v>2935</v>
      </c>
    </row>
    <row r="25" spans="1:46" s="19" customFormat="1" ht="11.25">
      <c r="A25" s="37" t="s">
        <v>330</v>
      </c>
      <c r="B25" s="37" t="s">
        <v>94</v>
      </c>
      <c r="C25" s="29">
        <f>SUM(C73)</f>
        <v>10936.4</v>
      </c>
      <c r="D25" s="30">
        <f t="shared" ref="D25:X25" si="46">SUM(D73)</f>
        <v>11871.600000000002</v>
      </c>
      <c r="E25" s="30">
        <f t="shared" si="46"/>
        <v>12740.500000000002</v>
      </c>
      <c r="F25" s="30">
        <f t="shared" si="46"/>
        <v>13374.599999999999</v>
      </c>
      <c r="G25" s="29">
        <f t="shared" si="46"/>
        <v>14847.1</v>
      </c>
      <c r="H25" s="30">
        <f t="shared" si="46"/>
        <v>16219.1</v>
      </c>
      <c r="I25" s="30">
        <f t="shared" si="46"/>
        <v>18175.900000000001</v>
      </c>
      <c r="J25" s="31">
        <f t="shared" si="46"/>
        <v>19872.3</v>
      </c>
      <c r="K25" s="29">
        <f t="shared" si="46"/>
        <v>21133</v>
      </c>
      <c r="L25" s="30">
        <f t="shared" si="46"/>
        <v>21306.3</v>
      </c>
      <c r="M25" s="30">
        <f t="shared" si="46"/>
        <v>21405.799999999996</v>
      </c>
      <c r="N25" s="31">
        <f t="shared" si="46"/>
        <v>21370.2</v>
      </c>
      <c r="O25" s="29">
        <f t="shared" si="46"/>
        <v>21705.399999999998</v>
      </c>
      <c r="P25" s="30">
        <f t="shared" si="46"/>
        <v>22864.799999999999</v>
      </c>
      <c r="Q25" s="30">
        <f t="shared" si="46"/>
        <v>24292.400000000001</v>
      </c>
      <c r="R25" s="31">
        <f t="shared" si="46"/>
        <v>25223.8</v>
      </c>
      <c r="S25" s="29">
        <f t="shared" si="46"/>
        <v>26088.6</v>
      </c>
      <c r="T25" s="30">
        <f t="shared" si="46"/>
        <v>27686.6</v>
      </c>
      <c r="U25" s="30">
        <f t="shared" si="46"/>
        <v>29593.499999999996</v>
      </c>
      <c r="V25" s="31">
        <f t="shared" si="46"/>
        <v>31635.8</v>
      </c>
      <c r="W25" s="29">
        <f t="shared" si="46"/>
        <v>38737.599999999999</v>
      </c>
      <c r="X25" s="30">
        <f t="shared" si="46"/>
        <v>39331.9</v>
      </c>
      <c r="Y25" s="30">
        <f t="shared" ref="Y25:AD25" si="47">SUM(Y73)</f>
        <v>40103.599999999999</v>
      </c>
      <c r="Z25" s="31">
        <f t="shared" si="47"/>
        <v>39645</v>
      </c>
      <c r="AA25" s="29">
        <f t="shared" si="47"/>
        <v>40060</v>
      </c>
      <c r="AB25" s="30">
        <f t="shared" si="47"/>
        <v>41569.4</v>
      </c>
      <c r="AC25" s="30">
        <f t="shared" si="47"/>
        <v>43262.099999999991</v>
      </c>
      <c r="AD25" s="31">
        <f t="shared" si="47"/>
        <v>43409.099999999991</v>
      </c>
      <c r="AE25" s="29">
        <f t="shared" ref="AE25:AJ25" si="48">SUM(AE73)</f>
        <v>45744.6</v>
      </c>
      <c r="AF25" s="30">
        <f t="shared" si="48"/>
        <v>48332.400000000009</v>
      </c>
      <c r="AG25" s="30">
        <f t="shared" si="48"/>
        <v>51030.6</v>
      </c>
      <c r="AH25" s="31">
        <f t="shared" si="48"/>
        <v>51461.1</v>
      </c>
      <c r="AI25" s="30">
        <f t="shared" si="48"/>
        <v>54115.900000000009</v>
      </c>
      <c r="AJ25" s="30">
        <f t="shared" si="48"/>
        <v>58468.7</v>
      </c>
      <c r="AK25" s="30">
        <f>SUM(AK73)</f>
        <v>61918.399999999994</v>
      </c>
      <c r="AL25" s="31">
        <f>SUM(AL73)</f>
        <v>62285.600000000006</v>
      </c>
      <c r="AM25" s="30">
        <f>SUM(AM73)</f>
        <v>65329.900000000016</v>
      </c>
      <c r="AN25" s="30">
        <f>SUM(AN73)</f>
        <v>68319.400000000009</v>
      </c>
      <c r="AO25" s="30">
        <v>70845.100000000006</v>
      </c>
      <c r="AP25" s="31">
        <v>72306.2</v>
      </c>
      <c r="AQ25" s="30">
        <v>74940.800000000003</v>
      </c>
      <c r="AR25" s="30">
        <f>SUM(AR73)</f>
        <v>77554.600000000006</v>
      </c>
      <c r="AS25" s="30">
        <f>SUM(AS73)</f>
        <v>80899.999999999985</v>
      </c>
      <c r="AT25" s="30">
        <f>SUM(AT73)</f>
        <v>81741.900000000009</v>
      </c>
    </row>
    <row r="26" spans="1:46" s="19" customFormat="1" ht="22.5">
      <c r="A26" s="37" t="s">
        <v>331</v>
      </c>
      <c r="B26" s="37" t="s">
        <v>95</v>
      </c>
      <c r="C26" s="29">
        <f>SUM(C91)</f>
        <v>596.1</v>
      </c>
      <c r="D26" s="30">
        <f t="shared" ref="D26:X26" si="49">SUM(D91)</f>
        <v>573.1</v>
      </c>
      <c r="E26" s="30">
        <f t="shared" si="49"/>
        <v>583.20000000000005</v>
      </c>
      <c r="F26" s="30">
        <f t="shared" si="49"/>
        <v>667.69999999999993</v>
      </c>
      <c r="G26" s="29">
        <f t="shared" si="49"/>
        <v>641.6</v>
      </c>
      <c r="H26" s="30">
        <f t="shared" si="49"/>
        <v>648.1</v>
      </c>
      <c r="I26" s="30">
        <f t="shared" si="49"/>
        <v>670.9</v>
      </c>
      <c r="J26" s="31">
        <f t="shared" si="49"/>
        <v>2691.1</v>
      </c>
      <c r="K26" s="29">
        <f t="shared" si="49"/>
        <v>4770.1000000000004</v>
      </c>
      <c r="L26" s="30">
        <f t="shared" si="49"/>
        <v>4474.2999999999993</v>
      </c>
      <c r="M26" s="30">
        <f t="shared" si="49"/>
        <v>4619.9000000000005</v>
      </c>
      <c r="N26" s="31">
        <f t="shared" si="49"/>
        <v>5900.7000000000007</v>
      </c>
      <c r="O26" s="29">
        <f t="shared" si="49"/>
        <v>5754.9000000000005</v>
      </c>
      <c r="P26" s="30">
        <f t="shared" si="49"/>
        <v>6240.4000000000005</v>
      </c>
      <c r="Q26" s="30">
        <f t="shared" si="49"/>
        <v>6357.2999999999993</v>
      </c>
      <c r="R26" s="31">
        <f t="shared" si="49"/>
        <v>6618.9</v>
      </c>
      <c r="S26" s="29">
        <f t="shared" si="49"/>
        <v>6539.4</v>
      </c>
      <c r="T26" s="30">
        <f t="shared" si="49"/>
        <v>6458.8</v>
      </c>
      <c r="U26" s="30">
        <f t="shared" si="49"/>
        <v>7232.9</v>
      </c>
      <c r="V26" s="31">
        <f t="shared" si="49"/>
        <v>7785</v>
      </c>
      <c r="W26" s="29">
        <f t="shared" si="49"/>
        <v>7730.8</v>
      </c>
      <c r="X26" s="30">
        <f t="shared" si="49"/>
        <v>7781.6</v>
      </c>
      <c r="Y26" s="30">
        <f t="shared" ref="Y26:AD26" si="50">SUM(Y91)</f>
        <v>7646</v>
      </c>
      <c r="Z26" s="31">
        <f t="shared" si="50"/>
        <v>7694.9000000000005</v>
      </c>
      <c r="AA26" s="29">
        <f t="shared" si="50"/>
        <v>7653.4000000000005</v>
      </c>
      <c r="AB26" s="30">
        <f t="shared" si="50"/>
        <v>7481.2999999999993</v>
      </c>
      <c r="AC26" s="30">
        <f t="shared" si="50"/>
        <v>7312.0999999999995</v>
      </c>
      <c r="AD26" s="31">
        <f t="shared" si="50"/>
        <v>7260.6999999999989</v>
      </c>
      <c r="AE26" s="29">
        <f t="shared" ref="AE26:AJ26" si="51">SUM(AE91)</f>
        <v>7308.4</v>
      </c>
      <c r="AF26" s="30">
        <f t="shared" si="51"/>
        <v>7253.4000000000005</v>
      </c>
      <c r="AG26" s="30">
        <f t="shared" si="51"/>
        <v>7408</v>
      </c>
      <c r="AH26" s="31">
        <f t="shared" si="51"/>
        <v>7724.6</v>
      </c>
      <c r="AI26" s="30">
        <f t="shared" si="51"/>
        <v>7532.4000000000005</v>
      </c>
      <c r="AJ26" s="30">
        <f t="shared" si="51"/>
        <v>7461.1</v>
      </c>
      <c r="AK26" s="30">
        <f>SUM(AK91)</f>
        <v>7489.6</v>
      </c>
      <c r="AL26" s="31">
        <f>SUM(AL91)</f>
        <v>7724</v>
      </c>
      <c r="AM26" s="30">
        <f>SUM(AM91)</f>
        <v>7693.5</v>
      </c>
      <c r="AN26" s="30">
        <f>SUM(AN91)</f>
        <v>7653.4000000000005</v>
      </c>
      <c r="AO26" s="30">
        <v>7466.9</v>
      </c>
      <c r="AP26" s="31">
        <v>7326</v>
      </c>
      <c r="AQ26" s="30">
        <v>7065.2</v>
      </c>
      <c r="AR26" s="30">
        <f>SUM(AR91)</f>
        <v>6822.3</v>
      </c>
      <c r="AS26" s="30">
        <f>SUM(AS91)</f>
        <v>6739.1</v>
      </c>
      <c r="AT26" s="30">
        <f>SUM(AT91)</f>
        <v>6411.4000000000005</v>
      </c>
    </row>
    <row r="27" spans="1:46" s="19" customFormat="1" ht="11.25">
      <c r="A27" s="37"/>
      <c r="B27" s="37"/>
      <c r="C27" s="29"/>
      <c r="D27" s="30"/>
      <c r="E27" s="30"/>
      <c r="F27" s="30"/>
      <c r="G27" s="29"/>
      <c r="H27" s="30"/>
      <c r="I27" s="30"/>
      <c r="J27" s="31"/>
      <c r="K27" s="29"/>
      <c r="L27" s="30"/>
      <c r="M27" s="30"/>
      <c r="N27" s="31"/>
      <c r="O27" s="29"/>
      <c r="P27" s="30"/>
      <c r="Q27" s="30"/>
      <c r="R27" s="31"/>
      <c r="S27" s="29"/>
      <c r="T27" s="30"/>
      <c r="U27" s="30"/>
      <c r="V27" s="31"/>
      <c r="W27" s="29"/>
      <c r="X27" s="30"/>
      <c r="Y27" s="30"/>
      <c r="Z27" s="31"/>
      <c r="AA27" s="29"/>
      <c r="AB27" s="30"/>
      <c r="AC27" s="30"/>
      <c r="AD27" s="31"/>
      <c r="AE27" s="29"/>
      <c r="AF27" s="30"/>
      <c r="AG27" s="30"/>
      <c r="AH27" s="31"/>
      <c r="AI27" s="30"/>
      <c r="AJ27" s="30"/>
      <c r="AK27" s="30"/>
      <c r="AL27" s="31"/>
      <c r="AM27" s="30"/>
      <c r="AN27" s="30"/>
      <c r="AO27" s="30"/>
      <c r="AP27" s="31"/>
      <c r="AQ27" s="30"/>
      <c r="AR27" s="30"/>
      <c r="AS27" s="30"/>
      <c r="AT27" s="31"/>
    </row>
    <row r="28" spans="1:46" s="19" customFormat="1" ht="11.25">
      <c r="A28" s="60" t="s">
        <v>254</v>
      </c>
      <c r="B28" s="60" t="s">
        <v>84</v>
      </c>
      <c r="C28" s="29"/>
      <c r="D28" s="30"/>
      <c r="E28" s="30"/>
      <c r="F28" s="30"/>
      <c r="G28" s="29"/>
      <c r="H28" s="30"/>
      <c r="I28" s="30"/>
      <c r="J28" s="31"/>
      <c r="K28" s="29"/>
      <c r="L28" s="30"/>
      <c r="M28" s="30"/>
      <c r="N28" s="31"/>
      <c r="O28" s="29"/>
      <c r="P28" s="30"/>
      <c r="Q28" s="30"/>
      <c r="R28" s="31"/>
      <c r="S28" s="29"/>
      <c r="T28" s="30"/>
      <c r="U28" s="30"/>
      <c r="V28" s="31"/>
      <c r="W28" s="29"/>
      <c r="X28" s="30"/>
      <c r="Y28" s="30"/>
      <c r="Z28" s="31"/>
      <c r="AA28" s="29"/>
      <c r="AB28" s="30"/>
      <c r="AC28" s="30"/>
      <c r="AD28" s="31"/>
      <c r="AE28" s="29"/>
      <c r="AF28" s="30"/>
      <c r="AG28" s="30"/>
      <c r="AH28" s="31"/>
      <c r="AI28" s="30"/>
      <c r="AJ28" s="30"/>
      <c r="AK28" s="30"/>
      <c r="AL28" s="31"/>
      <c r="AM28" s="30"/>
      <c r="AN28" s="30"/>
      <c r="AO28" s="30"/>
      <c r="AP28" s="31"/>
      <c r="AQ28" s="30"/>
      <c r="AR28" s="30"/>
      <c r="AS28" s="30"/>
      <c r="AT28" s="31"/>
    </row>
    <row r="29" spans="1:46" s="19" customFormat="1" ht="11.25">
      <c r="A29" s="28"/>
      <c r="B29" s="28"/>
      <c r="C29" s="29"/>
      <c r="D29" s="30"/>
      <c r="E29" s="30"/>
      <c r="F29" s="30"/>
      <c r="G29" s="29"/>
      <c r="H29" s="30"/>
      <c r="I29" s="30"/>
      <c r="J29" s="31"/>
      <c r="K29" s="29"/>
      <c r="L29" s="30"/>
      <c r="M29" s="30"/>
      <c r="N29" s="31"/>
      <c r="O29" s="29"/>
      <c r="P29" s="30"/>
      <c r="Q29" s="30"/>
      <c r="R29" s="31"/>
      <c r="S29" s="29"/>
      <c r="T29" s="30"/>
      <c r="U29" s="30"/>
      <c r="V29" s="31"/>
      <c r="W29" s="29"/>
      <c r="X29" s="30"/>
      <c r="Y29" s="30"/>
      <c r="Z29" s="31"/>
      <c r="AA29" s="29"/>
      <c r="AB29" s="30"/>
      <c r="AC29" s="30"/>
      <c r="AD29" s="31"/>
      <c r="AE29" s="29"/>
      <c r="AF29" s="30"/>
      <c r="AG29" s="30"/>
      <c r="AH29" s="31"/>
      <c r="AI29" s="30"/>
      <c r="AJ29" s="30"/>
      <c r="AK29" s="30"/>
      <c r="AL29" s="31"/>
      <c r="AM29" s="30"/>
      <c r="AN29" s="30"/>
      <c r="AO29" s="30"/>
      <c r="AP29" s="31"/>
      <c r="AQ29" s="30"/>
      <c r="AR29" s="30"/>
      <c r="AS29" s="30"/>
      <c r="AT29" s="31"/>
    </row>
    <row r="30" spans="1:46" s="19" customFormat="1" ht="11.25">
      <c r="A30" s="28" t="s">
        <v>255</v>
      </c>
      <c r="B30" s="28" t="s">
        <v>85</v>
      </c>
      <c r="C30" s="29">
        <f>SUM(C31:C32)</f>
        <v>2175.8000000000002</v>
      </c>
      <c r="D30" s="30">
        <f t="shared" ref="D30:X30" si="52">SUM(D31:D32)</f>
        <v>2057.5</v>
      </c>
      <c r="E30" s="30">
        <f t="shared" si="52"/>
        <v>2061.8999999999996</v>
      </c>
      <c r="F30" s="30">
        <f t="shared" si="52"/>
        <v>2232.6</v>
      </c>
      <c r="G30" s="29">
        <f>SUM(G31:G32)</f>
        <v>2461.8000000000002</v>
      </c>
      <c r="H30" s="30">
        <f t="shared" si="52"/>
        <v>2602.6999999999998</v>
      </c>
      <c r="I30" s="30">
        <f t="shared" si="52"/>
        <v>2918.7000000000003</v>
      </c>
      <c r="J30" s="31">
        <f t="shared" si="52"/>
        <v>2925.1</v>
      </c>
      <c r="K30" s="29">
        <f t="shared" si="52"/>
        <v>2866.4</v>
      </c>
      <c r="L30" s="30">
        <f t="shared" si="52"/>
        <v>2714.5</v>
      </c>
      <c r="M30" s="30">
        <f t="shared" si="52"/>
        <v>2673.4</v>
      </c>
      <c r="N30" s="31">
        <f t="shared" si="52"/>
        <v>2545.6</v>
      </c>
      <c r="O30" s="29">
        <f t="shared" si="52"/>
        <v>2369.1</v>
      </c>
      <c r="P30" s="30">
        <f t="shared" si="52"/>
        <v>2420</v>
      </c>
      <c r="Q30" s="30">
        <f t="shared" si="52"/>
        <v>2428.5</v>
      </c>
      <c r="R30" s="31">
        <f t="shared" si="52"/>
        <v>2585</v>
      </c>
      <c r="S30" s="29">
        <f t="shared" si="52"/>
        <v>2491.1999999999998</v>
      </c>
      <c r="T30" s="30">
        <f t="shared" si="52"/>
        <v>2714.1</v>
      </c>
      <c r="U30" s="30">
        <f t="shared" si="52"/>
        <v>2733.3</v>
      </c>
      <c r="V30" s="31">
        <f t="shared" si="52"/>
        <v>2821.7999999999997</v>
      </c>
      <c r="W30" s="29">
        <f t="shared" si="52"/>
        <v>1140.5000000000002</v>
      </c>
      <c r="X30" s="30">
        <f t="shared" si="52"/>
        <v>1276.1000000000001</v>
      </c>
      <c r="Y30" s="30">
        <f t="shared" ref="Y30:AD30" si="53">SUM(Y31:Y32)</f>
        <v>1408.9999999999998</v>
      </c>
      <c r="Z30" s="31">
        <f t="shared" si="53"/>
        <v>1533.8</v>
      </c>
      <c r="AA30" s="29">
        <f t="shared" si="53"/>
        <v>1310.3999999999996</v>
      </c>
      <c r="AB30" s="30">
        <f t="shared" si="53"/>
        <v>1334.3000000000002</v>
      </c>
      <c r="AC30" s="30">
        <f t="shared" si="53"/>
        <v>1432.6000000000001</v>
      </c>
      <c r="AD30" s="31">
        <f t="shared" si="53"/>
        <v>1457.8999999999999</v>
      </c>
      <c r="AE30" s="29">
        <f t="shared" ref="AE30:AJ30" si="54">SUM(AE31:AE32)</f>
        <v>1417.9999999999998</v>
      </c>
      <c r="AF30" s="30">
        <f t="shared" si="54"/>
        <v>1641.8</v>
      </c>
      <c r="AG30" s="30">
        <f t="shared" si="54"/>
        <v>1679.9</v>
      </c>
      <c r="AH30" s="31">
        <f t="shared" si="54"/>
        <v>1778.6999999999998</v>
      </c>
      <c r="AI30" s="30">
        <f t="shared" si="54"/>
        <v>1660.3999999999999</v>
      </c>
      <c r="AJ30" s="30">
        <f t="shared" si="54"/>
        <v>2070.1999999999998</v>
      </c>
      <c r="AK30" s="30">
        <f t="shared" ref="AK30:AT30" si="55">SUM(AK31:AK32)</f>
        <v>1921.3</v>
      </c>
      <c r="AL30" s="31">
        <f t="shared" si="55"/>
        <v>1936.1</v>
      </c>
      <c r="AM30" s="30">
        <f t="shared" si="55"/>
        <v>1787.1000000000001</v>
      </c>
      <c r="AN30" s="30">
        <f t="shared" si="55"/>
        <v>1866</v>
      </c>
      <c r="AO30" s="30">
        <f t="shared" si="55"/>
        <v>1563.5</v>
      </c>
      <c r="AP30" s="31">
        <f t="shared" si="55"/>
        <v>1879</v>
      </c>
      <c r="AQ30" s="30">
        <f t="shared" si="55"/>
        <v>1917.8</v>
      </c>
      <c r="AR30" s="30">
        <f t="shared" si="55"/>
        <v>2076.4</v>
      </c>
      <c r="AS30" s="30">
        <f t="shared" si="55"/>
        <v>1913.7</v>
      </c>
      <c r="AT30" s="30">
        <f t="shared" si="55"/>
        <v>1954.7</v>
      </c>
    </row>
    <row r="31" spans="1:46" s="292" customFormat="1" ht="11.25">
      <c r="A31" s="281" t="s">
        <v>256</v>
      </c>
      <c r="B31" s="281" t="s">
        <v>86</v>
      </c>
      <c r="C31" s="52">
        <v>454.3</v>
      </c>
      <c r="D31" s="53">
        <v>436.3</v>
      </c>
      <c r="E31" s="53">
        <v>432</v>
      </c>
      <c r="F31" s="53">
        <v>379</v>
      </c>
      <c r="G31" s="52">
        <v>452.4</v>
      </c>
      <c r="H31" s="53">
        <v>520</v>
      </c>
      <c r="I31" s="53">
        <v>399.4</v>
      </c>
      <c r="J31" s="54">
        <v>382.7</v>
      </c>
      <c r="K31" s="52">
        <v>369.1</v>
      </c>
      <c r="L31" s="53">
        <v>354.5</v>
      </c>
      <c r="M31" s="53">
        <v>414.3</v>
      </c>
      <c r="N31" s="54">
        <v>381.1</v>
      </c>
      <c r="O31" s="52">
        <v>332.8</v>
      </c>
      <c r="P31" s="53">
        <v>369</v>
      </c>
      <c r="Q31" s="53">
        <v>408.6</v>
      </c>
      <c r="R31" s="54">
        <v>434.8</v>
      </c>
      <c r="S31" s="52">
        <v>438.1</v>
      </c>
      <c r="T31" s="53">
        <v>501.9</v>
      </c>
      <c r="U31" s="53">
        <v>548.20000000000005</v>
      </c>
      <c r="V31" s="54">
        <v>4.7</v>
      </c>
      <c r="W31" s="52">
        <v>18.700000000000045</v>
      </c>
      <c r="X31" s="53">
        <v>32.700000000000045</v>
      </c>
      <c r="Y31" s="53">
        <v>46.299999999999955</v>
      </c>
      <c r="Z31" s="54">
        <v>127.90000000000009</v>
      </c>
      <c r="AA31" s="52">
        <v>40.800000000000068</v>
      </c>
      <c r="AB31" s="53">
        <v>32</v>
      </c>
      <c r="AC31" s="53">
        <v>110.20000000000005</v>
      </c>
      <c r="AD31" s="54">
        <v>66.799999999999955</v>
      </c>
      <c r="AE31" s="52">
        <v>46.7</v>
      </c>
      <c r="AF31" s="53">
        <v>60.700000000000045</v>
      </c>
      <c r="AG31" s="53">
        <v>71.599999999999909</v>
      </c>
      <c r="AH31" s="54">
        <v>584.59999999999991</v>
      </c>
      <c r="AI31" s="53">
        <v>63.899999999999864</v>
      </c>
      <c r="AJ31" s="53">
        <v>219.9</v>
      </c>
      <c r="AK31" s="53">
        <v>164.1</v>
      </c>
      <c r="AL31" s="54">
        <v>157.30000000000001</v>
      </c>
      <c r="AM31" s="53">
        <v>166.7</v>
      </c>
      <c r="AN31" s="53">
        <v>392.5</v>
      </c>
      <c r="AO31" s="53">
        <v>258.39999999999998</v>
      </c>
      <c r="AP31" s="54">
        <v>376.3</v>
      </c>
      <c r="AQ31" s="53">
        <v>592</v>
      </c>
      <c r="AR31" s="53">
        <v>674.6</v>
      </c>
      <c r="AS31" s="53">
        <v>594.5</v>
      </c>
      <c r="AT31" s="54">
        <v>696.3</v>
      </c>
    </row>
    <row r="32" spans="1:46" s="292" customFormat="1" ht="11.25">
      <c r="A32" s="281" t="s">
        <v>257</v>
      </c>
      <c r="B32" s="281" t="s">
        <v>87</v>
      </c>
      <c r="C32" s="52">
        <f>1716.3+5.2</f>
        <v>1721.5</v>
      </c>
      <c r="D32" s="53">
        <f>1617.2+4</f>
        <v>1621.2</v>
      </c>
      <c r="E32" s="53">
        <f>1625.6+4.3</f>
        <v>1629.8999999999999</v>
      </c>
      <c r="F32" s="53">
        <v>1853.6</v>
      </c>
      <c r="G32" s="52">
        <v>2009.4</v>
      </c>
      <c r="H32" s="53">
        <v>2082.6999999999998</v>
      </c>
      <c r="I32" s="53">
        <v>2519.3000000000002</v>
      </c>
      <c r="J32" s="54">
        <v>2542.4</v>
      </c>
      <c r="K32" s="52">
        <v>2497.3000000000002</v>
      </c>
      <c r="L32" s="53">
        <v>2360</v>
      </c>
      <c r="M32" s="53">
        <v>2259.1</v>
      </c>
      <c r="N32" s="54">
        <v>2164.5</v>
      </c>
      <c r="O32" s="52">
        <v>2036.3</v>
      </c>
      <c r="P32" s="53">
        <v>2051</v>
      </c>
      <c r="Q32" s="53">
        <v>2019.9</v>
      </c>
      <c r="R32" s="54">
        <v>2150.1999999999998</v>
      </c>
      <c r="S32" s="52">
        <v>2053.1</v>
      </c>
      <c r="T32" s="53">
        <v>2212.1999999999998</v>
      </c>
      <c r="U32" s="53">
        <v>2185.1</v>
      </c>
      <c r="V32" s="54">
        <v>2817.1</v>
      </c>
      <c r="W32" s="52">
        <v>1121.8000000000002</v>
      </c>
      <c r="X32" s="53">
        <v>1243.4000000000001</v>
      </c>
      <c r="Y32" s="53">
        <v>1362.6999999999998</v>
      </c>
      <c r="Z32" s="54">
        <v>1405.8999999999999</v>
      </c>
      <c r="AA32" s="52">
        <v>1269.5999999999997</v>
      </c>
      <c r="AB32" s="53">
        <v>1302.3000000000002</v>
      </c>
      <c r="AC32" s="53">
        <v>1322.4</v>
      </c>
      <c r="AD32" s="54">
        <v>1391.1</v>
      </c>
      <c r="AE32" s="52">
        <v>1371.2999999999997</v>
      </c>
      <c r="AF32" s="53">
        <v>1581.1</v>
      </c>
      <c r="AG32" s="53">
        <v>1608.3000000000002</v>
      </c>
      <c r="AH32" s="54">
        <v>1194.0999999999999</v>
      </c>
      <c r="AI32" s="53">
        <v>1596.5</v>
      </c>
      <c r="AJ32" s="53">
        <v>1850.3</v>
      </c>
      <c r="AK32" s="53">
        <v>1757.2</v>
      </c>
      <c r="AL32" s="54">
        <v>1778.8</v>
      </c>
      <c r="AM32" s="53">
        <v>1620.4</v>
      </c>
      <c r="AN32" s="53">
        <v>1473.5</v>
      </c>
      <c r="AO32" s="53">
        <v>1305.0999999999999</v>
      </c>
      <c r="AP32" s="54">
        <v>1502.7</v>
      </c>
      <c r="AQ32" s="53">
        <v>1325.8</v>
      </c>
      <c r="AR32" s="53">
        <v>1401.8</v>
      </c>
      <c r="AS32" s="53">
        <v>1319.2</v>
      </c>
      <c r="AT32" s="54">
        <v>1258.4000000000001</v>
      </c>
    </row>
    <row r="33" spans="1:46" s="19" customFormat="1" ht="11.25">
      <c r="A33" s="28" t="s">
        <v>246</v>
      </c>
      <c r="B33" s="28" t="s">
        <v>76</v>
      </c>
      <c r="C33" s="29">
        <v>0</v>
      </c>
      <c r="D33" s="30">
        <v>0</v>
      </c>
      <c r="E33" s="30">
        <v>0</v>
      </c>
      <c r="F33" s="30">
        <v>0</v>
      </c>
      <c r="G33" s="29">
        <v>0</v>
      </c>
      <c r="H33" s="30">
        <v>0</v>
      </c>
      <c r="I33" s="30">
        <v>0</v>
      </c>
      <c r="J33" s="31">
        <v>0</v>
      </c>
      <c r="K33" s="29">
        <v>0</v>
      </c>
      <c r="L33" s="30">
        <v>0</v>
      </c>
      <c r="M33" s="30">
        <v>0</v>
      </c>
      <c r="N33" s="31">
        <v>0</v>
      </c>
      <c r="O33" s="29">
        <v>0</v>
      </c>
      <c r="P33" s="30">
        <v>0</v>
      </c>
      <c r="Q33" s="30">
        <v>0</v>
      </c>
      <c r="R33" s="31">
        <v>0</v>
      </c>
      <c r="S33" s="29">
        <v>0</v>
      </c>
      <c r="T33" s="30">
        <v>0</v>
      </c>
      <c r="U33" s="30">
        <v>0</v>
      </c>
      <c r="V33" s="31">
        <v>0</v>
      </c>
      <c r="W33" s="29">
        <v>0.1</v>
      </c>
      <c r="X33" s="30">
        <v>0</v>
      </c>
      <c r="Y33" s="30">
        <v>0.6</v>
      </c>
      <c r="Z33" s="31">
        <v>0.6</v>
      </c>
      <c r="AA33" s="29">
        <v>0.4</v>
      </c>
      <c r="AB33" s="30">
        <v>0.6</v>
      </c>
      <c r="AC33" s="30">
        <v>0.6</v>
      </c>
      <c r="AD33" s="31">
        <v>0.4</v>
      </c>
      <c r="AE33" s="29">
        <v>0.6</v>
      </c>
      <c r="AF33" s="30">
        <v>0.5</v>
      </c>
      <c r="AG33" s="30">
        <v>0.5</v>
      </c>
      <c r="AH33" s="31">
        <v>0.8</v>
      </c>
      <c r="AI33" s="30">
        <v>0.7</v>
      </c>
      <c r="AJ33" s="30">
        <v>0.8</v>
      </c>
      <c r="AK33" s="30">
        <v>11</v>
      </c>
      <c r="AL33" s="31">
        <v>0.7</v>
      </c>
      <c r="AM33" s="30">
        <v>0.6</v>
      </c>
      <c r="AN33" s="30">
        <v>0.4</v>
      </c>
      <c r="AO33" s="30">
        <v>0.6</v>
      </c>
      <c r="AP33" s="31">
        <v>0.6</v>
      </c>
      <c r="AQ33" s="30">
        <v>0.6</v>
      </c>
      <c r="AR33" s="30">
        <v>0.5</v>
      </c>
      <c r="AS33" s="30">
        <v>0.2</v>
      </c>
      <c r="AT33" s="31">
        <v>0.2</v>
      </c>
    </row>
    <row r="34" spans="1:46" s="19" customFormat="1" ht="11.25">
      <c r="A34" s="28" t="s">
        <v>247</v>
      </c>
      <c r="B34" s="28" t="s">
        <v>77</v>
      </c>
      <c r="C34" s="29">
        <v>0</v>
      </c>
      <c r="D34" s="30">
        <v>0</v>
      </c>
      <c r="E34" s="30">
        <v>0</v>
      </c>
      <c r="F34" s="30">
        <v>0</v>
      </c>
      <c r="G34" s="29">
        <v>0</v>
      </c>
      <c r="H34" s="30">
        <v>0</v>
      </c>
      <c r="I34" s="30">
        <v>0</v>
      </c>
      <c r="J34" s="31">
        <v>0</v>
      </c>
      <c r="K34" s="29">
        <v>0</v>
      </c>
      <c r="L34" s="30">
        <v>0</v>
      </c>
      <c r="M34" s="30">
        <v>0</v>
      </c>
      <c r="N34" s="31">
        <v>0</v>
      </c>
      <c r="O34" s="29">
        <v>0</v>
      </c>
      <c r="P34" s="30">
        <v>0</v>
      </c>
      <c r="Q34" s="30">
        <v>0</v>
      </c>
      <c r="R34" s="31">
        <v>0</v>
      </c>
      <c r="S34" s="29">
        <v>0</v>
      </c>
      <c r="T34" s="30">
        <v>0</v>
      </c>
      <c r="U34" s="30">
        <v>0</v>
      </c>
      <c r="V34" s="31">
        <v>0</v>
      </c>
      <c r="W34" s="29">
        <v>0</v>
      </c>
      <c r="X34" s="30">
        <v>0</v>
      </c>
      <c r="Y34" s="30">
        <v>3.5</v>
      </c>
      <c r="Z34" s="31">
        <v>0</v>
      </c>
      <c r="AA34" s="29">
        <v>4.5</v>
      </c>
      <c r="AB34" s="30">
        <v>0</v>
      </c>
      <c r="AC34" s="30">
        <v>0</v>
      </c>
      <c r="AD34" s="31">
        <v>0</v>
      </c>
      <c r="AE34" s="29">
        <v>0</v>
      </c>
      <c r="AF34" s="30">
        <v>0</v>
      </c>
      <c r="AG34" s="30">
        <v>0</v>
      </c>
      <c r="AH34" s="31">
        <v>0</v>
      </c>
      <c r="AI34" s="30">
        <v>0</v>
      </c>
      <c r="AJ34" s="30">
        <v>4</v>
      </c>
      <c r="AK34" s="30">
        <v>7.5</v>
      </c>
      <c r="AL34" s="31">
        <v>21.1</v>
      </c>
      <c r="AM34" s="30">
        <v>20.399999999999999</v>
      </c>
      <c r="AN34" s="30">
        <v>20.399999999999999</v>
      </c>
      <c r="AO34" s="30">
        <v>0.5</v>
      </c>
      <c r="AP34" s="31">
        <v>0.5</v>
      </c>
      <c r="AQ34" s="30">
        <v>0.1</v>
      </c>
      <c r="AR34" s="30">
        <v>0</v>
      </c>
      <c r="AS34" s="30">
        <v>50.3</v>
      </c>
      <c r="AT34" s="31">
        <v>85.9</v>
      </c>
    </row>
    <row r="35" spans="1:46" s="267" customFormat="1" ht="11.25">
      <c r="A35" s="28" t="s">
        <v>527</v>
      </c>
      <c r="B35" s="28" t="s">
        <v>518</v>
      </c>
      <c r="C35" s="29">
        <v>0</v>
      </c>
      <c r="D35" s="30">
        <v>0</v>
      </c>
      <c r="E35" s="30">
        <v>0</v>
      </c>
      <c r="F35" s="30">
        <v>0</v>
      </c>
      <c r="G35" s="29">
        <v>0</v>
      </c>
      <c r="H35" s="30">
        <v>0</v>
      </c>
      <c r="I35" s="30">
        <v>0</v>
      </c>
      <c r="J35" s="31">
        <v>0</v>
      </c>
      <c r="K35" s="29">
        <v>0</v>
      </c>
      <c r="L35" s="30">
        <v>0</v>
      </c>
      <c r="M35" s="30">
        <v>0</v>
      </c>
      <c r="N35" s="31">
        <v>0</v>
      </c>
      <c r="O35" s="29">
        <v>0</v>
      </c>
      <c r="P35" s="30">
        <v>0</v>
      </c>
      <c r="Q35" s="30">
        <v>0</v>
      </c>
      <c r="R35" s="31">
        <v>0</v>
      </c>
      <c r="S35" s="29">
        <v>0</v>
      </c>
      <c r="T35" s="30">
        <v>0</v>
      </c>
      <c r="U35" s="30">
        <v>0</v>
      </c>
      <c r="V35" s="31">
        <v>0</v>
      </c>
      <c r="W35" s="29">
        <v>0</v>
      </c>
      <c r="X35" s="30">
        <v>0</v>
      </c>
      <c r="Y35" s="30">
        <v>0</v>
      </c>
      <c r="Z35" s="31">
        <v>0</v>
      </c>
      <c r="AA35" s="29">
        <v>0</v>
      </c>
      <c r="AB35" s="30">
        <v>0</v>
      </c>
      <c r="AC35" s="30">
        <v>0</v>
      </c>
      <c r="AD35" s="31">
        <v>0</v>
      </c>
      <c r="AE35" s="29">
        <v>0</v>
      </c>
      <c r="AF35" s="30">
        <v>0</v>
      </c>
      <c r="AG35" s="30">
        <v>0</v>
      </c>
      <c r="AH35" s="31">
        <v>0</v>
      </c>
      <c r="AI35" s="30">
        <v>0</v>
      </c>
      <c r="AJ35" s="30">
        <v>0</v>
      </c>
      <c r="AK35" s="30">
        <v>0</v>
      </c>
      <c r="AL35" s="31">
        <v>384.5</v>
      </c>
      <c r="AM35" s="30">
        <v>386.5</v>
      </c>
      <c r="AN35" s="30">
        <v>386.5</v>
      </c>
      <c r="AO35" s="30">
        <v>386.5</v>
      </c>
      <c r="AP35" s="31">
        <v>386.6</v>
      </c>
      <c r="AQ35" s="30">
        <v>386.5</v>
      </c>
      <c r="AR35" s="30">
        <v>386.6</v>
      </c>
      <c r="AS35" s="30">
        <v>386.6</v>
      </c>
      <c r="AT35" s="31">
        <v>759.1</v>
      </c>
    </row>
    <row r="36" spans="1:46" s="267" customFormat="1" ht="11.25">
      <c r="A36" s="28" t="s">
        <v>248</v>
      </c>
      <c r="B36" s="28" t="s">
        <v>78</v>
      </c>
      <c r="C36" s="29">
        <v>81.900000000000006</v>
      </c>
      <c r="D36" s="30">
        <f>69.7</f>
        <v>69.7</v>
      </c>
      <c r="E36" s="30">
        <f>68.3</f>
        <v>68.3</v>
      </c>
      <c r="F36" s="30">
        <v>110</v>
      </c>
      <c r="G36" s="29">
        <v>95.1</v>
      </c>
      <c r="H36" s="30">
        <v>103.1</v>
      </c>
      <c r="I36" s="30">
        <v>153.5</v>
      </c>
      <c r="J36" s="31">
        <v>98.2</v>
      </c>
      <c r="K36" s="29">
        <v>103.9</v>
      </c>
      <c r="L36" s="30">
        <v>120.6</v>
      </c>
      <c r="M36" s="30">
        <v>138.30000000000001</v>
      </c>
      <c r="N36" s="31">
        <v>151.4</v>
      </c>
      <c r="O36" s="29">
        <v>145.6</v>
      </c>
      <c r="P36" s="30">
        <v>129.6</v>
      </c>
      <c r="Q36" s="30">
        <v>153.69999999999999</v>
      </c>
      <c r="R36" s="31">
        <v>83.2</v>
      </c>
      <c r="S36" s="29">
        <v>175.1</v>
      </c>
      <c r="T36" s="30">
        <v>154.80000000000001</v>
      </c>
      <c r="U36" s="30">
        <v>140.19999999999999</v>
      </c>
      <c r="V36" s="31">
        <v>87.4</v>
      </c>
      <c r="W36" s="29">
        <v>108.7</v>
      </c>
      <c r="X36" s="30">
        <v>101.7</v>
      </c>
      <c r="Y36" s="30">
        <v>112.80000000000001</v>
      </c>
      <c r="Z36" s="31">
        <v>111.60000000000001</v>
      </c>
      <c r="AA36" s="29">
        <v>90.8</v>
      </c>
      <c r="AB36" s="30">
        <v>87.2</v>
      </c>
      <c r="AC36" s="30">
        <v>98</v>
      </c>
      <c r="AD36" s="31">
        <v>110.60000000000001</v>
      </c>
      <c r="AE36" s="29">
        <v>127.80000000000001</v>
      </c>
      <c r="AF36" s="30">
        <v>92.4</v>
      </c>
      <c r="AG36" s="30">
        <v>100.89999999999999</v>
      </c>
      <c r="AH36" s="31">
        <v>90.8</v>
      </c>
      <c r="AI36" s="30">
        <v>90.3</v>
      </c>
      <c r="AJ36" s="30">
        <v>123.3</v>
      </c>
      <c r="AK36" s="30">
        <v>78</v>
      </c>
      <c r="AL36" s="31">
        <v>168.3</v>
      </c>
      <c r="AM36" s="30">
        <v>113.1</v>
      </c>
      <c r="AN36" s="30">
        <v>63.1</v>
      </c>
      <c r="AO36" s="30">
        <v>115.2</v>
      </c>
      <c r="AP36" s="31">
        <v>81.599999999999994</v>
      </c>
      <c r="AQ36" s="30">
        <v>69.400000000000006</v>
      </c>
      <c r="AR36" s="30">
        <v>62.7</v>
      </c>
      <c r="AS36" s="30">
        <v>98.3</v>
      </c>
      <c r="AT36" s="31">
        <v>136.1</v>
      </c>
    </row>
    <row r="37" spans="1:46" s="267" customFormat="1" ht="11.25">
      <c r="A37" s="50" t="s">
        <v>258</v>
      </c>
      <c r="B37" s="50" t="s">
        <v>79</v>
      </c>
      <c r="C37" s="34">
        <f t="shared" ref="C37:AB37" si="56">C30+C33+C34+C36</f>
        <v>2257.7000000000003</v>
      </c>
      <c r="D37" s="35">
        <f t="shared" si="56"/>
        <v>2127.1999999999998</v>
      </c>
      <c r="E37" s="35">
        <f t="shared" si="56"/>
        <v>2130.1999999999998</v>
      </c>
      <c r="F37" s="35">
        <f t="shared" si="56"/>
        <v>2342.6</v>
      </c>
      <c r="G37" s="34">
        <f t="shared" si="56"/>
        <v>2556.9</v>
      </c>
      <c r="H37" s="35">
        <f t="shared" si="56"/>
        <v>2705.7999999999997</v>
      </c>
      <c r="I37" s="35">
        <f t="shared" si="56"/>
        <v>3072.2000000000003</v>
      </c>
      <c r="J37" s="36">
        <f t="shared" si="56"/>
        <v>3023.2999999999997</v>
      </c>
      <c r="K37" s="34">
        <f t="shared" si="56"/>
        <v>2970.3</v>
      </c>
      <c r="L37" s="35">
        <f t="shared" si="56"/>
        <v>2835.1</v>
      </c>
      <c r="M37" s="35">
        <f t="shared" si="56"/>
        <v>2811.7000000000003</v>
      </c>
      <c r="N37" s="36">
        <f t="shared" si="56"/>
        <v>2697</v>
      </c>
      <c r="O37" s="34">
        <f t="shared" si="56"/>
        <v>2514.6999999999998</v>
      </c>
      <c r="P37" s="35">
        <f t="shared" si="56"/>
        <v>2549.6</v>
      </c>
      <c r="Q37" s="35">
        <f t="shared" si="56"/>
        <v>2582.1999999999998</v>
      </c>
      <c r="R37" s="36">
        <f t="shared" si="56"/>
        <v>2668.2</v>
      </c>
      <c r="S37" s="34">
        <f t="shared" si="56"/>
        <v>2666.2999999999997</v>
      </c>
      <c r="T37" s="35">
        <f t="shared" si="56"/>
        <v>2868.9</v>
      </c>
      <c r="U37" s="35">
        <f t="shared" si="56"/>
        <v>2873.5</v>
      </c>
      <c r="V37" s="36">
        <f t="shared" si="56"/>
        <v>2909.2</v>
      </c>
      <c r="W37" s="34">
        <f t="shared" si="56"/>
        <v>1249.3000000000002</v>
      </c>
      <c r="X37" s="35">
        <f t="shared" si="56"/>
        <v>1377.8000000000002</v>
      </c>
      <c r="Y37" s="35">
        <f t="shared" si="56"/>
        <v>1525.8999999999996</v>
      </c>
      <c r="Z37" s="36">
        <f t="shared" si="56"/>
        <v>1645.9999999999998</v>
      </c>
      <c r="AA37" s="34">
        <f t="shared" si="56"/>
        <v>1406.0999999999997</v>
      </c>
      <c r="AB37" s="35">
        <f t="shared" si="56"/>
        <v>1422.1000000000001</v>
      </c>
      <c r="AC37" s="35">
        <f t="shared" ref="AC37:AH37" si="57">AC30+AC33+AC34+AC36</f>
        <v>1531.2</v>
      </c>
      <c r="AD37" s="36">
        <f t="shared" si="57"/>
        <v>1568.8999999999999</v>
      </c>
      <c r="AE37" s="34">
        <f t="shared" si="57"/>
        <v>1546.3999999999996</v>
      </c>
      <c r="AF37" s="35">
        <f t="shared" si="57"/>
        <v>1734.7</v>
      </c>
      <c r="AG37" s="35">
        <f t="shared" si="57"/>
        <v>1781.3000000000002</v>
      </c>
      <c r="AH37" s="36">
        <f t="shared" si="57"/>
        <v>1870.2999999999997</v>
      </c>
      <c r="AI37" s="35">
        <f>AI30+AI33+AI34+AI36</f>
        <v>1751.3999999999999</v>
      </c>
      <c r="AJ37" s="35">
        <f>AJ30+AJ33+AJ34+AJ36</f>
        <v>2198.3000000000002</v>
      </c>
      <c r="AK37" s="35">
        <f>AK30+AK33+AK34+AK36</f>
        <v>2017.8</v>
      </c>
      <c r="AL37" s="36">
        <f t="shared" ref="AL37:AT37" si="58">AL30+AL33+AL34+AL36+AL35</f>
        <v>2510.6999999999998</v>
      </c>
      <c r="AM37" s="35">
        <f t="shared" si="58"/>
        <v>2307.6999999999998</v>
      </c>
      <c r="AN37" s="35">
        <f t="shared" si="58"/>
        <v>2336.4</v>
      </c>
      <c r="AO37" s="35">
        <f t="shared" si="58"/>
        <v>2066.3000000000002</v>
      </c>
      <c r="AP37" s="36">
        <f t="shared" si="58"/>
        <v>2348.2999999999997</v>
      </c>
      <c r="AQ37" s="35">
        <f t="shared" si="58"/>
        <v>2374.3999999999996</v>
      </c>
      <c r="AR37" s="35">
        <f t="shared" si="58"/>
        <v>2526.1999999999998</v>
      </c>
      <c r="AS37" s="35">
        <f t="shared" si="58"/>
        <v>2449.1</v>
      </c>
      <c r="AT37" s="35">
        <f t="shared" si="58"/>
        <v>2936</v>
      </c>
    </row>
    <row r="38" spans="1:46" s="267" customFormat="1" ht="11.25">
      <c r="A38" s="28" t="s">
        <v>250</v>
      </c>
      <c r="B38" s="28" t="s">
        <v>80</v>
      </c>
      <c r="C38" s="29">
        <f t="shared" ref="C38:X38" si="59">SUM(C39:C40)</f>
        <v>-7.6</v>
      </c>
      <c r="D38" s="30">
        <f t="shared" si="59"/>
        <v>-4.7</v>
      </c>
      <c r="E38" s="30">
        <f t="shared" si="59"/>
        <v>-4.5</v>
      </c>
      <c r="F38" s="30">
        <f t="shared" si="59"/>
        <v>-5.8</v>
      </c>
      <c r="G38" s="29">
        <f t="shared" si="59"/>
        <v>-5.7</v>
      </c>
      <c r="H38" s="30">
        <f t="shared" si="59"/>
        <v>-3.6</v>
      </c>
      <c r="I38" s="30">
        <f t="shared" si="59"/>
        <v>-3.2</v>
      </c>
      <c r="J38" s="31">
        <f t="shared" si="59"/>
        <v>-2</v>
      </c>
      <c r="K38" s="29">
        <f t="shared" si="59"/>
        <v>-2.1</v>
      </c>
      <c r="L38" s="30">
        <f t="shared" si="59"/>
        <v>-1.8</v>
      </c>
      <c r="M38" s="30">
        <f t="shared" si="59"/>
        <v>-2.2000000000000002</v>
      </c>
      <c r="N38" s="31">
        <f t="shared" si="59"/>
        <v>-1.8</v>
      </c>
      <c r="O38" s="29">
        <f t="shared" si="59"/>
        <v>-1.7</v>
      </c>
      <c r="P38" s="30">
        <f t="shared" si="59"/>
        <v>-1.7</v>
      </c>
      <c r="Q38" s="30">
        <f t="shared" si="59"/>
        <v>-2.1</v>
      </c>
      <c r="R38" s="31">
        <f t="shared" si="59"/>
        <v>-1.9</v>
      </c>
      <c r="S38" s="29">
        <f t="shared" si="59"/>
        <v>-1.4</v>
      </c>
      <c r="T38" s="30">
        <f t="shared" si="59"/>
        <v>-0.2</v>
      </c>
      <c r="U38" s="30">
        <f t="shared" si="59"/>
        <v>-0.3</v>
      </c>
      <c r="V38" s="31">
        <f t="shared" si="59"/>
        <v>-0.3</v>
      </c>
      <c r="W38" s="29">
        <f t="shared" si="59"/>
        <v>-0.4</v>
      </c>
      <c r="X38" s="30">
        <f t="shared" si="59"/>
        <v>-0.7</v>
      </c>
      <c r="Y38" s="30">
        <f t="shared" ref="Y38:AD38" si="60">SUM(Y39:Y40)</f>
        <v>-0.4</v>
      </c>
      <c r="Z38" s="31">
        <f t="shared" si="60"/>
        <v>-0.6</v>
      </c>
      <c r="AA38" s="29">
        <f t="shared" si="60"/>
        <v>-0.2</v>
      </c>
      <c r="AB38" s="30">
        <f t="shared" si="60"/>
        <v>-0.3</v>
      </c>
      <c r="AC38" s="30">
        <f t="shared" si="60"/>
        <v>-0.2</v>
      </c>
      <c r="AD38" s="31">
        <f t="shared" si="60"/>
        <v>-0.8</v>
      </c>
      <c r="AE38" s="29">
        <f t="shared" ref="AE38:AJ38" si="61">SUM(AE39:AE40)</f>
        <v>-2.2999999999999998</v>
      </c>
      <c r="AF38" s="30">
        <f t="shared" si="61"/>
        <v>-1.5</v>
      </c>
      <c r="AG38" s="30">
        <f t="shared" si="61"/>
        <v>-0.9</v>
      </c>
      <c r="AH38" s="31">
        <f t="shared" si="61"/>
        <v>-1.2000000000000002</v>
      </c>
      <c r="AI38" s="30">
        <f t="shared" si="61"/>
        <v>-0.7</v>
      </c>
      <c r="AJ38" s="30">
        <f t="shared" si="61"/>
        <v>-0.9</v>
      </c>
      <c r="AK38" s="30">
        <f t="shared" ref="AK38:AT38" si="62">SUM(AK39:AK40)</f>
        <v>-0.6</v>
      </c>
      <c r="AL38" s="31">
        <f t="shared" si="62"/>
        <v>-0.7</v>
      </c>
      <c r="AM38" s="30">
        <f t="shared" si="62"/>
        <v>-1.1000000000000001</v>
      </c>
      <c r="AN38" s="30">
        <f t="shared" si="62"/>
        <v>-0.6</v>
      </c>
      <c r="AO38" s="30">
        <f t="shared" si="62"/>
        <v>-0.9</v>
      </c>
      <c r="AP38" s="31">
        <f t="shared" si="62"/>
        <v>-1</v>
      </c>
      <c r="AQ38" s="30">
        <f t="shared" si="62"/>
        <v>-0.79999999999999993</v>
      </c>
      <c r="AR38" s="30">
        <f t="shared" si="62"/>
        <v>-0.79999999999999993</v>
      </c>
      <c r="AS38" s="30">
        <f t="shared" si="62"/>
        <v>-0.9</v>
      </c>
      <c r="AT38" s="30">
        <f t="shared" si="62"/>
        <v>-1</v>
      </c>
    </row>
    <row r="39" spans="1:46" s="268" customFormat="1" ht="11.25">
      <c r="A39" s="161" t="s">
        <v>251</v>
      </c>
      <c r="B39" s="161" t="s">
        <v>81</v>
      </c>
      <c r="C39" s="52">
        <v>-7.6</v>
      </c>
      <c r="D39" s="53">
        <v>-4.7</v>
      </c>
      <c r="E39" s="53">
        <v>-4.5</v>
      </c>
      <c r="F39" s="53">
        <v>-5.8</v>
      </c>
      <c r="G39" s="52">
        <v>-5.7</v>
      </c>
      <c r="H39" s="53">
        <v>-3.6</v>
      </c>
      <c r="I39" s="53">
        <v>-3.2</v>
      </c>
      <c r="J39" s="54">
        <v>-2</v>
      </c>
      <c r="K39" s="52">
        <v>-2.1</v>
      </c>
      <c r="L39" s="53">
        <v>-1.8</v>
      </c>
      <c r="M39" s="53">
        <v>-2.2000000000000002</v>
      </c>
      <c r="N39" s="54">
        <v>-1.8</v>
      </c>
      <c r="O39" s="52">
        <v>-1.7</v>
      </c>
      <c r="P39" s="53">
        <v>-1.7</v>
      </c>
      <c r="Q39" s="53">
        <v>-2.1</v>
      </c>
      <c r="R39" s="54">
        <v>-1.9</v>
      </c>
      <c r="S39" s="52">
        <v>-1.4</v>
      </c>
      <c r="T39" s="53">
        <v>-0.2</v>
      </c>
      <c r="U39" s="53">
        <v>-0.3</v>
      </c>
      <c r="V39" s="54">
        <v>-0.3</v>
      </c>
      <c r="W39" s="52">
        <v>-0.4</v>
      </c>
      <c r="X39" s="53">
        <v>-0.7</v>
      </c>
      <c r="Y39" s="53">
        <v>-0.4</v>
      </c>
      <c r="Z39" s="54">
        <v>-0.6</v>
      </c>
      <c r="AA39" s="52">
        <v>-0.2</v>
      </c>
      <c r="AB39" s="53">
        <v>-0.3</v>
      </c>
      <c r="AC39" s="53">
        <v>-0.2</v>
      </c>
      <c r="AD39" s="54">
        <v>-0.8</v>
      </c>
      <c r="AE39" s="52">
        <v>-2.2999999999999998</v>
      </c>
      <c r="AF39" s="53">
        <v>-1.5</v>
      </c>
      <c r="AG39" s="53">
        <v>-0.9</v>
      </c>
      <c r="AH39" s="54">
        <v>-1.2000000000000002</v>
      </c>
      <c r="AI39" s="53">
        <v>-0.7</v>
      </c>
      <c r="AJ39" s="53">
        <v>-0.9</v>
      </c>
      <c r="AK39" s="53">
        <v>-0.6</v>
      </c>
      <c r="AL39" s="54">
        <v>-0.6</v>
      </c>
      <c r="AM39" s="53">
        <v>-1</v>
      </c>
      <c r="AN39" s="53">
        <v>-0.5</v>
      </c>
      <c r="AO39" s="53">
        <v>-0.8</v>
      </c>
      <c r="AP39" s="54">
        <v>-0.9</v>
      </c>
      <c r="AQ39" s="53">
        <v>-0.7</v>
      </c>
      <c r="AR39" s="53">
        <v>-0.7</v>
      </c>
      <c r="AS39" s="53">
        <v>-0.8</v>
      </c>
      <c r="AT39" s="54">
        <v>-0.9</v>
      </c>
    </row>
    <row r="40" spans="1:46" s="268" customFormat="1" ht="11.25">
      <c r="A40" s="161" t="s">
        <v>528</v>
      </c>
      <c r="B40" s="161" t="s">
        <v>519</v>
      </c>
      <c r="C40" s="52">
        <v>0</v>
      </c>
      <c r="D40" s="53">
        <v>0</v>
      </c>
      <c r="E40" s="53">
        <v>0</v>
      </c>
      <c r="F40" s="53">
        <v>0</v>
      </c>
      <c r="G40" s="52">
        <v>0</v>
      </c>
      <c r="H40" s="53">
        <v>0</v>
      </c>
      <c r="I40" s="53">
        <v>0</v>
      </c>
      <c r="J40" s="54">
        <v>0</v>
      </c>
      <c r="K40" s="52">
        <v>0</v>
      </c>
      <c r="L40" s="53">
        <v>0</v>
      </c>
      <c r="M40" s="53">
        <v>0</v>
      </c>
      <c r="N40" s="54">
        <v>0</v>
      </c>
      <c r="O40" s="52">
        <v>0</v>
      </c>
      <c r="P40" s="53">
        <v>0</v>
      </c>
      <c r="Q40" s="53">
        <v>0</v>
      </c>
      <c r="R40" s="54">
        <v>0</v>
      </c>
      <c r="S40" s="52">
        <v>0</v>
      </c>
      <c r="T40" s="53">
        <v>0</v>
      </c>
      <c r="U40" s="53">
        <v>0</v>
      </c>
      <c r="V40" s="54">
        <v>0</v>
      </c>
      <c r="W40" s="52">
        <v>0</v>
      </c>
      <c r="X40" s="53">
        <v>0</v>
      </c>
      <c r="Y40" s="53">
        <v>0</v>
      </c>
      <c r="Z40" s="54">
        <v>0</v>
      </c>
      <c r="AA40" s="52">
        <v>0</v>
      </c>
      <c r="AB40" s="53">
        <v>0</v>
      </c>
      <c r="AC40" s="53">
        <v>0</v>
      </c>
      <c r="AD40" s="54">
        <v>0</v>
      </c>
      <c r="AE40" s="52">
        <v>0</v>
      </c>
      <c r="AF40" s="53">
        <v>0</v>
      </c>
      <c r="AG40" s="53">
        <v>0</v>
      </c>
      <c r="AH40" s="54">
        <v>0</v>
      </c>
      <c r="AI40" s="53">
        <v>0</v>
      </c>
      <c r="AJ40" s="53">
        <v>0</v>
      </c>
      <c r="AK40" s="53">
        <v>0</v>
      </c>
      <c r="AL40" s="54">
        <v>-0.1</v>
      </c>
      <c r="AM40" s="53">
        <v>-0.1</v>
      </c>
      <c r="AN40" s="53">
        <v>-0.1</v>
      </c>
      <c r="AO40" s="53">
        <v>-0.1</v>
      </c>
      <c r="AP40" s="54">
        <v>-0.1</v>
      </c>
      <c r="AQ40" s="53">
        <v>-0.1</v>
      </c>
      <c r="AR40" s="53">
        <v>-0.1</v>
      </c>
      <c r="AS40" s="53">
        <v>-0.1</v>
      </c>
      <c r="AT40" s="54">
        <v>-0.1</v>
      </c>
    </row>
    <row r="41" spans="1:46" s="271" customFormat="1" ht="11.25">
      <c r="A41" s="57" t="s">
        <v>259</v>
      </c>
      <c r="B41" s="57" t="s">
        <v>88</v>
      </c>
      <c r="C41" s="42">
        <f t="shared" ref="C41:X41" si="63">C37+C38</f>
        <v>2250.1000000000004</v>
      </c>
      <c r="D41" s="43">
        <f t="shared" si="63"/>
        <v>2122.5</v>
      </c>
      <c r="E41" s="43">
        <f t="shared" si="63"/>
        <v>2125.6999999999998</v>
      </c>
      <c r="F41" s="43">
        <f t="shared" si="63"/>
        <v>2336.7999999999997</v>
      </c>
      <c r="G41" s="42">
        <f t="shared" si="63"/>
        <v>2551.2000000000003</v>
      </c>
      <c r="H41" s="43">
        <f t="shared" si="63"/>
        <v>2702.2</v>
      </c>
      <c r="I41" s="43">
        <f t="shared" si="63"/>
        <v>3069.0000000000005</v>
      </c>
      <c r="J41" s="44">
        <f t="shared" si="63"/>
        <v>3021.2999999999997</v>
      </c>
      <c r="K41" s="42">
        <f t="shared" si="63"/>
        <v>2968.2000000000003</v>
      </c>
      <c r="L41" s="43">
        <f t="shared" si="63"/>
        <v>2833.2999999999997</v>
      </c>
      <c r="M41" s="43">
        <f t="shared" si="63"/>
        <v>2809.5000000000005</v>
      </c>
      <c r="N41" s="44">
        <f t="shared" si="63"/>
        <v>2695.2</v>
      </c>
      <c r="O41" s="42">
        <f t="shared" si="63"/>
        <v>2513</v>
      </c>
      <c r="P41" s="43">
        <f t="shared" si="63"/>
        <v>2547.9</v>
      </c>
      <c r="Q41" s="43">
        <f t="shared" si="63"/>
        <v>2580.1</v>
      </c>
      <c r="R41" s="44">
        <f t="shared" si="63"/>
        <v>2666.2999999999997</v>
      </c>
      <c r="S41" s="42">
        <f t="shared" si="63"/>
        <v>2664.8999999999996</v>
      </c>
      <c r="T41" s="43">
        <f t="shared" si="63"/>
        <v>2868.7000000000003</v>
      </c>
      <c r="U41" s="43">
        <f t="shared" si="63"/>
        <v>2873.2</v>
      </c>
      <c r="V41" s="44">
        <f t="shared" si="63"/>
        <v>2908.8999999999996</v>
      </c>
      <c r="W41" s="42">
        <f t="shared" si="63"/>
        <v>1248.9000000000001</v>
      </c>
      <c r="X41" s="43">
        <f t="shared" si="63"/>
        <v>1377.1000000000001</v>
      </c>
      <c r="Y41" s="43">
        <f t="shared" ref="Y41:AD41" si="64">Y37+Y38</f>
        <v>1525.4999999999995</v>
      </c>
      <c r="Z41" s="44">
        <f t="shared" si="64"/>
        <v>1645.3999999999999</v>
      </c>
      <c r="AA41" s="42">
        <f t="shared" si="64"/>
        <v>1405.8999999999996</v>
      </c>
      <c r="AB41" s="43">
        <f t="shared" si="64"/>
        <v>1421.8000000000002</v>
      </c>
      <c r="AC41" s="43">
        <f t="shared" si="64"/>
        <v>1531</v>
      </c>
      <c r="AD41" s="44">
        <f t="shared" si="64"/>
        <v>1568.1</v>
      </c>
      <c r="AE41" s="42">
        <f t="shared" ref="AE41:AJ41" si="65">AE37+AE38</f>
        <v>1544.0999999999997</v>
      </c>
      <c r="AF41" s="43">
        <f t="shared" si="65"/>
        <v>1733.2</v>
      </c>
      <c r="AG41" s="43">
        <f t="shared" si="65"/>
        <v>1780.4</v>
      </c>
      <c r="AH41" s="44">
        <f t="shared" si="65"/>
        <v>1869.0999999999997</v>
      </c>
      <c r="AI41" s="43">
        <f t="shared" si="65"/>
        <v>1750.6999999999998</v>
      </c>
      <c r="AJ41" s="43">
        <f t="shared" si="65"/>
        <v>2197.4</v>
      </c>
      <c r="AK41" s="43">
        <f t="shared" ref="AK41:AT41" si="66">AK37+AK38</f>
        <v>2017.2</v>
      </c>
      <c r="AL41" s="44">
        <f t="shared" si="66"/>
        <v>2510</v>
      </c>
      <c r="AM41" s="43">
        <f t="shared" si="66"/>
        <v>2306.6</v>
      </c>
      <c r="AN41" s="43">
        <f t="shared" si="66"/>
        <v>2335.8000000000002</v>
      </c>
      <c r="AO41" s="43">
        <f t="shared" si="66"/>
        <v>2065.4</v>
      </c>
      <c r="AP41" s="44">
        <f t="shared" si="66"/>
        <v>2347.2999999999997</v>
      </c>
      <c r="AQ41" s="43">
        <f t="shared" si="66"/>
        <v>2373.5999999999995</v>
      </c>
      <c r="AR41" s="43">
        <f t="shared" si="66"/>
        <v>2525.3999999999996</v>
      </c>
      <c r="AS41" s="43">
        <f t="shared" si="66"/>
        <v>2448.1999999999998</v>
      </c>
      <c r="AT41" s="43">
        <f t="shared" si="66"/>
        <v>2935</v>
      </c>
    </row>
    <row r="42" spans="1:46" s="267" customFormat="1" ht="11.25">
      <c r="A42" s="282"/>
      <c r="B42" s="282"/>
      <c r="C42" s="29"/>
      <c r="D42" s="30"/>
      <c r="E42" s="30"/>
      <c r="F42" s="30"/>
      <c r="G42" s="29"/>
      <c r="H42" s="30"/>
      <c r="I42" s="30"/>
      <c r="J42" s="31"/>
      <c r="K42" s="29"/>
      <c r="L42" s="30"/>
      <c r="M42" s="30"/>
      <c r="N42" s="31"/>
      <c r="O42" s="29"/>
      <c r="P42" s="30"/>
      <c r="Q42" s="30"/>
      <c r="R42" s="31"/>
      <c r="S42" s="29"/>
      <c r="T42" s="30"/>
      <c r="U42" s="30"/>
      <c r="V42" s="31"/>
      <c r="W42" s="29"/>
      <c r="X42" s="30"/>
      <c r="Y42" s="30"/>
      <c r="Z42" s="31"/>
      <c r="AA42" s="29"/>
      <c r="AB42" s="30"/>
      <c r="AC42" s="30"/>
      <c r="AD42" s="31"/>
      <c r="AE42" s="29"/>
      <c r="AF42" s="30"/>
      <c r="AG42" s="30"/>
      <c r="AH42" s="31"/>
      <c r="AI42" s="30"/>
      <c r="AJ42" s="30"/>
      <c r="AK42" s="30"/>
      <c r="AL42" s="31"/>
      <c r="AM42" s="30"/>
      <c r="AN42" s="30"/>
      <c r="AO42" s="30"/>
      <c r="AP42" s="31"/>
      <c r="AQ42" s="30"/>
      <c r="AR42" s="30"/>
      <c r="AS42" s="30"/>
      <c r="AT42" s="31"/>
    </row>
    <row r="43" spans="1:46" s="267" customFormat="1" ht="11.25">
      <c r="A43" s="60" t="s">
        <v>260</v>
      </c>
      <c r="B43" s="60" t="s">
        <v>89</v>
      </c>
      <c r="C43" s="29"/>
      <c r="D43" s="30"/>
      <c r="E43" s="30"/>
      <c r="F43" s="30"/>
      <c r="G43" s="29"/>
      <c r="H43" s="30"/>
      <c r="I43" s="30"/>
      <c r="J43" s="31"/>
      <c r="K43" s="29"/>
      <c r="L43" s="30"/>
      <c r="M43" s="30"/>
      <c r="N43" s="31"/>
      <c r="O43" s="29"/>
      <c r="P43" s="30"/>
      <c r="Q43" s="30"/>
      <c r="R43" s="31"/>
      <c r="S43" s="29"/>
      <c r="T43" s="30"/>
      <c r="U43" s="30"/>
      <c r="V43" s="31"/>
      <c r="W43" s="29"/>
      <c r="X43" s="30"/>
      <c r="Y43" s="30"/>
      <c r="Z43" s="31"/>
      <c r="AA43" s="29"/>
      <c r="AB43" s="30"/>
      <c r="AC43" s="30"/>
      <c r="AD43" s="31"/>
      <c r="AE43" s="29"/>
      <c r="AF43" s="30"/>
      <c r="AG43" s="30"/>
      <c r="AH43" s="31"/>
      <c r="AI43" s="30"/>
      <c r="AJ43" s="30"/>
      <c r="AK43" s="30"/>
      <c r="AL43" s="31"/>
      <c r="AM43" s="30"/>
      <c r="AN43" s="30"/>
      <c r="AO43" s="30"/>
      <c r="AP43" s="31"/>
      <c r="AQ43" s="30"/>
      <c r="AR43" s="30"/>
      <c r="AS43" s="30"/>
      <c r="AT43" s="31"/>
    </row>
    <row r="44" spans="1:46" s="267" customFormat="1" ht="11.25">
      <c r="A44" s="28"/>
      <c r="B44" s="28"/>
      <c r="C44" s="29"/>
      <c r="D44" s="30"/>
      <c r="E44" s="30"/>
      <c r="F44" s="30"/>
      <c r="G44" s="29"/>
      <c r="H44" s="30"/>
      <c r="I44" s="30"/>
      <c r="J44" s="31"/>
      <c r="K44" s="29"/>
      <c r="L44" s="30"/>
      <c r="M44" s="30"/>
      <c r="N44" s="31"/>
      <c r="O44" s="29"/>
      <c r="P44" s="30"/>
      <c r="Q44" s="30"/>
      <c r="R44" s="31"/>
      <c r="S44" s="29"/>
      <c r="T44" s="30"/>
      <c r="U44" s="30"/>
      <c r="V44" s="31"/>
      <c r="W44" s="29"/>
      <c r="X44" s="30"/>
      <c r="Y44" s="30"/>
      <c r="Z44" s="31"/>
      <c r="AA44" s="29"/>
      <c r="AB44" s="30"/>
      <c r="AC44" s="30"/>
      <c r="AD44" s="31"/>
      <c r="AE44" s="29"/>
      <c r="AF44" s="30"/>
      <c r="AG44" s="30"/>
      <c r="AH44" s="31"/>
      <c r="AI44" s="30"/>
      <c r="AJ44" s="30"/>
      <c r="AK44" s="30"/>
      <c r="AL44" s="31"/>
      <c r="AM44" s="30"/>
      <c r="AN44" s="30"/>
      <c r="AO44" s="30"/>
      <c r="AP44" s="31"/>
      <c r="AQ44" s="30"/>
      <c r="AR44" s="30"/>
      <c r="AS44" s="30"/>
      <c r="AT44" s="31"/>
    </row>
    <row r="45" spans="1:46" s="270" customFormat="1" ht="11.25">
      <c r="A45" s="50" t="s">
        <v>463</v>
      </c>
      <c r="B45" s="50" t="s">
        <v>433</v>
      </c>
      <c r="C45" s="81">
        <f>SUM(C46,C49:C52)</f>
        <v>7760.7000000000007</v>
      </c>
      <c r="D45" s="82">
        <f t="shared" ref="D45:AD45" si="67">SUM(D46,D49:D52)</f>
        <v>8279.4000000000015</v>
      </c>
      <c r="E45" s="82">
        <f t="shared" si="67"/>
        <v>8634.4000000000015</v>
      </c>
      <c r="F45" s="82">
        <f t="shared" si="67"/>
        <v>8962.7999999999993</v>
      </c>
      <c r="G45" s="81">
        <f t="shared" si="67"/>
        <v>10012.800000000001</v>
      </c>
      <c r="H45" s="82">
        <f t="shared" si="67"/>
        <v>10660.499999999998</v>
      </c>
      <c r="I45" s="82">
        <f t="shared" si="67"/>
        <v>11965.9</v>
      </c>
      <c r="J45" s="83">
        <f t="shared" si="67"/>
        <v>12908.1</v>
      </c>
      <c r="K45" s="81">
        <f t="shared" si="67"/>
        <v>13534</v>
      </c>
      <c r="L45" s="82">
        <f t="shared" si="67"/>
        <v>13234.2</v>
      </c>
      <c r="M45" s="82">
        <f t="shared" si="67"/>
        <v>12873.8</v>
      </c>
      <c r="N45" s="83">
        <f t="shared" si="67"/>
        <v>12421.5</v>
      </c>
      <c r="O45" s="81">
        <f t="shared" si="67"/>
        <v>12353.699999999999</v>
      </c>
      <c r="P45" s="82">
        <f t="shared" si="67"/>
        <v>12726.800000000001</v>
      </c>
      <c r="Q45" s="82">
        <f t="shared" si="67"/>
        <v>13683</v>
      </c>
      <c r="R45" s="83">
        <f t="shared" si="67"/>
        <v>13674.5</v>
      </c>
      <c r="S45" s="81">
        <f t="shared" si="67"/>
        <v>13933.3</v>
      </c>
      <c r="T45" s="82">
        <f t="shared" si="67"/>
        <v>14792.199999999999</v>
      </c>
      <c r="U45" s="82">
        <f t="shared" si="67"/>
        <v>15971.399999999998</v>
      </c>
      <c r="V45" s="83">
        <f t="shared" si="67"/>
        <v>17432.399999999998</v>
      </c>
      <c r="W45" s="81">
        <f t="shared" si="67"/>
        <v>24312.6</v>
      </c>
      <c r="X45" s="82">
        <f t="shared" si="67"/>
        <v>24402.6</v>
      </c>
      <c r="Y45" s="82">
        <f t="shared" si="67"/>
        <v>24740.799999999996</v>
      </c>
      <c r="Z45" s="83">
        <f t="shared" si="67"/>
        <v>24052.9</v>
      </c>
      <c r="AA45" s="81">
        <f t="shared" si="67"/>
        <v>24203.5</v>
      </c>
      <c r="AB45" s="82">
        <f t="shared" si="67"/>
        <v>25026.400000000001</v>
      </c>
      <c r="AC45" s="82">
        <f t="shared" si="67"/>
        <v>25993.399999999998</v>
      </c>
      <c r="AD45" s="83">
        <f t="shared" si="67"/>
        <v>25951</v>
      </c>
      <c r="AE45" s="81">
        <f t="shared" ref="AE45:AJ45" si="68">SUM(AE46,AE49:AE52)</f>
        <v>27636.400000000001</v>
      </c>
      <c r="AF45" s="82">
        <f t="shared" si="68"/>
        <v>29345.300000000007</v>
      </c>
      <c r="AG45" s="82">
        <f t="shared" si="68"/>
        <v>30902.3</v>
      </c>
      <c r="AH45" s="83">
        <f t="shared" si="68"/>
        <v>30267.999999999996</v>
      </c>
      <c r="AI45" s="82">
        <f t="shared" si="68"/>
        <v>31630.500000000007</v>
      </c>
      <c r="AJ45" s="82">
        <f t="shared" si="68"/>
        <v>34327.199999999997</v>
      </c>
      <c r="AK45" s="82">
        <f t="shared" ref="AK45:AT45" si="69">SUM(AK46,AK49:AK52)</f>
        <v>36599.199999999997</v>
      </c>
      <c r="AL45" s="83">
        <f t="shared" si="69"/>
        <v>35998.300000000003</v>
      </c>
      <c r="AM45" s="82">
        <f t="shared" si="69"/>
        <v>37657.400000000009</v>
      </c>
      <c r="AN45" s="82">
        <f t="shared" si="69"/>
        <v>38686.9</v>
      </c>
      <c r="AO45" s="82">
        <f t="shared" si="69"/>
        <v>39999.4</v>
      </c>
      <c r="AP45" s="83">
        <f t="shared" si="69"/>
        <v>40321</v>
      </c>
      <c r="AQ45" s="82">
        <f t="shared" si="69"/>
        <v>41779.100000000006</v>
      </c>
      <c r="AR45" s="82">
        <f t="shared" si="69"/>
        <v>42851.6</v>
      </c>
      <c r="AS45" s="82">
        <f t="shared" si="69"/>
        <v>44443.299999999996</v>
      </c>
      <c r="AT45" s="82">
        <f t="shared" si="69"/>
        <v>43651.1</v>
      </c>
    </row>
    <row r="46" spans="1:46" s="267" customFormat="1" ht="11.25">
      <c r="A46" s="28" t="s">
        <v>469</v>
      </c>
      <c r="B46" s="28" t="s">
        <v>438</v>
      </c>
      <c r="C46" s="69">
        <f>SUM(C47:C48)</f>
        <v>7497.0000000000009</v>
      </c>
      <c r="D46" s="70">
        <f t="shared" ref="D46:X46" si="70">SUM(D47:D48)</f>
        <v>8001</v>
      </c>
      <c r="E46" s="70">
        <f t="shared" si="70"/>
        <v>8387.9</v>
      </c>
      <c r="F46" s="70">
        <f t="shared" si="70"/>
        <v>8783.0999999999985</v>
      </c>
      <c r="G46" s="69">
        <f t="shared" si="70"/>
        <v>9812.4000000000015</v>
      </c>
      <c r="H46" s="70">
        <f t="shared" si="70"/>
        <v>10462.799999999999</v>
      </c>
      <c r="I46" s="70">
        <f t="shared" si="70"/>
        <v>11713</v>
      </c>
      <c r="J46" s="78">
        <f t="shared" si="70"/>
        <v>12153.3</v>
      </c>
      <c r="K46" s="69">
        <f t="shared" si="70"/>
        <v>12665.2</v>
      </c>
      <c r="L46" s="70">
        <f t="shared" si="70"/>
        <v>12407.6</v>
      </c>
      <c r="M46" s="70">
        <f t="shared" si="70"/>
        <v>12236.599999999999</v>
      </c>
      <c r="N46" s="78">
        <f t="shared" si="70"/>
        <v>11871.9</v>
      </c>
      <c r="O46" s="69">
        <f t="shared" si="70"/>
        <v>11873.9</v>
      </c>
      <c r="P46" s="70">
        <f t="shared" si="70"/>
        <v>12198</v>
      </c>
      <c r="Q46" s="70">
        <f t="shared" si="70"/>
        <v>12939.7</v>
      </c>
      <c r="R46" s="78">
        <f t="shared" si="70"/>
        <v>12851.2</v>
      </c>
      <c r="S46" s="69">
        <f t="shared" si="70"/>
        <v>13210.5</v>
      </c>
      <c r="T46" s="70">
        <f t="shared" si="70"/>
        <v>14014.4</v>
      </c>
      <c r="U46" s="70">
        <f t="shared" si="70"/>
        <v>14868.3</v>
      </c>
      <c r="V46" s="78">
        <f t="shared" si="70"/>
        <v>15714.1</v>
      </c>
      <c r="W46" s="69">
        <f t="shared" si="70"/>
        <v>18068.3</v>
      </c>
      <c r="X46" s="70">
        <f t="shared" si="70"/>
        <v>18113.099999999999</v>
      </c>
      <c r="Y46" s="70">
        <f t="shared" ref="Y46:AD46" si="71">SUM(Y47:Y48)</f>
        <v>18187.899999999998</v>
      </c>
      <c r="Z46" s="78">
        <f t="shared" si="71"/>
        <v>17364</v>
      </c>
      <c r="AA46" s="69">
        <f t="shared" si="71"/>
        <v>18067.599999999999</v>
      </c>
      <c r="AB46" s="70">
        <f t="shared" si="71"/>
        <v>18288.400000000001</v>
      </c>
      <c r="AC46" s="70">
        <f t="shared" si="71"/>
        <v>18870.2</v>
      </c>
      <c r="AD46" s="78">
        <f t="shared" si="71"/>
        <v>18761.5</v>
      </c>
      <c r="AE46" s="69">
        <f t="shared" ref="AE46:AJ46" si="72">SUM(AE47:AE48)</f>
        <v>20498.800000000003</v>
      </c>
      <c r="AF46" s="70">
        <f t="shared" si="72"/>
        <v>21596.300000000003</v>
      </c>
      <c r="AG46" s="70">
        <f t="shared" si="72"/>
        <v>22086</v>
      </c>
      <c r="AH46" s="78">
        <f t="shared" si="72"/>
        <v>21870.5</v>
      </c>
      <c r="AI46" s="70">
        <f t="shared" si="72"/>
        <v>23515.800000000003</v>
      </c>
      <c r="AJ46" s="70">
        <f t="shared" si="72"/>
        <v>25748.699999999997</v>
      </c>
      <c r="AK46" s="70">
        <f>SUM(AK47:AK48)</f>
        <v>27429.3</v>
      </c>
      <c r="AL46" s="78">
        <f>SUM(AL47:AL48)</f>
        <v>26884.800000000003</v>
      </c>
      <c r="AM46" s="70">
        <f>SUM(AM47:AM48)</f>
        <v>28659.800000000003</v>
      </c>
      <c r="AN46" s="70">
        <f>SUM(AN47:AN48)</f>
        <v>29117.7</v>
      </c>
      <c r="AO46" s="70">
        <v>30118.1</v>
      </c>
      <c r="AP46" s="78">
        <v>30245.8</v>
      </c>
      <c r="AQ46" s="70">
        <v>31553.4</v>
      </c>
      <c r="AR46" s="70">
        <v>32424.5</v>
      </c>
      <c r="AS46" s="70">
        <v>33983.1</v>
      </c>
      <c r="AT46" s="78">
        <v>33161</v>
      </c>
    </row>
    <row r="47" spans="1:46" s="268" customFormat="1" ht="11.25">
      <c r="A47" s="281" t="s">
        <v>464</v>
      </c>
      <c r="B47" s="281" t="s">
        <v>86</v>
      </c>
      <c r="C47" s="96">
        <v>2902.5</v>
      </c>
      <c r="D47" s="97">
        <v>3044.2</v>
      </c>
      <c r="E47" s="97">
        <v>3151.5</v>
      </c>
      <c r="F47" s="97">
        <v>3104.3</v>
      </c>
      <c r="G47" s="96">
        <v>3716</v>
      </c>
      <c r="H47" s="97">
        <v>4006.5</v>
      </c>
      <c r="I47" s="97">
        <v>4328.8999999999996</v>
      </c>
      <c r="J47" s="98">
        <v>3931.5</v>
      </c>
      <c r="K47" s="96">
        <v>4269</v>
      </c>
      <c r="L47" s="97">
        <v>4301</v>
      </c>
      <c r="M47" s="97">
        <v>4001.9</v>
      </c>
      <c r="N47" s="98">
        <v>3504.5</v>
      </c>
      <c r="O47" s="96">
        <v>3713.8</v>
      </c>
      <c r="P47" s="97">
        <v>3930.5</v>
      </c>
      <c r="Q47" s="97">
        <v>4036.5</v>
      </c>
      <c r="R47" s="98">
        <v>3724.3</v>
      </c>
      <c r="S47" s="96">
        <v>4031.2</v>
      </c>
      <c r="T47" s="97">
        <v>4490.6000000000004</v>
      </c>
      <c r="U47" s="97">
        <v>4624</v>
      </c>
      <c r="V47" s="98">
        <v>4316.1000000000004</v>
      </c>
      <c r="W47" s="96">
        <v>5179.3</v>
      </c>
      <c r="X47" s="97">
        <v>5409.3</v>
      </c>
      <c r="Y47" s="97">
        <v>5440.7</v>
      </c>
      <c r="Z47" s="98">
        <v>4978.3</v>
      </c>
      <c r="AA47" s="96">
        <v>5169.5</v>
      </c>
      <c r="AB47" s="97">
        <v>5223</v>
      </c>
      <c r="AC47" s="97">
        <v>5612.6</v>
      </c>
      <c r="AD47" s="98">
        <v>5223</v>
      </c>
      <c r="AE47" s="96">
        <v>6031.1</v>
      </c>
      <c r="AF47" s="97">
        <v>6192.6</v>
      </c>
      <c r="AG47" s="97">
        <v>6139.8</v>
      </c>
      <c r="AH47" s="98">
        <v>5724.2</v>
      </c>
      <c r="AI47" s="97">
        <v>6596.1</v>
      </c>
      <c r="AJ47" s="97">
        <v>7085.4</v>
      </c>
      <c r="AK47" s="97">
        <v>7564.3</v>
      </c>
      <c r="AL47" s="98">
        <v>6999.9</v>
      </c>
      <c r="AM47" s="97">
        <v>7764.9</v>
      </c>
      <c r="AN47" s="97">
        <v>7844.8</v>
      </c>
      <c r="AO47" s="97">
        <v>7765.9</v>
      </c>
      <c r="AP47" s="98">
        <v>6964.2</v>
      </c>
      <c r="AQ47" s="97">
        <v>8521.7999999999993</v>
      </c>
      <c r="AR47" s="97">
        <v>8689.5</v>
      </c>
      <c r="AS47" s="97">
        <v>9116.1</v>
      </c>
      <c r="AT47" s="98">
        <v>8455.6</v>
      </c>
    </row>
    <row r="48" spans="1:46" s="268" customFormat="1" ht="11.25">
      <c r="A48" s="281" t="s">
        <v>465</v>
      </c>
      <c r="B48" s="281" t="s">
        <v>87</v>
      </c>
      <c r="C48" s="96">
        <f>4736.6+24.1-24.2-142</f>
        <v>4594.5000000000009</v>
      </c>
      <c r="D48" s="97">
        <f>5101.5+19-20.9-142.8</f>
        <v>4956.8</v>
      </c>
      <c r="E48" s="97">
        <f>5353.9+24.4-24.7-117.2</f>
        <v>5236.3999999999996</v>
      </c>
      <c r="F48" s="97">
        <f>5801.4-122.6</f>
        <v>5678.7999999999993</v>
      </c>
      <c r="G48" s="96">
        <f>6219.3-122.9</f>
        <v>6096.4000000000005</v>
      </c>
      <c r="H48" s="97">
        <f>6585.1-128.8</f>
        <v>6456.3</v>
      </c>
      <c r="I48" s="97">
        <f>7552.9-168.8</f>
        <v>7384.0999999999995</v>
      </c>
      <c r="J48" s="98">
        <f>8380.5-158.7</f>
        <v>8221.7999999999993</v>
      </c>
      <c r="K48" s="96">
        <f>8661.6-265.4</f>
        <v>8396.2000000000007</v>
      </c>
      <c r="L48" s="97">
        <f>8356.6-250</f>
        <v>8106.6</v>
      </c>
      <c r="M48" s="97">
        <f>8407.4-172.7</f>
        <v>8234.6999999999989</v>
      </c>
      <c r="N48" s="98">
        <f>8537.8-170.4</f>
        <v>8367.4</v>
      </c>
      <c r="O48" s="96">
        <f>8297.4-137.3</f>
        <v>8160.0999999999995</v>
      </c>
      <c r="P48" s="97">
        <f>8432.1-164.6</f>
        <v>8267.5</v>
      </c>
      <c r="Q48" s="97">
        <f>9055-151.8</f>
        <v>8903.2000000000007</v>
      </c>
      <c r="R48" s="98">
        <f>9126.9</f>
        <v>9126.9</v>
      </c>
      <c r="S48" s="96">
        <v>9179.3000000000011</v>
      </c>
      <c r="T48" s="97">
        <v>9523.7999999999993</v>
      </c>
      <c r="U48" s="97">
        <v>10244.299999999999</v>
      </c>
      <c r="V48" s="98">
        <v>11398</v>
      </c>
      <c r="W48" s="96">
        <v>12889</v>
      </c>
      <c r="X48" s="97">
        <v>12703.8</v>
      </c>
      <c r="Y48" s="97">
        <v>12747.199999999999</v>
      </c>
      <c r="Z48" s="98">
        <v>12385.7</v>
      </c>
      <c r="AA48" s="96">
        <v>12898.099999999999</v>
      </c>
      <c r="AB48" s="97">
        <v>13065.4</v>
      </c>
      <c r="AC48" s="97">
        <v>13257.6</v>
      </c>
      <c r="AD48" s="98">
        <v>13538.499999999998</v>
      </c>
      <c r="AE48" s="96">
        <v>14467.7</v>
      </c>
      <c r="AF48" s="97">
        <v>15403.7</v>
      </c>
      <c r="AG48" s="97">
        <v>15946.2</v>
      </c>
      <c r="AH48" s="98">
        <v>16146.300000000001</v>
      </c>
      <c r="AI48" s="97">
        <v>16919.7</v>
      </c>
      <c r="AJ48" s="97">
        <v>18663.3</v>
      </c>
      <c r="AK48" s="97">
        <v>19865</v>
      </c>
      <c r="AL48" s="98">
        <v>19884.900000000001</v>
      </c>
      <c r="AM48" s="97">
        <v>20894.900000000001</v>
      </c>
      <c r="AN48" s="97">
        <v>21272.9</v>
      </c>
      <c r="AO48" s="97">
        <v>22352.2</v>
      </c>
      <c r="AP48" s="98">
        <v>23281.599999999999</v>
      </c>
      <c r="AQ48" s="97">
        <v>23031.599999999999</v>
      </c>
      <c r="AR48" s="97">
        <v>23735</v>
      </c>
      <c r="AS48" s="97">
        <v>24867</v>
      </c>
      <c r="AT48" s="98">
        <v>24705.4</v>
      </c>
    </row>
    <row r="49" spans="1:46" s="267" customFormat="1" ht="11.25">
      <c r="A49" s="28" t="s">
        <v>454</v>
      </c>
      <c r="B49" s="28" t="s">
        <v>439</v>
      </c>
      <c r="C49" s="69">
        <v>0</v>
      </c>
      <c r="D49" s="70">
        <v>0</v>
      </c>
      <c r="E49" s="70">
        <v>0</v>
      </c>
      <c r="F49" s="70">
        <v>0</v>
      </c>
      <c r="G49" s="69">
        <v>0</v>
      </c>
      <c r="H49" s="70">
        <v>0</v>
      </c>
      <c r="I49" s="70">
        <v>0</v>
      </c>
      <c r="J49" s="78">
        <v>0</v>
      </c>
      <c r="K49" s="69">
        <v>0</v>
      </c>
      <c r="L49" s="70">
        <v>0</v>
      </c>
      <c r="M49" s="70">
        <v>0</v>
      </c>
      <c r="N49" s="78">
        <v>0</v>
      </c>
      <c r="O49" s="69">
        <v>0</v>
      </c>
      <c r="P49" s="70">
        <v>0</v>
      </c>
      <c r="Q49" s="70">
        <v>0</v>
      </c>
      <c r="R49" s="78">
        <v>0</v>
      </c>
      <c r="S49" s="69">
        <v>0</v>
      </c>
      <c r="T49" s="70">
        <v>0</v>
      </c>
      <c r="U49" s="70">
        <v>0</v>
      </c>
      <c r="V49" s="78">
        <v>0</v>
      </c>
      <c r="W49" s="69">
        <v>2898.1</v>
      </c>
      <c r="X49" s="70">
        <v>2922.1</v>
      </c>
      <c r="Y49" s="70">
        <v>3054.7999999999997</v>
      </c>
      <c r="Z49" s="78">
        <v>3132.8</v>
      </c>
      <c r="AA49" s="69">
        <v>3151.4</v>
      </c>
      <c r="AB49" s="70">
        <v>3276.4</v>
      </c>
      <c r="AC49" s="70">
        <v>3395</v>
      </c>
      <c r="AD49" s="78">
        <v>3509.9</v>
      </c>
      <c r="AE49" s="69">
        <v>3537.3</v>
      </c>
      <c r="AF49" s="70">
        <v>3886.4</v>
      </c>
      <c r="AG49" s="70">
        <v>3932.2</v>
      </c>
      <c r="AH49" s="78">
        <v>3972.8</v>
      </c>
      <c r="AI49" s="70">
        <v>3907.9</v>
      </c>
      <c r="AJ49" s="70">
        <v>4154.8</v>
      </c>
      <c r="AK49" s="70">
        <v>4270.7</v>
      </c>
      <c r="AL49" s="78">
        <v>4319.5</v>
      </c>
      <c r="AM49" s="70">
        <v>4399.3999999999996</v>
      </c>
      <c r="AN49" s="70">
        <v>4759.6000000000004</v>
      </c>
      <c r="AO49" s="70">
        <v>4772.5</v>
      </c>
      <c r="AP49" s="78">
        <v>4903.3999999999996</v>
      </c>
      <c r="AQ49" s="70">
        <v>4925.1000000000004</v>
      </c>
      <c r="AR49" s="70">
        <v>5169.5</v>
      </c>
      <c r="AS49" s="70">
        <v>5329.9</v>
      </c>
      <c r="AT49" s="78">
        <v>5476.5</v>
      </c>
    </row>
    <row r="50" spans="1:46" s="267" customFormat="1" ht="11.25">
      <c r="A50" s="28" t="s">
        <v>455</v>
      </c>
      <c r="B50" s="28" t="s">
        <v>440</v>
      </c>
      <c r="C50" s="69">
        <v>142</v>
      </c>
      <c r="D50" s="70">
        <v>142.80000000000001</v>
      </c>
      <c r="E50" s="70">
        <v>117.2</v>
      </c>
      <c r="F50" s="70">
        <v>122.6</v>
      </c>
      <c r="G50" s="69">
        <v>122.9</v>
      </c>
      <c r="H50" s="70">
        <v>128.80000000000001</v>
      </c>
      <c r="I50" s="70">
        <v>168.8</v>
      </c>
      <c r="J50" s="78">
        <v>158.69999999999999</v>
      </c>
      <c r="K50" s="69">
        <v>265.39999999999998</v>
      </c>
      <c r="L50" s="70">
        <v>250</v>
      </c>
      <c r="M50" s="70">
        <v>172.7</v>
      </c>
      <c r="N50" s="78">
        <v>170.4</v>
      </c>
      <c r="O50" s="69">
        <v>137.30000000000001</v>
      </c>
      <c r="P50" s="70">
        <v>164.6</v>
      </c>
      <c r="Q50" s="70">
        <v>151.80000000000001</v>
      </c>
      <c r="R50" s="78">
        <v>112.8</v>
      </c>
      <c r="S50" s="69">
        <v>99.4</v>
      </c>
      <c r="T50" s="70">
        <v>183</v>
      </c>
      <c r="U50" s="70">
        <v>264.3</v>
      </c>
      <c r="V50" s="78">
        <v>255.1</v>
      </c>
      <c r="W50" s="69">
        <v>1837.5</v>
      </c>
      <c r="X50" s="70">
        <v>2063.1</v>
      </c>
      <c r="Y50" s="70">
        <v>1982</v>
      </c>
      <c r="Z50" s="78">
        <v>2168.1999999999998</v>
      </c>
      <c r="AA50" s="69">
        <v>1928.4</v>
      </c>
      <c r="AB50" s="70">
        <v>2194.6000000000004</v>
      </c>
      <c r="AC50" s="70">
        <v>2408.3999999999996</v>
      </c>
      <c r="AD50" s="78">
        <v>2416.5</v>
      </c>
      <c r="AE50" s="69">
        <v>2314.5</v>
      </c>
      <c r="AF50" s="70">
        <v>2565.0000000000005</v>
      </c>
      <c r="AG50" s="70">
        <v>2811.1</v>
      </c>
      <c r="AH50" s="78">
        <v>2746</v>
      </c>
      <c r="AI50" s="70">
        <v>2484.5000000000005</v>
      </c>
      <c r="AJ50" s="70">
        <v>2733.3</v>
      </c>
      <c r="AK50" s="70">
        <v>3047.7</v>
      </c>
      <c r="AL50" s="78">
        <v>3279.8</v>
      </c>
      <c r="AM50" s="70">
        <v>3297.3</v>
      </c>
      <c r="AN50" s="70">
        <v>3916.7</v>
      </c>
      <c r="AO50" s="70">
        <v>4163.3999999999996</v>
      </c>
      <c r="AP50" s="78">
        <v>4208.5</v>
      </c>
      <c r="AQ50" s="70">
        <v>4401.3</v>
      </c>
      <c r="AR50" s="70">
        <v>4497.8999999999996</v>
      </c>
      <c r="AS50" s="70">
        <v>4353.7</v>
      </c>
      <c r="AT50" s="78">
        <v>4239.7</v>
      </c>
    </row>
    <row r="51" spans="1:46" s="267" customFormat="1" ht="11.25">
      <c r="A51" s="28" t="s">
        <v>529</v>
      </c>
      <c r="B51" s="283" t="s">
        <v>522</v>
      </c>
      <c r="C51" s="69">
        <v>108.5</v>
      </c>
      <c r="D51" s="70">
        <f>101.4</f>
        <v>101.4</v>
      </c>
      <c r="E51" s="70">
        <v>96.6</v>
      </c>
      <c r="F51" s="70">
        <v>13.5</v>
      </c>
      <c r="G51" s="69">
        <v>13.5</v>
      </c>
      <c r="H51" s="70">
        <v>13.5</v>
      </c>
      <c r="I51" s="70">
        <v>13.5</v>
      </c>
      <c r="J51" s="78">
        <v>559.4</v>
      </c>
      <c r="K51" s="69">
        <v>552.29999999999995</v>
      </c>
      <c r="L51" s="70">
        <v>534</v>
      </c>
      <c r="M51" s="70">
        <v>440.5</v>
      </c>
      <c r="N51" s="78">
        <v>306.5</v>
      </c>
      <c r="O51" s="69">
        <v>304.3</v>
      </c>
      <c r="P51" s="70">
        <v>306.7</v>
      </c>
      <c r="Q51" s="70">
        <v>566.5</v>
      </c>
      <c r="R51" s="78">
        <v>646.6</v>
      </c>
      <c r="S51" s="69">
        <v>584.79999999999995</v>
      </c>
      <c r="T51" s="70">
        <v>537.5</v>
      </c>
      <c r="U51" s="70">
        <v>800.8</v>
      </c>
      <c r="V51" s="78">
        <v>1446.1</v>
      </c>
      <c r="W51" s="69">
        <v>1493</v>
      </c>
      <c r="X51" s="70">
        <v>1289.9000000000001</v>
      </c>
      <c r="Y51" s="70">
        <v>1472.5</v>
      </c>
      <c r="Z51" s="78">
        <v>1376</v>
      </c>
      <c r="AA51" s="69">
        <v>1042.3</v>
      </c>
      <c r="AB51" s="70">
        <v>1238.5</v>
      </c>
      <c r="AC51" s="70">
        <v>1302.5999999999999</v>
      </c>
      <c r="AD51" s="78">
        <v>1244.8</v>
      </c>
      <c r="AE51" s="69">
        <v>1269.5</v>
      </c>
      <c r="AF51" s="70">
        <v>1276.7</v>
      </c>
      <c r="AG51" s="70">
        <v>1840</v>
      </c>
      <c r="AH51" s="78">
        <v>1664.1</v>
      </c>
      <c r="AI51" s="70">
        <v>1695.9</v>
      </c>
      <c r="AJ51" s="70">
        <v>1679.3</v>
      </c>
      <c r="AK51" s="70">
        <v>1839</v>
      </c>
      <c r="AL51" s="78">
        <v>1502</v>
      </c>
      <c r="AM51" s="70">
        <v>1287.8</v>
      </c>
      <c r="AN51" s="70">
        <v>887.6</v>
      </c>
      <c r="AO51" s="70">
        <v>939.8</v>
      </c>
      <c r="AP51" s="78">
        <v>956.3</v>
      </c>
      <c r="AQ51" s="70">
        <v>889.4</v>
      </c>
      <c r="AR51" s="70">
        <v>752.6</v>
      </c>
      <c r="AS51" s="70">
        <v>765.2</v>
      </c>
      <c r="AT51" s="78">
        <v>762.5</v>
      </c>
    </row>
    <row r="52" spans="1:46" s="267" customFormat="1" ht="11.25">
      <c r="A52" s="28" t="s">
        <v>470</v>
      </c>
      <c r="B52" s="28" t="s">
        <v>441</v>
      </c>
      <c r="C52" s="69">
        <v>13.199999999999989</v>
      </c>
      <c r="D52" s="70">
        <v>34.200000000000003</v>
      </c>
      <c r="E52" s="70">
        <v>32.700000000000003</v>
      </c>
      <c r="F52" s="70">
        <v>43.6</v>
      </c>
      <c r="G52" s="69">
        <v>64</v>
      </c>
      <c r="H52" s="70">
        <v>55.4</v>
      </c>
      <c r="I52" s="70">
        <v>70.600000000000009</v>
      </c>
      <c r="J52" s="78">
        <v>36.700000000000003</v>
      </c>
      <c r="K52" s="69">
        <v>51.1</v>
      </c>
      <c r="L52" s="70">
        <v>42.599999999999994</v>
      </c>
      <c r="M52" s="70">
        <v>24</v>
      </c>
      <c r="N52" s="78">
        <v>72.7</v>
      </c>
      <c r="O52" s="69">
        <v>38.200000000000003</v>
      </c>
      <c r="P52" s="70">
        <v>57.5</v>
      </c>
      <c r="Q52" s="70">
        <v>25</v>
      </c>
      <c r="R52" s="78">
        <v>63.9</v>
      </c>
      <c r="S52" s="69">
        <v>38.599999999999994</v>
      </c>
      <c r="T52" s="70">
        <v>57.300000000000004</v>
      </c>
      <c r="U52" s="70">
        <v>38</v>
      </c>
      <c r="V52" s="78">
        <v>17.100000000000001</v>
      </c>
      <c r="W52" s="69">
        <v>15.7</v>
      </c>
      <c r="X52" s="70">
        <v>14.4</v>
      </c>
      <c r="Y52" s="70">
        <v>43.599999999999994</v>
      </c>
      <c r="Z52" s="78">
        <v>11.9</v>
      </c>
      <c r="AA52" s="69">
        <v>13.8</v>
      </c>
      <c r="AB52" s="70">
        <v>28.5</v>
      </c>
      <c r="AC52" s="70">
        <v>17.200000000000003</v>
      </c>
      <c r="AD52" s="78">
        <v>18.299999999999997</v>
      </c>
      <c r="AE52" s="69">
        <v>16.3</v>
      </c>
      <c r="AF52" s="70">
        <v>20.9</v>
      </c>
      <c r="AG52" s="70">
        <v>233</v>
      </c>
      <c r="AH52" s="78">
        <v>14.600000000000001</v>
      </c>
      <c r="AI52" s="70">
        <v>26.400000000000002</v>
      </c>
      <c r="AJ52" s="70">
        <v>11.1</v>
      </c>
      <c r="AK52" s="70">
        <v>12.5</v>
      </c>
      <c r="AL52" s="78">
        <v>12.2</v>
      </c>
      <c r="AM52" s="70">
        <v>13.1</v>
      </c>
      <c r="AN52" s="70">
        <v>5.3</v>
      </c>
      <c r="AO52" s="70">
        <v>5.6</v>
      </c>
      <c r="AP52" s="78">
        <v>7</v>
      </c>
      <c r="AQ52" s="70">
        <v>9.9</v>
      </c>
      <c r="AR52" s="70">
        <v>7.1</v>
      </c>
      <c r="AS52" s="70">
        <v>11.4</v>
      </c>
      <c r="AT52" s="78">
        <v>11.4</v>
      </c>
    </row>
    <row r="53" spans="1:46" s="270" customFormat="1" ht="11.25">
      <c r="A53" s="50" t="s">
        <v>466</v>
      </c>
      <c r="B53" s="50" t="s">
        <v>436</v>
      </c>
      <c r="C53" s="81">
        <f>SUM(C54,C57:C59)</f>
        <v>3807.8999999999996</v>
      </c>
      <c r="D53" s="82">
        <f t="shared" ref="D53:AD53" si="73">SUM(D54,D57:D59)</f>
        <v>4182.9000000000005</v>
      </c>
      <c r="E53" s="82">
        <f t="shared" si="73"/>
        <v>4627.8999999999996</v>
      </c>
      <c r="F53" s="82">
        <f t="shared" si="73"/>
        <v>4937.8999999999996</v>
      </c>
      <c r="G53" s="81">
        <f t="shared" si="73"/>
        <v>5373.5</v>
      </c>
      <c r="H53" s="82">
        <f t="shared" si="73"/>
        <v>5931.5</v>
      </c>
      <c r="I53" s="82">
        <f t="shared" si="73"/>
        <v>6603.6</v>
      </c>
      <c r="J53" s="83">
        <f t="shared" si="73"/>
        <v>7446.4999999999991</v>
      </c>
      <c r="K53" s="81">
        <f t="shared" si="73"/>
        <v>8253.1</v>
      </c>
      <c r="L53" s="82">
        <f t="shared" si="73"/>
        <v>8827.9</v>
      </c>
      <c r="M53" s="82">
        <f t="shared" si="73"/>
        <v>9336.9</v>
      </c>
      <c r="N53" s="83">
        <f t="shared" si="73"/>
        <v>9822.7999999999993</v>
      </c>
      <c r="O53" s="81">
        <f t="shared" si="73"/>
        <v>10282.6</v>
      </c>
      <c r="P53" s="82">
        <f t="shared" si="73"/>
        <v>11110.7</v>
      </c>
      <c r="Q53" s="82">
        <f t="shared" si="73"/>
        <v>11647.300000000001</v>
      </c>
      <c r="R53" s="83">
        <f t="shared" si="73"/>
        <v>12631.3</v>
      </c>
      <c r="S53" s="81">
        <f t="shared" si="73"/>
        <v>13278</v>
      </c>
      <c r="T53" s="82">
        <f t="shared" si="73"/>
        <v>14035</v>
      </c>
      <c r="U53" s="82">
        <f t="shared" si="73"/>
        <v>14804.8</v>
      </c>
      <c r="V53" s="83">
        <f t="shared" si="73"/>
        <v>15315.699999999999</v>
      </c>
      <c r="W53" s="81">
        <f t="shared" si="73"/>
        <v>15619.9</v>
      </c>
      <c r="X53" s="82">
        <f t="shared" si="73"/>
        <v>16218.9</v>
      </c>
      <c r="Y53" s="82">
        <f t="shared" si="73"/>
        <v>16721.5</v>
      </c>
      <c r="Z53" s="83">
        <f t="shared" si="73"/>
        <v>17019.899999999998</v>
      </c>
      <c r="AA53" s="81">
        <f t="shared" si="73"/>
        <v>17329.699999999997</v>
      </c>
      <c r="AB53" s="82">
        <f t="shared" si="73"/>
        <v>18116.800000000003</v>
      </c>
      <c r="AC53" s="82">
        <f t="shared" si="73"/>
        <v>18766</v>
      </c>
      <c r="AD53" s="83">
        <f t="shared" si="73"/>
        <v>19015.899999999998</v>
      </c>
      <c r="AE53" s="81">
        <f t="shared" ref="AE53:AJ53" si="74">SUM(AE54,AE57:AE59)</f>
        <v>19748.599999999999</v>
      </c>
      <c r="AF53" s="82">
        <f t="shared" si="74"/>
        <v>20601.800000000003</v>
      </c>
      <c r="AG53" s="82">
        <f t="shared" si="74"/>
        <v>21792.899999999998</v>
      </c>
      <c r="AH53" s="83">
        <f t="shared" si="74"/>
        <v>22916.199999999997</v>
      </c>
      <c r="AI53" s="82">
        <f t="shared" si="74"/>
        <v>24274.899999999998</v>
      </c>
      <c r="AJ53" s="82">
        <f t="shared" si="74"/>
        <v>25801.7</v>
      </c>
      <c r="AK53" s="82">
        <f t="shared" ref="AK53:AT53" si="75">SUM(AK54,AK57:AK59)</f>
        <v>26823</v>
      </c>
      <c r="AL53" s="83">
        <f t="shared" si="75"/>
        <v>27832</v>
      </c>
      <c r="AM53" s="82">
        <f t="shared" si="75"/>
        <v>29226.9</v>
      </c>
      <c r="AN53" s="82">
        <f t="shared" si="75"/>
        <v>31110.9</v>
      </c>
      <c r="AO53" s="82">
        <f t="shared" si="75"/>
        <v>32297.799999999996</v>
      </c>
      <c r="AP53" s="83">
        <f t="shared" si="75"/>
        <v>33450</v>
      </c>
      <c r="AQ53" s="82">
        <f t="shared" si="75"/>
        <v>34675.199999999997</v>
      </c>
      <c r="AR53" s="82">
        <f t="shared" si="75"/>
        <v>36236.000000000007</v>
      </c>
      <c r="AS53" s="82">
        <f t="shared" si="75"/>
        <v>38046.5</v>
      </c>
      <c r="AT53" s="82">
        <f t="shared" si="75"/>
        <v>39755.5</v>
      </c>
    </row>
    <row r="54" spans="1:46" s="267" customFormat="1" ht="11.25">
      <c r="A54" s="28" t="s">
        <v>469</v>
      </c>
      <c r="B54" s="28" t="s">
        <v>438</v>
      </c>
      <c r="C54" s="69">
        <f>SUM(C55:C56)</f>
        <v>3801.8999999999996</v>
      </c>
      <c r="D54" s="70">
        <f t="shared" ref="D54:X54" si="76">SUM(D55:D56)</f>
        <v>4176.4000000000005</v>
      </c>
      <c r="E54" s="70">
        <f t="shared" si="76"/>
        <v>4618.5999999999995</v>
      </c>
      <c r="F54" s="70">
        <f t="shared" si="76"/>
        <v>4930.8999999999996</v>
      </c>
      <c r="G54" s="69">
        <f t="shared" si="76"/>
        <v>5364.5</v>
      </c>
      <c r="H54" s="70">
        <f t="shared" si="76"/>
        <v>5925.4</v>
      </c>
      <c r="I54" s="70">
        <f t="shared" si="76"/>
        <v>6595.5</v>
      </c>
      <c r="J54" s="78">
        <f t="shared" si="76"/>
        <v>7441.1999999999989</v>
      </c>
      <c r="K54" s="69">
        <f t="shared" si="76"/>
        <v>8247.7000000000007</v>
      </c>
      <c r="L54" s="70">
        <f t="shared" si="76"/>
        <v>8823.1</v>
      </c>
      <c r="M54" s="70">
        <f t="shared" si="76"/>
        <v>9331.1</v>
      </c>
      <c r="N54" s="78">
        <f t="shared" si="76"/>
        <v>9817.5999999999985</v>
      </c>
      <c r="O54" s="69">
        <f t="shared" si="76"/>
        <v>10275.300000000001</v>
      </c>
      <c r="P54" s="70">
        <f t="shared" si="76"/>
        <v>11101.800000000001</v>
      </c>
      <c r="Q54" s="70">
        <f t="shared" si="76"/>
        <v>11637.7</v>
      </c>
      <c r="R54" s="78">
        <f t="shared" si="76"/>
        <v>12623.199999999999</v>
      </c>
      <c r="S54" s="69">
        <f t="shared" si="76"/>
        <v>13270.4</v>
      </c>
      <c r="T54" s="70">
        <f t="shared" si="76"/>
        <v>14019.5</v>
      </c>
      <c r="U54" s="70">
        <f t="shared" si="76"/>
        <v>14786.3</v>
      </c>
      <c r="V54" s="78">
        <f t="shared" si="76"/>
        <v>15297.199999999999</v>
      </c>
      <c r="W54" s="69">
        <f t="shared" si="76"/>
        <v>15567.4</v>
      </c>
      <c r="X54" s="70">
        <f t="shared" si="76"/>
        <v>16148.6</v>
      </c>
      <c r="Y54" s="70">
        <f t="shared" ref="Y54:AD54" si="77">SUM(Y55:Y56)</f>
        <v>16632.399999999998</v>
      </c>
      <c r="Z54" s="78">
        <f t="shared" si="77"/>
        <v>16910.099999999999</v>
      </c>
      <c r="AA54" s="69">
        <f t="shared" si="77"/>
        <v>17219</v>
      </c>
      <c r="AB54" s="70">
        <f t="shared" si="77"/>
        <v>17985.400000000001</v>
      </c>
      <c r="AC54" s="70">
        <f t="shared" si="77"/>
        <v>18601.900000000001</v>
      </c>
      <c r="AD54" s="78">
        <f t="shared" si="77"/>
        <v>18842.599999999999</v>
      </c>
      <c r="AE54" s="69">
        <f t="shared" ref="AE54:AJ54" si="78">SUM(AE55:AE56)</f>
        <v>19410</v>
      </c>
      <c r="AF54" s="70">
        <f t="shared" si="78"/>
        <v>20220.600000000002</v>
      </c>
      <c r="AG54" s="70">
        <f t="shared" si="78"/>
        <v>21377.399999999998</v>
      </c>
      <c r="AH54" s="78">
        <f t="shared" si="78"/>
        <v>22441</v>
      </c>
      <c r="AI54" s="70">
        <f t="shared" si="78"/>
        <v>23772.999999999996</v>
      </c>
      <c r="AJ54" s="70">
        <f t="shared" si="78"/>
        <v>25241.800000000003</v>
      </c>
      <c r="AK54" s="70">
        <f>SUM(AK55:AK56)</f>
        <v>26218.799999999999</v>
      </c>
      <c r="AL54" s="78">
        <f>SUM(AL55:AL56)</f>
        <v>27173.5</v>
      </c>
      <c r="AM54" s="70">
        <f>SUM(AM55:AM56)</f>
        <v>28514.799999999999</v>
      </c>
      <c r="AN54" s="70">
        <f>SUM(AN55:AN56)</f>
        <v>30328.1</v>
      </c>
      <c r="AO54" s="70">
        <v>31464.6</v>
      </c>
      <c r="AP54" s="78">
        <v>32513.5</v>
      </c>
      <c r="AQ54" s="70">
        <v>33747</v>
      </c>
      <c r="AR54" s="70">
        <v>35233.300000000003</v>
      </c>
      <c r="AS54" s="70">
        <v>36767.699999999997</v>
      </c>
      <c r="AT54" s="78">
        <v>38430.300000000003</v>
      </c>
    </row>
    <row r="55" spans="1:46" s="268" customFormat="1" ht="11.25">
      <c r="A55" s="281" t="s">
        <v>464</v>
      </c>
      <c r="B55" s="281" t="s">
        <v>86</v>
      </c>
      <c r="C55" s="96">
        <v>951.1</v>
      </c>
      <c r="D55" s="97">
        <v>997.6</v>
      </c>
      <c r="E55" s="97">
        <v>1014.1</v>
      </c>
      <c r="F55" s="97">
        <v>968.5</v>
      </c>
      <c r="G55" s="96">
        <v>1028.5</v>
      </c>
      <c r="H55" s="97">
        <v>1102.8</v>
      </c>
      <c r="I55" s="97">
        <v>1144.9000000000001</v>
      </c>
      <c r="J55" s="98">
        <v>1091.5999999999999</v>
      </c>
      <c r="K55" s="96">
        <v>1187.5</v>
      </c>
      <c r="L55" s="97">
        <v>1238.7</v>
      </c>
      <c r="M55" s="97">
        <v>1266.0999999999999</v>
      </c>
      <c r="N55" s="98">
        <v>1227</v>
      </c>
      <c r="O55" s="96">
        <v>1316.1</v>
      </c>
      <c r="P55" s="97">
        <v>1308</v>
      </c>
      <c r="Q55" s="97">
        <v>1354.2</v>
      </c>
      <c r="R55" s="98">
        <v>1255.8</v>
      </c>
      <c r="S55" s="96">
        <v>1341.8</v>
      </c>
      <c r="T55" s="97">
        <v>1356.8</v>
      </c>
      <c r="U55" s="97">
        <v>1341.5</v>
      </c>
      <c r="V55" s="98">
        <v>1311.3</v>
      </c>
      <c r="W55" s="96">
        <v>1367.8</v>
      </c>
      <c r="X55" s="97">
        <v>1410.3999999999999</v>
      </c>
      <c r="Y55" s="97">
        <v>1401.6</v>
      </c>
      <c r="Z55" s="98">
        <v>1379</v>
      </c>
      <c r="AA55" s="96">
        <v>1380.6</v>
      </c>
      <c r="AB55" s="97">
        <v>1414.4</v>
      </c>
      <c r="AC55" s="97">
        <v>1456.9</v>
      </c>
      <c r="AD55" s="98">
        <v>1435.5</v>
      </c>
      <c r="AE55" s="96">
        <v>1511.7</v>
      </c>
      <c r="AF55" s="97">
        <v>1549.4</v>
      </c>
      <c r="AG55" s="97">
        <v>1569.1999999999998</v>
      </c>
      <c r="AH55" s="98">
        <v>1542.6</v>
      </c>
      <c r="AI55" s="97">
        <v>1620.6</v>
      </c>
      <c r="AJ55" s="97">
        <v>1670.4</v>
      </c>
      <c r="AK55" s="97">
        <v>1682.6</v>
      </c>
      <c r="AL55" s="98">
        <v>1632.9</v>
      </c>
      <c r="AM55" s="97">
        <v>1753.6</v>
      </c>
      <c r="AN55" s="97">
        <v>1767</v>
      </c>
      <c r="AO55" s="97">
        <v>1792.9</v>
      </c>
      <c r="AP55" s="98">
        <v>1762.7</v>
      </c>
      <c r="AQ55" s="97">
        <v>1855</v>
      </c>
      <c r="AR55" s="97">
        <v>1925.8</v>
      </c>
      <c r="AS55" s="97">
        <v>2016</v>
      </c>
      <c r="AT55" s="98">
        <v>1948.8</v>
      </c>
    </row>
    <row r="56" spans="1:46" s="268" customFormat="1" ht="11.25">
      <c r="A56" s="281" t="s">
        <v>465</v>
      </c>
      <c r="B56" s="281" t="s">
        <v>87</v>
      </c>
      <c r="C56" s="96">
        <f>2832.6+24.2-6</f>
        <v>2850.7999999999997</v>
      </c>
      <c r="D56" s="97">
        <f>3164.4+20.9-6.5</f>
        <v>3178.8</v>
      </c>
      <c r="E56" s="97">
        <f>3589.1+24.7-9.3</f>
        <v>3604.4999999999995</v>
      </c>
      <c r="F56" s="97">
        <f>3969.4-7</f>
        <v>3962.4</v>
      </c>
      <c r="G56" s="96">
        <f>4345-9</f>
        <v>4336</v>
      </c>
      <c r="H56" s="97">
        <f>4828.7-6.1</f>
        <v>4822.5999999999995</v>
      </c>
      <c r="I56" s="97">
        <f>5458.7-8.1</f>
        <v>5450.5999999999995</v>
      </c>
      <c r="J56" s="98">
        <f>6354.9-5.3</f>
        <v>6349.5999999999995</v>
      </c>
      <c r="K56" s="96">
        <f>7065.6-5.4</f>
        <v>7060.2000000000007</v>
      </c>
      <c r="L56" s="97">
        <f>7589.2-4.8</f>
        <v>7584.4</v>
      </c>
      <c r="M56" s="97">
        <f>8070.8-5.8</f>
        <v>8065</v>
      </c>
      <c r="N56" s="98">
        <f>8595.8-5.2</f>
        <v>8590.5999999999985</v>
      </c>
      <c r="O56" s="96">
        <f>8966.5-7.3</f>
        <v>8959.2000000000007</v>
      </c>
      <c r="P56" s="97">
        <f>9802.2-8.4</f>
        <v>9793.8000000000011</v>
      </c>
      <c r="Q56" s="97">
        <f>10292.6-9.1</f>
        <v>10283.5</v>
      </c>
      <c r="R56" s="98">
        <v>11367.4</v>
      </c>
      <c r="S56" s="96">
        <v>11928.6</v>
      </c>
      <c r="T56" s="97">
        <v>12662.7</v>
      </c>
      <c r="U56" s="97">
        <v>13444.8</v>
      </c>
      <c r="V56" s="98">
        <v>13985.9</v>
      </c>
      <c r="W56" s="96">
        <v>14199.6</v>
      </c>
      <c r="X56" s="97">
        <v>14738.2</v>
      </c>
      <c r="Y56" s="97">
        <v>15230.8</v>
      </c>
      <c r="Z56" s="98">
        <v>15531.1</v>
      </c>
      <c r="AA56" s="96">
        <v>15838.4</v>
      </c>
      <c r="AB56" s="97">
        <v>16571</v>
      </c>
      <c r="AC56" s="97">
        <v>17145</v>
      </c>
      <c r="AD56" s="98">
        <v>17407.099999999999</v>
      </c>
      <c r="AE56" s="96">
        <v>17898.3</v>
      </c>
      <c r="AF56" s="97">
        <v>18671.2</v>
      </c>
      <c r="AG56" s="97">
        <v>19808.199999999997</v>
      </c>
      <c r="AH56" s="98">
        <v>20898.400000000001</v>
      </c>
      <c r="AI56" s="97">
        <v>22152.399999999998</v>
      </c>
      <c r="AJ56" s="97">
        <v>23571.4</v>
      </c>
      <c r="AK56" s="97">
        <v>24536.2</v>
      </c>
      <c r="AL56" s="98">
        <v>25540.6</v>
      </c>
      <c r="AM56" s="97">
        <v>26761.200000000001</v>
      </c>
      <c r="AN56" s="97">
        <v>28561.1</v>
      </c>
      <c r="AO56" s="97">
        <v>29671.7</v>
      </c>
      <c r="AP56" s="98">
        <v>30750.799999999999</v>
      </c>
      <c r="AQ56" s="97">
        <v>31892</v>
      </c>
      <c r="AR56" s="97">
        <v>33307.5</v>
      </c>
      <c r="AS56" s="97">
        <v>34751.699999999997</v>
      </c>
      <c r="AT56" s="98">
        <v>36481.5</v>
      </c>
    </row>
    <row r="57" spans="1:46" s="267" customFormat="1" ht="11.25">
      <c r="A57" s="28" t="s">
        <v>454</v>
      </c>
      <c r="B57" s="28" t="s">
        <v>439</v>
      </c>
      <c r="C57" s="69">
        <v>0</v>
      </c>
      <c r="D57" s="70">
        <v>0</v>
      </c>
      <c r="E57" s="70">
        <v>0</v>
      </c>
      <c r="F57" s="70">
        <v>0</v>
      </c>
      <c r="G57" s="69">
        <v>0</v>
      </c>
      <c r="H57" s="70">
        <v>0</v>
      </c>
      <c r="I57" s="70">
        <v>0</v>
      </c>
      <c r="J57" s="78">
        <v>0</v>
      </c>
      <c r="K57" s="69">
        <v>0</v>
      </c>
      <c r="L57" s="70">
        <v>0</v>
      </c>
      <c r="M57" s="70">
        <v>0</v>
      </c>
      <c r="N57" s="78">
        <v>0</v>
      </c>
      <c r="O57" s="69">
        <v>0</v>
      </c>
      <c r="P57" s="70">
        <v>0</v>
      </c>
      <c r="Q57" s="70">
        <v>0</v>
      </c>
      <c r="R57" s="78">
        <v>0</v>
      </c>
      <c r="S57" s="69">
        <v>0</v>
      </c>
      <c r="T57" s="70">
        <v>0</v>
      </c>
      <c r="U57" s="70">
        <v>0</v>
      </c>
      <c r="V57" s="78">
        <v>0</v>
      </c>
      <c r="W57" s="69">
        <v>32.6</v>
      </c>
      <c r="X57" s="70">
        <v>51.5</v>
      </c>
      <c r="Y57" s="70">
        <v>68.900000000000006</v>
      </c>
      <c r="Z57" s="78">
        <v>87.9</v>
      </c>
      <c r="AA57" s="69">
        <v>88.1</v>
      </c>
      <c r="AB57" s="70">
        <v>105.4</v>
      </c>
      <c r="AC57" s="70">
        <v>131</v>
      </c>
      <c r="AD57" s="78">
        <v>140.19999999999999</v>
      </c>
      <c r="AE57" s="69">
        <v>299</v>
      </c>
      <c r="AF57" s="70">
        <v>339.8</v>
      </c>
      <c r="AG57" s="70">
        <v>375.1</v>
      </c>
      <c r="AH57" s="78">
        <v>424.1</v>
      </c>
      <c r="AI57" s="70">
        <v>444.5</v>
      </c>
      <c r="AJ57" s="70">
        <v>499.6</v>
      </c>
      <c r="AK57" s="70">
        <v>546.29999999999995</v>
      </c>
      <c r="AL57" s="78">
        <v>601.9</v>
      </c>
      <c r="AM57" s="70">
        <v>666.4</v>
      </c>
      <c r="AN57" s="70">
        <v>732.9</v>
      </c>
      <c r="AO57" s="70">
        <v>782.6</v>
      </c>
      <c r="AP57" s="78">
        <v>856.5</v>
      </c>
      <c r="AQ57" s="70">
        <v>888.5</v>
      </c>
      <c r="AR57" s="70">
        <v>956.4</v>
      </c>
      <c r="AS57" s="70">
        <v>1025.8</v>
      </c>
      <c r="AT57" s="78">
        <v>1116.2</v>
      </c>
    </row>
    <row r="58" spans="1:46" s="267" customFormat="1" ht="11.25">
      <c r="A58" s="28" t="s">
        <v>455</v>
      </c>
      <c r="B58" s="28" t="s">
        <v>440</v>
      </c>
      <c r="C58" s="69">
        <v>6</v>
      </c>
      <c r="D58" s="70">
        <v>6.5</v>
      </c>
      <c r="E58" s="70">
        <v>9.3000000000000007</v>
      </c>
      <c r="F58" s="70">
        <v>7</v>
      </c>
      <c r="G58" s="69">
        <v>9</v>
      </c>
      <c r="H58" s="70">
        <v>6.1</v>
      </c>
      <c r="I58" s="70">
        <v>8.1</v>
      </c>
      <c r="J58" s="78">
        <v>5.3</v>
      </c>
      <c r="K58" s="69">
        <v>5.4</v>
      </c>
      <c r="L58" s="70">
        <v>4.8</v>
      </c>
      <c r="M58" s="70">
        <v>5.8</v>
      </c>
      <c r="N58" s="78">
        <v>5.2</v>
      </c>
      <c r="O58" s="69">
        <v>7.3</v>
      </c>
      <c r="P58" s="70">
        <v>8.4</v>
      </c>
      <c r="Q58" s="70">
        <v>9.1</v>
      </c>
      <c r="R58" s="78">
        <v>7.6</v>
      </c>
      <c r="S58" s="69">
        <v>7.1</v>
      </c>
      <c r="T58" s="70">
        <v>15</v>
      </c>
      <c r="U58" s="70">
        <v>18</v>
      </c>
      <c r="V58" s="78">
        <v>18</v>
      </c>
      <c r="W58" s="69">
        <v>16.899999999999999</v>
      </c>
      <c r="X58" s="70">
        <v>18.3</v>
      </c>
      <c r="Y58" s="70">
        <v>19</v>
      </c>
      <c r="Z58" s="78">
        <v>20.6</v>
      </c>
      <c r="AA58" s="69">
        <v>21.8</v>
      </c>
      <c r="AB58" s="70">
        <v>25.5</v>
      </c>
      <c r="AC58" s="70">
        <v>32.6</v>
      </c>
      <c r="AD58" s="78">
        <v>32.6</v>
      </c>
      <c r="AE58" s="69">
        <v>39.1</v>
      </c>
      <c r="AF58" s="70">
        <v>40.900000000000006</v>
      </c>
      <c r="AG58" s="70">
        <v>39.9</v>
      </c>
      <c r="AH58" s="78">
        <v>50.6</v>
      </c>
      <c r="AI58" s="70">
        <v>56.9</v>
      </c>
      <c r="AJ58" s="70">
        <v>59.8</v>
      </c>
      <c r="AK58" s="70">
        <v>57.4</v>
      </c>
      <c r="AL58" s="78">
        <v>56.1</v>
      </c>
      <c r="AM58" s="70">
        <v>45.2</v>
      </c>
      <c r="AN58" s="70">
        <v>49.4</v>
      </c>
      <c r="AO58" s="70">
        <v>50.1</v>
      </c>
      <c r="AP58" s="78">
        <v>80</v>
      </c>
      <c r="AQ58" s="70">
        <v>39.700000000000003</v>
      </c>
      <c r="AR58" s="70">
        <v>46.3</v>
      </c>
      <c r="AS58" s="70">
        <v>253</v>
      </c>
      <c r="AT58" s="78">
        <v>209</v>
      </c>
    </row>
    <row r="59" spans="1:46" s="267" customFormat="1" ht="11.25">
      <c r="A59" s="28" t="s">
        <v>470</v>
      </c>
      <c r="B59" s="28" t="s">
        <v>441</v>
      </c>
      <c r="C59" s="69">
        <v>0</v>
      </c>
      <c r="D59" s="70">
        <v>0</v>
      </c>
      <c r="E59" s="70">
        <v>0</v>
      </c>
      <c r="F59" s="70">
        <v>0</v>
      </c>
      <c r="G59" s="69">
        <v>0</v>
      </c>
      <c r="H59" s="70">
        <v>0</v>
      </c>
      <c r="I59" s="70">
        <v>0</v>
      </c>
      <c r="J59" s="78">
        <v>0</v>
      </c>
      <c r="K59" s="69">
        <v>0</v>
      </c>
      <c r="L59" s="70">
        <v>0</v>
      </c>
      <c r="M59" s="70">
        <v>0</v>
      </c>
      <c r="N59" s="78">
        <v>0</v>
      </c>
      <c r="O59" s="69">
        <v>0</v>
      </c>
      <c r="P59" s="70">
        <v>0.5</v>
      </c>
      <c r="Q59" s="70">
        <v>0.5</v>
      </c>
      <c r="R59" s="78">
        <v>0.5</v>
      </c>
      <c r="S59" s="69">
        <v>0.5</v>
      </c>
      <c r="T59" s="70">
        <v>0.5</v>
      </c>
      <c r="U59" s="70">
        <v>0.5</v>
      </c>
      <c r="V59" s="78">
        <v>0.5</v>
      </c>
      <c r="W59" s="69">
        <v>3</v>
      </c>
      <c r="X59" s="70">
        <v>0.5</v>
      </c>
      <c r="Y59" s="70">
        <v>1.2</v>
      </c>
      <c r="Z59" s="78">
        <v>1.3</v>
      </c>
      <c r="AA59" s="69">
        <v>0.8</v>
      </c>
      <c r="AB59" s="70">
        <v>0.5</v>
      </c>
      <c r="AC59" s="70">
        <v>0.5</v>
      </c>
      <c r="AD59" s="78">
        <v>0.5</v>
      </c>
      <c r="AE59" s="69">
        <v>0.5</v>
      </c>
      <c r="AF59" s="70">
        <v>0.5</v>
      </c>
      <c r="AG59" s="70">
        <v>0.5</v>
      </c>
      <c r="AH59" s="78">
        <v>0.5</v>
      </c>
      <c r="AI59" s="70">
        <v>0.5</v>
      </c>
      <c r="AJ59" s="70">
        <v>0.5</v>
      </c>
      <c r="AK59" s="70">
        <v>0.5</v>
      </c>
      <c r="AL59" s="78">
        <v>0.5</v>
      </c>
      <c r="AM59" s="70">
        <v>0.5</v>
      </c>
      <c r="AN59" s="70">
        <v>0.5</v>
      </c>
      <c r="AO59" s="70">
        <v>0.5</v>
      </c>
      <c r="AP59" s="78">
        <v>0</v>
      </c>
      <c r="AQ59" s="70">
        <v>0</v>
      </c>
      <c r="AR59" s="70">
        <v>0</v>
      </c>
      <c r="AS59" s="70">
        <v>0</v>
      </c>
      <c r="AT59" s="78">
        <v>0</v>
      </c>
    </row>
    <row r="60" spans="1:46" s="267" customFormat="1" ht="11.25">
      <c r="A60" s="50" t="s">
        <v>258</v>
      </c>
      <c r="B60" s="50" t="s">
        <v>79</v>
      </c>
      <c r="C60" s="81">
        <f>SUM(C45,C53)</f>
        <v>11568.6</v>
      </c>
      <c r="D60" s="82">
        <f t="shared" ref="D60:AD60" si="79">SUM(D45,D53)</f>
        <v>12462.300000000003</v>
      </c>
      <c r="E60" s="82">
        <f t="shared" si="79"/>
        <v>13262.300000000001</v>
      </c>
      <c r="F60" s="82">
        <f t="shared" si="79"/>
        <v>13900.699999999999</v>
      </c>
      <c r="G60" s="81">
        <f t="shared" si="79"/>
        <v>15386.300000000001</v>
      </c>
      <c r="H60" s="82">
        <f t="shared" si="79"/>
        <v>16592</v>
      </c>
      <c r="I60" s="82">
        <f t="shared" si="79"/>
        <v>18569.5</v>
      </c>
      <c r="J60" s="83">
        <f t="shared" si="79"/>
        <v>20354.599999999999</v>
      </c>
      <c r="K60" s="81">
        <f t="shared" si="79"/>
        <v>21787.1</v>
      </c>
      <c r="L60" s="82">
        <f t="shared" si="79"/>
        <v>22062.1</v>
      </c>
      <c r="M60" s="82">
        <f t="shared" si="79"/>
        <v>22210.699999999997</v>
      </c>
      <c r="N60" s="83">
        <f t="shared" si="79"/>
        <v>22244.3</v>
      </c>
      <c r="O60" s="81">
        <f t="shared" si="79"/>
        <v>22636.3</v>
      </c>
      <c r="P60" s="82">
        <f t="shared" si="79"/>
        <v>23837.5</v>
      </c>
      <c r="Q60" s="82">
        <f t="shared" si="79"/>
        <v>25330.300000000003</v>
      </c>
      <c r="R60" s="83">
        <f t="shared" si="79"/>
        <v>26305.8</v>
      </c>
      <c r="S60" s="81">
        <f t="shared" si="79"/>
        <v>27211.3</v>
      </c>
      <c r="T60" s="82">
        <f t="shared" si="79"/>
        <v>28827.199999999997</v>
      </c>
      <c r="U60" s="82">
        <f t="shared" si="79"/>
        <v>30776.199999999997</v>
      </c>
      <c r="V60" s="83">
        <f t="shared" si="79"/>
        <v>32748.1</v>
      </c>
      <c r="W60" s="81">
        <f t="shared" si="79"/>
        <v>39932.5</v>
      </c>
      <c r="X60" s="82">
        <f t="shared" si="79"/>
        <v>40621.5</v>
      </c>
      <c r="Y60" s="82">
        <f t="shared" si="79"/>
        <v>41462.299999999996</v>
      </c>
      <c r="Z60" s="83">
        <f t="shared" si="79"/>
        <v>41072.800000000003</v>
      </c>
      <c r="AA60" s="81">
        <f t="shared" si="79"/>
        <v>41533.199999999997</v>
      </c>
      <c r="AB60" s="82">
        <f t="shared" si="79"/>
        <v>43143.200000000004</v>
      </c>
      <c r="AC60" s="82">
        <f t="shared" si="79"/>
        <v>44759.399999999994</v>
      </c>
      <c r="AD60" s="83">
        <f t="shared" si="79"/>
        <v>44966.899999999994</v>
      </c>
      <c r="AE60" s="81">
        <f t="shared" ref="AE60:AJ60" si="80">SUM(AE45,AE53)</f>
        <v>47385</v>
      </c>
      <c r="AF60" s="82">
        <f t="shared" si="80"/>
        <v>49947.100000000006</v>
      </c>
      <c r="AG60" s="82">
        <f t="shared" si="80"/>
        <v>52695.199999999997</v>
      </c>
      <c r="AH60" s="83">
        <f t="shared" si="80"/>
        <v>53184.2</v>
      </c>
      <c r="AI60" s="82">
        <f t="shared" si="80"/>
        <v>55905.400000000009</v>
      </c>
      <c r="AJ60" s="82">
        <f t="shared" si="80"/>
        <v>60128.899999999994</v>
      </c>
      <c r="AK60" s="82">
        <f t="shared" ref="AK60:AT60" si="81">SUM(AK45,AK53)</f>
        <v>63422.2</v>
      </c>
      <c r="AL60" s="83">
        <f t="shared" si="81"/>
        <v>63830.3</v>
      </c>
      <c r="AM60" s="82">
        <f t="shared" si="81"/>
        <v>66884.300000000017</v>
      </c>
      <c r="AN60" s="82">
        <f t="shared" si="81"/>
        <v>69797.8</v>
      </c>
      <c r="AO60" s="82">
        <f t="shared" si="81"/>
        <v>72297.2</v>
      </c>
      <c r="AP60" s="83">
        <f t="shared" si="81"/>
        <v>73771</v>
      </c>
      <c r="AQ60" s="82">
        <f t="shared" si="81"/>
        <v>76454.3</v>
      </c>
      <c r="AR60" s="82">
        <f t="shared" si="81"/>
        <v>79087.600000000006</v>
      </c>
      <c r="AS60" s="82">
        <f t="shared" si="81"/>
        <v>82489.799999999988</v>
      </c>
      <c r="AT60" s="82">
        <f t="shared" si="81"/>
        <v>83406.600000000006</v>
      </c>
    </row>
    <row r="61" spans="1:46" s="267" customFormat="1" ht="11.25">
      <c r="A61" s="28" t="s">
        <v>250</v>
      </c>
      <c r="B61" s="28" t="s">
        <v>80</v>
      </c>
      <c r="C61" s="69">
        <f>SUM(C62,C68)</f>
        <v>-632.20000000000005</v>
      </c>
      <c r="D61" s="70">
        <f t="shared" ref="D61:AD61" si="82">SUM(D62,D68)</f>
        <v>-590.69999999999993</v>
      </c>
      <c r="E61" s="70">
        <f t="shared" si="82"/>
        <v>-521.79999999999995</v>
      </c>
      <c r="F61" s="70">
        <f t="shared" si="82"/>
        <v>-526.1</v>
      </c>
      <c r="G61" s="69">
        <f t="shared" si="82"/>
        <v>-539.20000000000005</v>
      </c>
      <c r="H61" s="70">
        <f t="shared" si="82"/>
        <v>-372.9</v>
      </c>
      <c r="I61" s="70">
        <f t="shared" si="82"/>
        <v>-393.6</v>
      </c>
      <c r="J61" s="78">
        <f t="shared" si="82"/>
        <v>-482.29999999999995</v>
      </c>
      <c r="K61" s="69">
        <f t="shared" si="82"/>
        <v>-654.1</v>
      </c>
      <c r="L61" s="70">
        <f t="shared" si="82"/>
        <v>-755.8</v>
      </c>
      <c r="M61" s="70">
        <f t="shared" si="82"/>
        <v>-804.9</v>
      </c>
      <c r="N61" s="78">
        <f t="shared" si="82"/>
        <v>-874.1</v>
      </c>
      <c r="O61" s="69">
        <f t="shared" si="82"/>
        <v>-930.90000000000009</v>
      </c>
      <c r="P61" s="70">
        <f t="shared" si="82"/>
        <v>-972.7</v>
      </c>
      <c r="Q61" s="70">
        <f t="shared" si="82"/>
        <v>-1037.9000000000001</v>
      </c>
      <c r="R61" s="78">
        <f t="shared" si="82"/>
        <v>-1082</v>
      </c>
      <c r="S61" s="69">
        <f t="shared" si="82"/>
        <v>-1122.7000000000003</v>
      </c>
      <c r="T61" s="70">
        <f t="shared" si="82"/>
        <v>-1140.6000000000001</v>
      </c>
      <c r="U61" s="70">
        <f t="shared" si="82"/>
        <v>-1182.7</v>
      </c>
      <c r="V61" s="78">
        <f t="shared" si="82"/>
        <v>-1112.3</v>
      </c>
      <c r="W61" s="69">
        <f t="shared" si="82"/>
        <v>-1194.9000000000001</v>
      </c>
      <c r="X61" s="70">
        <f t="shared" si="82"/>
        <v>-1289.6000000000001</v>
      </c>
      <c r="Y61" s="70">
        <f t="shared" si="82"/>
        <v>-1358.7</v>
      </c>
      <c r="Z61" s="78">
        <f t="shared" si="82"/>
        <v>-1427.8000000000002</v>
      </c>
      <c r="AA61" s="69">
        <f t="shared" si="82"/>
        <v>-1473.2000000000003</v>
      </c>
      <c r="AB61" s="70">
        <f t="shared" si="82"/>
        <v>-1573.8</v>
      </c>
      <c r="AC61" s="70">
        <f t="shared" si="82"/>
        <v>-1497.3000000000002</v>
      </c>
      <c r="AD61" s="78">
        <f t="shared" si="82"/>
        <v>-1557.8</v>
      </c>
      <c r="AE61" s="69">
        <f t="shared" ref="AE61:AJ61" si="83">SUM(AE62,AE68)</f>
        <v>-1640.3999999999999</v>
      </c>
      <c r="AF61" s="70">
        <f t="shared" si="83"/>
        <v>-1614.7000000000003</v>
      </c>
      <c r="AG61" s="70">
        <f t="shared" si="83"/>
        <v>-1664.6000000000004</v>
      </c>
      <c r="AH61" s="78">
        <f t="shared" si="83"/>
        <v>-1723.1</v>
      </c>
      <c r="AI61" s="70">
        <f t="shared" si="83"/>
        <v>-1789.5000000000005</v>
      </c>
      <c r="AJ61" s="70">
        <f t="shared" si="83"/>
        <v>-1660.1999999999998</v>
      </c>
      <c r="AK61" s="70">
        <f t="shared" ref="AK61:AT61" si="84">SUM(AK62,AK68)</f>
        <v>-1503.8000000000002</v>
      </c>
      <c r="AL61" s="78">
        <f t="shared" si="84"/>
        <v>-1544.7</v>
      </c>
      <c r="AM61" s="70">
        <f t="shared" si="84"/>
        <v>-1554.4</v>
      </c>
      <c r="AN61" s="70">
        <f t="shared" si="84"/>
        <v>-1478.4</v>
      </c>
      <c r="AO61" s="70">
        <f t="shared" si="84"/>
        <v>-1452.1</v>
      </c>
      <c r="AP61" s="78">
        <f t="shared" si="84"/>
        <v>-1464.8</v>
      </c>
      <c r="AQ61" s="70">
        <f t="shared" si="84"/>
        <v>-1513.5</v>
      </c>
      <c r="AR61" s="70">
        <f t="shared" si="84"/>
        <v>-1533</v>
      </c>
      <c r="AS61" s="70">
        <f t="shared" si="84"/>
        <v>-1589.8000000000002</v>
      </c>
      <c r="AT61" s="70">
        <f t="shared" si="84"/>
        <v>-1664.7</v>
      </c>
    </row>
    <row r="62" spans="1:46" s="270" customFormat="1" ht="11.25">
      <c r="A62" s="50" t="s">
        <v>467</v>
      </c>
      <c r="B62" s="50" t="s">
        <v>442</v>
      </c>
      <c r="C62" s="81">
        <f>SUM(C63:C67)</f>
        <v>-366.09999999999997</v>
      </c>
      <c r="D62" s="82">
        <f t="shared" ref="D62:AD62" si="85">SUM(D63:D67)</f>
        <v>-363.59999999999997</v>
      </c>
      <c r="E62" s="82">
        <f t="shared" si="85"/>
        <v>-304.79999999999995</v>
      </c>
      <c r="F62" s="82">
        <f t="shared" si="85"/>
        <v>-299.90000000000003</v>
      </c>
      <c r="G62" s="81">
        <f t="shared" si="85"/>
        <v>-308.7</v>
      </c>
      <c r="H62" s="82">
        <f t="shared" si="85"/>
        <v>-228.49999999999997</v>
      </c>
      <c r="I62" s="82">
        <f t="shared" si="85"/>
        <v>-244.60000000000002</v>
      </c>
      <c r="J62" s="83">
        <f t="shared" si="85"/>
        <v>-296</v>
      </c>
      <c r="K62" s="81">
        <f t="shared" si="85"/>
        <v>-453.7</v>
      </c>
      <c r="L62" s="82">
        <f t="shared" si="85"/>
        <v>-545.09999999999991</v>
      </c>
      <c r="M62" s="82">
        <f t="shared" si="85"/>
        <v>-569.6</v>
      </c>
      <c r="N62" s="83">
        <f t="shared" si="85"/>
        <v>-617.1</v>
      </c>
      <c r="O62" s="81">
        <f t="shared" si="85"/>
        <v>-655.1</v>
      </c>
      <c r="P62" s="82">
        <f t="shared" si="85"/>
        <v>-684.6</v>
      </c>
      <c r="Q62" s="82">
        <f t="shared" si="85"/>
        <v>-736.80000000000007</v>
      </c>
      <c r="R62" s="83">
        <f t="shared" si="85"/>
        <v>-762.00000000000011</v>
      </c>
      <c r="S62" s="81">
        <f t="shared" si="85"/>
        <v>-771.50000000000011</v>
      </c>
      <c r="T62" s="82">
        <f t="shared" si="85"/>
        <v>-792.2</v>
      </c>
      <c r="U62" s="82">
        <f t="shared" si="85"/>
        <v>-816.2</v>
      </c>
      <c r="V62" s="83">
        <f t="shared" si="85"/>
        <v>-734.8</v>
      </c>
      <c r="W62" s="81">
        <f t="shared" si="85"/>
        <v>-799.10000000000014</v>
      </c>
      <c r="X62" s="82">
        <f t="shared" si="85"/>
        <v>-864.90000000000009</v>
      </c>
      <c r="Y62" s="82">
        <f t="shared" si="85"/>
        <v>-912.3</v>
      </c>
      <c r="Z62" s="83">
        <f t="shared" si="85"/>
        <v>-960.6</v>
      </c>
      <c r="AA62" s="81">
        <f t="shared" si="85"/>
        <v>-969.4000000000002</v>
      </c>
      <c r="AB62" s="82">
        <f t="shared" si="85"/>
        <v>-1008.5999999999999</v>
      </c>
      <c r="AC62" s="82">
        <f t="shared" si="85"/>
        <v>-1018.8000000000001</v>
      </c>
      <c r="AD62" s="83">
        <f t="shared" si="85"/>
        <v>-1062.3</v>
      </c>
      <c r="AE62" s="81">
        <f t="shared" ref="AE62:AJ62" si="86">SUM(AE63:AE67)</f>
        <v>-1104.3999999999999</v>
      </c>
      <c r="AF62" s="82">
        <f t="shared" si="86"/>
        <v>-1065.5000000000002</v>
      </c>
      <c r="AG62" s="82">
        <f t="shared" si="86"/>
        <v>-1093.9000000000001</v>
      </c>
      <c r="AH62" s="83">
        <f t="shared" si="86"/>
        <v>-1125.3999999999999</v>
      </c>
      <c r="AI62" s="82">
        <f t="shared" si="86"/>
        <v>-1158.2000000000003</v>
      </c>
      <c r="AJ62" s="82">
        <f t="shared" si="86"/>
        <v>-1015.3</v>
      </c>
      <c r="AK62" s="82">
        <f t="shared" ref="AK62:AT62" si="87">SUM(AK63:AK67)</f>
        <v>-957</v>
      </c>
      <c r="AL62" s="83">
        <f t="shared" si="87"/>
        <v>-989.30000000000007</v>
      </c>
      <c r="AM62" s="82">
        <f t="shared" si="87"/>
        <v>-1022.5</v>
      </c>
      <c r="AN62" s="82">
        <f t="shared" si="87"/>
        <v>-918.1</v>
      </c>
      <c r="AO62" s="82">
        <f t="shared" si="87"/>
        <v>-935.69999999999993</v>
      </c>
      <c r="AP62" s="83">
        <f t="shared" si="87"/>
        <v>-880.19999999999993</v>
      </c>
      <c r="AQ62" s="82">
        <f t="shared" si="87"/>
        <v>-890.19999999999993</v>
      </c>
      <c r="AR62" s="82">
        <f t="shared" si="87"/>
        <v>-873.7</v>
      </c>
      <c r="AS62" s="82">
        <f t="shared" si="87"/>
        <v>-925.2</v>
      </c>
      <c r="AT62" s="82">
        <f t="shared" si="87"/>
        <v>-969.1</v>
      </c>
    </row>
    <row r="63" spans="1:46" s="268" customFormat="1" ht="11.25">
      <c r="A63" s="284" t="s">
        <v>471</v>
      </c>
      <c r="B63" s="284" t="s">
        <v>81</v>
      </c>
      <c r="C63" s="96">
        <v>-341.7</v>
      </c>
      <c r="D63" s="97">
        <v>-339.7</v>
      </c>
      <c r="E63" s="97">
        <v>-281.7</v>
      </c>
      <c r="F63" s="97">
        <v>-277.3</v>
      </c>
      <c r="G63" s="96">
        <v>-285.89999999999998</v>
      </c>
      <c r="H63" s="97">
        <v>-219.49999999999997</v>
      </c>
      <c r="I63" s="97">
        <v>-235.50000000000003</v>
      </c>
      <c r="J63" s="98">
        <v>-286.60000000000002</v>
      </c>
      <c r="K63" s="96">
        <v>-443.2</v>
      </c>
      <c r="L63" s="97">
        <v>-534.79999999999995</v>
      </c>
      <c r="M63" s="97">
        <v>-558.80000000000007</v>
      </c>
      <c r="N63" s="98">
        <v>-605.6</v>
      </c>
      <c r="O63" s="96">
        <v>-642.6</v>
      </c>
      <c r="P63" s="97">
        <v>-671.80000000000007</v>
      </c>
      <c r="Q63" s="97">
        <v>-727.80000000000007</v>
      </c>
      <c r="R63" s="98">
        <v>-756.1</v>
      </c>
      <c r="S63" s="96">
        <v>-765.7</v>
      </c>
      <c r="T63" s="97">
        <v>-786.09999999999991</v>
      </c>
      <c r="U63" s="97">
        <v>-809.2</v>
      </c>
      <c r="V63" s="98">
        <v>-728.09999999999991</v>
      </c>
      <c r="W63" s="96">
        <v>-725.30000000000007</v>
      </c>
      <c r="X63" s="97">
        <v>-761.40000000000009</v>
      </c>
      <c r="Y63" s="97">
        <v>-788.09999999999991</v>
      </c>
      <c r="Z63" s="98">
        <v>-820.2</v>
      </c>
      <c r="AA63" s="96">
        <v>-834.80000000000007</v>
      </c>
      <c r="AB63" s="97">
        <v>-872.5</v>
      </c>
      <c r="AC63" s="97">
        <v>-881.8</v>
      </c>
      <c r="AD63" s="98">
        <v>-985.6</v>
      </c>
      <c r="AE63" s="96">
        <v>-1022.5</v>
      </c>
      <c r="AF63" s="97">
        <v>-979.1</v>
      </c>
      <c r="AG63" s="97">
        <v>-1012.8</v>
      </c>
      <c r="AH63" s="98">
        <v>-1040</v>
      </c>
      <c r="AI63" s="97">
        <v>-1047.7</v>
      </c>
      <c r="AJ63" s="97">
        <v>-896.9</v>
      </c>
      <c r="AK63" s="97">
        <v>-831</v>
      </c>
      <c r="AL63" s="98">
        <v>-836.1</v>
      </c>
      <c r="AM63" s="97">
        <v>-834.5</v>
      </c>
      <c r="AN63" s="97">
        <v>-851.3</v>
      </c>
      <c r="AO63" s="97">
        <v>-869.3</v>
      </c>
      <c r="AP63" s="98">
        <v>-792.9</v>
      </c>
      <c r="AQ63" s="97">
        <v>-813.3</v>
      </c>
      <c r="AR63" s="97">
        <v>-813</v>
      </c>
      <c r="AS63" s="97">
        <v>-859.4</v>
      </c>
      <c r="AT63" s="98">
        <v>-895.6</v>
      </c>
    </row>
    <row r="64" spans="1:46" s="268" customFormat="1" ht="11.25">
      <c r="A64" s="284" t="s">
        <v>472</v>
      </c>
      <c r="B64" s="284" t="s">
        <v>82</v>
      </c>
      <c r="C64" s="96">
        <v>0</v>
      </c>
      <c r="D64" s="97">
        <v>0</v>
      </c>
      <c r="E64" s="97">
        <v>0</v>
      </c>
      <c r="F64" s="97">
        <v>0</v>
      </c>
      <c r="G64" s="96">
        <v>0</v>
      </c>
      <c r="H64" s="97">
        <v>0</v>
      </c>
      <c r="I64" s="97">
        <v>0</v>
      </c>
      <c r="J64" s="98">
        <v>0</v>
      </c>
      <c r="K64" s="96">
        <v>0</v>
      </c>
      <c r="L64" s="97">
        <v>0</v>
      </c>
      <c r="M64" s="97">
        <v>0</v>
      </c>
      <c r="N64" s="98">
        <v>0</v>
      </c>
      <c r="O64" s="96">
        <v>0</v>
      </c>
      <c r="P64" s="97">
        <v>0</v>
      </c>
      <c r="Q64" s="97">
        <v>0</v>
      </c>
      <c r="R64" s="98">
        <v>0</v>
      </c>
      <c r="S64" s="96">
        <v>0</v>
      </c>
      <c r="T64" s="97">
        <v>0</v>
      </c>
      <c r="U64" s="97">
        <v>0</v>
      </c>
      <c r="V64" s="98">
        <v>0</v>
      </c>
      <c r="W64" s="96">
        <v>-62.5</v>
      </c>
      <c r="X64" s="97">
        <v>-61.6</v>
      </c>
      <c r="Y64" s="97">
        <v>-67.900000000000006</v>
      </c>
      <c r="Z64" s="98">
        <v>-69.099999999999994</v>
      </c>
      <c r="AA64" s="96">
        <v>-63.2</v>
      </c>
      <c r="AB64" s="97">
        <v>-59.8</v>
      </c>
      <c r="AC64" s="97">
        <v>-54.199999999999996</v>
      </c>
      <c r="AD64" s="98">
        <v>-59.5</v>
      </c>
      <c r="AE64" s="96">
        <v>-62</v>
      </c>
      <c r="AF64" s="97">
        <v>-63.8</v>
      </c>
      <c r="AG64" s="97">
        <v>-63</v>
      </c>
      <c r="AH64" s="98">
        <v>-61.3</v>
      </c>
      <c r="AI64" s="97">
        <v>-51.199999999999996</v>
      </c>
      <c r="AJ64" s="97">
        <v>-42.7</v>
      </c>
      <c r="AK64" s="97">
        <v>-36.4</v>
      </c>
      <c r="AL64" s="98">
        <v>-37.9</v>
      </c>
      <c r="AM64" s="97">
        <v>-41.3</v>
      </c>
      <c r="AN64" s="97">
        <v>-46.9</v>
      </c>
      <c r="AO64" s="97">
        <v>-44.9</v>
      </c>
      <c r="AP64" s="98">
        <v>-48.8</v>
      </c>
      <c r="AQ64" s="97">
        <v>-38.9</v>
      </c>
      <c r="AR64" s="97">
        <v>-26.6</v>
      </c>
      <c r="AS64" s="97">
        <v>-26.6</v>
      </c>
      <c r="AT64" s="98">
        <v>-30.9</v>
      </c>
    </row>
    <row r="65" spans="1:46" s="268" customFormat="1" ht="11.25">
      <c r="A65" s="284" t="s">
        <v>473</v>
      </c>
      <c r="B65" s="284" t="s">
        <v>83</v>
      </c>
      <c r="C65" s="96">
        <v>-1.4</v>
      </c>
      <c r="D65" s="97">
        <v>-1.4</v>
      </c>
      <c r="E65" s="97">
        <v>-1.2</v>
      </c>
      <c r="F65" s="97">
        <v>-1.1000000000000001</v>
      </c>
      <c r="G65" s="96">
        <v>-1.3</v>
      </c>
      <c r="H65" s="97">
        <v>-0.9</v>
      </c>
      <c r="I65" s="97">
        <v>-1.1000000000000001</v>
      </c>
      <c r="J65" s="98">
        <v>-1.4</v>
      </c>
      <c r="K65" s="96">
        <v>-2.5</v>
      </c>
      <c r="L65" s="97">
        <v>-1.8</v>
      </c>
      <c r="M65" s="97">
        <v>-1.9</v>
      </c>
      <c r="N65" s="98">
        <v>-1.5</v>
      </c>
      <c r="O65" s="96">
        <v>-1.2</v>
      </c>
      <c r="P65" s="97">
        <v>-1.5</v>
      </c>
      <c r="Q65" s="97">
        <v>-1.3</v>
      </c>
      <c r="R65" s="98">
        <v>-1.1000000000000001</v>
      </c>
      <c r="S65" s="96">
        <v>-1</v>
      </c>
      <c r="T65" s="97">
        <v>-1.2</v>
      </c>
      <c r="U65" s="97">
        <v>-2</v>
      </c>
      <c r="V65" s="98">
        <v>-1.9</v>
      </c>
      <c r="W65" s="96">
        <v>-6.4999999999999991</v>
      </c>
      <c r="X65" s="97">
        <v>-4.9000000000000004</v>
      </c>
      <c r="Y65" s="97">
        <v>-5.0999999999999996</v>
      </c>
      <c r="Z65" s="98">
        <v>-8.8000000000000007</v>
      </c>
      <c r="AA65" s="96">
        <v>-7.6999999999999993</v>
      </c>
      <c r="AB65" s="97">
        <v>-7.8000000000000007</v>
      </c>
      <c r="AC65" s="97">
        <v>-9.1</v>
      </c>
      <c r="AD65" s="98">
        <v>-11.7</v>
      </c>
      <c r="AE65" s="96">
        <v>-14.099999999999998</v>
      </c>
      <c r="AF65" s="97">
        <v>-16.900000000000002</v>
      </c>
      <c r="AG65" s="97">
        <v>-12.2</v>
      </c>
      <c r="AH65" s="98">
        <v>-13.8</v>
      </c>
      <c r="AI65" s="97">
        <v>-14.9</v>
      </c>
      <c r="AJ65" s="97">
        <v>-13.9</v>
      </c>
      <c r="AK65" s="97">
        <v>-11.9</v>
      </c>
      <c r="AL65" s="98">
        <v>-12.200000000000001</v>
      </c>
      <c r="AM65" s="97">
        <v>-17</v>
      </c>
      <c r="AN65" s="97">
        <v>-19.2</v>
      </c>
      <c r="AO65" s="97">
        <v>-20.6</v>
      </c>
      <c r="AP65" s="98">
        <v>-21.9</v>
      </c>
      <c r="AQ65" s="97">
        <v>-22.1</v>
      </c>
      <c r="AR65" s="97">
        <v>-18.5</v>
      </c>
      <c r="AS65" s="97">
        <v>-23.6</v>
      </c>
      <c r="AT65" s="98">
        <v>-26.9</v>
      </c>
    </row>
    <row r="66" spans="1:46" s="268" customFormat="1" ht="11.25">
      <c r="A66" s="284" t="s">
        <v>530</v>
      </c>
      <c r="B66" s="285" t="s">
        <v>519</v>
      </c>
      <c r="C66" s="96">
        <v>-15</v>
      </c>
      <c r="D66" s="97">
        <v>-14.5</v>
      </c>
      <c r="E66" s="97">
        <v>-13.9</v>
      </c>
      <c r="F66" s="97">
        <v>-13.5</v>
      </c>
      <c r="G66" s="96">
        <v>-13.5</v>
      </c>
      <c r="H66" s="97">
        <v>-0.1</v>
      </c>
      <c r="I66" s="97">
        <v>0</v>
      </c>
      <c r="J66" s="98">
        <v>0</v>
      </c>
      <c r="K66" s="96">
        <v>0</v>
      </c>
      <c r="L66" s="97">
        <v>-0.5</v>
      </c>
      <c r="M66" s="97">
        <v>-0.9</v>
      </c>
      <c r="N66" s="98">
        <v>-2</v>
      </c>
      <c r="O66" s="96">
        <v>-3.3</v>
      </c>
      <c r="P66" s="97">
        <v>-3.3</v>
      </c>
      <c r="Q66" s="97">
        <v>-3.1</v>
      </c>
      <c r="R66" s="98">
        <v>-0.2</v>
      </c>
      <c r="S66" s="96">
        <v>-0.2</v>
      </c>
      <c r="T66" s="97">
        <v>-0.2</v>
      </c>
      <c r="U66" s="97">
        <v>-0.3</v>
      </c>
      <c r="V66" s="98">
        <v>-0.2</v>
      </c>
      <c r="W66" s="96">
        <v>-0.2</v>
      </c>
      <c r="X66" s="97">
        <v>-32.299999999999997</v>
      </c>
      <c r="Y66" s="97">
        <v>-46.5</v>
      </c>
      <c r="Z66" s="98">
        <v>-57.8</v>
      </c>
      <c r="AA66" s="96">
        <v>-59</v>
      </c>
      <c r="AB66" s="97">
        <v>-63.800000000000004</v>
      </c>
      <c r="AC66" s="97">
        <v>-69</v>
      </c>
      <c r="AD66" s="98">
        <v>-0.8</v>
      </c>
      <c r="AE66" s="96">
        <v>-1.1000000000000001</v>
      </c>
      <c r="AF66" s="97">
        <v>-1</v>
      </c>
      <c r="AG66" s="97">
        <v>-1.2</v>
      </c>
      <c r="AH66" s="98">
        <v>-5.6</v>
      </c>
      <c r="AI66" s="97">
        <v>-44.400000000000006</v>
      </c>
      <c r="AJ66" s="97">
        <v>-61.8</v>
      </c>
      <c r="AK66" s="97">
        <v>-77.7</v>
      </c>
      <c r="AL66" s="98">
        <v>-103.1</v>
      </c>
      <c r="AM66" s="97">
        <v>-129.69999999999999</v>
      </c>
      <c r="AN66" s="97">
        <v>-0.7</v>
      </c>
      <c r="AO66" s="97">
        <v>-0.9</v>
      </c>
      <c r="AP66" s="98">
        <v>-16.600000000000001</v>
      </c>
      <c r="AQ66" s="97">
        <v>-15.9</v>
      </c>
      <c r="AR66" s="97">
        <v>-15.6</v>
      </c>
      <c r="AS66" s="97">
        <v>-15.6</v>
      </c>
      <c r="AT66" s="98">
        <v>-15.7</v>
      </c>
    </row>
    <row r="67" spans="1:46" s="268" customFormat="1" ht="11.25">
      <c r="A67" s="284" t="s">
        <v>474</v>
      </c>
      <c r="B67" s="284" t="s">
        <v>90</v>
      </c>
      <c r="C67" s="96">
        <v>-8</v>
      </c>
      <c r="D67" s="97">
        <v>-8</v>
      </c>
      <c r="E67" s="97">
        <v>-8</v>
      </c>
      <c r="F67" s="97">
        <v>-8</v>
      </c>
      <c r="G67" s="96">
        <v>-8</v>
      </c>
      <c r="H67" s="97">
        <v>-8</v>
      </c>
      <c r="I67" s="97">
        <v>-8</v>
      </c>
      <c r="J67" s="98">
        <v>-8</v>
      </c>
      <c r="K67" s="96">
        <v>-8</v>
      </c>
      <c r="L67" s="97">
        <v>-8</v>
      </c>
      <c r="M67" s="97">
        <v>-8</v>
      </c>
      <c r="N67" s="98">
        <v>-8</v>
      </c>
      <c r="O67" s="96">
        <v>-8</v>
      </c>
      <c r="P67" s="97">
        <v>-8</v>
      </c>
      <c r="Q67" s="97">
        <v>-4.5999999999999996</v>
      </c>
      <c r="R67" s="98">
        <v>-4.5999999999999996</v>
      </c>
      <c r="S67" s="96">
        <v>-4.5999999999999996</v>
      </c>
      <c r="T67" s="97">
        <v>-4.7</v>
      </c>
      <c r="U67" s="97">
        <v>-4.7</v>
      </c>
      <c r="V67" s="98">
        <v>-4.5999999999999996</v>
      </c>
      <c r="W67" s="96">
        <v>-4.5999999999999996</v>
      </c>
      <c r="X67" s="97">
        <v>-4.7</v>
      </c>
      <c r="Y67" s="97">
        <v>-4.7</v>
      </c>
      <c r="Z67" s="98">
        <v>-4.7</v>
      </c>
      <c r="AA67" s="96">
        <v>-4.7</v>
      </c>
      <c r="AB67" s="97">
        <v>-4.7</v>
      </c>
      <c r="AC67" s="97">
        <v>-4.7</v>
      </c>
      <c r="AD67" s="98">
        <v>-4.7</v>
      </c>
      <c r="AE67" s="96">
        <v>-4.7</v>
      </c>
      <c r="AF67" s="97">
        <v>-4.7</v>
      </c>
      <c r="AG67" s="97">
        <v>-4.7</v>
      </c>
      <c r="AH67" s="98">
        <v>-4.7</v>
      </c>
      <c r="AI67" s="97">
        <v>0</v>
      </c>
      <c r="AJ67" s="97">
        <v>0</v>
      </c>
      <c r="AK67" s="97">
        <v>0</v>
      </c>
      <c r="AL67" s="98">
        <v>0</v>
      </c>
      <c r="AM67" s="97">
        <v>0</v>
      </c>
      <c r="AN67" s="97">
        <v>0</v>
      </c>
      <c r="AO67" s="97">
        <v>0</v>
      </c>
      <c r="AP67" s="98">
        <v>0</v>
      </c>
      <c r="AQ67" s="97">
        <v>0</v>
      </c>
      <c r="AR67" s="97">
        <v>0</v>
      </c>
      <c r="AS67" s="97">
        <v>0</v>
      </c>
      <c r="AT67" s="98">
        <v>0</v>
      </c>
    </row>
    <row r="68" spans="1:46" s="270" customFormat="1" ht="11.25">
      <c r="A68" s="286" t="s">
        <v>468</v>
      </c>
      <c r="B68" s="286" t="s">
        <v>443</v>
      </c>
      <c r="C68" s="81">
        <f>SUM(C69:C72)</f>
        <v>-266.10000000000002</v>
      </c>
      <c r="D68" s="82">
        <f t="shared" ref="D68:AD68" si="88">SUM(D69:D72)</f>
        <v>-227.1</v>
      </c>
      <c r="E68" s="82">
        <f t="shared" si="88"/>
        <v>-216.99999999999997</v>
      </c>
      <c r="F68" s="82">
        <f t="shared" si="88"/>
        <v>-226.20000000000002</v>
      </c>
      <c r="G68" s="81">
        <f t="shared" si="88"/>
        <v>-230.5</v>
      </c>
      <c r="H68" s="82">
        <f t="shared" si="88"/>
        <v>-144.4</v>
      </c>
      <c r="I68" s="82">
        <f t="shared" si="88"/>
        <v>-149</v>
      </c>
      <c r="J68" s="83">
        <f t="shared" si="88"/>
        <v>-186.29999999999998</v>
      </c>
      <c r="K68" s="81">
        <f t="shared" si="88"/>
        <v>-200.4</v>
      </c>
      <c r="L68" s="82">
        <f t="shared" si="88"/>
        <v>-210.7</v>
      </c>
      <c r="M68" s="82">
        <f t="shared" si="88"/>
        <v>-235.29999999999998</v>
      </c>
      <c r="N68" s="83">
        <f t="shared" si="88"/>
        <v>-257</v>
      </c>
      <c r="O68" s="81">
        <f t="shared" si="88"/>
        <v>-275.8</v>
      </c>
      <c r="P68" s="82">
        <f t="shared" si="88"/>
        <v>-288.10000000000002</v>
      </c>
      <c r="Q68" s="82">
        <f t="shared" si="88"/>
        <v>-301.10000000000002</v>
      </c>
      <c r="R68" s="83">
        <f t="shared" si="88"/>
        <v>-320</v>
      </c>
      <c r="S68" s="81">
        <f t="shared" si="88"/>
        <v>-351.20000000000005</v>
      </c>
      <c r="T68" s="82">
        <f t="shared" si="88"/>
        <v>-348.40000000000003</v>
      </c>
      <c r="U68" s="82">
        <f t="shared" si="88"/>
        <v>-366.5</v>
      </c>
      <c r="V68" s="83">
        <f t="shared" si="88"/>
        <v>-377.50000000000006</v>
      </c>
      <c r="W68" s="81">
        <f t="shared" si="88"/>
        <v>-395.8</v>
      </c>
      <c r="X68" s="82">
        <f t="shared" si="88"/>
        <v>-424.7</v>
      </c>
      <c r="Y68" s="82">
        <f t="shared" si="88"/>
        <v>-446.40000000000003</v>
      </c>
      <c r="Z68" s="83">
        <f t="shared" si="88"/>
        <v>-467.20000000000005</v>
      </c>
      <c r="AA68" s="81">
        <f t="shared" si="88"/>
        <v>-503.8</v>
      </c>
      <c r="AB68" s="82">
        <f t="shared" si="88"/>
        <v>-565.20000000000005</v>
      </c>
      <c r="AC68" s="82">
        <f t="shared" si="88"/>
        <v>-478.5</v>
      </c>
      <c r="AD68" s="83">
        <f t="shared" si="88"/>
        <v>-495.5</v>
      </c>
      <c r="AE68" s="81">
        <f t="shared" ref="AE68:AJ68" si="89">SUM(AE69:AE72)</f>
        <v>-536</v>
      </c>
      <c r="AF68" s="82">
        <f t="shared" si="89"/>
        <v>-549.19999999999993</v>
      </c>
      <c r="AG68" s="82">
        <f t="shared" si="89"/>
        <v>-570.70000000000016</v>
      </c>
      <c r="AH68" s="83">
        <f t="shared" si="89"/>
        <v>-597.70000000000005</v>
      </c>
      <c r="AI68" s="82">
        <f t="shared" si="89"/>
        <v>-631.30000000000007</v>
      </c>
      <c r="AJ68" s="82">
        <f t="shared" si="89"/>
        <v>-644.9</v>
      </c>
      <c r="AK68" s="82">
        <f t="shared" ref="AK68:AT68" si="90">SUM(AK69:AK72)</f>
        <v>-546.80000000000007</v>
      </c>
      <c r="AL68" s="83">
        <f t="shared" si="90"/>
        <v>-555.4</v>
      </c>
      <c r="AM68" s="82">
        <f t="shared" si="90"/>
        <v>-531.9</v>
      </c>
      <c r="AN68" s="82">
        <f t="shared" si="90"/>
        <v>-560.29999999999995</v>
      </c>
      <c r="AO68" s="82">
        <f t="shared" si="90"/>
        <v>-516.40000000000009</v>
      </c>
      <c r="AP68" s="83">
        <f t="shared" si="90"/>
        <v>-584.6</v>
      </c>
      <c r="AQ68" s="82">
        <f t="shared" si="90"/>
        <v>-623.29999999999995</v>
      </c>
      <c r="AR68" s="82">
        <f t="shared" si="90"/>
        <v>-659.30000000000007</v>
      </c>
      <c r="AS68" s="82">
        <f t="shared" si="90"/>
        <v>-664.6</v>
      </c>
      <c r="AT68" s="82">
        <f t="shared" si="90"/>
        <v>-695.6</v>
      </c>
    </row>
    <row r="69" spans="1:46" s="268" customFormat="1" ht="11.25">
      <c r="A69" s="284" t="s">
        <v>471</v>
      </c>
      <c r="B69" s="284" t="s">
        <v>81</v>
      </c>
      <c r="C69" s="96">
        <v>-264.3</v>
      </c>
      <c r="D69" s="97">
        <v>-225.3</v>
      </c>
      <c r="E69" s="97">
        <v>-215.2</v>
      </c>
      <c r="F69" s="97">
        <v>-224.3</v>
      </c>
      <c r="G69" s="96">
        <v>-228.6</v>
      </c>
      <c r="H69" s="97">
        <v>-142.80000000000001</v>
      </c>
      <c r="I69" s="97">
        <v>-147.4</v>
      </c>
      <c r="J69" s="98">
        <v>-184.7</v>
      </c>
      <c r="K69" s="96">
        <v>-198.8</v>
      </c>
      <c r="L69" s="97">
        <v>-209.1</v>
      </c>
      <c r="M69" s="97">
        <v>-233.7</v>
      </c>
      <c r="N69" s="98">
        <v>-255.4</v>
      </c>
      <c r="O69" s="96">
        <v>-274.2</v>
      </c>
      <c r="P69" s="97">
        <v>-286.5</v>
      </c>
      <c r="Q69" s="97">
        <v>-299.5</v>
      </c>
      <c r="R69" s="98">
        <v>-318.39999999999998</v>
      </c>
      <c r="S69" s="96">
        <v>-349.5</v>
      </c>
      <c r="T69" s="97">
        <v>-346.8</v>
      </c>
      <c r="U69" s="97">
        <v>-364.8</v>
      </c>
      <c r="V69" s="98">
        <v>-375.8</v>
      </c>
      <c r="W69" s="96">
        <v>-394</v>
      </c>
      <c r="X69" s="97">
        <v>-422.8</v>
      </c>
      <c r="Y69" s="97">
        <v>-444.5</v>
      </c>
      <c r="Z69" s="98">
        <v>-465.8</v>
      </c>
      <c r="AA69" s="96">
        <v>-502.6</v>
      </c>
      <c r="AB69" s="97">
        <v>-563.70000000000005</v>
      </c>
      <c r="AC69" s="97">
        <v>-477.5</v>
      </c>
      <c r="AD69" s="98">
        <v>-494.6</v>
      </c>
      <c r="AE69" s="96">
        <v>-534.9</v>
      </c>
      <c r="AF69" s="97">
        <v>-547.79999999999995</v>
      </c>
      <c r="AG69" s="97">
        <v>-569.30000000000007</v>
      </c>
      <c r="AH69" s="98">
        <v>-596.30000000000007</v>
      </c>
      <c r="AI69" s="97">
        <v>-629.90000000000009</v>
      </c>
      <c r="AJ69" s="97">
        <v>-643.4</v>
      </c>
      <c r="AK69" s="97">
        <v>-544.20000000000005</v>
      </c>
      <c r="AL69" s="98">
        <v>-553.29999999999995</v>
      </c>
      <c r="AM69" s="97">
        <v>-529.5</v>
      </c>
      <c r="AN69" s="97">
        <v>-557.29999999999995</v>
      </c>
      <c r="AO69" s="97">
        <v>-513.70000000000005</v>
      </c>
      <c r="AP69" s="98">
        <v>-582.1</v>
      </c>
      <c r="AQ69" s="97">
        <v>-620.4</v>
      </c>
      <c r="AR69" s="97">
        <v>-655.7</v>
      </c>
      <c r="AS69" s="97">
        <v>-658.6</v>
      </c>
      <c r="AT69" s="98">
        <v>-689.8</v>
      </c>
    </row>
    <row r="70" spans="1:46" s="268" customFormat="1" ht="11.25">
      <c r="A70" s="281" t="s">
        <v>472</v>
      </c>
      <c r="B70" s="281" t="s">
        <v>82</v>
      </c>
      <c r="C70" s="96">
        <v>0</v>
      </c>
      <c r="D70" s="97">
        <v>0</v>
      </c>
      <c r="E70" s="97">
        <v>0</v>
      </c>
      <c r="F70" s="97">
        <v>0</v>
      </c>
      <c r="G70" s="96">
        <v>0</v>
      </c>
      <c r="H70" s="97">
        <v>0</v>
      </c>
      <c r="I70" s="97">
        <v>0</v>
      </c>
      <c r="J70" s="98">
        <v>0</v>
      </c>
      <c r="K70" s="96">
        <v>0</v>
      </c>
      <c r="L70" s="97">
        <v>0</v>
      </c>
      <c r="M70" s="97">
        <v>0</v>
      </c>
      <c r="N70" s="98">
        <v>0</v>
      </c>
      <c r="O70" s="96">
        <v>0</v>
      </c>
      <c r="P70" s="97">
        <v>0</v>
      </c>
      <c r="Q70" s="97">
        <v>0</v>
      </c>
      <c r="R70" s="98">
        <v>0</v>
      </c>
      <c r="S70" s="96">
        <v>0</v>
      </c>
      <c r="T70" s="97">
        <v>0</v>
      </c>
      <c r="U70" s="97">
        <v>0</v>
      </c>
      <c r="V70" s="98">
        <v>0</v>
      </c>
      <c r="W70" s="96">
        <v>-0.2</v>
      </c>
      <c r="X70" s="97">
        <v>-0.2</v>
      </c>
      <c r="Y70" s="97">
        <v>-0.3</v>
      </c>
      <c r="Z70" s="98">
        <v>-0.3</v>
      </c>
      <c r="AA70" s="96">
        <v>-0.2</v>
      </c>
      <c r="AB70" s="97">
        <v>-0.2</v>
      </c>
      <c r="AC70" s="97">
        <f>-0.2</f>
        <v>-0.2</v>
      </c>
      <c r="AD70" s="98">
        <v>-0.2</v>
      </c>
      <c r="AE70" s="96">
        <v>-0.6</v>
      </c>
      <c r="AF70" s="97">
        <v>-0.8</v>
      </c>
      <c r="AG70" s="97">
        <v>-0.7</v>
      </c>
      <c r="AH70" s="98">
        <v>-0.8</v>
      </c>
      <c r="AI70" s="97">
        <v>-0.8</v>
      </c>
      <c r="AJ70" s="97">
        <v>-0.9</v>
      </c>
      <c r="AK70" s="97">
        <v>-2</v>
      </c>
      <c r="AL70" s="98">
        <v>-1.5</v>
      </c>
      <c r="AM70" s="97">
        <v>-1.8</v>
      </c>
      <c r="AN70" s="97">
        <v>-1.9</v>
      </c>
      <c r="AO70" s="97">
        <v>-1.5</v>
      </c>
      <c r="AP70" s="98">
        <v>-1.6</v>
      </c>
      <c r="AQ70" s="97">
        <v>-2</v>
      </c>
      <c r="AR70" s="97">
        <v>-2.2000000000000002</v>
      </c>
      <c r="AS70" s="97">
        <v>-2.9</v>
      </c>
      <c r="AT70" s="98">
        <v>-2.7</v>
      </c>
    </row>
    <row r="71" spans="1:46" s="268" customFormat="1" ht="11.25">
      <c r="A71" s="281" t="s">
        <v>473</v>
      </c>
      <c r="B71" s="281" t="s">
        <v>83</v>
      </c>
      <c r="C71" s="96">
        <v>-1.2</v>
      </c>
      <c r="D71" s="97">
        <v>-1.2</v>
      </c>
      <c r="E71" s="97">
        <v>-1.2</v>
      </c>
      <c r="F71" s="97">
        <v>-1.3</v>
      </c>
      <c r="G71" s="96">
        <v>-1.3</v>
      </c>
      <c r="H71" s="97">
        <v>-1</v>
      </c>
      <c r="I71" s="97">
        <v>-1</v>
      </c>
      <c r="J71" s="98">
        <v>-1</v>
      </c>
      <c r="K71" s="96">
        <v>-1</v>
      </c>
      <c r="L71" s="97">
        <v>-1</v>
      </c>
      <c r="M71" s="97">
        <v>-1</v>
      </c>
      <c r="N71" s="98">
        <v>-1</v>
      </c>
      <c r="O71" s="96">
        <v>-1</v>
      </c>
      <c r="P71" s="97">
        <v>-1</v>
      </c>
      <c r="Q71" s="97">
        <v>-1</v>
      </c>
      <c r="R71" s="98">
        <v>-1</v>
      </c>
      <c r="S71" s="96">
        <v>-1.1000000000000001</v>
      </c>
      <c r="T71" s="97">
        <v>-1.1000000000000001</v>
      </c>
      <c r="U71" s="97">
        <v>-1.2</v>
      </c>
      <c r="V71" s="98">
        <v>-1.1000000000000001</v>
      </c>
      <c r="W71" s="96">
        <v>-1.1000000000000001</v>
      </c>
      <c r="X71" s="97">
        <v>-1.2</v>
      </c>
      <c r="Y71" s="97">
        <v>-1.1000000000000001</v>
      </c>
      <c r="Z71" s="98">
        <v>-0.6</v>
      </c>
      <c r="AA71" s="96">
        <v>-0.5</v>
      </c>
      <c r="AB71" s="97">
        <v>-0.8</v>
      </c>
      <c r="AC71" s="97">
        <v>-0.3</v>
      </c>
      <c r="AD71" s="98">
        <v>-0.2</v>
      </c>
      <c r="AE71" s="96">
        <v>0</v>
      </c>
      <c r="AF71" s="97">
        <v>-0.1</v>
      </c>
      <c r="AG71" s="97">
        <v>-0.2</v>
      </c>
      <c r="AH71" s="98">
        <v>-0.1</v>
      </c>
      <c r="AI71" s="97">
        <v>-0.1</v>
      </c>
      <c r="AJ71" s="97">
        <v>-0.1</v>
      </c>
      <c r="AK71" s="97">
        <v>-0.1</v>
      </c>
      <c r="AL71" s="98">
        <v>-0.1</v>
      </c>
      <c r="AM71" s="97">
        <v>-0.1</v>
      </c>
      <c r="AN71" s="97">
        <v>-0.6</v>
      </c>
      <c r="AO71" s="97">
        <v>-0.7</v>
      </c>
      <c r="AP71" s="98">
        <v>-0.9</v>
      </c>
      <c r="AQ71" s="97">
        <v>-0.9</v>
      </c>
      <c r="AR71" s="97">
        <v>-1.4</v>
      </c>
      <c r="AS71" s="97">
        <v>-3.1</v>
      </c>
      <c r="AT71" s="98">
        <v>-3.1</v>
      </c>
    </row>
    <row r="72" spans="1:46" s="268" customFormat="1" ht="11.25">
      <c r="A72" s="161" t="s">
        <v>474</v>
      </c>
      <c r="B72" s="161" t="s">
        <v>90</v>
      </c>
      <c r="C72" s="96">
        <v>-0.59999999999999964</v>
      </c>
      <c r="D72" s="97">
        <v>-0.59999999999999964</v>
      </c>
      <c r="E72" s="97">
        <v>-0.59999999999999964</v>
      </c>
      <c r="F72" s="97">
        <v>-0.59999999999999964</v>
      </c>
      <c r="G72" s="96">
        <v>-0.59999999999999964</v>
      </c>
      <c r="H72" s="97">
        <v>-0.59999999999999964</v>
      </c>
      <c r="I72" s="97">
        <v>-0.59999999999999964</v>
      </c>
      <c r="J72" s="97">
        <v>-0.59999999999999964</v>
      </c>
      <c r="K72" s="96">
        <v>-0.59999999999999964</v>
      </c>
      <c r="L72" s="97">
        <v>-0.59999999999999964</v>
      </c>
      <c r="M72" s="97">
        <v>-0.59999999999999964</v>
      </c>
      <c r="N72" s="98">
        <v>-0.59999999999999964</v>
      </c>
      <c r="O72" s="96">
        <v>-0.59999999999999964</v>
      </c>
      <c r="P72" s="97">
        <v>-0.59999999999999964</v>
      </c>
      <c r="Q72" s="97">
        <v>-0.60000000000000053</v>
      </c>
      <c r="R72" s="98">
        <v>-0.60000000000000053</v>
      </c>
      <c r="S72" s="96">
        <v>-0.60000000000000053</v>
      </c>
      <c r="T72" s="97">
        <v>-0.5</v>
      </c>
      <c r="U72" s="97">
        <v>-0.5</v>
      </c>
      <c r="V72" s="98">
        <v>-0.60000000000000053</v>
      </c>
      <c r="W72" s="96">
        <v>-0.5</v>
      </c>
      <c r="X72" s="97">
        <v>-0.5</v>
      </c>
      <c r="Y72" s="97">
        <v>-0.5</v>
      </c>
      <c r="Z72" s="98">
        <v>-0.5</v>
      </c>
      <c r="AA72" s="96">
        <v>-0.5</v>
      </c>
      <c r="AB72" s="97">
        <v>-0.5</v>
      </c>
      <c r="AC72" s="97">
        <v>-0.5</v>
      </c>
      <c r="AD72" s="98">
        <v>-0.5</v>
      </c>
      <c r="AE72" s="96">
        <v>-0.5</v>
      </c>
      <c r="AF72" s="97">
        <v>-0.5</v>
      </c>
      <c r="AG72" s="97">
        <v>-0.5</v>
      </c>
      <c r="AH72" s="98">
        <v>-0.5</v>
      </c>
      <c r="AI72" s="97">
        <v>-0.5</v>
      </c>
      <c r="AJ72" s="97">
        <v>-0.5</v>
      </c>
      <c r="AK72" s="97">
        <v>-0.5</v>
      </c>
      <c r="AL72" s="98">
        <v>-0.5</v>
      </c>
      <c r="AM72" s="97">
        <v>-0.5</v>
      </c>
      <c r="AN72" s="97">
        <v>-0.5</v>
      </c>
      <c r="AO72" s="97">
        <v>-0.5</v>
      </c>
      <c r="AP72" s="98">
        <v>0</v>
      </c>
      <c r="AQ72" s="97">
        <v>0</v>
      </c>
      <c r="AR72" s="97">
        <v>0</v>
      </c>
      <c r="AS72" s="97">
        <v>0</v>
      </c>
      <c r="AT72" s="98">
        <v>0</v>
      </c>
    </row>
    <row r="73" spans="1:46" s="271" customFormat="1" ht="16.899999999999999" customHeight="1">
      <c r="A73" s="57" t="s">
        <v>259</v>
      </c>
      <c r="B73" s="57" t="s">
        <v>88</v>
      </c>
      <c r="C73" s="86">
        <f t="shared" ref="C73:AD73" si="91">C60+C61</f>
        <v>10936.4</v>
      </c>
      <c r="D73" s="87">
        <f t="shared" si="91"/>
        <v>11871.600000000002</v>
      </c>
      <c r="E73" s="87">
        <f t="shared" si="91"/>
        <v>12740.500000000002</v>
      </c>
      <c r="F73" s="87">
        <f t="shared" si="91"/>
        <v>13374.599999999999</v>
      </c>
      <c r="G73" s="86">
        <f t="shared" si="91"/>
        <v>14847.1</v>
      </c>
      <c r="H73" s="87">
        <f t="shared" si="91"/>
        <v>16219.1</v>
      </c>
      <c r="I73" s="87">
        <f t="shared" si="91"/>
        <v>18175.900000000001</v>
      </c>
      <c r="J73" s="88">
        <f t="shared" si="91"/>
        <v>19872.3</v>
      </c>
      <c r="K73" s="86">
        <f t="shared" si="91"/>
        <v>21133</v>
      </c>
      <c r="L73" s="87">
        <f t="shared" si="91"/>
        <v>21306.3</v>
      </c>
      <c r="M73" s="87">
        <f t="shared" si="91"/>
        <v>21405.799999999996</v>
      </c>
      <c r="N73" s="88">
        <f t="shared" si="91"/>
        <v>21370.2</v>
      </c>
      <c r="O73" s="86">
        <f t="shared" si="91"/>
        <v>21705.399999999998</v>
      </c>
      <c r="P73" s="87">
        <f t="shared" si="91"/>
        <v>22864.799999999999</v>
      </c>
      <c r="Q73" s="87">
        <f t="shared" si="91"/>
        <v>24292.400000000001</v>
      </c>
      <c r="R73" s="88">
        <f t="shared" si="91"/>
        <v>25223.8</v>
      </c>
      <c r="S73" s="86">
        <f t="shared" si="91"/>
        <v>26088.6</v>
      </c>
      <c r="T73" s="87">
        <f t="shared" si="91"/>
        <v>27686.6</v>
      </c>
      <c r="U73" s="87">
        <f t="shared" si="91"/>
        <v>29593.499999999996</v>
      </c>
      <c r="V73" s="88">
        <f t="shared" si="91"/>
        <v>31635.8</v>
      </c>
      <c r="W73" s="86">
        <f t="shared" si="91"/>
        <v>38737.599999999999</v>
      </c>
      <c r="X73" s="87">
        <f t="shared" si="91"/>
        <v>39331.9</v>
      </c>
      <c r="Y73" s="87">
        <f t="shared" si="91"/>
        <v>40103.599999999999</v>
      </c>
      <c r="Z73" s="88">
        <f t="shared" si="91"/>
        <v>39645</v>
      </c>
      <c r="AA73" s="86">
        <f t="shared" si="91"/>
        <v>40060</v>
      </c>
      <c r="AB73" s="87">
        <f t="shared" si="91"/>
        <v>41569.4</v>
      </c>
      <c r="AC73" s="87">
        <f t="shared" si="91"/>
        <v>43262.099999999991</v>
      </c>
      <c r="AD73" s="88">
        <f t="shared" si="91"/>
        <v>43409.099999999991</v>
      </c>
      <c r="AE73" s="86">
        <f t="shared" ref="AE73:AJ73" si="92">AE60+AE61</f>
        <v>45744.6</v>
      </c>
      <c r="AF73" s="87">
        <f t="shared" si="92"/>
        <v>48332.400000000009</v>
      </c>
      <c r="AG73" s="87">
        <f t="shared" si="92"/>
        <v>51030.6</v>
      </c>
      <c r="AH73" s="88">
        <f t="shared" si="92"/>
        <v>51461.1</v>
      </c>
      <c r="AI73" s="87">
        <f t="shared" si="92"/>
        <v>54115.900000000009</v>
      </c>
      <c r="AJ73" s="87">
        <f t="shared" si="92"/>
        <v>58468.7</v>
      </c>
      <c r="AK73" s="87">
        <f t="shared" ref="AK73:AT73" si="93">AK60+AK61</f>
        <v>61918.399999999994</v>
      </c>
      <c r="AL73" s="88">
        <f t="shared" si="93"/>
        <v>62285.600000000006</v>
      </c>
      <c r="AM73" s="87">
        <f t="shared" si="93"/>
        <v>65329.900000000016</v>
      </c>
      <c r="AN73" s="87">
        <f t="shared" si="93"/>
        <v>68319.400000000009</v>
      </c>
      <c r="AO73" s="87">
        <f t="shared" si="93"/>
        <v>70845.099999999991</v>
      </c>
      <c r="AP73" s="88">
        <f t="shared" si="93"/>
        <v>72306.2</v>
      </c>
      <c r="AQ73" s="87">
        <f t="shared" si="93"/>
        <v>74940.800000000003</v>
      </c>
      <c r="AR73" s="87">
        <f t="shared" si="93"/>
        <v>77554.600000000006</v>
      </c>
      <c r="AS73" s="87">
        <f t="shared" si="93"/>
        <v>80899.999999999985</v>
      </c>
      <c r="AT73" s="87">
        <f t="shared" si="93"/>
        <v>81741.900000000009</v>
      </c>
    </row>
    <row r="74" spans="1:46" s="267" customFormat="1" ht="11.25">
      <c r="A74" s="282"/>
      <c r="B74" s="282"/>
      <c r="C74" s="29"/>
      <c r="D74" s="30"/>
      <c r="E74" s="30"/>
      <c r="F74" s="30"/>
      <c r="G74" s="29"/>
      <c r="H74" s="30"/>
      <c r="I74" s="30"/>
      <c r="J74" s="31"/>
      <c r="K74" s="29"/>
      <c r="L74" s="30"/>
      <c r="M74" s="30"/>
      <c r="N74" s="31"/>
      <c r="O74" s="29"/>
      <c r="P74" s="30"/>
      <c r="Q74" s="30"/>
      <c r="R74" s="31"/>
      <c r="S74" s="29"/>
      <c r="T74" s="30"/>
      <c r="U74" s="30"/>
      <c r="V74" s="31"/>
      <c r="W74" s="29"/>
      <c r="X74" s="30"/>
      <c r="Y74" s="30"/>
      <c r="Z74" s="31"/>
      <c r="AA74" s="29"/>
      <c r="AB74" s="30"/>
      <c r="AC74" s="30"/>
      <c r="AD74" s="31"/>
      <c r="AE74" s="29"/>
      <c r="AF74" s="30"/>
      <c r="AG74" s="30"/>
      <c r="AH74" s="31"/>
      <c r="AI74" s="30"/>
      <c r="AJ74" s="30"/>
      <c r="AK74" s="30"/>
      <c r="AL74" s="31"/>
      <c r="AM74" s="30"/>
      <c r="AN74" s="30"/>
      <c r="AO74" s="30"/>
      <c r="AP74" s="31"/>
      <c r="AQ74" s="30"/>
      <c r="AR74" s="30"/>
      <c r="AS74" s="30"/>
      <c r="AT74" s="31"/>
    </row>
    <row r="75" spans="1:46" s="267" customFormat="1" ht="11.25">
      <c r="A75" s="60" t="s">
        <v>261</v>
      </c>
      <c r="B75" s="60" t="s">
        <v>91</v>
      </c>
      <c r="C75" s="29"/>
      <c r="D75" s="30"/>
      <c r="E75" s="30"/>
      <c r="F75" s="30"/>
      <c r="G75" s="29"/>
      <c r="H75" s="30"/>
      <c r="I75" s="30"/>
      <c r="J75" s="31"/>
      <c r="K75" s="29"/>
      <c r="L75" s="30"/>
      <c r="M75" s="30"/>
      <c r="N75" s="31"/>
      <c r="O75" s="29"/>
      <c r="P75" s="30"/>
      <c r="Q75" s="30"/>
      <c r="R75" s="31"/>
      <c r="S75" s="29"/>
      <c r="T75" s="30"/>
      <c r="U75" s="30"/>
      <c r="V75" s="31"/>
      <c r="W75" s="29"/>
      <c r="X75" s="30"/>
      <c r="Y75" s="30"/>
      <c r="Z75" s="31"/>
      <c r="AA75" s="29"/>
      <c r="AB75" s="30"/>
      <c r="AC75" s="30"/>
      <c r="AD75" s="31"/>
      <c r="AE75" s="29"/>
      <c r="AF75" s="30"/>
      <c r="AG75" s="30"/>
      <c r="AH75" s="31"/>
      <c r="AI75" s="30"/>
      <c r="AJ75" s="30"/>
      <c r="AK75" s="30"/>
      <c r="AL75" s="31"/>
      <c r="AM75" s="30"/>
      <c r="AN75" s="30"/>
      <c r="AO75" s="30"/>
      <c r="AP75" s="31"/>
      <c r="AQ75" s="30"/>
      <c r="AR75" s="30"/>
      <c r="AS75" s="30"/>
      <c r="AT75" s="31"/>
    </row>
    <row r="76" spans="1:46" s="267" customFormat="1" ht="11.25">
      <c r="A76" s="28"/>
      <c r="B76" s="28"/>
      <c r="C76" s="29"/>
      <c r="D76" s="30"/>
      <c r="E76" s="30"/>
      <c r="F76" s="30"/>
      <c r="G76" s="29"/>
      <c r="H76" s="30"/>
      <c r="I76" s="30"/>
      <c r="J76" s="31"/>
      <c r="K76" s="29"/>
      <c r="L76" s="30"/>
      <c r="M76" s="30"/>
      <c r="N76" s="31"/>
      <c r="O76" s="29"/>
      <c r="P76" s="30"/>
      <c r="Q76" s="30"/>
      <c r="R76" s="31"/>
      <c r="S76" s="29"/>
      <c r="T76" s="30"/>
      <c r="U76" s="30"/>
      <c r="V76" s="31"/>
      <c r="W76" s="29"/>
      <c r="X76" s="30"/>
      <c r="Y76" s="30"/>
      <c r="Z76" s="31"/>
      <c r="AA76" s="29"/>
      <c r="AB76" s="30"/>
      <c r="AC76" s="30"/>
      <c r="AD76" s="31"/>
      <c r="AE76" s="29"/>
      <c r="AF76" s="30"/>
      <c r="AG76" s="30"/>
      <c r="AH76" s="31"/>
      <c r="AI76" s="30"/>
      <c r="AJ76" s="30"/>
      <c r="AK76" s="30"/>
      <c r="AL76" s="31"/>
      <c r="AM76" s="30"/>
      <c r="AN76" s="30"/>
      <c r="AO76" s="30"/>
      <c r="AP76" s="31"/>
      <c r="AQ76" s="30"/>
      <c r="AR76" s="30"/>
      <c r="AS76" s="30"/>
      <c r="AT76" s="31"/>
    </row>
    <row r="77" spans="1:46" s="267" customFormat="1" ht="11.25">
      <c r="A77" s="28" t="s">
        <v>255</v>
      </c>
      <c r="B77" s="28" t="s">
        <v>85</v>
      </c>
      <c r="C77" s="29">
        <f>SUM(C78:C79)</f>
        <v>627.50000000000011</v>
      </c>
      <c r="D77" s="30">
        <f t="shared" ref="D77:X77" si="94">SUM(D78:D79)</f>
        <v>604.30000000000007</v>
      </c>
      <c r="E77" s="30">
        <f t="shared" si="94"/>
        <v>612.6</v>
      </c>
      <c r="F77" s="30">
        <f t="shared" si="94"/>
        <v>695.8</v>
      </c>
      <c r="G77" s="29">
        <f t="shared" si="94"/>
        <v>668.8</v>
      </c>
      <c r="H77" s="30">
        <f t="shared" si="94"/>
        <v>672</v>
      </c>
      <c r="I77" s="30">
        <f t="shared" si="94"/>
        <v>684.7</v>
      </c>
      <c r="J77" s="31">
        <f t="shared" si="94"/>
        <v>970.9</v>
      </c>
      <c r="K77" s="29">
        <f t="shared" si="94"/>
        <v>926.80000000000007</v>
      </c>
      <c r="L77" s="30">
        <f t="shared" si="94"/>
        <v>958.9</v>
      </c>
      <c r="M77" s="30">
        <f t="shared" si="94"/>
        <v>1177.4000000000001</v>
      </c>
      <c r="N77" s="31">
        <f t="shared" si="94"/>
        <v>2305.3000000000002</v>
      </c>
      <c r="O77" s="30">
        <f t="shared" si="94"/>
        <v>2257.1</v>
      </c>
      <c r="P77" s="30">
        <f t="shared" si="94"/>
        <v>2389.1</v>
      </c>
      <c r="Q77" s="30">
        <f t="shared" si="94"/>
        <v>2472.9999999999995</v>
      </c>
      <c r="R77" s="31">
        <f t="shared" si="94"/>
        <v>2816.2</v>
      </c>
      <c r="S77" s="30">
        <f t="shared" si="94"/>
        <v>2785.2000000000003</v>
      </c>
      <c r="T77" s="30">
        <f t="shared" si="94"/>
        <v>2740.2</v>
      </c>
      <c r="U77" s="30">
        <f t="shared" si="94"/>
        <v>2890.7999999999997</v>
      </c>
      <c r="V77" s="31">
        <f t="shared" si="94"/>
        <v>3270.6</v>
      </c>
      <c r="W77" s="30">
        <f t="shared" si="94"/>
        <v>3213.8</v>
      </c>
      <c r="X77" s="30">
        <f t="shared" si="94"/>
        <v>3142.6</v>
      </c>
      <c r="Y77" s="30">
        <f t="shared" ref="Y77:AD77" si="95">SUM(Y78:Y79)</f>
        <v>3137.3</v>
      </c>
      <c r="Z77" s="31">
        <f t="shared" si="95"/>
        <v>3090.7000000000003</v>
      </c>
      <c r="AA77" s="30">
        <f t="shared" si="95"/>
        <v>3023.5</v>
      </c>
      <c r="AB77" s="30">
        <f t="shared" si="95"/>
        <v>2923.4</v>
      </c>
      <c r="AC77" s="30">
        <f t="shared" si="95"/>
        <v>2792.7</v>
      </c>
      <c r="AD77" s="31">
        <f t="shared" si="95"/>
        <v>2628.3999999999996</v>
      </c>
      <c r="AE77" s="30">
        <f t="shared" ref="AE77:AJ77" si="96">SUM(AE78:AE79)</f>
        <v>2579.2999999999997</v>
      </c>
      <c r="AF77" s="30">
        <f t="shared" si="96"/>
        <v>2524.6000000000004</v>
      </c>
      <c r="AG77" s="30">
        <f t="shared" si="96"/>
        <v>2518.2999999999997</v>
      </c>
      <c r="AH77" s="31">
        <f t="shared" si="96"/>
        <v>2660.5</v>
      </c>
      <c r="AI77" s="30">
        <f t="shared" si="96"/>
        <v>2612.6000000000004</v>
      </c>
      <c r="AJ77" s="30">
        <f t="shared" si="96"/>
        <v>2546.3000000000002</v>
      </c>
      <c r="AK77" s="30">
        <f t="shared" ref="AK77:AT77" si="97">SUM(AK78:AK79)</f>
        <v>2489.2999999999997</v>
      </c>
      <c r="AL77" s="31">
        <f t="shared" si="97"/>
        <v>2569.4</v>
      </c>
      <c r="AM77" s="30">
        <f t="shared" si="97"/>
        <v>2530.6999999999998</v>
      </c>
      <c r="AN77" s="30">
        <f t="shared" si="97"/>
        <v>2431.7000000000003</v>
      </c>
      <c r="AO77" s="30">
        <f t="shared" si="97"/>
        <v>2340.3000000000002</v>
      </c>
      <c r="AP77" s="31">
        <f t="shared" si="97"/>
        <v>2145.6</v>
      </c>
      <c r="AQ77" s="30">
        <f t="shared" si="97"/>
        <v>2100.1999999999998</v>
      </c>
      <c r="AR77" s="30">
        <f t="shared" si="97"/>
        <v>1969.5</v>
      </c>
      <c r="AS77" s="30">
        <f t="shared" si="97"/>
        <v>1875.6</v>
      </c>
      <c r="AT77" s="30">
        <f t="shared" si="97"/>
        <v>1735.9</v>
      </c>
    </row>
    <row r="78" spans="1:46" s="268" customFormat="1" ht="11.25">
      <c r="A78" s="281" t="s">
        <v>464</v>
      </c>
      <c r="B78" s="281" t="s">
        <v>86</v>
      </c>
      <c r="C78" s="52">
        <v>5.4</v>
      </c>
      <c r="D78" s="53">
        <v>10.6</v>
      </c>
      <c r="E78" s="53">
        <v>10.3</v>
      </c>
      <c r="F78" s="53">
        <v>9.9</v>
      </c>
      <c r="G78" s="52">
        <v>12</v>
      </c>
      <c r="H78" s="53">
        <v>16.3</v>
      </c>
      <c r="I78" s="53">
        <v>12.9</v>
      </c>
      <c r="J78" s="54">
        <v>11.9</v>
      </c>
      <c r="K78" s="52">
        <v>7.9</v>
      </c>
      <c r="L78" s="287">
        <f>14.8+0.1</f>
        <v>14.9</v>
      </c>
      <c r="M78" s="287">
        <f>16.8+0.1</f>
        <v>16.900000000000002</v>
      </c>
      <c r="N78" s="288">
        <v>7.5</v>
      </c>
      <c r="O78" s="287">
        <f>36.5+0.1</f>
        <v>36.6</v>
      </c>
      <c r="P78" s="287">
        <v>64</v>
      </c>
      <c r="Q78" s="287">
        <f>56+0.2</f>
        <v>56.2</v>
      </c>
      <c r="R78" s="288">
        <f>8.4+0.1</f>
        <v>8.5</v>
      </c>
      <c r="S78" s="287">
        <f>62.7+0.1</f>
        <v>62.800000000000004</v>
      </c>
      <c r="T78" s="287">
        <f>64.9+0.3</f>
        <v>65.2</v>
      </c>
      <c r="U78" s="287">
        <f>109+0.1</f>
        <v>109.1</v>
      </c>
      <c r="V78" s="288">
        <f>34.7+0.1</f>
        <v>34.800000000000004</v>
      </c>
      <c r="W78" s="287">
        <v>105.3</v>
      </c>
      <c r="X78" s="287">
        <f>114.5+0.1</f>
        <v>114.6</v>
      </c>
      <c r="Y78" s="287">
        <f>86.4+0.1</f>
        <v>86.5</v>
      </c>
      <c r="Z78" s="288">
        <f>9.5+0.3</f>
        <v>9.8000000000000007</v>
      </c>
      <c r="AA78" s="287">
        <f>64+0.2</f>
        <v>64.2</v>
      </c>
      <c r="AB78" s="287">
        <f>100.4+0.1</f>
        <v>100.5</v>
      </c>
      <c r="AC78" s="287">
        <f>132.4+0.1</f>
        <v>132.5</v>
      </c>
      <c r="AD78" s="288">
        <f>32.6+0.1</f>
        <v>32.700000000000003</v>
      </c>
      <c r="AE78" s="287">
        <f>86.5+0.1</f>
        <v>86.6</v>
      </c>
      <c r="AF78" s="287">
        <f>108.2+0.1</f>
        <v>108.3</v>
      </c>
      <c r="AG78" s="287">
        <f>93.1+0.1</f>
        <v>93.199999999999989</v>
      </c>
      <c r="AH78" s="288">
        <f>6.7+0.1</f>
        <v>6.8</v>
      </c>
      <c r="AI78" s="53">
        <v>88.8</v>
      </c>
      <c r="AJ78" s="53">
        <v>76.400000000000006</v>
      </c>
      <c r="AK78" s="53">
        <v>77.599999999999994</v>
      </c>
      <c r="AL78" s="54">
        <v>6.8</v>
      </c>
      <c r="AM78" s="53">
        <v>85.5</v>
      </c>
      <c r="AN78" s="53">
        <v>103.8</v>
      </c>
      <c r="AO78" s="53">
        <v>110.5</v>
      </c>
      <c r="AP78" s="54">
        <v>7.4</v>
      </c>
      <c r="AQ78" s="53">
        <v>88.7</v>
      </c>
      <c r="AR78" s="53">
        <v>79.3</v>
      </c>
      <c r="AS78" s="53">
        <v>85.5</v>
      </c>
      <c r="AT78" s="54">
        <v>5.5</v>
      </c>
    </row>
    <row r="79" spans="1:46" s="268" customFormat="1" ht="11.25">
      <c r="A79" s="281" t="s">
        <v>465</v>
      </c>
      <c r="B79" s="281" t="s">
        <v>87</v>
      </c>
      <c r="C79" s="52">
        <f>623.7+1.7-3.3</f>
        <v>622.10000000000014</v>
      </c>
      <c r="D79" s="53">
        <f>593.1+2-1.4</f>
        <v>593.70000000000005</v>
      </c>
      <c r="E79" s="53">
        <f>600.5+3.2-1.4</f>
        <v>602.30000000000007</v>
      </c>
      <c r="F79" s="53">
        <f>687.3-1.4</f>
        <v>685.9</v>
      </c>
      <c r="G79" s="52">
        <f>658-1.2</f>
        <v>656.8</v>
      </c>
      <c r="H79" s="53">
        <f>658.7-3</f>
        <v>655.7</v>
      </c>
      <c r="I79" s="53">
        <f>675.2-3.4</f>
        <v>671.80000000000007</v>
      </c>
      <c r="J79" s="54">
        <f>962-3</f>
        <v>959</v>
      </c>
      <c r="K79" s="52">
        <f>921.7-2.8</f>
        <v>918.90000000000009</v>
      </c>
      <c r="L79" s="53">
        <f>944.7-0.7</f>
        <v>944</v>
      </c>
      <c r="M79" s="53">
        <v>1160.5</v>
      </c>
      <c r="N79" s="54">
        <v>2297.8000000000002</v>
      </c>
      <c r="O79" s="53">
        <v>2220.5</v>
      </c>
      <c r="P79" s="53">
        <f>2325.7-0.6</f>
        <v>2325.1</v>
      </c>
      <c r="Q79" s="53">
        <f>2423.2-6.4</f>
        <v>2416.7999999999997</v>
      </c>
      <c r="R79" s="54">
        <v>2807.7</v>
      </c>
      <c r="S79" s="53">
        <v>2722.4</v>
      </c>
      <c r="T79" s="53">
        <f>-0.6+2675.6</f>
        <v>2675</v>
      </c>
      <c r="U79" s="53">
        <f>-0.8+2782.5</f>
        <v>2781.7</v>
      </c>
      <c r="V79" s="54">
        <v>3235.7999999999997</v>
      </c>
      <c r="W79" s="53">
        <v>3108.5</v>
      </c>
      <c r="X79" s="53">
        <v>3028</v>
      </c>
      <c r="Y79" s="53">
        <v>3050.8</v>
      </c>
      <c r="Z79" s="54">
        <v>3080.9</v>
      </c>
      <c r="AA79" s="53">
        <v>2959.3</v>
      </c>
      <c r="AB79" s="53">
        <v>2822.9</v>
      </c>
      <c r="AC79" s="53">
        <v>2660.2</v>
      </c>
      <c r="AD79" s="54">
        <v>2595.6999999999998</v>
      </c>
      <c r="AE79" s="53">
        <v>2492.6999999999998</v>
      </c>
      <c r="AF79" s="53">
        <v>2416.3000000000002</v>
      </c>
      <c r="AG79" s="53">
        <v>2425.1</v>
      </c>
      <c r="AH79" s="54">
        <v>2653.7</v>
      </c>
      <c r="AI79" s="53">
        <v>2523.8000000000002</v>
      </c>
      <c r="AJ79" s="53">
        <v>2469.9</v>
      </c>
      <c r="AK79" s="53">
        <v>2411.6999999999998</v>
      </c>
      <c r="AL79" s="54">
        <v>2562.6</v>
      </c>
      <c r="AM79" s="53">
        <v>2445.1999999999998</v>
      </c>
      <c r="AN79" s="53">
        <v>2327.9</v>
      </c>
      <c r="AO79" s="53">
        <v>2229.8000000000002</v>
      </c>
      <c r="AP79" s="54">
        <v>2138.1999999999998</v>
      </c>
      <c r="AQ79" s="53">
        <v>2011.5</v>
      </c>
      <c r="AR79" s="53">
        <v>1890.2</v>
      </c>
      <c r="AS79" s="53">
        <v>1790.1</v>
      </c>
      <c r="AT79" s="54">
        <v>1730.4</v>
      </c>
    </row>
    <row r="80" spans="1:46" s="267" customFormat="1" ht="11.25">
      <c r="A80" s="28" t="s">
        <v>475</v>
      </c>
      <c r="B80" s="28" t="s">
        <v>76</v>
      </c>
      <c r="C80" s="29">
        <v>0</v>
      </c>
      <c r="D80" s="30">
        <v>0</v>
      </c>
      <c r="E80" s="30">
        <v>0</v>
      </c>
      <c r="F80" s="30">
        <v>0</v>
      </c>
      <c r="G80" s="29">
        <v>0</v>
      </c>
      <c r="H80" s="30">
        <v>0</v>
      </c>
      <c r="I80" s="30">
        <v>0</v>
      </c>
      <c r="J80" s="31">
        <v>0</v>
      </c>
      <c r="K80" s="29">
        <v>0</v>
      </c>
      <c r="L80" s="30">
        <v>0</v>
      </c>
      <c r="M80" s="30">
        <v>0</v>
      </c>
      <c r="N80" s="31">
        <v>0</v>
      </c>
      <c r="O80" s="30">
        <v>0</v>
      </c>
      <c r="P80" s="30">
        <v>0</v>
      </c>
      <c r="Q80" s="30">
        <v>0</v>
      </c>
      <c r="R80" s="31">
        <v>0</v>
      </c>
      <c r="S80" s="30">
        <v>0</v>
      </c>
      <c r="T80" s="30">
        <v>0</v>
      </c>
      <c r="U80" s="30">
        <v>0</v>
      </c>
      <c r="V80" s="31">
        <v>0</v>
      </c>
      <c r="W80" s="30">
        <v>177.5</v>
      </c>
      <c r="X80" s="30">
        <v>172.6</v>
      </c>
      <c r="Y80" s="30">
        <v>11.1</v>
      </c>
      <c r="Z80" s="31">
        <v>12.6</v>
      </c>
      <c r="AA80" s="30">
        <v>11.9</v>
      </c>
      <c r="AB80" s="30">
        <v>0</v>
      </c>
      <c r="AC80" s="30">
        <v>0</v>
      </c>
      <c r="AD80" s="31">
        <v>0</v>
      </c>
      <c r="AE80" s="30">
        <v>0</v>
      </c>
      <c r="AF80" s="30">
        <v>0</v>
      </c>
      <c r="AG80" s="30">
        <v>0</v>
      </c>
      <c r="AH80" s="31">
        <v>0</v>
      </c>
      <c r="AI80" s="30">
        <v>0.1</v>
      </c>
      <c r="AJ80" s="30">
        <v>0</v>
      </c>
      <c r="AK80" s="30">
        <v>0</v>
      </c>
      <c r="AL80" s="31">
        <v>0</v>
      </c>
      <c r="AM80" s="30">
        <v>0</v>
      </c>
      <c r="AN80" s="30">
        <v>0</v>
      </c>
      <c r="AO80" s="30">
        <v>0</v>
      </c>
      <c r="AP80" s="31">
        <v>0</v>
      </c>
      <c r="AQ80" s="30">
        <v>0</v>
      </c>
      <c r="AR80" s="30">
        <v>0</v>
      </c>
      <c r="AS80" s="30">
        <v>0.2</v>
      </c>
      <c r="AT80" s="31">
        <v>0.1</v>
      </c>
    </row>
    <row r="81" spans="1:46" s="267" customFormat="1" ht="11.25">
      <c r="A81" s="28" t="s">
        <v>476</v>
      </c>
      <c r="B81" s="28" t="s">
        <v>77</v>
      </c>
      <c r="C81" s="29">
        <f>3.3</f>
        <v>3.3</v>
      </c>
      <c r="D81" s="30">
        <f>1.4</f>
        <v>1.4</v>
      </c>
      <c r="E81" s="30">
        <f>1.4</f>
        <v>1.4</v>
      </c>
      <c r="F81" s="30">
        <f>1.4</f>
        <v>1.4</v>
      </c>
      <c r="G81" s="29">
        <v>1.2</v>
      </c>
      <c r="H81" s="30">
        <v>3</v>
      </c>
      <c r="I81" s="30">
        <v>3.4</v>
      </c>
      <c r="J81" s="31">
        <v>3</v>
      </c>
      <c r="K81" s="29">
        <v>2.8</v>
      </c>
      <c r="L81" s="30">
        <v>0.7</v>
      </c>
      <c r="M81" s="30">
        <v>0</v>
      </c>
      <c r="N81" s="31">
        <v>0</v>
      </c>
      <c r="O81" s="30">
        <v>0</v>
      </c>
      <c r="P81" s="30">
        <v>0.6</v>
      </c>
      <c r="Q81" s="30">
        <v>6.4</v>
      </c>
      <c r="R81" s="31">
        <v>4.4000000000000004</v>
      </c>
      <c r="S81" s="30">
        <v>4</v>
      </c>
      <c r="T81" s="30">
        <v>0.6</v>
      </c>
      <c r="U81" s="30">
        <v>0.8</v>
      </c>
      <c r="V81" s="31">
        <v>2.2999999999999998</v>
      </c>
      <c r="W81" s="30">
        <v>5.7</v>
      </c>
      <c r="X81" s="30">
        <v>18.899999999999999</v>
      </c>
      <c r="Y81" s="30">
        <v>24.400000000000002</v>
      </c>
      <c r="Z81" s="31">
        <v>23.299999999999997</v>
      </c>
      <c r="AA81" s="30">
        <v>11.8</v>
      </c>
      <c r="AB81" s="30">
        <v>11.5</v>
      </c>
      <c r="AC81" s="30">
        <v>11.200000000000001</v>
      </c>
      <c r="AD81" s="31">
        <v>16.600000000000001</v>
      </c>
      <c r="AE81" s="30">
        <v>21.700000000000003</v>
      </c>
      <c r="AF81" s="30">
        <v>32.1</v>
      </c>
      <c r="AG81" s="30">
        <v>30.1</v>
      </c>
      <c r="AH81" s="31">
        <v>33.800000000000004</v>
      </c>
      <c r="AI81" s="30">
        <v>41.2</v>
      </c>
      <c r="AJ81" s="30">
        <v>39.299999999999997</v>
      </c>
      <c r="AK81" s="30">
        <v>38.800000000000004</v>
      </c>
      <c r="AL81" s="31">
        <v>45</v>
      </c>
      <c r="AM81" s="30">
        <v>51</v>
      </c>
      <c r="AN81" s="30">
        <v>60.800000000000004</v>
      </c>
      <c r="AO81" s="30">
        <v>72</v>
      </c>
      <c r="AP81" s="31">
        <v>84.6</v>
      </c>
      <c r="AQ81" s="30">
        <v>95.8</v>
      </c>
      <c r="AR81" s="30">
        <v>98.9</v>
      </c>
      <c r="AS81" s="30">
        <v>86.3</v>
      </c>
      <c r="AT81" s="31">
        <v>85.8</v>
      </c>
    </row>
    <row r="82" spans="1:46" s="267" customFormat="1" ht="11.25">
      <c r="A82" s="28" t="s">
        <v>531</v>
      </c>
      <c r="B82" s="283" t="s">
        <v>523</v>
      </c>
      <c r="C82" s="29">
        <v>0</v>
      </c>
      <c r="D82" s="30">
        <v>0</v>
      </c>
      <c r="E82" s="30">
        <v>0</v>
      </c>
      <c r="F82" s="30">
        <v>0</v>
      </c>
      <c r="G82" s="29">
        <v>0</v>
      </c>
      <c r="H82" s="30">
        <v>0</v>
      </c>
      <c r="I82" s="30">
        <v>0</v>
      </c>
      <c r="J82" s="31">
        <v>81.099999999999909</v>
      </c>
      <c r="K82" s="29">
        <v>82.5</v>
      </c>
      <c r="L82" s="30">
        <v>83.099999999999909</v>
      </c>
      <c r="M82" s="30">
        <v>96.5</v>
      </c>
      <c r="N82" s="31">
        <v>338.90000000000009</v>
      </c>
      <c r="O82" s="30">
        <v>352.09999999999991</v>
      </c>
      <c r="P82" s="30">
        <v>405.20000000000027</v>
      </c>
      <c r="Q82" s="30">
        <v>455.09999999999991</v>
      </c>
      <c r="R82" s="31">
        <v>531.30000000000018</v>
      </c>
      <c r="S82" s="30">
        <v>536.09999999999991</v>
      </c>
      <c r="T82" s="30">
        <v>530.40000000000009</v>
      </c>
      <c r="U82" s="30">
        <v>556.60000000000036</v>
      </c>
      <c r="V82" s="31">
        <v>640.90000000000009</v>
      </c>
      <c r="W82" s="30">
        <v>654.5</v>
      </c>
      <c r="X82" s="30">
        <v>690.80000000000018</v>
      </c>
      <c r="Y82" s="30">
        <v>741.5</v>
      </c>
      <c r="Z82" s="31">
        <v>789.40000000000055</v>
      </c>
      <c r="AA82" s="30">
        <v>789.30000000000018</v>
      </c>
      <c r="AB82" s="30">
        <v>752.69999999999982</v>
      </c>
      <c r="AC82" s="30">
        <v>785.70000000000027</v>
      </c>
      <c r="AD82" s="31">
        <v>930.89999999999964</v>
      </c>
      <c r="AE82" s="30">
        <v>958.4</v>
      </c>
      <c r="AF82" s="30">
        <v>974.4</v>
      </c>
      <c r="AG82" s="30">
        <v>1060.3</v>
      </c>
      <c r="AH82" s="31">
        <v>1107.5999999999999</v>
      </c>
      <c r="AI82" s="30">
        <v>1129.5999999999999</v>
      </c>
      <c r="AJ82" s="30">
        <v>1165.8</v>
      </c>
      <c r="AK82" s="30">
        <v>1169.4000000000001</v>
      </c>
      <c r="AL82" s="31">
        <v>1272.5</v>
      </c>
      <c r="AM82" s="30">
        <v>1260</v>
      </c>
      <c r="AN82" s="30">
        <v>1253</v>
      </c>
      <c r="AO82" s="30">
        <v>1233.8</v>
      </c>
      <c r="AP82" s="31">
        <v>1187</v>
      </c>
      <c r="AQ82" s="30">
        <v>1184.5999999999999</v>
      </c>
      <c r="AR82" s="30">
        <v>1166.0999999999999</v>
      </c>
      <c r="AS82" s="30">
        <v>1104.5999999999999</v>
      </c>
      <c r="AT82" s="31">
        <v>1026.7</v>
      </c>
    </row>
    <row r="83" spans="1:46" s="267" customFormat="1" ht="11.25">
      <c r="A83" s="28" t="s">
        <v>477</v>
      </c>
      <c r="B83" s="28" t="s">
        <v>437</v>
      </c>
      <c r="C83" s="29">
        <v>0</v>
      </c>
      <c r="D83" s="30">
        <v>0</v>
      </c>
      <c r="E83" s="30">
        <v>0</v>
      </c>
      <c r="F83" s="30">
        <v>0</v>
      </c>
      <c r="G83" s="29">
        <v>0</v>
      </c>
      <c r="H83" s="30">
        <v>0</v>
      </c>
      <c r="I83" s="30">
        <v>0</v>
      </c>
      <c r="J83" s="31">
        <v>1654</v>
      </c>
      <c r="K83" s="29">
        <v>3775.2</v>
      </c>
      <c r="L83" s="30">
        <v>3439.1</v>
      </c>
      <c r="M83" s="30">
        <v>3348.9</v>
      </c>
      <c r="N83" s="31">
        <v>3261.9</v>
      </c>
      <c r="O83" s="30">
        <v>3147.9</v>
      </c>
      <c r="P83" s="30">
        <v>3447.7</v>
      </c>
      <c r="Q83" s="30">
        <v>3425.1</v>
      </c>
      <c r="R83" s="31">
        <v>3268.5</v>
      </c>
      <c r="S83" s="30">
        <v>3215.6</v>
      </c>
      <c r="T83" s="30">
        <v>3189</v>
      </c>
      <c r="U83" s="30">
        <v>3786.2</v>
      </c>
      <c r="V83" s="31">
        <v>3872.6</v>
      </c>
      <c r="W83" s="30">
        <v>3680.7</v>
      </c>
      <c r="X83" s="30">
        <v>3758.2</v>
      </c>
      <c r="Y83" s="30">
        <v>3732.5</v>
      </c>
      <c r="Z83" s="31">
        <v>3779.7</v>
      </c>
      <c r="AA83" s="30">
        <v>3817.7</v>
      </c>
      <c r="AB83" s="30">
        <v>3794.3</v>
      </c>
      <c r="AC83" s="30">
        <v>3723.1</v>
      </c>
      <c r="AD83" s="31">
        <v>3685.8</v>
      </c>
      <c r="AE83" s="30">
        <v>3750.2</v>
      </c>
      <c r="AF83" s="30">
        <v>3723.5</v>
      </c>
      <c r="AG83" s="30">
        <v>3800.5</v>
      </c>
      <c r="AH83" s="31">
        <v>3923.9</v>
      </c>
      <c r="AI83" s="30">
        <v>3750.6</v>
      </c>
      <c r="AJ83" s="30">
        <v>3711.2</v>
      </c>
      <c r="AK83" s="30">
        <v>3793.6</v>
      </c>
      <c r="AL83" s="31">
        <v>3838.6</v>
      </c>
      <c r="AM83" s="30">
        <v>3853.4</v>
      </c>
      <c r="AN83" s="30">
        <v>3909.7</v>
      </c>
      <c r="AO83" s="30">
        <v>3822.7</v>
      </c>
      <c r="AP83" s="31">
        <v>3910.7</v>
      </c>
      <c r="AQ83" s="30">
        <v>3686.5</v>
      </c>
      <c r="AR83" s="30">
        <v>3589.8</v>
      </c>
      <c r="AS83" s="30">
        <v>3674.4</v>
      </c>
      <c r="AT83" s="31">
        <v>3564.8</v>
      </c>
    </row>
    <row r="84" spans="1:46" s="267" customFormat="1" ht="11.25">
      <c r="A84" s="28" t="s">
        <v>248</v>
      </c>
      <c r="B84" s="28" t="s">
        <v>78</v>
      </c>
      <c r="C84" s="29">
        <v>0</v>
      </c>
      <c r="D84" s="30">
        <v>0</v>
      </c>
      <c r="E84" s="30">
        <v>0</v>
      </c>
      <c r="F84" s="30">
        <v>0</v>
      </c>
      <c r="G84" s="29">
        <v>0</v>
      </c>
      <c r="H84" s="30">
        <v>0</v>
      </c>
      <c r="I84" s="30">
        <v>0</v>
      </c>
      <c r="J84" s="31">
        <v>0</v>
      </c>
      <c r="K84" s="29">
        <v>0</v>
      </c>
      <c r="L84" s="289">
        <v>0</v>
      </c>
      <c r="M84" s="289">
        <v>0</v>
      </c>
      <c r="N84" s="290">
        <v>0</v>
      </c>
      <c r="O84" s="289">
        <v>0</v>
      </c>
      <c r="P84" s="289">
        <v>0</v>
      </c>
      <c r="Q84" s="289">
        <v>0</v>
      </c>
      <c r="R84" s="290">
        <v>0</v>
      </c>
      <c r="S84" s="289">
        <v>0</v>
      </c>
      <c r="T84" s="289">
        <v>0</v>
      </c>
      <c r="U84" s="289">
        <v>0</v>
      </c>
      <c r="V84" s="290">
        <v>0</v>
      </c>
      <c r="W84" s="289">
        <v>0</v>
      </c>
      <c r="X84" s="289">
        <v>0</v>
      </c>
      <c r="Y84" s="289">
        <v>0</v>
      </c>
      <c r="Z84" s="290">
        <v>0</v>
      </c>
      <c r="AA84" s="289">
        <v>0</v>
      </c>
      <c r="AB84" s="289">
        <v>0</v>
      </c>
      <c r="AC84" s="289">
        <v>0</v>
      </c>
      <c r="AD84" s="290">
        <v>0</v>
      </c>
      <c r="AE84" s="289">
        <v>0</v>
      </c>
      <c r="AF84" s="289">
        <v>0</v>
      </c>
      <c r="AG84" s="289">
        <v>0</v>
      </c>
      <c r="AH84" s="290">
        <v>0</v>
      </c>
      <c r="AI84" s="30">
        <v>0</v>
      </c>
      <c r="AJ84" s="30">
        <v>0</v>
      </c>
      <c r="AK84" s="30">
        <v>0</v>
      </c>
      <c r="AL84" s="31">
        <v>0</v>
      </c>
      <c r="AM84" s="30">
        <v>0</v>
      </c>
      <c r="AN84" s="30">
        <v>0</v>
      </c>
      <c r="AO84" s="30">
        <v>0</v>
      </c>
      <c r="AP84" s="31">
        <v>0</v>
      </c>
      <c r="AQ84" s="30">
        <v>0</v>
      </c>
      <c r="AR84" s="30">
        <v>0</v>
      </c>
      <c r="AS84" s="30">
        <v>0</v>
      </c>
      <c r="AT84" s="31">
        <v>0</v>
      </c>
    </row>
    <row r="85" spans="1:46" s="267" customFormat="1" ht="11.25">
      <c r="A85" s="50" t="s">
        <v>258</v>
      </c>
      <c r="B85" s="50" t="s">
        <v>79</v>
      </c>
      <c r="C85" s="34">
        <f>SUM(C77,C80:C84)</f>
        <v>630.80000000000007</v>
      </c>
      <c r="D85" s="35">
        <f t="shared" ref="D85:AD85" si="98">SUM(D77,D80:D84)</f>
        <v>605.70000000000005</v>
      </c>
      <c r="E85" s="35">
        <f t="shared" si="98"/>
        <v>614</v>
      </c>
      <c r="F85" s="35">
        <f t="shared" si="98"/>
        <v>697.19999999999993</v>
      </c>
      <c r="G85" s="34">
        <f t="shared" si="98"/>
        <v>670</v>
      </c>
      <c r="H85" s="35">
        <f t="shared" si="98"/>
        <v>675</v>
      </c>
      <c r="I85" s="35">
        <f t="shared" si="98"/>
        <v>688.1</v>
      </c>
      <c r="J85" s="36">
        <f t="shared" si="98"/>
        <v>2709</v>
      </c>
      <c r="K85" s="34">
        <f t="shared" si="98"/>
        <v>4787.3</v>
      </c>
      <c r="L85" s="35">
        <f t="shared" si="98"/>
        <v>4481.7999999999993</v>
      </c>
      <c r="M85" s="35">
        <f t="shared" si="98"/>
        <v>4622.8</v>
      </c>
      <c r="N85" s="36">
        <f t="shared" si="98"/>
        <v>5906.1</v>
      </c>
      <c r="O85" s="34">
        <f t="shared" si="98"/>
        <v>5757.1</v>
      </c>
      <c r="P85" s="35">
        <f t="shared" si="98"/>
        <v>6242.6</v>
      </c>
      <c r="Q85" s="35">
        <f t="shared" si="98"/>
        <v>6359.5999999999995</v>
      </c>
      <c r="R85" s="36">
        <f t="shared" si="98"/>
        <v>6620.4</v>
      </c>
      <c r="S85" s="34">
        <f t="shared" si="98"/>
        <v>6540.9</v>
      </c>
      <c r="T85" s="35">
        <f t="shared" si="98"/>
        <v>6460.2</v>
      </c>
      <c r="U85" s="35">
        <f t="shared" si="98"/>
        <v>7234.4</v>
      </c>
      <c r="V85" s="36">
        <f t="shared" si="98"/>
        <v>7786.4</v>
      </c>
      <c r="W85" s="34">
        <f t="shared" si="98"/>
        <v>7732.2</v>
      </c>
      <c r="X85" s="35">
        <f t="shared" si="98"/>
        <v>7783.1</v>
      </c>
      <c r="Y85" s="35">
        <f t="shared" si="98"/>
        <v>7646.8</v>
      </c>
      <c r="Z85" s="36">
        <f t="shared" si="98"/>
        <v>7695.7000000000007</v>
      </c>
      <c r="AA85" s="34">
        <f t="shared" si="98"/>
        <v>7654.2000000000007</v>
      </c>
      <c r="AB85" s="35">
        <f t="shared" si="98"/>
        <v>7481.9</v>
      </c>
      <c r="AC85" s="35">
        <f t="shared" si="98"/>
        <v>7312.7</v>
      </c>
      <c r="AD85" s="36">
        <f t="shared" si="98"/>
        <v>7261.6999999999989</v>
      </c>
      <c r="AE85" s="35">
        <f t="shared" ref="AE85:AJ85" si="99">SUM(AE77,AE80:AE84)</f>
        <v>7309.5999999999995</v>
      </c>
      <c r="AF85" s="35">
        <f t="shared" si="99"/>
        <v>7254.6</v>
      </c>
      <c r="AG85" s="35">
        <f t="shared" si="99"/>
        <v>7409.2</v>
      </c>
      <c r="AH85" s="36">
        <f t="shared" si="99"/>
        <v>7725.8</v>
      </c>
      <c r="AI85" s="35">
        <f t="shared" si="99"/>
        <v>7534.1</v>
      </c>
      <c r="AJ85" s="35">
        <f t="shared" si="99"/>
        <v>7462.6</v>
      </c>
      <c r="AK85" s="35">
        <f t="shared" ref="AK85:AT85" si="100">SUM(AK77,AK80:AK84)</f>
        <v>7491.1</v>
      </c>
      <c r="AL85" s="36">
        <f t="shared" si="100"/>
        <v>7725.5</v>
      </c>
      <c r="AM85" s="35">
        <f t="shared" si="100"/>
        <v>7695.1</v>
      </c>
      <c r="AN85" s="35">
        <f t="shared" si="100"/>
        <v>7655.2000000000007</v>
      </c>
      <c r="AO85" s="35">
        <f t="shared" si="100"/>
        <v>7468.8</v>
      </c>
      <c r="AP85" s="36">
        <f t="shared" si="100"/>
        <v>7327.9</v>
      </c>
      <c r="AQ85" s="35">
        <f t="shared" si="100"/>
        <v>7067.1</v>
      </c>
      <c r="AR85" s="35">
        <f t="shared" si="100"/>
        <v>6824.3</v>
      </c>
      <c r="AS85" s="35">
        <f t="shared" si="100"/>
        <v>6741.1</v>
      </c>
      <c r="AT85" s="35">
        <f t="shared" si="100"/>
        <v>6413.3</v>
      </c>
    </row>
    <row r="86" spans="1:46" s="267" customFormat="1" ht="11.25">
      <c r="A86" s="28" t="s">
        <v>250</v>
      </c>
      <c r="B86" s="28" t="s">
        <v>80</v>
      </c>
      <c r="C86" s="29">
        <f>SUM(C87:C90)</f>
        <v>-34.700000000000003</v>
      </c>
      <c r="D86" s="30">
        <f t="shared" ref="D86:AI86" si="101">SUM(D87:D90)</f>
        <v>-32.6</v>
      </c>
      <c r="E86" s="30">
        <f t="shared" si="101"/>
        <v>-30.8</v>
      </c>
      <c r="F86" s="30">
        <f t="shared" si="101"/>
        <v>-29.5</v>
      </c>
      <c r="G86" s="29">
        <f t="shared" si="101"/>
        <v>-28.4</v>
      </c>
      <c r="H86" s="30">
        <f t="shared" si="101"/>
        <v>-26.9</v>
      </c>
      <c r="I86" s="30">
        <f t="shared" si="101"/>
        <v>-17.2</v>
      </c>
      <c r="J86" s="31">
        <f t="shared" si="101"/>
        <v>-17.899999999999999</v>
      </c>
      <c r="K86" s="29">
        <f t="shared" si="101"/>
        <v>-17.2</v>
      </c>
      <c r="L86" s="30">
        <f t="shared" si="101"/>
        <v>-7.5</v>
      </c>
      <c r="M86" s="30">
        <f t="shared" si="101"/>
        <v>-2.9</v>
      </c>
      <c r="N86" s="31">
        <f t="shared" si="101"/>
        <v>-5.4</v>
      </c>
      <c r="O86" s="29">
        <f t="shared" si="101"/>
        <v>-2.2000000000000002</v>
      </c>
      <c r="P86" s="30">
        <f t="shared" si="101"/>
        <v>-2.2000000000000002</v>
      </c>
      <c r="Q86" s="30">
        <f t="shared" si="101"/>
        <v>-2.2999999999999998</v>
      </c>
      <c r="R86" s="31">
        <f t="shared" si="101"/>
        <v>-1.5</v>
      </c>
      <c r="S86" s="29">
        <f t="shared" si="101"/>
        <v>-1.5</v>
      </c>
      <c r="T86" s="30">
        <f t="shared" si="101"/>
        <v>-1.4</v>
      </c>
      <c r="U86" s="30">
        <f t="shared" si="101"/>
        <v>-1.5</v>
      </c>
      <c r="V86" s="31">
        <f t="shared" si="101"/>
        <v>-1.4</v>
      </c>
      <c r="W86" s="29">
        <f t="shared" si="101"/>
        <v>-1.4</v>
      </c>
      <c r="X86" s="30">
        <f t="shared" si="101"/>
        <v>-1.5</v>
      </c>
      <c r="Y86" s="30">
        <f t="shared" si="101"/>
        <v>-0.79999999999999993</v>
      </c>
      <c r="Z86" s="31">
        <f t="shared" si="101"/>
        <v>-0.8</v>
      </c>
      <c r="AA86" s="29">
        <f t="shared" si="101"/>
        <v>-0.8</v>
      </c>
      <c r="AB86" s="30">
        <f t="shared" si="101"/>
        <v>-0.6</v>
      </c>
      <c r="AC86" s="30">
        <f t="shared" si="101"/>
        <v>-0.6</v>
      </c>
      <c r="AD86" s="31">
        <f t="shared" si="101"/>
        <v>-1</v>
      </c>
      <c r="AE86" s="29">
        <f t="shared" si="101"/>
        <v>-1.2</v>
      </c>
      <c r="AF86" s="30">
        <f t="shared" si="101"/>
        <v>-1.2</v>
      </c>
      <c r="AG86" s="30">
        <f t="shared" si="101"/>
        <v>-1.2</v>
      </c>
      <c r="AH86" s="31">
        <f t="shared" si="101"/>
        <v>-1.2</v>
      </c>
      <c r="AI86" s="30">
        <f t="shared" si="101"/>
        <v>-1.7000000000000002</v>
      </c>
      <c r="AJ86" s="30">
        <f t="shared" ref="AJ86:AT86" si="102">SUM(AJ87:AJ90)</f>
        <v>-1.5</v>
      </c>
      <c r="AK86" s="30">
        <f t="shared" si="102"/>
        <v>-1.5</v>
      </c>
      <c r="AL86" s="31">
        <f t="shared" si="102"/>
        <v>-1.5</v>
      </c>
      <c r="AM86" s="30">
        <f t="shared" si="102"/>
        <v>-1.5999999999999999</v>
      </c>
      <c r="AN86" s="30">
        <f t="shared" si="102"/>
        <v>-1.8</v>
      </c>
      <c r="AO86" s="30">
        <f>SUM(AO87:AO90)</f>
        <v>-1.9000000000000001</v>
      </c>
      <c r="AP86" s="31">
        <f t="shared" si="102"/>
        <v>-1.9000000000000001</v>
      </c>
      <c r="AQ86" s="30">
        <f t="shared" si="102"/>
        <v>-1.9</v>
      </c>
      <c r="AR86" s="30">
        <f t="shared" si="102"/>
        <v>-2</v>
      </c>
      <c r="AS86" s="30">
        <f t="shared" si="102"/>
        <v>-2</v>
      </c>
      <c r="AT86" s="30">
        <f t="shared" si="102"/>
        <v>-1.9</v>
      </c>
    </row>
    <row r="87" spans="1:46" s="268" customFormat="1" ht="11.25">
      <c r="A87" s="284" t="s">
        <v>471</v>
      </c>
      <c r="B87" s="161" t="s">
        <v>81</v>
      </c>
      <c r="C87" s="52">
        <v>-34.700000000000003</v>
      </c>
      <c r="D87" s="53">
        <v>-32.6</v>
      </c>
      <c r="E87" s="53">
        <v>-30.8</v>
      </c>
      <c r="F87" s="53">
        <v>-29.5</v>
      </c>
      <c r="G87" s="52">
        <v>-28.4</v>
      </c>
      <c r="H87" s="53">
        <v>-26.9</v>
      </c>
      <c r="I87" s="53">
        <v>-17.2</v>
      </c>
      <c r="J87" s="54">
        <v>-17.899999999999999</v>
      </c>
      <c r="K87" s="52">
        <v>-17.2</v>
      </c>
      <c r="L87" s="53">
        <v>-7.5</v>
      </c>
      <c r="M87" s="53">
        <v>-2.9</v>
      </c>
      <c r="N87" s="54">
        <v>-5.4</v>
      </c>
      <c r="O87" s="52">
        <v>-2.2000000000000002</v>
      </c>
      <c r="P87" s="53">
        <v>-2.2000000000000002</v>
      </c>
      <c r="Q87" s="53">
        <v>-2.2999999999999998</v>
      </c>
      <c r="R87" s="54">
        <v>-1.5</v>
      </c>
      <c r="S87" s="52">
        <v>-1.5</v>
      </c>
      <c r="T87" s="53">
        <v>-1.4</v>
      </c>
      <c r="U87" s="53">
        <v>-1.5</v>
      </c>
      <c r="V87" s="54">
        <v>-1.4</v>
      </c>
      <c r="W87" s="52">
        <v>-1.4</v>
      </c>
      <c r="X87" s="53">
        <v>-1.5</v>
      </c>
      <c r="Y87" s="53">
        <v>-0.7</v>
      </c>
      <c r="Z87" s="54">
        <v>-0.8</v>
      </c>
      <c r="AA87" s="52">
        <v>-0.8</v>
      </c>
      <c r="AB87" s="53">
        <v>-0.5</v>
      </c>
      <c r="AC87" s="53">
        <v>-0.5</v>
      </c>
      <c r="AD87" s="54">
        <v>-0.6</v>
      </c>
      <c r="AE87" s="52">
        <v>-0.79999999999999993</v>
      </c>
      <c r="AF87" s="53">
        <v>-0.79999999999999993</v>
      </c>
      <c r="AG87" s="53">
        <v>-0.79999999999999993</v>
      </c>
      <c r="AH87" s="54">
        <v>-0.7</v>
      </c>
      <c r="AI87" s="53">
        <v>-1.1000000000000001</v>
      </c>
      <c r="AJ87" s="53">
        <v>-0.9</v>
      </c>
      <c r="AK87" s="53">
        <v>-0.8</v>
      </c>
      <c r="AL87" s="54">
        <v>-0.7</v>
      </c>
      <c r="AM87" s="53">
        <v>-0.7</v>
      </c>
      <c r="AN87" s="53">
        <v>-0.8</v>
      </c>
      <c r="AO87" s="53">
        <v>-0.8</v>
      </c>
      <c r="AP87" s="54">
        <v>-0.8</v>
      </c>
      <c r="AQ87" s="53">
        <v>-0.7</v>
      </c>
      <c r="AR87" s="53">
        <v>-0.8</v>
      </c>
      <c r="AS87" s="53">
        <v>-0.8</v>
      </c>
      <c r="AT87" s="54">
        <v>-0.8</v>
      </c>
    </row>
    <row r="88" spans="1:46" s="268" customFormat="1" ht="11.25">
      <c r="A88" s="281" t="s">
        <v>473</v>
      </c>
      <c r="B88" s="281" t="s">
        <v>83</v>
      </c>
      <c r="C88" s="52">
        <v>0</v>
      </c>
      <c r="D88" s="53">
        <v>0</v>
      </c>
      <c r="E88" s="53">
        <v>0</v>
      </c>
      <c r="F88" s="53">
        <v>0</v>
      </c>
      <c r="G88" s="52">
        <v>0</v>
      </c>
      <c r="H88" s="53">
        <v>0</v>
      </c>
      <c r="I88" s="53">
        <v>0</v>
      </c>
      <c r="J88" s="54">
        <v>0</v>
      </c>
      <c r="K88" s="52">
        <v>0</v>
      </c>
      <c r="L88" s="53">
        <v>0</v>
      </c>
      <c r="M88" s="53">
        <v>0</v>
      </c>
      <c r="N88" s="54">
        <v>0</v>
      </c>
      <c r="O88" s="52">
        <v>0</v>
      </c>
      <c r="P88" s="53">
        <v>0</v>
      </c>
      <c r="Q88" s="53">
        <v>0</v>
      </c>
      <c r="R88" s="54">
        <v>0</v>
      </c>
      <c r="S88" s="52">
        <v>0</v>
      </c>
      <c r="T88" s="53">
        <v>0</v>
      </c>
      <c r="U88" s="53">
        <v>0</v>
      </c>
      <c r="V88" s="54">
        <v>0</v>
      </c>
      <c r="W88" s="52">
        <v>0</v>
      </c>
      <c r="X88" s="53">
        <v>0</v>
      </c>
      <c r="Y88" s="53">
        <v>-0.1</v>
      </c>
      <c r="Z88" s="54">
        <v>0</v>
      </c>
      <c r="AA88" s="52">
        <v>0</v>
      </c>
      <c r="AB88" s="53">
        <v>0</v>
      </c>
      <c r="AC88" s="53">
        <v>0</v>
      </c>
      <c r="AD88" s="54">
        <v>0</v>
      </c>
      <c r="AE88" s="52">
        <v>0</v>
      </c>
      <c r="AF88" s="53">
        <v>0</v>
      </c>
      <c r="AG88" s="53">
        <v>0</v>
      </c>
      <c r="AH88" s="54">
        <v>0</v>
      </c>
      <c r="AI88" s="53">
        <v>0</v>
      </c>
      <c r="AJ88" s="53">
        <v>0</v>
      </c>
      <c r="AK88" s="53">
        <v>0</v>
      </c>
      <c r="AL88" s="54">
        <v>0</v>
      </c>
      <c r="AM88" s="53">
        <v>0</v>
      </c>
      <c r="AN88" s="53">
        <v>0</v>
      </c>
      <c r="AO88" s="53">
        <v>0</v>
      </c>
      <c r="AP88" s="54">
        <v>0</v>
      </c>
      <c r="AQ88" s="53">
        <v>-0.1</v>
      </c>
      <c r="AR88" s="53">
        <v>-0.1</v>
      </c>
      <c r="AS88" s="53">
        <v>-0.1</v>
      </c>
      <c r="AT88" s="54">
        <v>-0.1</v>
      </c>
    </row>
    <row r="89" spans="1:46" s="268" customFormat="1" ht="11.25">
      <c r="A89" s="281" t="s">
        <v>532</v>
      </c>
      <c r="B89" s="291" t="s">
        <v>524</v>
      </c>
      <c r="C89" s="52">
        <v>0</v>
      </c>
      <c r="D89" s="53">
        <v>0</v>
      </c>
      <c r="E89" s="53">
        <v>0</v>
      </c>
      <c r="F89" s="53">
        <v>0</v>
      </c>
      <c r="G89" s="52">
        <v>0</v>
      </c>
      <c r="H89" s="53">
        <v>0</v>
      </c>
      <c r="I89" s="53">
        <v>0</v>
      </c>
      <c r="J89" s="54">
        <v>0</v>
      </c>
      <c r="K89" s="52">
        <v>0</v>
      </c>
      <c r="L89" s="53">
        <v>0</v>
      </c>
      <c r="M89" s="53">
        <v>0</v>
      </c>
      <c r="N89" s="54">
        <v>0</v>
      </c>
      <c r="O89" s="52">
        <v>0</v>
      </c>
      <c r="P89" s="53">
        <v>0</v>
      </c>
      <c r="Q89" s="53">
        <v>0</v>
      </c>
      <c r="R89" s="54">
        <v>0</v>
      </c>
      <c r="S89" s="52">
        <v>0</v>
      </c>
      <c r="T89" s="53">
        <v>0</v>
      </c>
      <c r="U89" s="53">
        <v>0</v>
      </c>
      <c r="V89" s="54">
        <v>0</v>
      </c>
      <c r="W89" s="52">
        <v>0</v>
      </c>
      <c r="X89" s="53">
        <v>0</v>
      </c>
      <c r="Y89" s="53">
        <v>0</v>
      </c>
      <c r="Z89" s="54">
        <v>0</v>
      </c>
      <c r="AA89" s="52">
        <v>0</v>
      </c>
      <c r="AB89" s="53">
        <v>0</v>
      </c>
      <c r="AC89" s="53">
        <v>0</v>
      </c>
      <c r="AD89" s="54">
        <v>0</v>
      </c>
      <c r="AE89" s="52">
        <v>0</v>
      </c>
      <c r="AF89" s="53">
        <v>0</v>
      </c>
      <c r="AG89" s="53">
        <v>0</v>
      </c>
      <c r="AH89" s="54">
        <v>0</v>
      </c>
      <c r="AI89" s="53">
        <v>-0.2</v>
      </c>
      <c r="AJ89" s="53">
        <v>-0.2</v>
      </c>
      <c r="AK89" s="53">
        <v>-0.2</v>
      </c>
      <c r="AL89" s="54">
        <v>-0.3</v>
      </c>
      <c r="AM89" s="53">
        <v>-0.19999999999999998</v>
      </c>
      <c r="AN89" s="53">
        <v>-0.3</v>
      </c>
      <c r="AO89" s="53">
        <v>-0.4</v>
      </c>
      <c r="AP89" s="54">
        <v>-0.4</v>
      </c>
      <c r="AQ89" s="53">
        <v>-0.4</v>
      </c>
      <c r="AR89" s="53">
        <v>-0.4</v>
      </c>
      <c r="AS89" s="53">
        <v>-0.4</v>
      </c>
      <c r="AT89" s="54">
        <v>-0.3</v>
      </c>
    </row>
    <row r="90" spans="1:46" s="268" customFormat="1" ht="11.25">
      <c r="A90" s="281" t="s">
        <v>516</v>
      </c>
      <c r="B90" s="281" t="s">
        <v>510</v>
      </c>
      <c r="C90" s="52">
        <v>0</v>
      </c>
      <c r="D90" s="53">
        <v>0</v>
      </c>
      <c r="E90" s="53">
        <v>0</v>
      </c>
      <c r="F90" s="53">
        <v>0</v>
      </c>
      <c r="G90" s="52">
        <v>0</v>
      </c>
      <c r="H90" s="53">
        <v>0</v>
      </c>
      <c r="I90" s="53">
        <v>0</v>
      </c>
      <c r="J90" s="54">
        <v>0</v>
      </c>
      <c r="K90" s="52">
        <v>0</v>
      </c>
      <c r="L90" s="53">
        <v>0</v>
      </c>
      <c r="M90" s="53">
        <v>0</v>
      </c>
      <c r="N90" s="54">
        <v>0</v>
      </c>
      <c r="O90" s="52">
        <v>0</v>
      </c>
      <c r="P90" s="53">
        <v>0</v>
      </c>
      <c r="Q90" s="53">
        <v>0</v>
      </c>
      <c r="R90" s="54">
        <v>0</v>
      </c>
      <c r="S90" s="52">
        <v>0</v>
      </c>
      <c r="T90" s="53">
        <v>0</v>
      </c>
      <c r="U90" s="53">
        <v>0</v>
      </c>
      <c r="V90" s="54">
        <v>0</v>
      </c>
      <c r="W90" s="52">
        <v>0</v>
      </c>
      <c r="X90" s="53">
        <v>0</v>
      </c>
      <c r="Y90" s="53">
        <v>0</v>
      </c>
      <c r="Z90" s="54">
        <v>0</v>
      </c>
      <c r="AA90" s="52">
        <v>0</v>
      </c>
      <c r="AB90" s="53">
        <v>-0.1</v>
      </c>
      <c r="AC90" s="53">
        <v>-0.1</v>
      </c>
      <c r="AD90" s="54">
        <v>-0.4</v>
      </c>
      <c r="AE90" s="52">
        <v>-0.4</v>
      </c>
      <c r="AF90" s="53">
        <v>-0.4</v>
      </c>
      <c r="AG90" s="53">
        <v>-0.4</v>
      </c>
      <c r="AH90" s="54">
        <v>-0.5</v>
      </c>
      <c r="AI90" s="53">
        <v>-0.4</v>
      </c>
      <c r="AJ90" s="53">
        <v>-0.4</v>
      </c>
      <c r="AK90" s="53">
        <v>-0.5</v>
      </c>
      <c r="AL90" s="54">
        <v>-0.5</v>
      </c>
      <c r="AM90" s="53">
        <v>-0.7</v>
      </c>
      <c r="AN90" s="53">
        <v>-0.7</v>
      </c>
      <c r="AO90" s="53">
        <v>-0.7</v>
      </c>
      <c r="AP90" s="54">
        <v>-0.7</v>
      </c>
      <c r="AQ90" s="53">
        <v>-0.7</v>
      </c>
      <c r="AR90" s="53">
        <v>-0.7</v>
      </c>
      <c r="AS90" s="53">
        <v>-0.7</v>
      </c>
      <c r="AT90" s="54">
        <v>-0.7</v>
      </c>
    </row>
    <row r="91" spans="1:46" s="271" customFormat="1" ht="18.600000000000001" customHeight="1">
      <c r="A91" s="57" t="s">
        <v>259</v>
      </c>
      <c r="B91" s="57" t="s">
        <v>88</v>
      </c>
      <c r="C91" s="42">
        <f>C85+C86</f>
        <v>596.1</v>
      </c>
      <c r="D91" s="43">
        <f t="shared" ref="D91:X91" si="103">D85+D86</f>
        <v>573.1</v>
      </c>
      <c r="E91" s="43">
        <f t="shared" si="103"/>
        <v>583.20000000000005</v>
      </c>
      <c r="F91" s="43">
        <f t="shared" si="103"/>
        <v>667.69999999999993</v>
      </c>
      <c r="G91" s="42">
        <f t="shared" si="103"/>
        <v>641.6</v>
      </c>
      <c r="H91" s="43">
        <f t="shared" si="103"/>
        <v>648.1</v>
      </c>
      <c r="I91" s="43">
        <f t="shared" si="103"/>
        <v>670.9</v>
      </c>
      <c r="J91" s="44">
        <f t="shared" si="103"/>
        <v>2691.1</v>
      </c>
      <c r="K91" s="42">
        <f t="shared" si="103"/>
        <v>4770.1000000000004</v>
      </c>
      <c r="L91" s="43">
        <f t="shared" si="103"/>
        <v>4474.2999999999993</v>
      </c>
      <c r="M91" s="43">
        <f t="shared" si="103"/>
        <v>4619.9000000000005</v>
      </c>
      <c r="N91" s="44">
        <f t="shared" si="103"/>
        <v>5900.7000000000007</v>
      </c>
      <c r="O91" s="42">
        <f t="shared" si="103"/>
        <v>5754.9000000000005</v>
      </c>
      <c r="P91" s="43">
        <f t="shared" si="103"/>
        <v>6240.4000000000005</v>
      </c>
      <c r="Q91" s="43">
        <f t="shared" si="103"/>
        <v>6357.2999999999993</v>
      </c>
      <c r="R91" s="44">
        <f t="shared" si="103"/>
        <v>6618.9</v>
      </c>
      <c r="S91" s="42">
        <f t="shared" si="103"/>
        <v>6539.4</v>
      </c>
      <c r="T91" s="43">
        <f t="shared" si="103"/>
        <v>6458.8</v>
      </c>
      <c r="U91" s="43">
        <f t="shared" si="103"/>
        <v>7232.9</v>
      </c>
      <c r="V91" s="44">
        <f t="shared" si="103"/>
        <v>7785</v>
      </c>
      <c r="W91" s="42">
        <f t="shared" si="103"/>
        <v>7730.8</v>
      </c>
      <c r="X91" s="43">
        <f t="shared" si="103"/>
        <v>7781.6</v>
      </c>
      <c r="Y91" s="43">
        <f t="shared" ref="Y91:AD91" si="104">Y85+Y86</f>
        <v>7646</v>
      </c>
      <c r="Z91" s="44">
        <f t="shared" si="104"/>
        <v>7694.9000000000005</v>
      </c>
      <c r="AA91" s="42">
        <f t="shared" si="104"/>
        <v>7653.4000000000005</v>
      </c>
      <c r="AB91" s="43">
        <f t="shared" si="104"/>
        <v>7481.2999999999993</v>
      </c>
      <c r="AC91" s="43">
        <f t="shared" si="104"/>
        <v>7312.0999999999995</v>
      </c>
      <c r="AD91" s="44">
        <f t="shared" si="104"/>
        <v>7260.6999999999989</v>
      </c>
      <c r="AE91" s="42">
        <f t="shared" ref="AE91:AJ91" si="105">AE85+AE86</f>
        <v>7308.4</v>
      </c>
      <c r="AF91" s="43">
        <f t="shared" si="105"/>
        <v>7253.4000000000005</v>
      </c>
      <c r="AG91" s="43">
        <f t="shared" si="105"/>
        <v>7408</v>
      </c>
      <c r="AH91" s="44">
        <f t="shared" si="105"/>
        <v>7724.6</v>
      </c>
      <c r="AI91" s="43">
        <f t="shared" si="105"/>
        <v>7532.4000000000005</v>
      </c>
      <c r="AJ91" s="43">
        <f t="shared" si="105"/>
        <v>7461.1</v>
      </c>
      <c r="AK91" s="43">
        <f t="shared" ref="AK91:AT91" si="106">AK85+AK86</f>
        <v>7489.6</v>
      </c>
      <c r="AL91" s="44">
        <f t="shared" si="106"/>
        <v>7724</v>
      </c>
      <c r="AM91" s="43">
        <f t="shared" si="106"/>
        <v>7693.5</v>
      </c>
      <c r="AN91" s="43">
        <f t="shared" si="106"/>
        <v>7653.4000000000005</v>
      </c>
      <c r="AO91" s="43">
        <f t="shared" si="106"/>
        <v>7466.9000000000005</v>
      </c>
      <c r="AP91" s="44">
        <f t="shared" si="106"/>
        <v>7326</v>
      </c>
      <c r="AQ91" s="43">
        <f t="shared" si="106"/>
        <v>7065.2000000000007</v>
      </c>
      <c r="AR91" s="43">
        <f t="shared" si="106"/>
        <v>6822.3</v>
      </c>
      <c r="AS91" s="43">
        <f t="shared" si="106"/>
        <v>6739.1</v>
      </c>
      <c r="AT91" s="43">
        <f t="shared" si="106"/>
        <v>6411.4000000000005</v>
      </c>
    </row>
    <row r="96" spans="1:46">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c r="AP96" s="21"/>
      <c r="AQ96" s="21"/>
      <c r="AS96" s="21"/>
      <c r="AT96" s="21"/>
    </row>
    <row r="97" spans="3:46">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c r="AP97" s="21"/>
      <c r="AQ97" s="21"/>
      <c r="AS97" s="21"/>
      <c r="AT97" s="21"/>
    </row>
  </sheetData>
  <mergeCells count="13">
    <mergeCell ref="AI2:AL2"/>
    <mergeCell ref="O2:R2"/>
    <mergeCell ref="AE2:AH2"/>
    <mergeCell ref="AQ2:AT2"/>
    <mergeCell ref="AA2:AD2"/>
    <mergeCell ref="W2:Z2"/>
    <mergeCell ref="S2:V2"/>
    <mergeCell ref="AM2:AP2"/>
    <mergeCell ref="A2:A3"/>
    <mergeCell ref="B2:B3"/>
    <mergeCell ref="C2:F2"/>
    <mergeCell ref="G2:J2"/>
    <mergeCell ref="K2:N2"/>
  </mergeCells>
  <printOptions horizontalCentered="1"/>
  <pageMargins left="0.25" right="0.25" top="0.75" bottom="0.75" header="0.3" footer="0.3"/>
  <pageSetup paperSize="9" scale="31" orientation="landscape" r:id="rId1"/>
  <headerFooter alignWithMargins="0">
    <oddHeader xml:space="preserve">&amp;C&amp;"Times New Roman,Kursywa"&amp;12
</oddHeader>
  </headerFooter>
  <ignoredErrors>
    <ignoredError sqref="D30:E34 D36:E36 D38:E42 F38:Z42 F36:Z36 F30:Z34 F37:AD37 AA30:AD34 AA36:AD36 F43:AD62 AA38:AD42 AE80:AE83 AE64:AE65 AE30 AE38:AE41 AF5 AE69:AE72 AE74:AE77 AE36 AE43:AE62 F91:AD91 F70:AB70 AD70 AF36:AF39 AF91:AF95 AE67 F67:AD69 F66:AC66 AF64:AF65 F64:AD65 F63:AC63 AG91:AH96 AF67:AF77 F71:AD77 F87:AA88 AI91 AF41:AF62 AF30:AF34 AE32:AE34 AE79 AF79:AF83 F79:AD83 F78:K78 AE85 AF85 F85:AD85 F84:K84 AG85:AH85 AG79:AH83 AG30:AH34 AI30:AI34 AI41:AI86 AG41:AH77 AI36:AI39 AG36:AH39 AG35:AL35 AG40:AL40 AJ36:AL36 AG87:AL90 AJ41:AL77 AG78:AH78 AJ78:AL86 AJ30:AL34 AG84:AH84 AG86:AH86 AJ38:AL39 AJ37:AK37"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17</vt:i4>
      </vt:variant>
      <vt:variant>
        <vt:lpstr>Zakresy nazwane</vt:lpstr>
      </vt:variant>
      <vt:variant>
        <vt:i4>17</vt:i4>
      </vt:variant>
    </vt:vector>
  </HeadingPairs>
  <TitlesOfParts>
    <vt:vector size="34" baseType="lpstr">
      <vt:lpstr>Kluczowe informacje_Key data</vt:lpstr>
      <vt:lpstr>RZiS_P&amp;L</vt:lpstr>
      <vt:lpstr>RZiS B. Korp._P&amp;L Corporate</vt:lpstr>
      <vt:lpstr>RZiS B. Detaliczna_P&amp;L Retail</vt:lpstr>
      <vt:lpstr>Wynik odsetkowy_Interest income</vt:lpstr>
      <vt:lpstr>Wynik prowizyjny_F&amp;C income</vt:lpstr>
      <vt:lpstr>Pozost. przychody_Other income</vt:lpstr>
      <vt:lpstr>Koszty działania_Operating cost</vt:lpstr>
      <vt:lpstr>Bilans_BS</vt:lpstr>
      <vt:lpstr>Kredyty_loans</vt:lpstr>
      <vt:lpstr>Jakość portfela_Portf. quality</vt:lpstr>
      <vt:lpstr>Aktywa finans_Financial assets</vt:lpstr>
      <vt:lpstr>Depozyty_Deposits</vt:lpstr>
      <vt:lpstr>Łączny współ kap_TCR_GROUP</vt:lpstr>
      <vt:lpstr>Pozostałe informacje_other info</vt:lpstr>
      <vt:lpstr>Depozyty i zobow_Deposits_old</vt:lpstr>
      <vt:lpstr>Kredyty_loans_old</vt:lpstr>
      <vt:lpstr>'Aktywa finans_Financial assets'!Obszar_wydruku</vt:lpstr>
      <vt:lpstr>Bilans_BS!Obszar_wydruku</vt:lpstr>
      <vt:lpstr>'Depozyty i zobow_Deposits_old'!Obszar_wydruku</vt:lpstr>
      <vt:lpstr>Depozyty_Deposits!Obszar_wydruku</vt:lpstr>
      <vt:lpstr>'Jakość portfela_Portf. quality'!Obszar_wydruku</vt:lpstr>
      <vt:lpstr>'Kluczowe informacje_Key data'!Obszar_wydruku</vt:lpstr>
      <vt:lpstr>'Koszty działania_Operating cost'!Obszar_wydruku</vt:lpstr>
      <vt:lpstr>Kredyty_loans!Obszar_wydruku</vt:lpstr>
      <vt:lpstr>Kredyty_loans_old!Obszar_wydruku</vt:lpstr>
      <vt:lpstr>'Łączny współ kap_TCR_GROUP'!Obszar_wydruku</vt:lpstr>
      <vt:lpstr>'Pozost. przychody_Other income'!Obszar_wydruku</vt:lpstr>
      <vt:lpstr>'Pozostałe informacje_other info'!Obszar_wydruku</vt:lpstr>
      <vt:lpstr>'RZiS B. Detaliczna_P&amp;L Retail'!Obszar_wydruku</vt:lpstr>
      <vt:lpstr>'RZiS B. Korp._P&amp;L Corporate'!Obszar_wydruku</vt:lpstr>
      <vt:lpstr>'RZiS_P&amp;L'!Obszar_wydruku</vt:lpstr>
      <vt:lpstr>'Wynik odsetkowy_Interest income'!Obszar_wydruku</vt:lpstr>
      <vt:lpstr>'Wynik prowizyjny_F&amp;C income'!Obszar_wydruku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