
<file path=[Content_Types].xml><?xml version="1.0" encoding="utf-8"?>
<Types xmlns="http://schemas.openxmlformats.org/package/2006/content-types">
  <Default ContentType="application/vnd.openxmlformats-officedocument.spreadsheetml.printerSettings" Extension="bin"/>
  <Default ContentType="image/x-emf" Extension="emf"/>
  <Default ContentType="image/jpeg" Extension="jpeg"/>
  <Default ContentType="image/png" Extension="png"/>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ms-office.activeX" PartName="/xl/activeX/activeX1.bin"/>
  <Override ContentType="application/vnd.ms-office.activeX+xml" PartName="/xl/activeX/activeX1.xml"/>
  <Override ContentType="application/vnd.openxmlformats-officedocument.spreadsheetml.calcChain+xml" PartName="/xl/calcChain.xml"/>
  <Override ContentType="application/vnd.openxmlformats-officedocument.spreadsheetml.comments+xml" PartName="/xl/comments1.xml"/>
  <Override ContentType="application/vnd.openxmlformats-officedocument.spreadsheetml.comments+xml" PartName="/xl/comments2.xml"/>
  <Override ContentType="application/vnd.openxmlformats-officedocument.spreadsheetml.comments+xml" PartName="/xl/comments3.xml"/>
  <Override ContentType="application/vnd.openxmlformats-officedocument.spreadsheetml.comments+xml" PartName="/xl/comments4.xml"/>
  <Override ContentType="application/vnd.openxmlformats-officedocument.spreadsheetml.comments+xml" PartName="/xl/comments5.xml"/>
  <Override ContentType="application/vnd.openxmlformats-officedocument.spreadsheetml.comments+xml" PartName="/xl/comments6.xml"/>
  <Override ContentType="application/vnd.openxmlformats-officedocument.spreadsheetml.comments+xml" PartName="/xl/comments7.xml"/>
  <Override ContentType="application/vnd.openxmlformats-officedocument.spreadsheetml.comments+xml" PartName="/xl/comments8.xml"/>
  <Override ContentType="application/vnd.openxmlformats-officedocument.spreadsheetml.comments+xml" PartName="/xl/comments9.xml"/>
  <Override ContentType="application/vnd.openxmlformats-officedocument.spreadsheetml.comments+xml" PartName="/xl/comments10.xml"/>
  <Override ContentType="application/vnd.ms-excel.controlproperties+xml" PartName="/xl/ctrlProps/ctrlProp1.xml"/>
  <Override ContentType="application/vnd.ms-excel.controlproperties+xml" PartName="/xl/ctrlProps/ctrlProp2.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spreadsheetml.externalLink+xml" PartName="/xl/externalLinks/externalLink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ms-office.vbaProject" PartName="/xl/vbaProject.bin"/>
  <Override ContentType="application/vnd.ms-excel.sheet.macroEnabled.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codeName="{DD97A8EA-9A9A-E61F-A557-7D5A7D7259CE}"/>
  <workbookPr showInkAnnotation="0" codeName="Ten_skoroszyt" defaultThemeVersion="124226"/>
  <mc:AlternateContent xmlns:mc="http://schemas.openxmlformats.org/markup-compatibility/2006">
    <mc:Choice Requires="x15">
      <x15ac:absPath xmlns:x15ac="http://schemas.microsoft.com/office/spreadsheetml/2010/11/ac" url="E:\Raporty\Kalkulator\"/>
    </mc:Choice>
  </mc:AlternateContent>
  <xr:revisionPtr revIDLastSave="0" documentId="13_ncr:1_{C12550F9-2A8D-44C7-97F0-BED8C1FF1A68}" xr6:coauthVersionLast="47" xr6:coauthVersionMax="47" xr10:uidLastSave="{00000000-0000-0000-0000-000000000000}"/>
  <workbookProtection workbookAlgorithmName="SHA-512" workbookHashValue="myefH0MyyAwk81h9C26J94AXBj1sFe22EKgW068EykjuytZqi9CGihwmOx2PjJeax2esHXkNtAXoH5M7utViCA==" workbookSaltValue="UPyLfh9nfkoD1q/n9K4qAw==" workbookSpinCount="100000" lockStructure="1"/>
  <bookViews>
    <workbookView xWindow="-110" yWindow="-110" windowWidth="19420" windowHeight="10300" tabRatio="845" xr2:uid="{00000000-000D-0000-FFFF-FFFF00000000}"/>
  </bookViews>
  <sheets>
    <sheet name="Dane do harmonogramu" sheetId="50" r:id="rId1"/>
    <sheet name="Arkusz2" sheetId="60" state="hidden" r:id="rId2"/>
    <sheet name="Roboczy harmonogram" sheetId="4" state="hidden" r:id="rId3"/>
    <sheet name="Roboczy harmonogram_1" sheetId="8" state="hidden" r:id="rId4"/>
    <sheet name="Roboczy harmonogram_2" sheetId="9" state="hidden" r:id="rId5"/>
    <sheet name="kpir3" sheetId="29" state="hidden" r:id="rId6"/>
    <sheet name="KPiR_kalkulator" sheetId="51" r:id="rId7"/>
    <sheet name="KPIR" sheetId="45" state="hidden" r:id="rId8"/>
    <sheet name="Ryczałt_karta_kalkulator" sheetId="52" r:id="rId9"/>
    <sheet name="Rycz_karta dane" sheetId="44" state="hidden" r:id="rId10"/>
    <sheet name="Zmiana_formy_kalkulator" sheetId="57" r:id="rId11"/>
    <sheet name="rycz3" sheetId="55" state="hidden" r:id="rId12"/>
    <sheet name="dochod_2022" sheetId="59" state="hidden" r:id="rId13"/>
    <sheet name="dochod_2023" sheetId="58" state="hidden" r:id="rId14"/>
    <sheet name="Najem_kalkulator" sheetId="56" r:id="rId15"/>
    <sheet name="Symulacja zdolności" sheetId="54" r:id="rId16"/>
    <sheet name="Symulacja Linia_kredytowa" sheetId="53" state="hidden" r:id="rId17"/>
    <sheet name="Symulacja Pożyczka" sheetId="20" state="hidden" r:id="rId18"/>
    <sheet name="Harmonogram Pożyczka" sheetId="27" r:id="rId19"/>
    <sheet name="Arkusz1" sheetId="17" state="hidden" r:id="rId20"/>
    <sheet name="Arkusz1 (2)" sheetId="18" state="hidden" r:id="rId21"/>
    <sheet name="Arkusz1 (3)" sheetId="19" state="hidden" r:id="rId22"/>
    <sheet name="Arkusz1 (4)" sheetId="25" state="hidden" r:id="rId23"/>
    <sheet name="Arkusz1 (5)" sheetId="26" state="hidden" r:id="rId24"/>
    <sheet name="Arkusz1 (+3)" sheetId="39" state="hidden" r:id="rId25"/>
    <sheet name="Arkusz1 (+5)" sheetId="40" state="hidden" r:id="rId26"/>
    <sheet name="Arkusz1 (+10)" sheetId="41" state="hidden" r:id="rId27"/>
    <sheet name="Arkusz1 (+0)" sheetId="42" state="hidden" r:id="rId28"/>
  </sheets>
  <functionGroups builtInGroupCount="19"/>
  <externalReferences>
    <externalReference r:id="rId29"/>
  </externalReferences>
  <definedNames>
    <definedName name="_xlnm.Print_Area" localSheetId="18">'Harmonogram Pożyczka'!$A$2:$I$147</definedName>
    <definedName name="_xlnm.Print_Area" localSheetId="14">Najem_kalkulator!#REF!</definedName>
    <definedName name="_xlnm.Print_Area" localSheetId="17">'Symulacja Pożyczka'!$A$1:$B$21</definedName>
    <definedName name="parn" localSheetId="14">[1]rycz2!$H$14</definedName>
    <definedName name="ProwizjaKredytowana">'Dane do harmonogramu'!$B$2</definedName>
    <definedName name="rngWarOneKw">'Dane do harmonogramu'!$C$4</definedName>
    <definedName name="rngWarOneKwProw">'Dane do harmonogramu'!$C$5</definedName>
    <definedName name="RngWarOneProw">'Dane do harmonogramu'!$C$17</definedName>
    <definedName name="rngWarSecKw">'Dane do harmonogramu'!$D$4</definedName>
    <definedName name="rngWarSecKwProw">'Dane do harmonogramu'!$D$5</definedName>
    <definedName name="RngWarSecProw">'Dane do harmonogramu'!$D$17</definedName>
    <definedName name="rngWarThirdKw">'Dane do harmonogramu'!$E$4</definedName>
    <definedName name="rngWarThirdKwProw">'Dane do harmonogramu'!$E$5</definedName>
    <definedName name="RngWarThirdProw">'Dane do harmonogramu'!$E$17</definedName>
    <definedName name="start_wydruku" localSheetId="18">'Harmonogram Pożyczka'!$A$2</definedName>
    <definedName name="WarOneKw">IF(ProwizjaKredytowana=TRUE,rngWarOneKw+RngWarOneProw,rngWarOneKw)</definedName>
    <definedName name="WarSecKw">IF(ProwizjaKredytowana=TRUE,rngWarSecKw+RngWarSecProw,rngWarSecKw)</definedName>
    <definedName name="WarThirdKw">IF(ProwizjaKredytowana=TRUE,rngWarThirdKw+RngWarThirdProw,rngWarThirdKw)</definedName>
    <definedName name="wydruk_start" localSheetId="18">'Harmonogram Pożyczka'!$A$2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6" i="57" l="1"/>
  <c r="C3" i="52"/>
  <c r="C3" i="51"/>
  <c r="B75" i="57"/>
  <c r="C56" i="57"/>
  <c r="B43" i="57"/>
  <c r="B42" i="57"/>
  <c r="B33" i="57"/>
  <c r="B80" i="57"/>
  <c r="B79" i="57"/>
  <c r="B30" i="54"/>
  <c r="X12" i="54" l="1"/>
  <c r="S17" i="54" l="1"/>
  <c r="Z12" i="54"/>
  <c r="Y9" i="54"/>
  <c r="B29" i="54"/>
  <c r="F5" i="27" l="1"/>
  <c r="F7" i="27"/>
  <c r="D21" i="50" l="1"/>
  <c r="E21" i="50"/>
  <c r="AB47" i="44" l="1"/>
  <c r="AB48" i="44"/>
  <c r="AB49" i="44"/>
  <c r="AB50" i="44"/>
  <c r="AB51" i="44"/>
  <c r="AB52" i="44"/>
  <c r="AA8" i="44"/>
  <c r="AA9" i="44"/>
  <c r="AA10" i="44"/>
  <c r="AA11" i="44"/>
  <c r="AA12" i="44"/>
  <c r="AA13" i="44"/>
  <c r="AA14" i="44"/>
  <c r="AA15" i="44"/>
  <c r="AA16" i="44"/>
  <c r="AA17" i="44"/>
  <c r="AA18" i="44"/>
  <c r="AA19" i="44"/>
  <c r="AA20" i="44"/>
  <c r="AA21" i="44"/>
  <c r="AA22" i="44"/>
  <c r="AA23" i="44"/>
  <c r="AA24" i="44"/>
  <c r="AA25" i="44"/>
  <c r="AA26" i="44"/>
  <c r="AA27" i="44"/>
  <c r="AA28" i="44"/>
  <c r="AA29" i="44"/>
  <c r="AA30" i="44"/>
  <c r="AA31" i="44"/>
  <c r="AA32" i="44"/>
  <c r="AA33" i="44"/>
  <c r="AA34" i="44"/>
  <c r="AA35" i="44"/>
  <c r="AA36" i="44"/>
  <c r="AA37" i="44"/>
  <c r="AA38" i="44"/>
  <c r="AA39" i="44"/>
  <c r="AA40" i="44"/>
  <c r="AA41" i="44"/>
  <c r="AA42" i="44"/>
  <c r="AA43" i="44"/>
  <c r="AA44" i="44"/>
  <c r="AA45" i="44"/>
  <c r="AA46" i="44"/>
  <c r="AA47" i="44"/>
  <c r="AA48" i="44"/>
  <c r="AA49" i="44"/>
  <c r="AA50" i="44"/>
  <c r="AA51" i="44"/>
  <c r="AA52" i="44"/>
  <c r="AA5" i="44"/>
  <c r="AA6" i="44"/>
  <c r="AA7" i="44"/>
  <c r="O36" i="50" l="1"/>
  <c r="O35" i="50"/>
  <c r="O29" i="50"/>
  <c r="O28" i="50"/>
  <c r="O22" i="50"/>
  <c r="O21" i="50"/>
  <c r="B21" i="50"/>
  <c r="AB38" i="44"/>
  <c r="AB30" i="44"/>
  <c r="AB24" i="44"/>
  <c r="AB14" i="44"/>
  <c r="AB8" i="44"/>
  <c r="AB6" i="44"/>
  <c r="C42" i="54" l="1"/>
  <c r="L24" i="27" l="1"/>
  <c r="L25" i="27" s="1"/>
  <c r="I25" i="27" s="1"/>
  <c r="AB5" i="44" l="1"/>
  <c r="AB7" i="44"/>
  <c r="AB9" i="44"/>
  <c r="AB10" i="44"/>
  <c r="AB11" i="44"/>
  <c r="AB12" i="44"/>
  <c r="AB13" i="44"/>
  <c r="AB15" i="44"/>
  <c r="AB16" i="44"/>
  <c r="AB17" i="44"/>
  <c r="AB18" i="44"/>
  <c r="AB19" i="44"/>
  <c r="AB20" i="44"/>
  <c r="AB21" i="44"/>
  <c r="AB22" i="44"/>
  <c r="AB23" i="44"/>
  <c r="AB25" i="44"/>
  <c r="AB26" i="44"/>
  <c r="AB27" i="44"/>
  <c r="AB28" i="44"/>
  <c r="AB29" i="44"/>
  <c r="AB31" i="44"/>
  <c r="AB32" i="44"/>
  <c r="AB33" i="44"/>
  <c r="AB34" i="44"/>
  <c r="AB35" i="44"/>
  <c r="AB36" i="44"/>
  <c r="AB37" i="44"/>
  <c r="AB39" i="44"/>
  <c r="AB40" i="44"/>
  <c r="AB41" i="44"/>
  <c r="AB42" i="44"/>
  <c r="AB43" i="44"/>
  <c r="AB44" i="44"/>
  <c r="AB45" i="44"/>
  <c r="AB46" i="44"/>
  <c r="AB4" i="44"/>
  <c r="U34" i="58" l="1"/>
  <c r="O24" i="50" l="1"/>
  <c r="O23" i="50"/>
  <c r="O25" i="50" s="1"/>
  <c r="L11" i="50" l="1"/>
  <c r="Q28" i="50" l="1"/>
  <c r="R28" i="50" s="1"/>
  <c r="Q35" i="50"/>
  <c r="R35" i="50" s="1"/>
  <c r="Q21" i="50"/>
  <c r="R21" i="50" s="1"/>
  <c r="F79" i="57" l="1"/>
  <c r="F42" i="57"/>
  <c r="O30" i="50" l="1"/>
  <c r="O37" i="50"/>
  <c r="T8" i="54" l="1"/>
  <c r="C13" i="59" l="1"/>
  <c r="C22" i="59" l="1"/>
  <c r="AX20" i="59"/>
  <c r="T20" i="59"/>
  <c r="C15" i="59"/>
  <c r="AX14" i="59"/>
  <c r="T14" i="59"/>
  <c r="C14" i="59"/>
  <c r="AX13" i="59"/>
  <c r="T13" i="59"/>
  <c r="AX12" i="59"/>
  <c r="T12" i="59"/>
  <c r="C12" i="59"/>
  <c r="AX6" i="59"/>
  <c r="AX10" i="59" s="1"/>
  <c r="T6" i="59"/>
  <c r="T10" i="59" s="1"/>
  <c r="C6" i="59"/>
  <c r="S5" i="59"/>
  <c r="AX3" i="59"/>
  <c r="BE4" i="59" s="1"/>
  <c r="T3" i="59"/>
  <c r="AB4" i="59" s="1"/>
  <c r="C3" i="59"/>
  <c r="C22" i="58"/>
  <c r="C21" i="58"/>
  <c r="AX20" i="58"/>
  <c r="T20" i="58"/>
  <c r="C20" i="58"/>
  <c r="AX19" i="58"/>
  <c r="T19" i="58"/>
  <c r="C19" i="58"/>
  <c r="AX18" i="58"/>
  <c r="T18" i="58"/>
  <c r="C15" i="58"/>
  <c r="S5" i="58"/>
  <c r="B85" i="57"/>
  <c r="B73" i="57"/>
  <c r="L62" i="57"/>
  <c r="AX14" i="58" s="1"/>
  <c r="G62" i="57"/>
  <c r="T14" i="58" s="1"/>
  <c r="L61" i="57"/>
  <c r="G61" i="57"/>
  <c r="C61" i="57"/>
  <c r="C14" i="58" s="1"/>
  <c r="L60" i="57"/>
  <c r="G60" i="57"/>
  <c r="C60" i="57"/>
  <c r="L59" i="57"/>
  <c r="AX12" i="58" s="1"/>
  <c r="G59" i="57"/>
  <c r="T12" i="58" s="1"/>
  <c r="C59" i="57"/>
  <c r="C12" i="58" s="1"/>
  <c r="L57" i="57"/>
  <c r="AX6" i="58" s="1"/>
  <c r="AX10" i="58" s="1"/>
  <c r="G57" i="57"/>
  <c r="T6" i="58" s="1"/>
  <c r="T10" i="58" s="1"/>
  <c r="C57" i="57"/>
  <c r="C6" i="58" s="1"/>
  <c r="L56" i="57"/>
  <c r="AX8" i="58" s="1"/>
  <c r="AY8" i="58" s="1"/>
  <c r="AY9" i="58" s="1"/>
  <c r="G56" i="57"/>
  <c r="T8" i="58" s="1"/>
  <c r="U8" i="58" s="1"/>
  <c r="U9" i="58" s="1"/>
  <c r="C8" i="58"/>
  <c r="D8" i="58" s="1"/>
  <c r="C9" i="58" s="1"/>
  <c r="L55" i="57"/>
  <c r="AX7" i="58" s="1"/>
  <c r="G55" i="57"/>
  <c r="F56" i="57" s="1"/>
  <c r="C55" i="57"/>
  <c r="C7" i="58" s="1"/>
  <c r="L54" i="57"/>
  <c r="AX5" i="58" s="1"/>
  <c r="AY32" i="58" s="1"/>
  <c r="G54" i="57"/>
  <c r="T5" i="58" s="1"/>
  <c r="U32" i="58" s="1"/>
  <c r="B31" i="57"/>
  <c r="G53" i="57"/>
  <c r="T3" i="58" s="1"/>
  <c r="C18" i="57"/>
  <c r="C21" i="59" s="1"/>
  <c r="L17" i="57"/>
  <c r="G17" i="57"/>
  <c r="C17" i="57"/>
  <c r="L16" i="57"/>
  <c r="AX18" i="59" s="1"/>
  <c r="G16" i="57"/>
  <c r="T18" i="59" s="1"/>
  <c r="C16" i="57"/>
  <c r="C19" i="59" s="1"/>
  <c r="L8" i="57"/>
  <c r="AX8" i="59" s="1"/>
  <c r="AY8" i="59" s="1"/>
  <c r="AY9" i="59" s="1"/>
  <c r="G8" i="57"/>
  <c r="T8" i="59" s="1"/>
  <c r="U8" i="59" s="1"/>
  <c r="U9" i="59" s="1"/>
  <c r="C8" i="57"/>
  <c r="C8" i="59" s="1"/>
  <c r="D8" i="59" s="1"/>
  <c r="L7" i="57"/>
  <c r="AX7" i="59" s="1"/>
  <c r="G7" i="57"/>
  <c r="T7" i="59" s="1"/>
  <c r="C7" i="57"/>
  <c r="C7" i="59" s="1"/>
  <c r="L6" i="57"/>
  <c r="AX5" i="59" s="1"/>
  <c r="AY32" i="59" s="1"/>
  <c r="G6" i="57"/>
  <c r="T5" i="59" s="1"/>
  <c r="U32" i="59" s="1"/>
  <c r="T9" i="59" l="1"/>
  <c r="T19" i="59" s="1"/>
  <c r="T27" i="59" s="1"/>
  <c r="U22" i="59" s="1"/>
  <c r="AX9" i="59"/>
  <c r="AX19" i="59" s="1"/>
  <c r="AX27" i="59" s="1"/>
  <c r="AY22" i="59" s="1"/>
  <c r="T13" i="58"/>
  <c r="T16" i="58" s="1"/>
  <c r="U23" i="58" s="1"/>
  <c r="U25" i="58" s="1"/>
  <c r="AX13" i="58"/>
  <c r="AX16" i="58" s="1"/>
  <c r="AY23" i="58" s="1"/>
  <c r="AY25" i="58" s="1"/>
  <c r="AX27" i="58"/>
  <c r="T27" i="58"/>
  <c r="C9" i="59"/>
  <c r="C20" i="59" s="1"/>
  <c r="C29" i="59" s="1"/>
  <c r="H24" i="59" s="1"/>
  <c r="AA4" i="59"/>
  <c r="AX9" i="58"/>
  <c r="K56" i="57"/>
  <c r="B8" i="57"/>
  <c r="B56" i="57"/>
  <c r="V23" i="59"/>
  <c r="AZ23" i="58"/>
  <c r="AZ25" i="58" s="1"/>
  <c r="L69" i="57" s="1"/>
  <c r="AB4" i="58"/>
  <c r="AA4" i="58"/>
  <c r="C10" i="58"/>
  <c r="C13" i="58" s="1"/>
  <c r="C17" i="58" s="1"/>
  <c r="AZ23" i="59"/>
  <c r="V23" i="58"/>
  <c r="V25" i="58" s="1"/>
  <c r="G69" i="57" s="1"/>
  <c r="C32" i="59"/>
  <c r="D32" i="59"/>
  <c r="E32" i="59" s="1"/>
  <c r="AB5" i="59"/>
  <c r="BG4" i="59"/>
  <c r="AC4" i="59"/>
  <c r="L53" i="57"/>
  <c r="AX3" i="58" s="1"/>
  <c r="K8" i="57"/>
  <c r="T7" i="58"/>
  <c r="T9" i="58" s="1"/>
  <c r="C32" i="58"/>
  <c r="I4" i="59"/>
  <c r="BF4" i="59"/>
  <c r="BF5" i="59" s="1"/>
  <c r="BF6" i="59" s="1"/>
  <c r="AX16" i="59"/>
  <c r="AY23" i="59" s="1"/>
  <c r="C29" i="58"/>
  <c r="C24" i="58" s="1"/>
  <c r="D32" i="58"/>
  <c r="J4" i="59"/>
  <c r="C10" i="59"/>
  <c r="C53" i="57"/>
  <c r="C3" i="58" s="1"/>
  <c r="F8" i="57"/>
  <c r="T16" i="59"/>
  <c r="U23" i="59" s="1"/>
  <c r="C17" i="59"/>
  <c r="I24" i="59" l="1"/>
  <c r="I27" i="59" s="1"/>
  <c r="AZ22" i="59"/>
  <c r="AZ25" i="59" s="1"/>
  <c r="L21" i="57" s="1"/>
  <c r="V22" i="59"/>
  <c r="V25" i="59" s="1"/>
  <c r="G21" i="57" s="1"/>
  <c r="U24" i="59"/>
  <c r="V34" i="58"/>
  <c r="T32" i="58"/>
  <c r="U26" i="58" s="1"/>
  <c r="G68" i="57" s="1"/>
  <c r="D41" i="58"/>
  <c r="D24" i="59"/>
  <c r="E24" i="59" s="1"/>
  <c r="D40" i="59"/>
  <c r="H24" i="58"/>
  <c r="D24" i="58"/>
  <c r="D40" i="58"/>
  <c r="AX32" i="58"/>
  <c r="AY26" i="58" s="1"/>
  <c r="L68" i="57" s="1"/>
  <c r="D25" i="59"/>
  <c r="C24" i="59"/>
  <c r="I26" i="58"/>
  <c r="I25" i="58"/>
  <c r="I27" i="58" s="1"/>
  <c r="I38" i="58" s="1"/>
  <c r="C69" i="57" s="1"/>
  <c r="C88" i="57" s="1"/>
  <c r="H27" i="59"/>
  <c r="AY24" i="59"/>
  <c r="AY25" i="59"/>
  <c r="E32" i="58"/>
  <c r="I4" i="58"/>
  <c r="E24" i="58"/>
  <c r="J4" i="58"/>
  <c r="BF4" i="58"/>
  <c r="BF5" i="58" s="1"/>
  <c r="BF6" i="58" s="1"/>
  <c r="BE4" i="58"/>
  <c r="D41" i="59"/>
  <c r="C37" i="59" s="1"/>
  <c r="E33" i="59"/>
  <c r="E34" i="59" s="1"/>
  <c r="AB6" i="59"/>
  <c r="BG5" i="59"/>
  <c r="AC5" i="59"/>
  <c r="I24" i="58"/>
  <c r="I25" i="59"/>
  <c r="U25" i="59"/>
  <c r="H25" i="59"/>
  <c r="H26" i="59" s="1"/>
  <c r="K4" i="59"/>
  <c r="J5" i="59"/>
  <c r="I26" i="59"/>
  <c r="E33" i="58"/>
  <c r="E34" i="58" s="1"/>
  <c r="AC4" i="58"/>
  <c r="AB5" i="58"/>
  <c r="BG4" i="58"/>
  <c r="V24" i="59" l="1"/>
  <c r="AZ24" i="59"/>
  <c r="AX32" i="59"/>
  <c r="AY26" i="59" s="1"/>
  <c r="L20" i="57" s="1"/>
  <c r="D25" i="58"/>
  <c r="D26" i="58" s="1"/>
  <c r="H25" i="58"/>
  <c r="H27" i="58" s="1"/>
  <c r="I37" i="58" s="1"/>
  <c r="C68" i="57" s="1"/>
  <c r="C87" i="57" s="1"/>
  <c r="D26" i="59"/>
  <c r="C37" i="58"/>
  <c r="E35" i="58" s="1"/>
  <c r="T32" i="59"/>
  <c r="U26" i="59" s="1"/>
  <c r="G20" i="57" s="1"/>
  <c r="J5" i="58"/>
  <c r="K4" i="58"/>
  <c r="BG5" i="58"/>
  <c r="AC5" i="58"/>
  <c r="AB6" i="58"/>
  <c r="BG6" i="59"/>
  <c r="AC6" i="59"/>
  <c r="D27" i="59"/>
  <c r="I37" i="59" s="1"/>
  <c r="C20" i="57" s="1"/>
  <c r="E35" i="59"/>
  <c r="I38" i="59" s="1"/>
  <c r="C21" i="57" s="1"/>
  <c r="C46" i="57" s="1"/>
  <c r="C92" i="57" s="1"/>
  <c r="J6" i="59"/>
  <c r="K6" i="59" s="1"/>
  <c r="K5" i="59"/>
  <c r="C45" i="57" l="1"/>
  <c r="C91" i="57" s="1"/>
  <c r="H26" i="58"/>
  <c r="D27" i="58"/>
  <c r="BG6" i="58"/>
  <c r="AC6" i="58"/>
  <c r="K5" i="58"/>
  <c r="J6" i="58"/>
  <c r="K6" i="58" s="1"/>
  <c r="S1" i="54" l="1"/>
  <c r="C34" i="54" l="1"/>
  <c r="B5" i="51" l="1"/>
  <c r="B7" i="52" l="1"/>
  <c r="AA4" i="44" l="1"/>
  <c r="B5" i="52" l="1"/>
  <c r="E2" i="55" l="1"/>
  <c r="E4" i="55"/>
  <c r="D7" i="55"/>
  <c r="E7" i="55"/>
  <c r="D8" i="55"/>
  <c r="E8" i="55"/>
  <c r="C9" i="55"/>
  <c r="D9" i="55"/>
  <c r="E9" i="55"/>
  <c r="D10" i="55"/>
  <c r="E10" i="55"/>
  <c r="D11" i="55"/>
  <c r="E11" i="55"/>
  <c r="D12" i="55"/>
  <c r="E12" i="55"/>
  <c r="D13" i="55"/>
  <c r="E13" i="55"/>
  <c r="G4" i="55" l="1"/>
  <c r="E15" i="55" s="1"/>
  <c r="E16" i="55" s="1"/>
  <c r="D15" i="55"/>
  <c r="D16" i="55" s="1"/>
  <c r="E14" i="55"/>
  <c r="D14" i="55"/>
  <c r="D17" i="55" l="1"/>
  <c r="D18" i="55" s="1"/>
  <c r="D19" i="55"/>
  <c r="E17" i="55"/>
  <c r="E18" i="55" s="1"/>
  <c r="D15" i="56" s="1"/>
  <c r="E19" i="55"/>
  <c r="O11" i="53" l="1"/>
  <c r="E20" i="54" l="1"/>
  <c r="Y12" i="54"/>
  <c r="S13" i="54" l="1"/>
  <c r="E14" i="50" l="1"/>
  <c r="E15" i="50" s="1"/>
  <c r="D14" i="50"/>
  <c r="D15" i="50" s="1"/>
  <c r="C14" i="50"/>
  <c r="C15" i="50" l="1"/>
  <c r="L24" i="54"/>
  <c r="L25" i="54" s="1"/>
  <c r="I29" i="54" s="1"/>
  <c r="D20" i="54"/>
  <c r="S19" i="54"/>
  <c r="U12" i="54"/>
  <c r="T12" i="54"/>
  <c r="S12" i="54" s="1"/>
  <c r="U11" i="54"/>
  <c r="T11" i="54"/>
  <c r="U10" i="54"/>
  <c r="T10" i="54"/>
  <c r="U9" i="54"/>
  <c r="T9" i="54"/>
  <c r="U8" i="54"/>
  <c r="S8" i="54" s="1"/>
  <c r="S7" i="54"/>
  <c r="S6" i="54"/>
  <c r="S5" i="54"/>
  <c r="S4" i="54"/>
  <c r="S3" i="54"/>
  <c r="C20" i="54" s="1"/>
  <c r="S10" i="54" l="1"/>
  <c r="C27" i="54"/>
  <c r="R22" i="54" s="1"/>
  <c r="R23" i="54" s="1"/>
  <c r="S9" i="54"/>
  <c r="S11" i="54"/>
  <c r="N12" i="53"/>
  <c r="N13" i="53"/>
  <c r="N14" i="53"/>
  <c r="N11" i="53"/>
  <c r="R27" i="54" l="1"/>
  <c r="C32" i="54" s="1"/>
  <c r="D42" i="54"/>
  <c r="B11" i="20" l="1"/>
  <c r="B3" i="53" l="1"/>
  <c r="B28" i="53" s="1"/>
  <c r="B5" i="53"/>
  <c r="C8" i="53"/>
  <c r="B12" i="53"/>
  <c r="B14" i="53"/>
  <c r="B15" i="53"/>
  <c r="B16" i="53"/>
  <c r="B17" i="53"/>
  <c r="B18" i="53"/>
  <c r="C27" i="53"/>
  <c r="C28" i="53"/>
  <c r="B34" i="53"/>
  <c r="B35" i="53"/>
  <c r="B36" i="53"/>
  <c r="B37" i="53"/>
  <c r="B38" i="53"/>
  <c r="B39" i="53"/>
  <c r="M19" i="53" l="1"/>
  <c r="C4" i="53" s="1"/>
  <c r="C7" i="53" s="1"/>
  <c r="C29" i="53" s="1"/>
  <c r="C18" i="53" l="1"/>
  <c r="C39" i="53" s="1"/>
  <c r="C16" i="53"/>
  <c r="C37" i="53" s="1"/>
  <c r="B30" i="53"/>
  <c r="C17" i="53"/>
  <c r="C38" i="53" s="1"/>
  <c r="C15" i="53"/>
  <c r="C36" i="53" s="1"/>
  <c r="C12" i="53"/>
  <c r="C34" i="53" s="1"/>
  <c r="C14" i="53"/>
  <c r="C35" i="53" s="1"/>
  <c r="C11" i="53"/>
  <c r="C33" i="53" s="1"/>
  <c r="S18" i="54" l="1"/>
  <c r="R24" i="54" s="1"/>
  <c r="R25" i="54" s="1"/>
  <c r="C31" i="54" s="1"/>
  <c r="P22" i="54" l="1"/>
  <c r="C17" i="50"/>
  <c r="C19" i="50" s="1"/>
  <c r="D17" i="50"/>
  <c r="D5" i="50" s="1"/>
  <c r="E17" i="50"/>
  <c r="E5" i="50" s="1"/>
  <c r="E19" i="50"/>
  <c r="O31" i="50"/>
  <c r="O32" i="50" s="1"/>
  <c r="O38" i="50"/>
  <c r="O39" i="50" s="1"/>
  <c r="D23" i="50" l="1"/>
  <c r="D22" i="50"/>
  <c r="E23" i="50"/>
  <c r="E22" i="50"/>
  <c r="O26" i="50"/>
  <c r="C12" i="50" s="1"/>
  <c r="P24" i="54"/>
  <c r="P25" i="54" s="1"/>
  <c r="C33" i="54" s="1"/>
  <c r="O40" i="50"/>
  <c r="E12" i="50" s="1"/>
  <c r="E13" i="50" s="1"/>
  <c r="D19" i="50"/>
  <c r="C5" i="50"/>
  <c r="B3" i="26"/>
  <c r="B4" i="26" s="1"/>
  <c r="B2" i="26"/>
  <c r="B3" i="25"/>
  <c r="N2" i="25"/>
  <c r="B2" i="25"/>
  <c r="A3" i="27"/>
  <c r="B10" i="20"/>
  <c r="B9" i="20"/>
  <c r="F11" i="27" s="1"/>
  <c r="B6" i="20"/>
  <c r="B4" i="20"/>
  <c r="B3" i="20"/>
  <c r="A3" i="20"/>
  <c r="C20" i="44"/>
  <c r="C18" i="44"/>
  <c r="C14" i="44"/>
  <c r="C12" i="44"/>
  <c r="C8" i="44"/>
  <c r="D8" i="44" s="1"/>
  <c r="D9" i="44" s="1"/>
  <c r="C7" i="44"/>
  <c r="C6" i="44"/>
  <c r="C10" i="44" s="1"/>
  <c r="C13" i="44" s="1"/>
  <c r="C16" i="44" s="1"/>
  <c r="C5" i="44"/>
  <c r="D32" i="44" s="1"/>
  <c r="C4" i="44"/>
  <c r="C3" i="44"/>
  <c r="J4" i="44" s="1"/>
  <c r="B5" i="44"/>
  <c r="C22" i="45"/>
  <c r="C21" i="45"/>
  <c r="C19" i="45"/>
  <c r="C15" i="45"/>
  <c r="C14" i="45"/>
  <c r="C12" i="45"/>
  <c r="C8" i="45"/>
  <c r="C7" i="45"/>
  <c r="C6" i="45"/>
  <c r="C3" i="45"/>
  <c r="D14" i="29"/>
  <c r="D13" i="29"/>
  <c r="D12" i="29"/>
  <c r="D10" i="29"/>
  <c r="D8" i="29"/>
  <c r="D7" i="29"/>
  <c r="D6" i="29"/>
  <c r="D4" i="29"/>
  <c r="E8" i="29" s="1"/>
  <c r="D3" i="29"/>
  <c r="E3" i="29" s="1"/>
  <c r="F1" i="29" s="1"/>
  <c r="D2" i="29"/>
  <c r="V182" i="9"/>
  <c r="U182" i="9"/>
  <c r="T182" i="9"/>
  <c r="S182" i="9"/>
  <c r="V181" i="9"/>
  <c r="U181" i="9"/>
  <c r="T181" i="9"/>
  <c r="S181" i="9"/>
  <c r="V180" i="9"/>
  <c r="U180" i="9"/>
  <c r="T180" i="9"/>
  <c r="S180" i="9"/>
  <c r="V179" i="9"/>
  <c r="U179" i="9"/>
  <c r="T179" i="9"/>
  <c r="S179" i="9"/>
  <c r="V178" i="9"/>
  <c r="U178" i="9"/>
  <c r="T178" i="9"/>
  <c r="S178" i="9"/>
  <c r="V177" i="9"/>
  <c r="U177" i="9"/>
  <c r="T177" i="9"/>
  <c r="S177" i="9"/>
  <c r="V176" i="9"/>
  <c r="U176" i="9"/>
  <c r="T176" i="9"/>
  <c r="S176" i="9"/>
  <c r="V175" i="9"/>
  <c r="U175" i="9"/>
  <c r="T175" i="9"/>
  <c r="S175" i="9"/>
  <c r="V174" i="9"/>
  <c r="U174" i="9"/>
  <c r="T174" i="9"/>
  <c r="S174" i="9"/>
  <c r="V173" i="9"/>
  <c r="U173" i="9"/>
  <c r="T173" i="9"/>
  <c r="S173" i="9"/>
  <c r="V172" i="9"/>
  <c r="U172" i="9"/>
  <c r="T172" i="9"/>
  <c r="S172" i="9"/>
  <c r="V171" i="9"/>
  <c r="U171" i="9"/>
  <c r="T171" i="9"/>
  <c r="S171" i="9"/>
  <c r="V170" i="9"/>
  <c r="U170" i="9"/>
  <c r="T170" i="9"/>
  <c r="S170" i="9"/>
  <c r="V169" i="9"/>
  <c r="U169" i="9"/>
  <c r="T169" i="9"/>
  <c r="S169" i="9"/>
  <c r="V168" i="9"/>
  <c r="U168" i="9"/>
  <c r="T168" i="9"/>
  <c r="S168" i="9"/>
  <c r="V167" i="9"/>
  <c r="U167" i="9"/>
  <c r="T167" i="9"/>
  <c r="S167" i="9"/>
  <c r="V166" i="9"/>
  <c r="U166" i="9"/>
  <c r="T166" i="9"/>
  <c r="S166" i="9"/>
  <c r="V165" i="9"/>
  <c r="U165" i="9"/>
  <c r="T165" i="9"/>
  <c r="S165" i="9"/>
  <c r="V164" i="9"/>
  <c r="U164" i="9"/>
  <c r="T164" i="9"/>
  <c r="S164" i="9"/>
  <c r="V163" i="9"/>
  <c r="U163" i="9"/>
  <c r="T163" i="9"/>
  <c r="S163" i="9"/>
  <c r="V162" i="9"/>
  <c r="U162" i="9"/>
  <c r="T162" i="9"/>
  <c r="S162" i="9"/>
  <c r="V161" i="9"/>
  <c r="U161" i="9"/>
  <c r="T161" i="9"/>
  <c r="S161" i="9"/>
  <c r="V160" i="9"/>
  <c r="U160" i="9"/>
  <c r="T160" i="9"/>
  <c r="S160" i="9"/>
  <c r="V159" i="9"/>
  <c r="U159" i="9"/>
  <c r="T159" i="9"/>
  <c r="S159" i="9"/>
  <c r="V158" i="9"/>
  <c r="U158" i="9"/>
  <c r="T158" i="9"/>
  <c r="S158" i="9"/>
  <c r="V157" i="9"/>
  <c r="U157" i="9"/>
  <c r="T157" i="9"/>
  <c r="S157" i="9"/>
  <c r="V156" i="9"/>
  <c r="U156" i="9"/>
  <c r="T156" i="9"/>
  <c r="S156" i="9"/>
  <c r="V155" i="9"/>
  <c r="U155" i="9"/>
  <c r="T155" i="9"/>
  <c r="S155" i="9"/>
  <c r="V154" i="9"/>
  <c r="U154" i="9"/>
  <c r="T154" i="9"/>
  <c r="S154" i="9"/>
  <c r="V153" i="9"/>
  <c r="U153" i="9"/>
  <c r="T153" i="9"/>
  <c r="S153" i="9"/>
  <c r="V152" i="9"/>
  <c r="U152" i="9"/>
  <c r="T152" i="9"/>
  <c r="S152" i="9"/>
  <c r="V151" i="9"/>
  <c r="U151" i="9"/>
  <c r="T151" i="9"/>
  <c r="S151" i="9"/>
  <c r="V150" i="9"/>
  <c r="U150" i="9"/>
  <c r="T150" i="9"/>
  <c r="S150" i="9"/>
  <c r="V149" i="9"/>
  <c r="U149" i="9"/>
  <c r="T149" i="9"/>
  <c r="S149" i="9"/>
  <c r="V148" i="9"/>
  <c r="U148" i="9"/>
  <c r="T148" i="9"/>
  <c r="S148" i="9"/>
  <c r="V147" i="9"/>
  <c r="U147" i="9"/>
  <c r="T147" i="9"/>
  <c r="S147" i="9"/>
  <c r="V146" i="9"/>
  <c r="U146" i="9"/>
  <c r="T146" i="9"/>
  <c r="S146" i="9"/>
  <c r="V145" i="9"/>
  <c r="U145" i="9"/>
  <c r="T145" i="9"/>
  <c r="S145" i="9"/>
  <c r="V144" i="9"/>
  <c r="U144" i="9"/>
  <c r="T144" i="9"/>
  <c r="S144" i="9"/>
  <c r="V143" i="9"/>
  <c r="U143" i="9"/>
  <c r="T143" i="9"/>
  <c r="S143" i="9"/>
  <c r="V142" i="9"/>
  <c r="U142" i="9"/>
  <c r="T142" i="9"/>
  <c r="S142" i="9"/>
  <c r="V141" i="9"/>
  <c r="U141" i="9"/>
  <c r="T141" i="9"/>
  <c r="S141" i="9"/>
  <c r="V140" i="9"/>
  <c r="U140" i="9"/>
  <c r="T140" i="9"/>
  <c r="S140" i="9"/>
  <c r="V139" i="9"/>
  <c r="U139" i="9"/>
  <c r="T139" i="9"/>
  <c r="S139" i="9"/>
  <c r="V138" i="9"/>
  <c r="U138" i="9"/>
  <c r="T138" i="9"/>
  <c r="S138" i="9"/>
  <c r="V137" i="9"/>
  <c r="U137" i="9"/>
  <c r="T137" i="9"/>
  <c r="S137" i="9"/>
  <c r="V136" i="9"/>
  <c r="U136" i="9"/>
  <c r="T136" i="9"/>
  <c r="S136" i="9"/>
  <c r="V135" i="9"/>
  <c r="U135" i="9"/>
  <c r="T135" i="9"/>
  <c r="S135" i="9"/>
  <c r="V134" i="9"/>
  <c r="U134" i="9"/>
  <c r="T134" i="9"/>
  <c r="S134" i="9"/>
  <c r="V133" i="9"/>
  <c r="U133" i="9"/>
  <c r="T133" i="9"/>
  <c r="S133" i="9"/>
  <c r="V132" i="9"/>
  <c r="U132" i="9"/>
  <c r="T132" i="9"/>
  <c r="S132" i="9"/>
  <c r="V131" i="9"/>
  <c r="U131" i="9"/>
  <c r="T131" i="9"/>
  <c r="S131" i="9"/>
  <c r="V130" i="9"/>
  <c r="U130" i="9"/>
  <c r="T130" i="9"/>
  <c r="S130" i="9"/>
  <c r="V129" i="9"/>
  <c r="U129" i="9"/>
  <c r="T129" i="9"/>
  <c r="S129" i="9"/>
  <c r="V128" i="9"/>
  <c r="U128" i="9"/>
  <c r="T128" i="9"/>
  <c r="S128" i="9"/>
  <c r="V127" i="9"/>
  <c r="U127" i="9"/>
  <c r="T127" i="9"/>
  <c r="S127" i="9"/>
  <c r="V126" i="9"/>
  <c r="U126" i="9"/>
  <c r="T126" i="9"/>
  <c r="S126" i="9"/>
  <c r="V125" i="9"/>
  <c r="U125" i="9"/>
  <c r="T125" i="9"/>
  <c r="S125" i="9"/>
  <c r="V124" i="9"/>
  <c r="U124" i="9"/>
  <c r="T124" i="9"/>
  <c r="S124" i="9"/>
  <c r="U123" i="9"/>
  <c r="T123" i="9"/>
  <c r="S123" i="9"/>
  <c r="V3" i="9"/>
  <c r="B3" i="9"/>
  <c r="B4" i="9" s="1"/>
  <c r="B2" i="9"/>
  <c r="V3" i="8"/>
  <c r="B3" i="8"/>
  <c r="H3" i="8" s="1"/>
  <c r="B2" i="8"/>
  <c r="V3" i="4"/>
  <c r="B3" i="4"/>
  <c r="B4" i="4" s="1"/>
  <c r="B2" i="4"/>
  <c r="B8" i="20"/>
  <c r="H8" i="27" s="1"/>
  <c r="C21" i="50" l="1"/>
  <c r="C22" i="50" s="1"/>
  <c r="E3" i="25"/>
  <c r="O33" i="50"/>
  <c r="D12" i="50" s="1"/>
  <c r="D13" i="50" s="1"/>
  <c r="D8" i="45"/>
  <c r="C9" i="45" s="1"/>
  <c r="C20" i="45" s="1"/>
  <c r="I4" i="45"/>
  <c r="C10" i="45"/>
  <c r="C13" i="45" s="1"/>
  <c r="D23" i="44"/>
  <c r="C9" i="44"/>
  <c r="C19" i="44" s="1"/>
  <c r="C27" i="44" s="1"/>
  <c r="D22" i="44" s="1"/>
  <c r="C13" i="50"/>
  <c r="C25" i="54" s="1"/>
  <c r="B5" i="20"/>
  <c r="E3" i="9"/>
  <c r="B6" i="27"/>
  <c r="G26" i="27"/>
  <c r="I27" i="27" s="1"/>
  <c r="F3" i="25"/>
  <c r="J3" i="25" s="1"/>
  <c r="F4" i="26"/>
  <c r="H4" i="26"/>
  <c r="I4" i="26" s="1"/>
  <c r="D4" i="26"/>
  <c r="B5" i="26"/>
  <c r="C4" i="26"/>
  <c r="C3" i="25"/>
  <c r="H3" i="26"/>
  <c r="E4" i="26"/>
  <c r="G3" i="25"/>
  <c r="D3" i="25"/>
  <c r="H3" i="25"/>
  <c r="I3" i="25" s="1"/>
  <c r="B4" i="25"/>
  <c r="E13" i="29"/>
  <c r="D18" i="29"/>
  <c r="G7" i="29"/>
  <c r="I7" i="29"/>
  <c r="E12" i="29"/>
  <c r="F4" i="29"/>
  <c r="E7" i="29"/>
  <c r="K4" i="44"/>
  <c r="K5" i="44" s="1"/>
  <c r="E23" i="44"/>
  <c r="J4" i="45"/>
  <c r="J5" i="45" s="1"/>
  <c r="J6" i="45" s="1"/>
  <c r="K6" i="45" s="1"/>
  <c r="C32" i="45"/>
  <c r="I24" i="45"/>
  <c r="D32" i="45"/>
  <c r="E3" i="8"/>
  <c r="H4" i="4"/>
  <c r="F4" i="4"/>
  <c r="B5" i="4"/>
  <c r="E5" i="4" s="1"/>
  <c r="E4" i="4"/>
  <c r="H3" i="4"/>
  <c r="H26" i="27"/>
  <c r="E3" i="4"/>
  <c r="F3" i="4"/>
  <c r="H4" i="9"/>
  <c r="F4" i="9"/>
  <c r="B5" i="9"/>
  <c r="E5" i="9" s="1"/>
  <c r="E4" i="9"/>
  <c r="A206" i="27"/>
  <c r="A204" i="27"/>
  <c r="A202" i="27"/>
  <c r="A200" i="27"/>
  <c r="A198" i="27"/>
  <c r="A196" i="27"/>
  <c r="A194" i="27"/>
  <c r="A192" i="27"/>
  <c r="A190" i="27"/>
  <c r="A188" i="27"/>
  <c r="A186" i="27"/>
  <c r="A184" i="27"/>
  <c r="A182" i="27"/>
  <c r="A180" i="27"/>
  <c r="A178" i="27"/>
  <c r="A176" i="27"/>
  <c r="A174" i="27"/>
  <c r="A172" i="27"/>
  <c r="A170" i="27"/>
  <c r="A168" i="27"/>
  <c r="A166" i="27"/>
  <c r="A164" i="27"/>
  <c r="A162" i="27"/>
  <c r="A160" i="27"/>
  <c r="A158" i="27"/>
  <c r="A156" i="27"/>
  <c r="A154" i="27"/>
  <c r="A152" i="27"/>
  <c r="A150" i="27"/>
  <c r="A148" i="27"/>
  <c r="A146" i="27"/>
  <c r="A144" i="27"/>
  <c r="A142" i="27"/>
  <c r="A140" i="27"/>
  <c r="A138" i="27"/>
  <c r="A136" i="27"/>
  <c r="A134" i="27"/>
  <c r="A132" i="27"/>
  <c r="A130" i="27"/>
  <c r="A128" i="27"/>
  <c r="A126" i="27"/>
  <c r="A207" i="27"/>
  <c r="A205" i="27"/>
  <c r="A203" i="27"/>
  <c r="A201" i="27"/>
  <c r="A199" i="27"/>
  <c r="A197" i="27"/>
  <c r="A195" i="27"/>
  <c r="A193" i="27"/>
  <c r="A191" i="27"/>
  <c r="A189" i="27"/>
  <c r="A187" i="27"/>
  <c r="A185" i="27"/>
  <c r="A183" i="27"/>
  <c r="A181" i="27"/>
  <c r="A179" i="27"/>
  <c r="A177" i="27"/>
  <c r="A175" i="27"/>
  <c r="A173" i="27"/>
  <c r="A171" i="27"/>
  <c r="A169" i="27"/>
  <c r="A167" i="27"/>
  <c r="A165" i="27"/>
  <c r="A163" i="27"/>
  <c r="A161" i="27"/>
  <c r="A159" i="27"/>
  <c r="A157" i="27"/>
  <c r="A155" i="27"/>
  <c r="A153" i="27"/>
  <c r="A151" i="27"/>
  <c r="A149" i="27"/>
  <c r="A147" i="27"/>
  <c r="A145" i="27"/>
  <c r="A143" i="27"/>
  <c r="A141" i="27"/>
  <c r="A139" i="27"/>
  <c r="A137" i="27"/>
  <c r="A135" i="27"/>
  <c r="A133" i="27"/>
  <c r="A131" i="27"/>
  <c r="A129" i="27"/>
  <c r="A127" i="27"/>
  <c r="B2" i="42"/>
  <c r="B2" i="41"/>
  <c r="B2" i="40"/>
  <c r="B2" i="39"/>
  <c r="B2" i="19"/>
  <c r="B2" i="18"/>
  <c r="B2" i="17"/>
  <c r="A28" i="27"/>
  <c r="A30" i="27"/>
  <c r="A32" i="27"/>
  <c r="A34" i="27"/>
  <c r="A36" i="27"/>
  <c r="A38" i="27"/>
  <c r="A40" i="27"/>
  <c r="A42" i="27"/>
  <c r="A44" i="27"/>
  <c r="A46" i="27"/>
  <c r="A48" i="27"/>
  <c r="A50" i="27"/>
  <c r="A52" i="27"/>
  <c r="A54" i="27"/>
  <c r="A56" i="27"/>
  <c r="A58" i="27"/>
  <c r="A60" i="27"/>
  <c r="A62" i="27"/>
  <c r="A64" i="27"/>
  <c r="A66" i="27"/>
  <c r="A68" i="27"/>
  <c r="A70" i="27"/>
  <c r="A72" i="27"/>
  <c r="A74" i="27"/>
  <c r="A76" i="27"/>
  <c r="A78" i="27"/>
  <c r="A80" i="27"/>
  <c r="A82" i="27"/>
  <c r="A84" i="27"/>
  <c r="A86" i="27"/>
  <c r="A88" i="27"/>
  <c r="A90" i="27"/>
  <c r="A92" i="27"/>
  <c r="A94" i="27"/>
  <c r="A96" i="27"/>
  <c r="A98" i="27"/>
  <c r="A100" i="27"/>
  <c r="A102" i="27"/>
  <c r="A104" i="27"/>
  <c r="A106" i="27"/>
  <c r="A108" i="27"/>
  <c r="A110" i="27"/>
  <c r="A112" i="27"/>
  <c r="A114" i="27"/>
  <c r="A116" i="27"/>
  <c r="A118" i="27"/>
  <c r="A120" i="27"/>
  <c r="A122" i="27"/>
  <c r="A124" i="27"/>
  <c r="F3" i="8"/>
  <c r="B4" i="8"/>
  <c r="E4" i="8" s="1"/>
  <c r="H3" i="9"/>
  <c r="B3" i="42"/>
  <c r="B3" i="41"/>
  <c r="B3" i="39"/>
  <c r="B3" i="40"/>
  <c r="B3" i="18"/>
  <c r="B3" i="19"/>
  <c r="B3" i="17"/>
  <c r="A29" i="27"/>
  <c r="A31" i="27"/>
  <c r="A33" i="27"/>
  <c r="A35" i="27"/>
  <c r="A37" i="27"/>
  <c r="A39" i="27"/>
  <c r="A41" i="27"/>
  <c r="A43" i="27"/>
  <c r="A45" i="27"/>
  <c r="A47" i="27"/>
  <c r="A49" i="27"/>
  <c r="A51" i="27"/>
  <c r="A53" i="27"/>
  <c r="A55" i="27"/>
  <c r="A57" i="27"/>
  <c r="A59" i="27"/>
  <c r="A61" i="27"/>
  <c r="A63" i="27"/>
  <c r="A65" i="27"/>
  <c r="A67" i="27"/>
  <c r="A69" i="27"/>
  <c r="A71" i="27"/>
  <c r="A73" i="27"/>
  <c r="A75" i="27"/>
  <c r="A77" i="27"/>
  <c r="A79" i="27"/>
  <c r="A81" i="27"/>
  <c r="A83" i="27"/>
  <c r="A85" i="27"/>
  <c r="A87" i="27"/>
  <c r="A89" i="27"/>
  <c r="A91" i="27"/>
  <c r="A93" i="27"/>
  <c r="A95" i="27"/>
  <c r="A97" i="27"/>
  <c r="A99" i="27"/>
  <c r="A101" i="27"/>
  <c r="A103" i="27"/>
  <c r="A105" i="27"/>
  <c r="A107" i="27"/>
  <c r="A109" i="27"/>
  <c r="A111" i="27"/>
  <c r="A113" i="27"/>
  <c r="A115" i="27"/>
  <c r="A117" i="27"/>
  <c r="A119" i="27"/>
  <c r="A121" i="27"/>
  <c r="A123" i="27"/>
  <c r="A125" i="27"/>
  <c r="F3" i="9"/>
  <c r="F6" i="27"/>
  <c r="C4" i="9"/>
  <c r="D3" i="9"/>
  <c r="C3" i="9"/>
  <c r="D4" i="9"/>
  <c r="E3" i="26"/>
  <c r="D3" i="26"/>
  <c r="C3" i="26"/>
  <c r="I3" i="26" s="1"/>
  <c r="F3" i="26"/>
  <c r="C23" i="50" l="1"/>
  <c r="B10" i="27"/>
  <c r="D3" i="8"/>
  <c r="C3" i="8"/>
  <c r="E19" i="45"/>
  <c r="E12" i="45"/>
  <c r="C29" i="45"/>
  <c r="C17" i="45"/>
  <c r="E33" i="45"/>
  <c r="E34" i="45" s="1"/>
  <c r="R36" i="54"/>
  <c r="R37" i="54" s="1"/>
  <c r="R38" i="54" s="1"/>
  <c r="R39" i="54" s="1"/>
  <c r="C29" i="54" s="1"/>
  <c r="R42" i="54"/>
  <c r="R43" i="54" s="1"/>
  <c r="R44" i="54" s="1"/>
  <c r="R45" i="54" s="1"/>
  <c r="C30" i="54" s="1"/>
  <c r="R31" i="54"/>
  <c r="R32" i="54" s="1"/>
  <c r="R33" i="54" s="1"/>
  <c r="R34" i="54" s="1"/>
  <c r="P36" i="54"/>
  <c r="P37" i="54" s="1"/>
  <c r="P38" i="54" s="1"/>
  <c r="P39" i="54" s="1"/>
  <c r="L4" i="44"/>
  <c r="G3" i="9"/>
  <c r="E22" i="44"/>
  <c r="E24" i="44" s="1"/>
  <c r="E25" i="44" s="1"/>
  <c r="I25" i="45"/>
  <c r="D20" i="29"/>
  <c r="C3" i="39"/>
  <c r="K5" i="45"/>
  <c r="K4" i="45"/>
  <c r="K16" i="25"/>
  <c r="L16" i="25" s="1"/>
  <c r="K175" i="25"/>
  <c r="L175" i="25" s="1"/>
  <c r="K180" i="25"/>
  <c r="L180" i="25" s="1"/>
  <c r="K164" i="25"/>
  <c r="L164" i="25" s="1"/>
  <c r="K161" i="25"/>
  <c r="L161" i="25" s="1"/>
  <c r="K182" i="25"/>
  <c r="L182" i="25" s="1"/>
  <c r="K152" i="25"/>
  <c r="L152" i="25" s="1"/>
  <c r="K141" i="25"/>
  <c r="L141" i="25" s="1"/>
  <c r="K159" i="25"/>
  <c r="L159" i="25" s="1"/>
  <c r="K138" i="25"/>
  <c r="L138" i="25" s="1"/>
  <c r="K153" i="25"/>
  <c r="L153" i="25" s="1"/>
  <c r="K135" i="25"/>
  <c r="L135" i="25" s="1"/>
  <c r="K123" i="25"/>
  <c r="L123" i="25" s="1"/>
  <c r="K128" i="25"/>
  <c r="L128" i="25" s="1"/>
  <c r="K129" i="25"/>
  <c r="L129" i="25" s="1"/>
  <c r="K174" i="25"/>
  <c r="L174" i="25" s="1"/>
  <c r="K132" i="25"/>
  <c r="L132" i="25" s="1"/>
  <c r="K118" i="25"/>
  <c r="L118" i="25" s="1"/>
  <c r="K103" i="25"/>
  <c r="L103" i="25" s="1"/>
  <c r="K87" i="25"/>
  <c r="L87" i="25" s="1"/>
  <c r="K116" i="25"/>
  <c r="L116" i="25" s="1"/>
  <c r="K100" i="25"/>
  <c r="L100" i="25" s="1"/>
  <c r="K84" i="25"/>
  <c r="L84" i="25" s="1"/>
  <c r="K113" i="25"/>
  <c r="L113" i="25" s="1"/>
  <c r="K97" i="25"/>
  <c r="L97" i="25" s="1"/>
  <c r="K81" i="25"/>
  <c r="L81" i="25" s="1"/>
  <c r="K110" i="25"/>
  <c r="L110" i="25" s="1"/>
  <c r="K94" i="25"/>
  <c r="L94" i="25" s="1"/>
  <c r="K78" i="25"/>
  <c r="L78" i="25" s="1"/>
  <c r="K63" i="25"/>
  <c r="L63" i="25" s="1"/>
  <c r="K47" i="25"/>
  <c r="L47" i="25" s="1"/>
  <c r="K31" i="25"/>
  <c r="L31" i="25" s="1"/>
  <c r="K15" i="25"/>
  <c r="L15" i="25" s="1"/>
  <c r="K64" i="25"/>
  <c r="L64" i="25" s="1"/>
  <c r="K48" i="25"/>
  <c r="L48" i="25" s="1"/>
  <c r="K32" i="25"/>
  <c r="L32" i="25" s="1"/>
  <c r="K61" i="25"/>
  <c r="L61" i="25" s="1"/>
  <c r="K45" i="25"/>
  <c r="L45" i="25" s="1"/>
  <c r="K29" i="25"/>
  <c r="L29" i="25" s="1"/>
  <c r="K13" i="25"/>
  <c r="L13" i="25" s="1"/>
  <c r="K66" i="25"/>
  <c r="L66" i="25" s="1"/>
  <c r="K50" i="25"/>
  <c r="L50" i="25" s="1"/>
  <c r="K34" i="25"/>
  <c r="L34" i="25" s="1"/>
  <c r="K18" i="25"/>
  <c r="L18" i="25" s="1"/>
  <c r="O3" i="25"/>
  <c r="P3" i="25" s="1"/>
  <c r="Q3" i="25" s="1"/>
  <c r="K24" i="25"/>
  <c r="L24" i="25" s="1"/>
  <c r="K171" i="25"/>
  <c r="L171" i="25" s="1"/>
  <c r="K176" i="25"/>
  <c r="L176" i="25" s="1"/>
  <c r="K181" i="25"/>
  <c r="L181" i="25" s="1"/>
  <c r="K158" i="25"/>
  <c r="L158" i="25" s="1"/>
  <c r="K177" i="25"/>
  <c r="L177" i="25" s="1"/>
  <c r="K157" i="25"/>
  <c r="L157" i="25" s="1"/>
  <c r="K137" i="25"/>
  <c r="L137" i="25" s="1"/>
  <c r="K151" i="25"/>
  <c r="L151" i="25" s="1"/>
  <c r="K178" i="25"/>
  <c r="L178" i="25" s="1"/>
  <c r="K147" i="25"/>
  <c r="L147" i="25" s="1"/>
  <c r="K134" i="25"/>
  <c r="L134" i="25" s="1"/>
  <c r="K119" i="25"/>
  <c r="L119" i="25" s="1"/>
  <c r="K124" i="25"/>
  <c r="L124" i="25" s="1"/>
  <c r="K125" i="25"/>
  <c r="L125" i="25" s="1"/>
  <c r="K162" i="25"/>
  <c r="L162" i="25" s="1"/>
  <c r="K130" i="25"/>
  <c r="L130" i="25" s="1"/>
  <c r="K115" i="25"/>
  <c r="L115" i="25" s="1"/>
  <c r="K99" i="25"/>
  <c r="L99" i="25" s="1"/>
  <c r="K83" i="25"/>
  <c r="L83" i="25" s="1"/>
  <c r="K112" i="25"/>
  <c r="L112" i="25" s="1"/>
  <c r="K96" i="25"/>
  <c r="L96" i="25" s="1"/>
  <c r="K80" i="25"/>
  <c r="L80" i="25" s="1"/>
  <c r="K109" i="25"/>
  <c r="L109" i="25" s="1"/>
  <c r="K93" i="25"/>
  <c r="L93" i="25" s="1"/>
  <c r="K77" i="25"/>
  <c r="L77" i="25" s="1"/>
  <c r="K106" i="25"/>
  <c r="L106" i="25" s="1"/>
  <c r="K90" i="25"/>
  <c r="L90" i="25" s="1"/>
  <c r="K74" i="25"/>
  <c r="L74" i="25" s="1"/>
  <c r="K59" i="25"/>
  <c r="L59" i="25" s="1"/>
  <c r="K43" i="25"/>
  <c r="L43" i="25" s="1"/>
  <c r="K27" i="25"/>
  <c r="L27" i="25" s="1"/>
  <c r="K11" i="25"/>
  <c r="L11" i="25" s="1"/>
  <c r="K60" i="25"/>
  <c r="L60" i="25" s="1"/>
  <c r="K44" i="25"/>
  <c r="L44" i="25" s="1"/>
  <c r="K28" i="25"/>
  <c r="L28" i="25" s="1"/>
  <c r="K57" i="25"/>
  <c r="L57" i="25" s="1"/>
  <c r="K41" i="25"/>
  <c r="L41" i="25" s="1"/>
  <c r="K25" i="25"/>
  <c r="L25" i="25" s="1"/>
  <c r="K9" i="25"/>
  <c r="L9" i="25" s="1"/>
  <c r="K62" i="25"/>
  <c r="L62" i="25" s="1"/>
  <c r="K46" i="25"/>
  <c r="L46" i="25" s="1"/>
  <c r="K30" i="25"/>
  <c r="L30" i="25" s="1"/>
  <c r="K14" i="25"/>
  <c r="L14" i="25" s="1"/>
  <c r="K12" i="25"/>
  <c r="L12" i="25" s="1"/>
  <c r="K4" i="25"/>
  <c r="L4" i="25" s="1"/>
  <c r="K3" i="25"/>
  <c r="L3" i="25" s="1"/>
  <c r="M181" i="25" s="1"/>
  <c r="K167" i="25"/>
  <c r="L167" i="25" s="1"/>
  <c r="K172" i="25"/>
  <c r="L172" i="25" s="1"/>
  <c r="K173" i="25"/>
  <c r="L173" i="25" s="1"/>
  <c r="K154" i="25"/>
  <c r="L154" i="25" s="1"/>
  <c r="K169" i="25"/>
  <c r="L169" i="25" s="1"/>
  <c r="K149" i="25"/>
  <c r="L149" i="25" s="1"/>
  <c r="K133" i="25"/>
  <c r="L133" i="25" s="1"/>
  <c r="K146" i="25"/>
  <c r="L146" i="25" s="1"/>
  <c r="K170" i="25"/>
  <c r="L170" i="25" s="1"/>
  <c r="K143" i="25"/>
  <c r="L143" i="25" s="1"/>
  <c r="K131" i="25"/>
  <c r="L131" i="25" s="1"/>
  <c r="K140" i="25"/>
  <c r="L140" i="25" s="1"/>
  <c r="K120" i="25"/>
  <c r="L120" i="25" s="1"/>
  <c r="K121" i="25"/>
  <c r="L121" i="25" s="1"/>
  <c r="K155" i="25"/>
  <c r="L155" i="25" s="1"/>
  <c r="K126" i="25"/>
  <c r="L126" i="25" s="1"/>
  <c r="K111" i="25"/>
  <c r="L111" i="25" s="1"/>
  <c r="K95" i="25"/>
  <c r="L95" i="25" s="1"/>
  <c r="K79" i="25"/>
  <c r="L79" i="25" s="1"/>
  <c r="K108" i="25"/>
  <c r="L108" i="25" s="1"/>
  <c r="K92" i="25"/>
  <c r="L92" i="25" s="1"/>
  <c r="K76" i="25"/>
  <c r="L76" i="25" s="1"/>
  <c r="K105" i="25"/>
  <c r="L105" i="25" s="1"/>
  <c r="K89" i="25"/>
  <c r="L89" i="25" s="1"/>
  <c r="K73" i="25"/>
  <c r="L73" i="25" s="1"/>
  <c r="K102" i="25"/>
  <c r="L102" i="25" s="1"/>
  <c r="K86" i="25"/>
  <c r="L86" i="25" s="1"/>
  <c r="K71" i="25"/>
  <c r="L71" i="25" s="1"/>
  <c r="K55" i="25"/>
  <c r="L55" i="25" s="1"/>
  <c r="K39" i="25"/>
  <c r="L39" i="25" s="1"/>
  <c r="K23" i="25"/>
  <c r="L23" i="25" s="1"/>
  <c r="K7" i="25"/>
  <c r="L7" i="25" s="1"/>
  <c r="K56" i="25"/>
  <c r="L56" i="25" s="1"/>
  <c r="K40" i="25"/>
  <c r="L40" i="25" s="1"/>
  <c r="K69" i="25"/>
  <c r="L69" i="25" s="1"/>
  <c r="K53" i="25"/>
  <c r="L53" i="25" s="1"/>
  <c r="K37" i="25"/>
  <c r="L37" i="25" s="1"/>
  <c r="K21" i="25"/>
  <c r="L21" i="25" s="1"/>
  <c r="K5" i="25"/>
  <c r="L5" i="25" s="1"/>
  <c r="K58" i="25"/>
  <c r="L58" i="25" s="1"/>
  <c r="K42" i="25"/>
  <c r="L42" i="25" s="1"/>
  <c r="K26" i="25"/>
  <c r="L26" i="25" s="1"/>
  <c r="K10" i="25"/>
  <c r="L10" i="25" s="1"/>
  <c r="K20" i="25"/>
  <c r="L20" i="25" s="1"/>
  <c r="K179" i="25"/>
  <c r="L179" i="25" s="1"/>
  <c r="K163" i="25"/>
  <c r="L163" i="25" s="1"/>
  <c r="K168" i="25"/>
  <c r="L168" i="25" s="1"/>
  <c r="K165" i="25"/>
  <c r="L165" i="25" s="1"/>
  <c r="K150" i="25"/>
  <c r="L150" i="25" s="1"/>
  <c r="K156" i="25"/>
  <c r="L156" i="25" s="1"/>
  <c r="K145" i="25"/>
  <c r="L145" i="25" s="1"/>
  <c r="K166" i="25"/>
  <c r="L166" i="25" s="1"/>
  <c r="K142" i="25"/>
  <c r="L142" i="25" s="1"/>
  <c r="K160" i="25"/>
  <c r="L160" i="25" s="1"/>
  <c r="K139" i="25"/>
  <c r="L139" i="25" s="1"/>
  <c r="K127" i="25"/>
  <c r="L127" i="25" s="1"/>
  <c r="K136" i="25"/>
  <c r="L136" i="25" s="1"/>
  <c r="K144" i="25"/>
  <c r="L144" i="25" s="1"/>
  <c r="K117" i="25"/>
  <c r="L117" i="25" s="1"/>
  <c r="K148" i="25"/>
  <c r="L148" i="25" s="1"/>
  <c r="K122" i="25"/>
  <c r="L122" i="25" s="1"/>
  <c r="K107" i="25"/>
  <c r="L107" i="25" s="1"/>
  <c r="K91" i="25"/>
  <c r="L91" i="25" s="1"/>
  <c r="K75" i="25"/>
  <c r="L75" i="25" s="1"/>
  <c r="K104" i="25"/>
  <c r="L104" i="25" s="1"/>
  <c r="K88" i="25"/>
  <c r="L88" i="25" s="1"/>
  <c r="K72" i="25"/>
  <c r="L72" i="25" s="1"/>
  <c r="K101" i="25"/>
  <c r="L101" i="25" s="1"/>
  <c r="K85" i="25"/>
  <c r="L85" i="25" s="1"/>
  <c r="K114" i="25"/>
  <c r="L114" i="25" s="1"/>
  <c r="K98" i="25"/>
  <c r="L98" i="25" s="1"/>
  <c r="K82" i="25"/>
  <c r="L82" i="25" s="1"/>
  <c r="K67" i="25"/>
  <c r="L67" i="25" s="1"/>
  <c r="K51" i="25"/>
  <c r="L51" i="25" s="1"/>
  <c r="K35" i="25"/>
  <c r="L35" i="25" s="1"/>
  <c r="K19" i="25"/>
  <c r="L19" i="25" s="1"/>
  <c r="K68" i="25"/>
  <c r="L68" i="25" s="1"/>
  <c r="K52" i="25"/>
  <c r="L52" i="25" s="1"/>
  <c r="K36" i="25"/>
  <c r="L36" i="25" s="1"/>
  <c r="K65" i="25"/>
  <c r="L65" i="25" s="1"/>
  <c r="K49" i="25"/>
  <c r="L49" i="25" s="1"/>
  <c r="K33" i="25"/>
  <c r="L33" i="25" s="1"/>
  <c r="K17" i="25"/>
  <c r="L17" i="25" s="1"/>
  <c r="K70" i="25"/>
  <c r="L70" i="25" s="1"/>
  <c r="K54" i="25"/>
  <c r="L54" i="25" s="1"/>
  <c r="K38" i="25"/>
  <c r="L38" i="25" s="1"/>
  <c r="K22" i="25"/>
  <c r="L22" i="25" s="1"/>
  <c r="K6" i="25"/>
  <c r="L6" i="25" s="1"/>
  <c r="K8" i="25"/>
  <c r="L8" i="25" s="1"/>
  <c r="J4" i="26"/>
  <c r="G4" i="26"/>
  <c r="H5" i="26"/>
  <c r="I5" i="26" s="1"/>
  <c r="D5" i="26"/>
  <c r="B6" i="26"/>
  <c r="E6" i="26" s="1"/>
  <c r="C5" i="26"/>
  <c r="F5" i="26"/>
  <c r="E5" i="26"/>
  <c r="H4" i="25"/>
  <c r="I4" i="25" s="1"/>
  <c r="D4" i="25"/>
  <c r="F4" i="25"/>
  <c r="B5" i="25"/>
  <c r="C4" i="25"/>
  <c r="E4" i="25"/>
  <c r="M169" i="25"/>
  <c r="M178" i="25"/>
  <c r="M175" i="25"/>
  <c r="M152" i="25"/>
  <c r="M158" i="25"/>
  <c r="M159" i="25"/>
  <c r="M139" i="25"/>
  <c r="M153" i="25"/>
  <c r="M180" i="25"/>
  <c r="M149" i="25"/>
  <c r="M133" i="25"/>
  <c r="M125" i="25"/>
  <c r="M142" i="25"/>
  <c r="M118" i="25"/>
  <c r="M123" i="25"/>
  <c r="M128" i="25"/>
  <c r="M109" i="25"/>
  <c r="M93" i="25"/>
  <c r="M77" i="25"/>
  <c r="M106" i="25"/>
  <c r="M90" i="25"/>
  <c r="M74" i="25"/>
  <c r="M103" i="25"/>
  <c r="M87" i="25"/>
  <c r="M116" i="25"/>
  <c r="M100" i="25"/>
  <c r="M84" i="25"/>
  <c r="M69" i="25"/>
  <c r="M53" i="25"/>
  <c r="M37" i="25"/>
  <c r="M21" i="25"/>
  <c r="M5" i="25"/>
  <c r="M58" i="25"/>
  <c r="M42" i="25"/>
  <c r="M26" i="25"/>
  <c r="M59" i="25"/>
  <c r="M43" i="25"/>
  <c r="M27" i="25"/>
  <c r="M11" i="25"/>
  <c r="M60" i="25"/>
  <c r="M44" i="25"/>
  <c r="M28" i="25"/>
  <c r="M12" i="25"/>
  <c r="M6" i="25"/>
  <c r="H153" i="27"/>
  <c r="H161" i="27"/>
  <c r="H169" i="27"/>
  <c r="H177" i="27"/>
  <c r="H185" i="27"/>
  <c r="H193" i="27"/>
  <c r="H201" i="27"/>
  <c r="H150" i="27"/>
  <c r="H158" i="27"/>
  <c r="H166" i="27"/>
  <c r="H174" i="27"/>
  <c r="H182" i="27"/>
  <c r="H190" i="27"/>
  <c r="H198" i="27"/>
  <c r="H206" i="27"/>
  <c r="H155" i="27"/>
  <c r="H163" i="27"/>
  <c r="H171" i="27"/>
  <c r="H179" i="27"/>
  <c r="H187" i="27"/>
  <c r="H195" i="27"/>
  <c r="H203" i="27"/>
  <c r="H152" i="27"/>
  <c r="H160" i="27"/>
  <c r="H168" i="27"/>
  <c r="H176" i="27"/>
  <c r="H184" i="27"/>
  <c r="H192" i="27"/>
  <c r="H200" i="27"/>
  <c r="H28" i="27"/>
  <c r="H149" i="27"/>
  <c r="H157" i="27"/>
  <c r="H165" i="27"/>
  <c r="H173" i="27"/>
  <c r="H181" i="27"/>
  <c r="H189" i="27"/>
  <c r="H197" i="27"/>
  <c r="H205" i="27"/>
  <c r="H154" i="27"/>
  <c r="H162" i="27"/>
  <c r="H170" i="27"/>
  <c r="H178" i="27"/>
  <c r="H186" i="27"/>
  <c r="H194" i="27"/>
  <c r="H202" i="27"/>
  <c r="H151" i="27"/>
  <c r="H159" i="27"/>
  <c r="H167" i="27"/>
  <c r="H175" i="27"/>
  <c r="H183" i="27"/>
  <c r="H191" i="27"/>
  <c r="H199" i="27"/>
  <c r="H207" i="27"/>
  <c r="H148" i="27"/>
  <c r="H156" i="27"/>
  <c r="H164" i="27"/>
  <c r="H172" i="27"/>
  <c r="H180" i="27"/>
  <c r="H188" i="27"/>
  <c r="H196" i="27"/>
  <c r="H204" i="27"/>
  <c r="D17" i="29"/>
  <c r="J15" i="29"/>
  <c r="F12" i="29"/>
  <c r="H19" i="29"/>
  <c r="D16" i="29"/>
  <c r="I12" i="29"/>
  <c r="L15" i="29" s="1"/>
  <c r="H17" i="29"/>
  <c r="F13" i="29"/>
  <c r="G12" i="29"/>
  <c r="I26" i="45"/>
  <c r="I27" i="45" s="1"/>
  <c r="E32" i="45"/>
  <c r="I4" i="9"/>
  <c r="C4" i="8"/>
  <c r="D4" i="8"/>
  <c r="G3" i="8"/>
  <c r="G4" i="4"/>
  <c r="C5" i="9"/>
  <c r="D5" i="9"/>
  <c r="I3" i="9"/>
  <c r="J3" i="9" s="1"/>
  <c r="E3" i="41"/>
  <c r="G4" i="9"/>
  <c r="F3" i="17"/>
  <c r="B4" i="17"/>
  <c r="E4" i="17" s="1"/>
  <c r="H3" i="17"/>
  <c r="B4" i="39"/>
  <c r="E4" i="39" s="1"/>
  <c r="H3" i="39"/>
  <c r="F3" i="39"/>
  <c r="E3" i="39"/>
  <c r="G3" i="4"/>
  <c r="F3" i="19"/>
  <c r="B4" i="19"/>
  <c r="H3" i="19"/>
  <c r="F3" i="41"/>
  <c r="B4" i="41"/>
  <c r="C4" i="41" s="1"/>
  <c r="H3" i="41"/>
  <c r="F4" i="8"/>
  <c r="G4" i="8" s="1"/>
  <c r="B5" i="8"/>
  <c r="H4" i="8"/>
  <c r="E3" i="17"/>
  <c r="E3" i="40"/>
  <c r="B4" i="18"/>
  <c r="H3" i="18"/>
  <c r="F3" i="18"/>
  <c r="F3" i="42"/>
  <c r="B4" i="42"/>
  <c r="E4" i="42" s="1"/>
  <c r="H3" i="42"/>
  <c r="E3" i="18"/>
  <c r="F3" i="40"/>
  <c r="B4" i="40"/>
  <c r="D4" i="40" s="1"/>
  <c r="H3" i="40"/>
  <c r="E3" i="19"/>
  <c r="E3" i="42"/>
  <c r="F5" i="9"/>
  <c r="G5" i="9" s="1"/>
  <c r="B6" i="9"/>
  <c r="E6" i="9" s="1"/>
  <c r="H5" i="9"/>
  <c r="F5" i="4"/>
  <c r="G5" i="4" s="1"/>
  <c r="B6" i="4"/>
  <c r="C6" i="4" s="1"/>
  <c r="H5" i="4"/>
  <c r="D5" i="4"/>
  <c r="C5" i="4"/>
  <c r="D4" i="4"/>
  <c r="C4" i="4"/>
  <c r="D3" i="4"/>
  <c r="C3" i="4"/>
  <c r="D3" i="42"/>
  <c r="C3" i="42"/>
  <c r="C3" i="41"/>
  <c r="D3" i="41"/>
  <c r="D3" i="40"/>
  <c r="C3" i="40"/>
  <c r="D3" i="39"/>
  <c r="B7" i="20"/>
  <c r="G3" i="26"/>
  <c r="J3" i="26" s="1"/>
  <c r="E30" i="54" l="1"/>
  <c r="I3" i="8"/>
  <c r="J3" i="8" s="1"/>
  <c r="K3" i="8" s="1"/>
  <c r="L3" i="8" s="1"/>
  <c r="J4" i="9"/>
  <c r="K4" i="9" s="1"/>
  <c r="L4" i="9" s="1"/>
  <c r="D24" i="44"/>
  <c r="D25" i="44" s="1"/>
  <c r="F12" i="45"/>
  <c r="C24" i="45"/>
  <c r="H24" i="45"/>
  <c r="D24" i="45"/>
  <c r="E24" i="45" s="1"/>
  <c r="D40" i="45"/>
  <c r="D41" i="45"/>
  <c r="D25" i="45"/>
  <c r="H25" i="45"/>
  <c r="K6" i="44"/>
  <c r="L6" i="44" s="1"/>
  <c r="L5" i="44"/>
  <c r="C4" i="39"/>
  <c r="G3" i="18"/>
  <c r="C18" i="52"/>
  <c r="M18" i="25"/>
  <c r="M22" i="25"/>
  <c r="M16" i="25"/>
  <c r="M32" i="25"/>
  <c r="M48" i="25"/>
  <c r="M64" i="25"/>
  <c r="M15" i="25"/>
  <c r="M31" i="25"/>
  <c r="M47" i="25"/>
  <c r="M63" i="25"/>
  <c r="M30" i="25"/>
  <c r="M46" i="25"/>
  <c r="M62" i="25"/>
  <c r="M9" i="25"/>
  <c r="M25" i="25"/>
  <c r="M41" i="25"/>
  <c r="M57" i="25"/>
  <c r="M72" i="25"/>
  <c r="M88" i="25"/>
  <c r="M104" i="25"/>
  <c r="M75" i="25"/>
  <c r="M91" i="25"/>
  <c r="M107" i="25"/>
  <c r="M78" i="25"/>
  <c r="M94" i="25"/>
  <c r="M110" i="25"/>
  <c r="M81" i="25"/>
  <c r="M97" i="25"/>
  <c r="M113" i="25"/>
  <c r="M134" i="25"/>
  <c r="M127" i="25"/>
  <c r="M122" i="25"/>
  <c r="M176" i="25"/>
  <c r="M129" i="25"/>
  <c r="M137" i="25"/>
  <c r="M155" i="25"/>
  <c r="M140" i="25"/>
  <c r="M168" i="25"/>
  <c r="M143" i="25"/>
  <c r="M164" i="25"/>
  <c r="M160" i="25"/>
  <c r="M156" i="25"/>
  <c r="M166" i="25"/>
  <c r="M182" i="25"/>
  <c r="M173" i="25"/>
  <c r="M14" i="25"/>
  <c r="M4" i="25"/>
  <c r="M20" i="25"/>
  <c r="M36" i="25"/>
  <c r="M52" i="25"/>
  <c r="M68" i="25"/>
  <c r="M19" i="25"/>
  <c r="M35" i="25"/>
  <c r="M51" i="25"/>
  <c r="M67" i="25"/>
  <c r="M34" i="25"/>
  <c r="M50" i="25"/>
  <c r="M66" i="25"/>
  <c r="M13" i="25"/>
  <c r="M29" i="25"/>
  <c r="M45" i="25"/>
  <c r="M61" i="25"/>
  <c r="M76" i="25"/>
  <c r="M92" i="25"/>
  <c r="M108" i="25"/>
  <c r="M79" i="25"/>
  <c r="M95" i="25"/>
  <c r="M111" i="25"/>
  <c r="M82" i="25"/>
  <c r="M98" i="25"/>
  <c r="M114" i="25"/>
  <c r="M85" i="25"/>
  <c r="M101" i="25"/>
  <c r="M120" i="25"/>
  <c r="M157" i="25"/>
  <c r="M132" i="25"/>
  <c r="M126" i="25"/>
  <c r="M117" i="25"/>
  <c r="M136" i="25"/>
  <c r="M141" i="25"/>
  <c r="M162" i="25"/>
  <c r="M144" i="25"/>
  <c r="M131" i="25"/>
  <c r="M147" i="25"/>
  <c r="M150" i="25"/>
  <c r="M171" i="25"/>
  <c r="M163" i="25"/>
  <c r="M170" i="25"/>
  <c r="M161" i="25"/>
  <c r="M177" i="25"/>
  <c r="M10" i="25"/>
  <c r="M8" i="25"/>
  <c r="M24" i="25"/>
  <c r="M40" i="25"/>
  <c r="M56" i="25"/>
  <c r="M7" i="25"/>
  <c r="M23" i="25"/>
  <c r="M39" i="25"/>
  <c r="M55" i="25"/>
  <c r="M71" i="25"/>
  <c r="M38" i="25"/>
  <c r="M54" i="25"/>
  <c r="M70" i="25"/>
  <c r="M17" i="25"/>
  <c r="M33" i="25"/>
  <c r="M49" i="25"/>
  <c r="M65" i="25"/>
  <c r="M80" i="25"/>
  <c r="M96" i="25"/>
  <c r="M112" i="25"/>
  <c r="M83" i="25"/>
  <c r="M99" i="25"/>
  <c r="M115" i="25"/>
  <c r="M86" i="25"/>
  <c r="M102" i="25"/>
  <c r="M73" i="25"/>
  <c r="M89" i="25"/>
  <c r="M105" i="25"/>
  <c r="M124" i="25"/>
  <c r="M119" i="25"/>
  <c r="M146" i="25"/>
  <c r="M130" i="25"/>
  <c r="M121" i="25"/>
  <c r="M138" i="25"/>
  <c r="M145" i="25"/>
  <c r="M172" i="25"/>
  <c r="M148" i="25"/>
  <c r="M135" i="25"/>
  <c r="M151" i="25"/>
  <c r="M154" i="25"/>
  <c r="M179" i="25"/>
  <c r="M167" i="25"/>
  <c r="M174" i="25"/>
  <c r="M165" i="25"/>
  <c r="I3" i="39"/>
  <c r="I3" i="4"/>
  <c r="J3" i="4" s="1"/>
  <c r="K3" i="4" s="1"/>
  <c r="L3" i="4" s="1"/>
  <c r="C4" i="42"/>
  <c r="C4" i="40"/>
  <c r="G6" i="26"/>
  <c r="G5" i="26"/>
  <c r="J5" i="26"/>
  <c r="B7" i="26"/>
  <c r="E7" i="26" s="1"/>
  <c r="H6" i="26"/>
  <c r="I6" i="26" s="1"/>
  <c r="D6" i="26"/>
  <c r="C6" i="26"/>
  <c r="F6" i="26"/>
  <c r="J6" i="26" s="1"/>
  <c r="J4" i="25"/>
  <c r="O4" i="25" s="1"/>
  <c r="P4" i="25" s="1"/>
  <c r="Q4" i="25" s="1"/>
  <c r="G4" i="25"/>
  <c r="B6" i="25"/>
  <c r="E6" i="25" s="1"/>
  <c r="C5" i="25"/>
  <c r="F5" i="25"/>
  <c r="H5" i="25"/>
  <c r="I5" i="25" s="1"/>
  <c r="D5" i="25"/>
  <c r="E5" i="25"/>
  <c r="D4" i="39"/>
  <c r="G3" i="42"/>
  <c r="G3" i="41"/>
  <c r="I3" i="41"/>
  <c r="J3" i="41" s="1"/>
  <c r="K3" i="41" s="1"/>
  <c r="L3" i="41" s="1"/>
  <c r="H24" i="29"/>
  <c r="M5" i="29"/>
  <c r="H15" i="29"/>
  <c r="L16" i="29" s="1"/>
  <c r="I3" i="42"/>
  <c r="J3" i="42" s="1"/>
  <c r="O3" i="42" s="1"/>
  <c r="D4" i="41"/>
  <c r="G3" i="19"/>
  <c r="I3" i="40"/>
  <c r="D4" i="42"/>
  <c r="I4" i="4"/>
  <c r="J4" i="4" s="1"/>
  <c r="G3" i="17"/>
  <c r="G3" i="39"/>
  <c r="I4" i="8"/>
  <c r="J4" i="8" s="1"/>
  <c r="I5" i="9"/>
  <c r="J5" i="9" s="1"/>
  <c r="D6" i="4"/>
  <c r="K3" i="9"/>
  <c r="L3" i="9" s="1"/>
  <c r="O3" i="9"/>
  <c r="T3" i="9" s="1"/>
  <c r="I5" i="4"/>
  <c r="J5" i="4" s="1"/>
  <c r="F4" i="40"/>
  <c r="B5" i="40"/>
  <c r="E5" i="40" s="1"/>
  <c r="H4" i="40"/>
  <c r="H4" i="18"/>
  <c r="F4" i="18"/>
  <c r="B5" i="18"/>
  <c r="E5" i="18" s="1"/>
  <c r="G3" i="40"/>
  <c r="B6" i="8"/>
  <c r="E6" i="8" s="1"/>
  <c r="H5" i="8"/>
  <c r="F5" i="8"/>
  <c r="C5" i="8"/>
  <c r="D5" i="8"/>
  <c r="B5" i="41"/>
  <c r="E5" i="41" s="1"/>
  <c r="H4" i="41"/>
  <c r="F4" i="41"/>
  <c r="F4" i="19"/>
  <c r="B5" i="19"/>
  <c r="E5" i="19" s="1"/>
  <c r="H4" i="19"/>
  <c r="H4" i="39"/>
  <c r="F4" i="39"/>
  <c r="G4" i="39" s="1"/>
  <c r="B5" i="39"/>
  <c r="F6" i="4"/>
  <c r="B7" i="4"/>
  <c r="E7" i="4" s="1"/>
  <c r="H6" i="4"/>
  <c r="F6" i="9"/>
  <c r="G6" i="9" s="1"/>
  <c r="B7" i="9"/>
  <c r="H6" i="9"/>
  <c r="D6" i="9"/>
  <c r="C6" i="9"/>
  <c r="E4" i="40"/>
  <c r="F4" i="42"/>
  <c r="G4" i="42" s="1"/>
  <c r="B5" i="42"/>
  <c r="E5" i="42" s="1"/>
  <c r="H4" i="42"/>
  <c r="E4" i="18"/>
  <c r="E5" i="8"/>
  <c r="E4" i="41"/>
  <c r="E4" i="19"/>
  <c r="B5" i="17"/>
  <c r="D5" i="17" s="1"/>
  <c r="H4" i="17"/>
  <c r="F4" i="17"/>
  <c r="G4" i="17" s="1"/>
  <c r="E6" i="4"/>
  <c r="D3" i="18"/>
  <c r="D3" i="19"/>
  <c r="C4" i="18"/>
  <c r="C3" i="19"/>
  <c r="D4" i="19"/>
  <c r="C4" i="19"/>
  <c r="D4" i="17"/>
  <c r="C3" i="18"/>
  <c r="C4" i="17"/>
  <c r="F9" i="27"/>
  <c r="D3" i="17"/>
  <c r="D4" i="18"/>
  <c r="C3" i="17"/>
  <c r="K178" i="26"/>
  <c r="L178" i="26" s="1"/>
  <c r="K170" i="26"/>
  <c r="L170" i="26" s="1"/>
  <c r="K162" i="26"/>
  <c r="L162" i="26" s="1"/>
  <c r="K154" i="26"/>
  <c r="L154" i="26" s="1"/>
  <c r="K146" i="26"/>
  <c r="L146" i="26" s="1"/>
  <c r="K138" i="26"/>
  <c r="L138" i="26" s="1"/>
  <c r="K130" i="26"/>
  <c r="L130" i="26" s="1"/>
  <c r="K122" i="26"/>
  <c r="L122" i="26" s="1"/>
  <c r="K114" i="26"/>
  <c r="L114" i="26" s="1"/>
  <c r="K106" i="26"/>
  <c r="L106" i="26" s="1"/>
  <c r="K98" i="26"/>
  <c r="L98" i="26" s="1"/>
  <c r="K179" i="26"/>
  <c r="L179" i="26" s="1"/>
  <c r="K171" i="26"/>
  <c r="L171" i="26" s="1"/>
  <c r="K163" i="26"/>
  <c r="L163" i="26" s="1"/>
  <c r="K155" i="26"/>
  <c r="L155" i="26" s="1"/>
  <c r="K147" i="26"/>
  <c r="L147" i="26" s="1"/>
  <c r="K139" i="26"/>
  <c r="L139" i="26" s="1"/>
  <c r="K131" i="26"/>
  <c r="L131" i="26" s="1"/>
  <c r="K123" i="26"/>
  <c r="L123" i="26" s="1"/>
  <c r="K115" i="26"/>
  <c r="L115" i="26" s="1"/>
  <c r="K107" i="26"/>
  <c r="L107" i="26" s="1"/>
  <c r="K99" i="26"/>
  <c r="L99" i="26" s="1"/>
  <c r="K91" i="26"/>
  <c r="L91" i="26" s="1"/>
  <c r="K83" i="26"/>
  <c r="L83" i="26" s="1"/>
  <c r="K75" i="26"/>
  <c r="L75" i="26" s="1"/>
  <c r="K180" i="26"/>
  <c r="L180" i="26" s="1"/>
  <c r="K172" i="26"/>
  <c r="L172" i="26" s="1"/>
  <c r="K164" i="26"/>
  <c r="L164" i="26" s="1"/>
  <c r="K156" i="26"/>
  <c r="L156" i="26" s="1"/>
  <c r="K148" i="26"/>
  <c r="L148" i="26" s="1"/>
  <c r="K140" i="26"/>
  <c r="L140" i="26" s="1"/>
  <c r="K132" i="26"/>
  <c r="L132" i="26" s="1"/>
  <c r="K124" i="26"/>
  <c r="L124" i="26" s="1"/>
  <c r="K116" i="26"/>
  <c r="L116" i="26" s="1"/>
  <c r="K108" i="26"/>
  <c r="L108" i="26" s="1"/>
  <c r="K100" i="26"/>
  <c r="L100" i="26" s="1"/>
  <c r="K92" i="26"/>
  <c r="L92" i="26" s="1"/>
  <c r="K84" i="26"/>
  <c r="L84" i="26" s="1"/>
  <c r="K76" i="26"/>
  <c r="L76" i="26" s="1"/>
  <c r="K181" i="26"/>
  <c r="L181" i="26" s="1"/>
  <c r="K173" i="26"/>
  <c r="L173" i="26" s="1"/>
  <c r="K165" i="26"/>
  <c r="L165" i="26" s="1"/>
  <c r="K157" i="26"/>
  <c r="L157" i="26" s="1"/>
  <c r="K149" i="26"/>
  <c r="L149" i="26" s="1"/>
  <c r="K141" i="26"/>
  <c r="L141" i="26" s="1"/>
  <c r="K133" i="26"/>
  <c r="L133" i="26" s="1"/>
  <c r="K125" i="26"/>
  <c r="L125" i="26" s="1"/>
  <c r="K117" i="26"/>
  <c r="L117" i="26" s="1"/>
  <c r="K109" i="26"/>
  <c r="L109" i="26" s="1"/>
  <c r="K101" i="26"/>
  <c r="L101" i="26" s="1"/>
  <c r="K93" i="26"/>
  <c r="L93" i="26" s="1"/>
  <c r="K85" i="26"/>
  <c r="L85" i="26" s="1"/>
  <c r="K77" i="26"/>
  <c r="L77" i="26" s="1"/>
  <c r="K182" i="26"/>
  <c r="L182" i="26" s="1"/>
  <c r="K174" i="26"/>
  <c r="L174" i="26" s="1"/>
  <c r="K166" i="26"/>
  <c r="L166" i="26" s="1"/>
  <c r="K158" i="26"/>
  <c r="L158" i="26" s="1"/>
  <c r="K150" i="26"/>
  <c r="L150" i="26" s="1"/>
  <c r="K142" i="26"/>
  <c r="L142" i="26" s="1"/>
  <c r="K134" i="26"/>
  <c r="L134" i="26" s="1"/>
  <c r="K126" i="26"/>
  <c r="L126" i="26" s="1"/>
  <c r="K118" i="26"/>
  <c r="L118" i="26" s="1"/>
  <c r="K110" i="26"/>
  <c r="L110" i="26" s="1"/>
  <c r="K102" i="26"/>
  <c r="L102" i="26" s="1"/>
  <c r="K94" i="26"/>
  <c r="L94" i="26" s="1"/>
  <c r="K86" i="26"/>
  <c r="L86" i="26" s="1"/>
  <c r="K78" i="26"/>
  <c r="L78" i="26" s="1"/>
  <c r="K175" i="26"/>
  <c r="L175" i="26" s="1"/>
  <c r="K167" i="26"/>
  <c r="L167" i="26" s="1"/>
  <c r="K159" i="26"/>
  <c r="L159" i="26" s="1"/>
  <c r="K151" i="26"/>
  <c r="L151" i="26" s="1"/>
  <c r="K143" i="26"/>
  <c r="L143" i="26" s="1"/>
  <c r="K135" i="26"/>
  <c r="L135" i="26" s="1"/>
  <c r="K127" i="26"/>
  <c r="L127" i="26" s="1"/>
  <c r="K119" i="26"/>
  <c r="L119" i="26" s="1"/>
  <c r="K111" i="26"/>
  <c r="L111" i="26" s="1"/>
  <c r="K103" i="26"/>
  <c r="L103" i="26" s="1"/>
  <c r="K95" i="26"/>
  <c r="L95" i="26" s="1"/>
  <c r="K87" i="26"/>
  <c r="L87" i="26" s="1"/>
  <c r="K79" i="26"/>
  <c r="L79" i="26" s="1"/>
  <c r="K71" i="26"/>
  <c r="L71" i="26" s="1"/>
  <c r="K176" i="26"/>
  <c r="L176" i="26" s="1"/>
  <c r="K160" i="26"/>
  <c r="L160" i="26" s="1"/>
  <c r="K144" i="26"/>
  <c r="L144" i="26" s="1"/>
  <c r="K128" i="26"/>
  <c r="L128" i="26" s="1"/>
  <c r="K112" i="26"/>
  <c r="L112" i="26" s="1"/>
  <c r="K96" i="26"/>
  <c r="L96" i="26" s="1"/>
  <c r="K89" i="26"/>
  <c r="L89" i="26" s="1"/>
  <c r="K64" i="26"/>
  <c r="L64" i="26" s="1"/>
  <c r="K56" i="26"/>
  <c r="L56" i="26" s="1"/>
  <c r="K48" i="26"/>
  <c r="L48" i="26" s="1"/>
  <c r="K40" i="26"/>
  <c r="L40" i="26" s="1"/>
  <c r="K32" i="26"/>
  <c r="L32" i="26" s="1"/>
  <c r="K24" i="26"/>
  <c r="L24" i="26" s="1"/>
  <c r="K16" i="26"/>
  <c r="L16" i="26" s="1"/>
  <c r="K8" i="26"/>
  <c r="L8" i="26" s="1"/>
  <c r="O3" i="26"/>
  <c r="K74" i="26"/>
  <c r="L74" i="26" s="1"/>
  <c r="K65" i="26"/>
  <c r="L65" i="26" s="1"/>
  <c r="K57" i="26"/>
  <c r="L57" i="26" s="1"/>
  <c r="K49" i="26"/>
  <c r="L49" i="26" s="1"/>
  <c r="K41" i="26"/>
  <c r="L41" i="26" s="1"/>
  <c r="K33" i="26"/>
  <c r="L33" i="26" s="1"/>
  <c r="K25" i="26"/>
  <c r="L25" i="26" s="1"/>
  <c r="K17" i="26"/>
  <c r="L17" i="26" s="1"/>
  <c r="K9" i="26"/>
  <c r="L9" i="26" s="1"/>
  <c r="K169" i="26"/>
  <c r="L169" i="26" s="1"/>
  <c r="K153" i="26"/>
  <c r="L153" i="26" s="1"/>
  <c r="K137" i="26"/>
  <c r="L137" i="26" s="1"/>
  <c r="K121" i="26"/>
  <c r="L121" i="26" s="1"/>
  <c r="K105" i="26"/>
  <c r="L105" i="26" s="1"/>
  <c r="K88" i="26"/>
  <c r="L88" i="26" s="1"/>
  <c r="K81" i="26"/>
  <c r="L81" i="26" s="1"/>
  <c r="K66" i="26"/>
  <c r="L66" i="26" s="1"/>
  <c r="K58" i="26"/>
  <c r="L58" i="26" s="1"/>
  <c r="K50" i="26"/>
  <c r="L50" i="26" s="1"/>
  <c r="K42" i="26"/>
  <c r="L42" i="26" s="1"/>
  <c r="K34" i="26"/>
  <c r="L34" i="26" s="1"/>
  <c r="K26" i="26"/>
  <c r="L26" i="26" s="1"/>
  <c r="K18" i="26"/>
  <c r="L18" i="26" s="1"/>
  <c r="K10" i="26"/>
  <c r="L10" i="26" s="1"/>
  <c r="K3" i="26"/>
  <c r="L3" i="26" s="1"/>
  <c r="K90" i="26"/>
  <c r="L90" i="26" s="1"/>
  <c r="K67" i="26"/>
  <c r="L67" i="26" s="1"/>
  <c r="K59" i="26"/>
  <c r="L59" i="26" s="1"/>
  <c r="K51" i="26"/>
  <c r="L51" i="26" s="1"/>
  <c r="K43" i="26"/>
  <c r="L43" i="26" s="1"/>
  <c r="K35" i="26"/>
  <c r="L35" i="26" s="1"/>
  <c r="K27" i="26"/>
  <c r="L27" i="26" s="1"/>
  <c r="K19" i="26"/>
  <c r="L19" i="26" s="1"/>
  <c r="K11" i="26"/>
  <c r="L11" i="26" s="1"/>
  <c r="K168" i="26"/>
  <c r="L168" i="26" s="1"/>
  <c r="K152" i="26"/>
  <c r="L152" i="26" s="1"/>
  <c r="K136" i="26"/>
  <c r="L136" i="26" s="1"/>
  <c r="K120" i="26"/>
  <c r="L120" i="26" s="1"/>
  <c r="K104" i="26"/>
  <c r="L104" i="26" s="1"/>
  <c r="K80" i="26"/>
  <c r="L80" i="26" s="1"/>
  <c r="K73" i="26"/>
  <c r="L73" i="26" s="1"/>
  <c r="K68" i="26"/>
  <c r="L68" i="26" s="1"/>
  <c r="K60" i="26"/>
  <c r="L60" i="26" s="1"/>
  <c r="K52" i="26"/>
  <c r="L52" i="26" s="1"/>
  <c r="K44" i="26"/>
  <c r="L44" i="26" s="1"/>
  <c r="K36" i="26"/>
  <c r="L36" i="26" s="1"/>
  <c r="K28" i="26"/>
  <c r="L28" i="26" s="1"/>
  <c r="K20" i="26"/>
  <c r="L20" i="26" s="1"/>
  <c r="K12" i="26"/>
  <c r="L12" i="26" s="1"/>
  <c r="K4" i="26"/>
  <c r="L4" i="26" s="1"/>
  <c r="K177" i="26"/>
  <c r="L177" i="26" s="1"/>
  <c r="K161" i="26"/>
  <c r="L161" i="26" s="1"/>
  <c r="K145" i="26"/>
  <c r="L145" i="26" s="1"/>
  <c r="K129" i="26"/>
  <c r="L129" i="26" s="1"/>
  <c r="K113" i="26"/>
  <c r="L113" i="26" s="1"/>
  <c r="K97" i="26"/>
  <c r="L97" i="26" s="1"/>
  <c r="K72" i="26"/>
  <c r="L72" i="26" s="1"/>
  <c r="K70" i="26"/>
  <c r="L70" i="26" s="1"/>
  <c r="K62" i="26"/>
  <c r="L62" i="26" s="1"/>
  <c r="K54" i="26"/>
  <c r="L54" i="26" s="1"/>
  <c r="K46" i="26"/>
  <c r="L46" i="26" s="1"/>
  <c r="K38" i="26"/>
  <c r="L38" i="26" s="1"/>
  <c r="K30" i="26"/>
  <c r="L30" i="26" s="1"/>
  <c r="K22" i="26"/>
  <c r="L22" i="26" s="1"/>
  <c r="K14" i="26"/>
  <c r="L14" i="26" s="1"/>
  <c r="K6" i="26"/>
  <c r="L6" i="26" s="1"/>
  <c r="K82" i="26"/>
  <c r="L82" i="26" s="1"/>
  <c r="K69" i="26"/>
  <c r="L69" i="26" s="1"/>
  <c r="K63" i="26"/>
  <c r="L63" i="26" s="1"/>
  <c r="K53" i="26"/>
  <c r="L53" i="26" s="1"/>
  <c r="K47" i="26"/>
  <c r="L47" i="26" s="1"/>
  <c r="K37" i="26"/>
  <c r="L37" i="26" s="1"/>
  <c r="K31" i="26"/>
  <c r="L31" i="26" s="1"/>
  <c r="K21" i="26"/>
  <c r="L21" i="26" s="1"/>
  <c r="K15" i="26"/>
  <c r="L15" i="26" s="1"/>
  <c r="K5" i="26"/>
  <c r="L5" i="26" s="1"/>
  <c r="K61" i="26"/>
  <c r="L61" i="26" s="1"/>
  <c r="K55" i="26"/>
  <c r="L55" i="26" s="1"/>
  <c r="K45" i="26"/>
  <c r="L45" i="26" s="1"/>
  <c r="K39" i="26"/>
  <c r="L39" i="26" s="1"/>
  <c r="K29" i="26"/>
  <c r="L29" i="26" s="1"/>
  <c r="K23" i="26"/>
  <c r="L23" i="26" s="1"/>
  <c r="K13" i="26"/>
  <c r="L13" i="26" s="1"/>
  <c r="K7" i="26"/>
  <c r="L7" i="26" s="1"/>
  <c r="C32" i="44" l="1"/>
  <c r="D26" i="44" s="1"/>
  <c r="C17" i="52" s="1"/>
  <c r="I4" i="41"/>
  <c r="K5" i="9"/>
  <c r="L5" i="9" s="1"/>
  <c r="M5" i="9" s="1"/>
  <c r="I6" i="4"/>
  <c r="J6" i="4" s="1"/>
  <c r="C37" i="45"/>
  <c r="E35" i="45" s="1"/>
  <c r="I38" i="45" s="1"/>
  <c r="C18" i="51" s="1"/>
  <c r="G12" i="45"/>
  <c r="E2" i="51" s="1"/>
  <c r="H26" i="45"/>
  <c r="H27" i="45" s="1"/>
  <c r="D26" i="45"/>
  <c r="I4" i="39"/>
  <c r="J4" i="39" s="1"/>
  <c r="G6" i="4"/>
  <c r="K4" i="8"/>
  <c r="L4" i="8" s="1"/>
  <c r="M4" i="8" s="1"/>
  <c r="O3" i="8"/>
  <c r="T3" i="8" s="1"/>
  <c r="J3" i="39"/>
  <c r="K3" i="39" s="1"/>
  <c r="L3" i="39" s="1"/>
  <c r="O3" i="4"/>
  <c r="T3" i="4" s="1"/>
  <c r="I4" i="42"/>
  <c r="J4" i="42" s="1"/>
  <c r="K4" i="42" s="1"/>
  <c r="L4" i="42" s="1"/>
  <c r="K3" i="42"/>
  <c r="L3" i="42" s="1"/>
  <c r="K4" i="4"/>
  <c r="L4" i="4" s="1"/>
  <c r="M4" i="4" s="1"/>
  <c r="I4" i="40"/>
  <c r="O3" i="41"/>
  <c r="G7" i="26"/>
  <c r="F7" i="26"/>
  <c r="J7" i="26" s="1"/>
  <c r="H7" i="26"/>
  <c r="I7" i="26" s="1"/>
  <c r="D7" i="26"/>
  <c r="B8" i="26"/>
  <c r="C7" i="26"/>
  <c r="G6" i="25"/>
  <c r="F6" i="25"/>
  <c r="J6" i="25" s="1"/>
  <c r="H6" i="25"/>
  <c r="I6" i="25" s="1"/>
  <c r="D6" i="25"/>
  <c r="C6" i="25"/>
  <c r="B7" i="25"/>
  <c r="G5" i="25"/>
  <c r="J5" i="25"/>
  <c r="O5" i="25" s="1"/>
  <c r="P5" i="25" s="1"/>
  <c r="Q5" i="25" s="1"/>
  <c r="C5" i="17"/>
  <c r="D5" i="18"/>
  <c r="G4" i="41"/>
  <c r="D5" i="19"/>
  <c r="I3" i="17"/>
  <c r="J3" i="17" s="1"/>
  <c r="O3" i="17" s="1"/>
  <c r="K5" i="4"/>
  <c r="L5" i="4" s="1"/>
  <c r="I4" i="17"/>
  <c r="J4" i="17" s="1"/>
  <c r="I4" i="19"/>
  <c r="C5" i="19"/>
  <c r="C5" i="18"/>
  <c r="I3" i="19"/>
  <c r="J3" i="19" s="1"/>
  <c r="O3" i="19" s="1"/>
  <c r="J3" i="40"/>
  <c r="O3" i="40" s="1"/>
  <c r="I4" i="18"/>
  <c r="I3" i="18"/>
  <c r="J3" i="18" s="1"/>
  <c r="K3" i="18" s="1"/>
  <c r="L3" i="18" s="1"/>
  <c r="G4" i="18"/>
  <c r="G4" i="40"/>
  <c r="M4" i="9"/>
  <c r="G5" i="8"/>
  <c r="G4" i="19"/>
  <c r="H5" i="17"/>
  <c r="F5" i="17"/>
  <c r="B6" i="17"/>
  <c r="E6" i="17" s="1"/>
  <c r="B8" i="9"/>
  <c r="H7" i="9"/>
  <c r="F7" i="9"/>
  <c r="D7" i="9"/>
  <c r="C7" i="9"/>
  <c r="F5" i="39"/>
  <c r="B6" i="39"/>
  <c r="H5" i="39"/>
  <c r="D5" i="39"/>
  <c r="C5" i="39"/>
  <c r="I5" i="8"/>
  <c r="I6" i="9"/>
  <c r="J6" i="9" s="1"/>
  <c r="B6" i="19"/>
  <c r="E6" i="19" s="1"/>
  <c r="H5" i="19"/>
  <c r="F5" i="19"/>
  <c r="G5" i="19" s="1"/>
  <c r="F5" i="18"/>
  <c r="G5" i="18" s="1"/>
  <c r="B6" i="18"/>
  <c r="H5" i="18"/>
  <c r="E5" i="17"/>
  <c r="E7" i="9"/>
  <c r="E5" i="39"/>
  <c r="H6" i="8"/>
  <c r="F6" i="8"/>
  <c r="G6" i="8" s="1"/>
  <c r="B7" i="8"/>
  <c r="E7" i="8" s="1"/>
  <c r="C6" i="8"/>
  <c r="D6" i="8"/>
  <c r="B6" i="42"/>
  <c r="E6" i="42" s="1"/>
  <c r="H5" i="42"/>
  <c r="F5" i="42"/>
  <c r="G5" i="42" s="1"/>
  <c r="C5" i="42"/>
  <c r="D5" i="42"/>
  <c r="B8" i="4"/>
  <c r="E8" i="4" s="1"/>
  <c r="H7" i="4"/>
  <c r="F7" i="4"/>
  <c r="G7" i="4" s="1"/>
  <c r="D7" i="4"/>
  <c r="C7" i="4"/>
  <c r="H5" i="41"/>
  <c r="F5" i="41"/>
  <c r="G5" i="41" s="1"/>
  <c r="B6" i="41"/>
  <c r="E6" i="41" s="1"/>
  <c r="C5" i="41"/>
  <c r="D5" i="41"/>
  <c r="B6" i="40"/>
  <c r="E6" i="40" s="1"/>
  <c r="H5" i="40"/>
  <c r="F5" i="40"/>
  <c r="G5" i="40" s="1"/>
  <c r="C5" i="40"/>
  <c r="D5" i="40"/>
  <c r="M180" i="26"/>
  <c r="M172" i="26"/>
  <c r="M164" i="26"/>
  <c r="M156" i="26"/>
  <c r="M148" i="26"/>
  <c r="M140" i="26"/>
  <c r="M132" i="26"/>
  <c r="M124" i="26"/>
  <c r="M116" i="26"/>
  <c r="M108" i="26"/>
  <c r="M100" i="26"/>
  <c r="M181" i="26"/>
  <c r="M173" i="26"/>
  <c r="M165" i="26"/>
  <c r="M157" i="26"/>
  <c r="M149" i="26"/>
  <c r="M141" i="26"/>
  <c r="M133" i="26"/>
  <c r="M125" i="26"/>
  <c r="M117" i="26"/>
  <c r="M109" i="26"/>
  <c r="M101" i="26"/>
  <c r="M93" i="26"/>
  <c r="M85" i="26"/>
  <c r="M77" i="26"/>
  <c r="M182" i="26"/>
  <c r="M174" i="26"/>
  <c r="M166" i="26"/>
  <c r="M158" i="26"/>
  <c r="M150" i="26"/>
  <c r="M142" i="26"/>
  <c r="M134" i="26"/>
  <c r="M126" i="26"/>
  <c r="M118" i="26"/>
  <c r="M110" i="26"/>
  <c r="M102" i="26"/>
  <c r="M94" i="26"/>
  <c r="M86" i="26"/>
  <c r="M78" i="26"/>
  <c r="N2" i="26" s="1"/>
  <c r="M70" i="26"/>
  <c r="M175" i="26"/>
  <c r="M167" i="26"/>
  <c r="M159" i="26"/>
  <c r="M151" i="26"/>
  <c r="M143" i="26"/>
  <c r="M135" i="26"/>
  <c r="M127" i="26"/>
  <c r="M119" i="26"/>
  <c r="M111" i="26"/>
  <c r="M103" i="26"/>
  <c r="M95" i="26"/>
  <c r="M87" i="26"/>
  <c r="M79" i="26"/>
  <c r="M71" i="26"/>
  <c r="M176" i="26"/>
  <c r="M168" i="26"/>
  <c r="M160" i="26"/>
  <c r="M152" i="26"/>
  <c r="M144" i="26"/>
  <c r="M136" i="26"/>
  <c r="M128" i="26"/>
  <c r="M120" i="26"/>
  <c r="M112" i="26"/>
  <c r="M104" i="26"/>
  <c r="M96" i="26"/>
  <c r="M88" i="26"/>
  <c r="M80" i="26"/>
  <c r="M72" i="26"/>
  <c r="M177" i="26"/>
  <c r="M169" i="26"/>
  <c r="M161" i="26"/>
  <c r="M153" i="26"/>
  <c r="M145" i="26"/>
  <c r="M137" i="26"/>
  <c r="M129" i="26"/>
  <c r="M121" i="26"/>
  <c r="M113" i="26"/>
  <c r="M105" i="26"/>
  <c r="M97" i="26"/>
  <c r="M89" i="26"/>
  <c r="M81" i="26"/>
  <c r="M73" i="26"/>
  <c r="M179" i="26"/>
  <c r="M163" i="26"/>
  <c r="M147" i="26"/>
  <c r="M131" i="26"/>
  <c r="M115" i="26"/>
  <c r="M99" i="26"/>
  <c r="M91" i="26"/>
  <c r="M66" i="26"/>
  <c r="M58" i="26"/>
  <c r="M50" i="26"/>
  <c r="M42" i="26"/>
  <c r="M34" i="26"/>
  <c r="M26" i="26"/>
  <c r="M18" i="26"/>
  <c r="M10" i="26"/>
  <c r="M76" i="26"/>
  <c r="M67" i="26"/>
  <c r="M59" i="26"/>
  <c r="M51" i="26"/>
  <c r="M43" i="26"/>
  <c r="M35" i="26"/>
  <c r="M27" i="26"/>
  <c r="M19" i="26"/>
  <c r="M11" i="26"/>
  <c r="M178" i="26"/>
  <c r="M162" i="26"/>
  <c r="M146" i="26"/>
  <c r="M130" i="26"/>
  <c r="M114" i="26"/>
  <c r="M98" i="26"/>
  <c r="M83" i="26"/>
  <c r="M68" i="26"/>
  <c r="M60" i="26"/>
  <c r="M52" i="26"/>
  <c r="M44" i="26"/>
  <c r="M36" i="26"/>
  <c r="M28" i="26"/>
  <c r="M20" i="26"/>
  <c r="M12" i="26"/>
  <c r="M4" i="26"/>
  <c r="M90" i="26"/>
  <c r="M69" i="26"/>
  <c r="M61" i="26"/>
  <c r="M53" i="26"/>
  <c r="M45" i="26"/>
  <c r="M37" i="26"/>
  <c r="M29" i="26"/>
  <c r="M21" i="26"/>
  <c r="M13" i="26"/>
  <c r="M5" i="26"/>
  <c r="M171" i="26"/>
  <c r="M155" i="26"/>
  <c r="M139" i="26"/>
  <c r="M123" i="26"/>
  <c r="M107" i="26"/>
  <c r="M75" i="26"/>
  <c r="M62" i="26"/>
  <c r="M54" i="26"/>
  <c r="M46" i="26"/>
  <c r="M38" i="26"/>
  <c r="M30" i="26"/>
  <c r="M22" i="26"/>
  <c r="M14" i="26"/>
  <c r="M6" i="26"/>
  <c r="M92" i="26"/>
  <c r="M82" i="26"/>
  <c r="M170" i="26"/>
  <c r="M154" i="26"/>
  <c r="M138" i="26"/>
  <c r="M122" i="26"/>
  <c r="M106" i="26"/>
  <c r="M64" i="26"/>
  <c r="M56" i="26"/>
  <c r="M48" i="26"/>
  <c r="M40" i="26"/>
  <c r="M32" i="26"/>
  <c r="M24" i="26"/>
  <c r="M16" i="26"/>
  <c r="M8" i="26"/>
  <c r="M55" i="26"/>
  <c r="M39" i="26"/>
  <c r="M57" i="26"/>
  <c r="M41" i="26"/>
  <c r="M25" i="26"/>
  <c r="M9" i="26"/>
  <c r="M63" i="26"/>
  <c r="M47" i="26"/>
  <c r="M31" i="26"/>
  <c r="M15" i="26"/>
  <c r="M74" i="26"/>
  <c r="M84" i="26"/>
  <c r="M23" i="26"/>
  <c r="M7" i="26"/>
  <c r="M65" i="26"/>
  <c r="M49" i="26"/>
  <c r="M33" i="26"/>
  <c r="M17" i="26"/>
  <c r="J5" i="8" l="1"/>
  <c r="K5" i="8" s="1"/>
  <c r="L5" i="8" s="1"/>
  <c r="J4" i="41"/>
  <c r="K4" i="41" s="1"/>
  <c r="L4" i="41" s="1"/>
  <c r="M4" i="41" s="1"/>
  <c r="J4" i="19"/>
  <c r="K4" i="19" s="1"/>
  <c r="L4" i="19" s="1"/>
  <c r="J4" i="40"/>
  <c r="K4" i="40" s="1"/>
  <c r="L4" i="40" s="1"/>
  <c r="J4" i="18"/>
  <c r="K4" i="18" s="1"/>
  <c r="L4" i="18" s="1"/>
  <c r="M4" i="18" s="1"/>
  <c r="D27" i="45"/>
  <c r="I37" i="45" s="1"/>
  <c r="C17" i="51" s="1"/>
  <c r="G5" i="17"/>
  <c r="K4" i="39"/>
  <c r="L4" i="39" s="1"/>
  <c r="M4" i="39" s="1"/>
  <c r="O3" i="39"/>
  <c r="M4" i="42"/>
  <c r="I5" i="19"/>
  <c r="J5" i="19" s="1"/>
  <c r="I5" i="17"/>
  <c r="M5" i="4"/>
  <c r="K3" i="19"/>
  <c r="L3" i="19" s="1"/>
  <c r="I5" i="18"/>
  <c r="J5" i="18" s="1"/>
  <c r="C28" i="27"/>
  <c r="K4" i="17"/>
  <c r="L4" i="17" s="1"/>
  <c r="K3" i="40"/>
  <c r="L3" i="40" s="1"/>
  <c r="H8" i="26"/>
  <c r="I8" i="26" s="1"/>
  <c r="D8" i="26"/>
  <c r="B9" i="26"/>
  <c r="E9" i="26" s="1"/>
  <c r="C8" i="26"/>
  <c r="F8" i="26"/>
  <c r="E8" i="26"/>
  <c r="O6" i="25"/>
  <c r="P6" i="25" s="1"/>
  <c r="Q6" i="25" s="1"/>
  <c r="C7" i="25"/>
  <c r="B8" i="25"/>
  <c r="H7" i="25"/>
  <c r="I7" i="25" s="1"/>
  <c r="D7" i="25"/>
  <c r="F7" i="25"/>
  <c r="E7" i="25"/>
  <c r="I5" i="40"/>
  <c r="J5" i="40" s="1"/>
  <c r="O3" i="18"/>
  <c r="G5" i="39"/>
  <c r="I7" i="4"/>
  <c r="J7" i="4" s="1"/>
  <c r="K7" i="4" s="1"/>
  <c r="L7" i="4" s="1"/>
  <c r="I5" i="41"/>
  <c r="J5" i="41" s="1"/>
  <c r="I5" i="42"/>
  <c r="J5" i="42" s="1"/>
  <c r="K5" i="42" s="1"/>
  <c r="L5" i="42" s="1"/>
  <c r="K3" i="17"/>
  <c r="L3" i="17" s="1"/>
  <c r="I6" i="8"/>
  <c r="J6" i="8" s="1"/>
  <c r="G7" i="9"/>
  <c r="I7" i="9"/>
  <c r="K6" i="4"/>
  <c r="L6" i="4" s="1"/>
  <c r="F6" i="18"/>
  <c r="B7" i="18"/>
  <c r="E7" i="18" s="1"/>
  <c r="H6" i="18"/>
  <c r="C6" i="18"/>
  <c r="D6" i="18"/>
  <c r="F6" i="39"/>
  <c r="B7" i="39"/>
  <c r="E7" i="39" s="1"/>
  <c r="H6" i="39"/>
  <c r="D6" i="39"/>
  <c r="C6" i="39"/>
  <c r="B9" i="9"/>
  <c r="E9" i="9" s="1"/>
  <c r="H8" i="9"/>
  <c r="F8" i="9"/>
  <c r="D8" i="9"/>
  <c r="C8" i="9"/>
  <c r="H6" i="40"/>
  <c r="B7" i="40"/>
  <c r="F6" i="40"/>
  <c r="G6" i="40" s="1"/>
  <c r="C6" i="40"/>
  <c r="D6" i="40"/>
  <c r="H6" i="42"/>
  <c r="F6" i="42"/>
  <c r="G6" i="42" s="1"/>
  <c r="B7" i="42"/>
  <c r="E7" i="42" s="1"/>
  <c r="D6" i="42"/>
  <c r="C6" i="42"/>
  <c r="E6" i="18"/>
  <c r="H6" i="19"/>
  <c r="F6" i="19"/>
  <c r="G6" i="19" s="1"/>
  <c r="B7" i="19"/>
  <c r="E7" i="19" s="1"/>
  <c r="C6" i="19"/>
  <c r="D6" i="19"/>
  <c r="I5" i="39"/>
  <c r="E6" i="39"/>
  <c r="F6" i="17"/>
  <c r="G6" i="17" s="1"/>
  <c r="B7" i="17"/>
  <c r="E7" i="17" s="1"/>
  <c r="H6" i="17"/>
  <c r="D6" i="17"/>
  <c r="C6" i="17"/>
  <c r="F6" i="41"/>
  <c r="G6" i="41" s="1"/>
  <c r="B7" i="41"/>
  <c r="H6" i="41"/>
  <c r="C6" i="41"/>
  <c r="D6" i="41"/>
  <c r="B9" i="4"/>
  <c r="E9" i="4" s="1"/>
  <c r="H8" i="4"/>
  <c r="F8" i="4"/>
  <c r="D8" i="4"/>
  <c r="C8" i="4"/>
  <c r="F7" i="8"/>
  <c r="G7" i="8" s="1"/>
  <c r="B8" i="8"/>
  <c r="E8" i="8" s="1"/>
  <c r="H7" i="8"/>
  <c r="D7" i="8"/>
  <c r="C7" i="8"/>
  <c r="K6" i="9"/>
  <c r="L6" i="9" s="1"/>
  <c r="E8" i="9"/>
  <c r="P3" i="26"/>
  <c r="Q3" i="26" s="1"/>
  <c r="K5" i="19" l="1"/>
  <c r="L5" i="19" s="1"/>
  <c r="M5" i="19" s="1"/>
  <c r="K6" i="8"/>
  <c r="L6" i="8" s="1"/>
  <c r="M6" i="8" s="1"/>
  <c r="K5" i="41"/>
  <c r="L5" i="41" s="1"/>
  <c r="M5" i="41" s="1"/>
  <c r="K5" i="18"/>
  <c r="L5" i="18" s="1"/>
  <c r="M5" i="18" s="1"/>
  <c r="J5" i="17"/>
  <c r="K5" i="17" s="1"/>
  <c r="L5" i="17" s="1"/>
  <c r="M5" i="17" s="1"/>
  <c r="J5" i="39"/>
  <c r="K5" i="39" s="1"/>
  <c r="L5" i="39" s="1"/>
  <c r="J7" i="9"/>
  <c r="K7" i="9" s="1"/>
  <c r="L7" i="9" s="1"/>
  <c r="M7" i="9" s="1"/>
  <c r="M4" i="19"/>
  <c r="G8" i="9"/>
  <c r="M4" i="17"/>
  <c r="G6" i="39"/>
  <c r="G9" i="26"/>
  <c r="G8" i="26"/>
  <c r="J8" i="26"/>
  <c r="H9" i="26"/>
  <c r="I9" i="26" s="1"/>
  <c r="D9" i="26"/>
  <c r="B10" i="26"/>
  <c r="C9" i="26"/>
  <c r="F9" i="26"/>
  <c r="J9" i="26" s="1"/>
  <c r="M4" i="40"/>
  <c r="H8" i="25"/>
  <c r="I8" i="25" s="1"/>
  <c r="D8" i="25"/>
  <c r="F8" i="25"/>
  <c r="B9" i="25"/>
  <c r="C8" i="25"/>
  <c r="G7" i="25"/>
  <c r="J7" i="25"/>
  <c r="O7" i="25" s="1"/>
  <c r="P7" i="25" s="1"/>
  <c r="Q7" i="25" s="1"/>
  <c r="E8" i="25"/>
  <c r="G6" i="18"/>
  <c r="I6" i="19"/>
  <c r="J6" i="19" s="1"/>
  <c r="K6" i="19" s="1"/>
  <c r="L6" i="19" s="1"/>
  <c r="G8" i="4"/>
  <c r="I6" i="42"/>
  <c r="J6" i="42" s="1"/>
  <c r="K6" i="42" s="1"/>
  <c r="L6" i="42" s="1"/>
  <c r="I6" i="40"/>
  <c r="J6" i="40" s="1"/>
  <c r="K6" i="40" s="1"/>
  <c r="L6" i="40" s="1"/>
  <c r="I8" i="4"/>
  <c r="I8" i="9"/>
  <c r="I6" i="39"/>
  <c r="J6" i="39" s="1"/>
  <c r="I6" i="18"/>
  <c r="J6" i="18" s="1"/>
  <c r="F7" i="41"/>
  <c r="B8" i="41"/>
  <c r="E8" i="41" s="1"/>
  <c r="H7" i="41"/>
  <c r="D7" i="41"/>
  <c r="C7" i="41"/>
  <c r="F7" i="17"/>
  <c r="G7" i="17" s="1"/>
  <c r="B8" i="17"/>
  <c r="H7" i="17"/>
  <c r="D7" i="17"/>
  <c r="C7" i="17"/>
  <c r="M5" i="8"/>
  <c r="M5" i="42"/>
  <c r="M6" i="9"/>
  <c r="F8" i="8"/>
  <c r="B9" i="8"/>
  <c r="E9" i="8" s="1"/>
  <c r="H8" i="8"/>
  <c r="D8" i="8"/>
  <c r="C8" i="8"/>
  <c r="I6" i="41"/>
  <c r="J6" i="41" s="1"/>
  <c r="F7" i="40"/>
  <c r="B8" i="40"/>
  <c r="E8" i="40" s="1"/>
  <c r="H7" i="40"/>
  <c r="C7" i="40"/>
  <c r="D7" i="40"/>
  <c r="M6" i="4"/>
  <c r="M7" i="4"/>
  <c r="I7" i="8"/>
  <c r="J7" i="8" s="1"/>
  <c r="E7" i="41"/>
  <c r="I6" i="17"/>
  <c r="J6" i="17" s="1"/>
  <c r="B8" i="42"/>
  <c r="F7" i="42"/>
  <c r="G7" i="42" s="1"/>
  <c r="H7" i="42"/>
  <c r="C7" i="42"/>
  <c r="D7" i="42"/>
  <c r="H9" i="4"/>
  <c r="F9" i="4"/>
  <c r="G9" i="4" s="1"/>
  <c r="B10" i="4"/>
  <c r="E10" i="4" s="1"/>
  <c r="C9" i="4"/>
  <c r="D9" i="4"/>
  <c r="F7" i="19"/>
  <c r="G7" i="19" s="1"/>
  <c r="B8" i="19"/>
  <c r="E8" i="19" s="1"/>
  <c r="H7" i="19"/>
  <c r="D7" i="19"/>
  <c r="C7" i="19"/>
  <c r="E7" i="40"/>
  <c r="H9" i="9"/>
  <c r="F9" i="9"/>
  <c r="G9" i="9" s="1"/>
  <c r="B10" i="9"/>
  <c r="E10" i="9" s="1"/>
  <c r="C9" i="9"/>
  <c r="D9" i="9"/>
  <c r="K5" i="40"/>
  <c r="L5" i="40" s="1"/>
  <c r="B8" i="39"/>
  <c r="E8" i="39" s="1"/>
  <c r="H7" i="39"/>
  <c r="F7" i="39"/>
  <c r="G7" i="39" s="1"/>
  <c r="C7" i="39"/>
  <c r="D7" i="39"/>
  <c r="B8" i="18"/>
  <c r="E8" i="18" s="1"/>
  <c r="H7" i="18"/>
  <c r="F7" i="18"/>
  <c r="G7" i="18" s="1"/>
  <c r="C7" i="18"/>
  <c r="D7" i="18"/>
  <c r="O4" i="26"/>
  <c r="P4" i="26" s="1"/>
  <c r="Q4" i="26" s="1"/>
  <c r="J8" i="4" l="1"/>
  <c r="K8" i="4" s="1"/>
  <c r="L8" i="4" s="1"/>
  <c r="M8" i="4" s="1"/>
  <c r="J8" i="9"/>
  <c r="K8" i="9" s="1"/>
  <c r="L8" i="9" s="1"/>
  <c r="M8" i="9" s="1"/>
  <c r="G7" i="41"/>
  <c r="G7" i="40"/>
  <c r="G8" i="8"/>
  <c r="B11" i="26"/>
  <c r="E11" i="26" s="1"/>
  <c r="C10" i="26"/>
  <c r="F10" i="26"/>
  <c r="H10" i="26"/>
  <c r="I10" i="26" s="1"/>
  <c r="D10" i="26"/>
  <c r="E10" i="26"/>
  <c r="J8" i="25"/>
  <c r="O8" i="25" s="1"/>
  <c r="P8" i="25" s="1"/>
  <c r="Q8" i="25" s="1"/>
  <c r="G8" i="25"/>
  <c r="B10" i="25"/>
  <c r="E10" i="25" s="1"/>
  <c r="C9" i="25"/>
  <c r="F9" i="25"/>
  <c r="H9" i="25"/>
  <c r="I9" i="25" s="1"/>
  <c r="D9" i="25"/>
  <c r="E9" i="25"/>
  <c r="I7" i="39"/>
  <c r="J7" i="39" s="1"/>
  <c r="K7" i="39" s="1"/>
  <c r="L7" i="39" s="1"/>
  <c r="I7" i="18"/>
  <c r="J7" i="18" s="1"/>
  <c r="K7" i="18" s="1"/>
  <c r="L7" i="18" s="1"/>
  <c r="I7" i="42"/>
  <c r="J7" i="42" s="1"/>
  <c r="K7" i="42" s="1"/>
  <c r="L7" i="42" s="1"/>
  <c r="M7" i="42" s="1"/>
  <c r="I8" i="8"/>
  <c r="I7" i="40"/>
  <c r="I7" i="17"/>
  <c r="J7" i="17" s="1"/>
  <c r="K7" i="17" s="1"/>
  <c r="L7" i="17" s="1"/>
  <c r="M6" i="40"/>
  <c r="M5" i="40"/>
  <c r="B9" i="42"/>
  <c r="E9" i="42" s="1"/>
  <c r="H8" i="42"/>
  <c r="F8" i="42"/>
  <c r="C8" i="42"/>
  <c r="D8" i="42"/>
  <c r="K7" i="8"/>
  <c r="L7" i="8" s="1"/>
  <c r="M6" i="42"/>
  <c r="I7" i="41"/>
  <c r="J7" i="41" s="1"/>
  <c r="K7" i="41" s="1"/>
  <c r="L7" i="41" s="1"/>
  <c r="M6" i="19"/>
  <c r="B9" i="18"/>
  <c r="E9" i="18" s="1"/>
  <c r="H8" i="18"/>
  <c r="F8" i="18"/>
  <c r="G8" i="18" s="1"/>
  <c r="C8" i="18"/>
  <c r="D8" i="18"/>
  <c r="F10" i="9"/>
  <c r="G10" i="9" s="1"/>
  <c r="B11" i="9"/>
  <c r="E11" i="9" s="1"/>
  <c r="H10" i="9"/>
  <c r="C10" i="9"/>
  <c r="D10" i="9"/>
  <c r="F8" i="19"/>
  <c r="G8" i="19" s="1"/>
  <c r="B9" i="19"/>
  <c r="E9" i="19" s="1"/>
  <c r="H8" i="19"/>
  <c r="D8" i="19"/>
  <c r="C8" i="19"/>
  <c r="I9" i="4"/>
  <c r="J9" i="4" s="1"/>
  <c r="K6" i="39"/>
  <c r="L6" i="39" s="1"/>
  <c r="M6" i="39" s="1"/>
  <c r="B9" i="17"/>
  <c r="E9" i="17" s="1"/>
  <c r="H8" i="17"/>
  <c r="F8" i="17"/>
  <c r="C8" i="17"/>
  <c r="D8" i="17"/>
  <c r="E8" i="42"/>
  <c r="K6" i="17"/>
  <c r="L6" i="17" s="1"/>
  <c r="K6" i="41"/>
  <c r="L6" i="41" s="1"/>
  <c r="K6" i="18"/>
  <c r="L6" i="18" s="1"/>
  <c r="M5" i="39"/>
  <c r="B9" i="41"/>
  <c r="E9" i="41" s="1"/>
  <c r="H8" i="41"/>
  <c r="F8" i="41"/>
  <c r="G8" i="41" s="1"/>
  <c r="C8" i="41"/>
  <c r="D8" i="41"/>
  <c r="B9" i="39"/>
  <c r="E9" i="39" s="1"/>
  <c r="H8" i="39"/>
  <c r="F8" i="39"/>
  <c r="D8" i="39"/>
  <c r="C8" i="39"/>
  <c r="I9" i="9"/>
  <c r="J9" i="9" s="1"/>
  <c r="I7" i="19"/>
  <c r="J7" i="19" s="1"/>
  <c r="F10" i="4"/>
  <c r="G10" i="4" s="1"/>
  <c r="B11" i="4"/>
  <c r="H10" i="4"/>
  <c r="D10" i="4"/>
  <c r="C10" i="4"/>
  <c r="B9" i="40"/>
  <c r="H8" i="40"/>
  <c r="F8" i="40"/>
  <c r="D8" i="40"/>
  <c r="C8" i="40"/>
  <c r="F9" i="8"/>
  <c r="G9" i="8" s="1"/>
  <c r="B10" i="8"/>
  <c r="E10" i="8" s="1"/>
  <c r="H9" i="8"/>
  <c r="C9" i="8"/>
  <c r="D9" i="8"/>
  <c r="E8" i="17"/>
  <c r="O5" i="26"/>
  <c r="P5" i="26" s="1"/>
  <c r="Q5" i="26" s="1"/>
  <c r="J7" i="40" l="1"/>
  <c r="K7" i="40" s="1"/>
  <c r="L7" i="40" s="1"/>
  <c r="J8" i="8"/>
  <c r="K8" i="8" s="1"/>
  <c r="L8" i="8" s="1"/>
  <c r="M8" i="8" s="1"/>
  <c r="G8" i="17"/>
  <c r="G11" i="26"/>
  <c r="G10" i="26"/>
  <c r="J10" i="26"/>
  <c r="F11" i="26"/>
  <c r="J11" i="26" s="1"/>
  <c r="H11" i="26"/>
  <c r="I11" i="26" s="1"/>
  <c r="D11" i="26"/>
  <c r="B12" i="26"/>
  <c r="C11" i="26"/>
  <c r="G9" i="25"/>
  <c r="J9" i="25"/>
  <c r="O9" i="25" s="1"/>
  <c r="P9" i="25" s="1"/>
  <c r="Q9" i="25" s="1"/>
  <c r="G10" i="25"/>
  <c r="F10" i="25"/>
  <c r="J10" i="25" s="1"/>
  <c r="H10" i="25"/>
  <c r="I10" i="25" s="1"/>
  <c r="D10" i="25"/>
  <c r="C10" i="25"/>
  <c r="B11" i="25"/>
  <c r="I8" i="41"/>
  <c r="J8" i="41" s="1"/>
  <c r="K8" i="41" s="1"/>
  <c r="L8" i="41" s="1"/>
  <c r="M8" i="41" s="1"/>
  <c r="G8" i="42"/>
  <c r="G8" i="39"/>
  <c r="G8" i="40"/>
  <c r="I10" i="4"/>
  <c r="J10" i="4" s="1"/>
  <c r="K10" i="4" s="1"/>
  <c r="L10" i="4" s="1"/>
  <c r="I8" i="39"/>
  <c r="I8" i="17"/>
  <c r="I8" i="40"/>
  <c r="M7" i="39"/>
  <c r="I9" i="8"/>
  <c r="J9" i="8" s="1"/>
  <c r="F11" i="4"/>
  <c r="B12" i="4"/>
  <c r="E12" i="4" s="1"/>
  <c r="H11" i="4"/>
  <c r="D11" i="4"/>
  <c r="C11" i="4"/>
  <c r="K7" i="19"/>
  <c r="L7" i="19" s="1"/>
  <c r="H9" i="39"/>
  <c r="F9" i="39"/>
  <c r="G9" i="39" s="1"/>
  <c r="B10" i="39"/>
  <c r="E10" i="39" s="1"/>
  <c r="D9" i="39"/>
  <c r="C9" i="39"/>
  <c r="B10" i="17"/>
  <c r="E10" i="17" s="1"/>
  <c r="H9" i="17"/>
  <c r="F9" i="17"/>
  <c r="G9" i="17" s="1"/>
  <c r="C9" i="17"/>
  <c r="D9" i="17"/>
  <c r="I8" i="19"/>
  <c r="J8" i="19" s="1"/>
  <c r="K8" i="19" s="1"/>
  <c r="L8" i="19" s="1"/>
  <c r="I10" i="9"/>
  <c r="J10" i="9" s="1"/>
  <c r="B10" i="40"/>
  <c r="E10" i="40" s="1"/>
  <c r="H9" i="40"/>
  <c r="F9" i="40"/>
  <c r="C9" i="40"/>
  <c r="D9" i="40"/>
  <c r="M7" i="8"/>
  <c r="B11" i="8"/>
  <c r="E11" i="8" s="1"/>
  <c r="H10" i="8"/>
  <c r="F10" i="8"/>
  <c r="G10" i="8" s="1"/>
  <c r="D10" i="8"/>
  <c r="C10" i="8"/>
  <c r="E9" i="40"/>
  <c r="E11" i="4"/>
  <c r="K9" i="9"/>
  <c r="L9" i="9" s="1"/>
  <c r="F11" i="9"/>
  <c r="G11" i="9" s="1"/>
  <c r="B12" i="9"/>
  <c r="E12" i="9" s="1"/>
  <c r="H11" i="9"/>
  <c r="D11" i="9"/>
  <c r="C11" i="9"/>
  <c r="I8" i="18"/>
  <c r="J8" i="18" s="1"/>
  <c r="K8" i="18" s="1"/>
  <c r="L8" i="18" s="1"/>
  <c r="M8" i="18" s="1"/>
  <c r="H9" i="18"/>
  <c r="F9" i="18"/>
  <c r="G9" i="18" s="1"/>
  <c r="B10" i="18"/>
  <c r="E10" i="18" s="1"/>
  <c r="D9" i="18"/>
  <c r="C9" i="18"/>
  <c r="I8" i="42"/>
  <c r="H9" i="42"/>
  <c r="B10" i="42"/>
  <c r="E10" i="42" s="1"/>
  <c r="F9" i="42"/>
  <c r="G9" i="42" s="1"/>
  <c r="C9" i="42"/>
  <c r="D9" i="42"/>
  <c r="B10" i="41"/>
  <c r="H9" i="41"/>
  <c r="F9" i="41"/>
  <c r="G9" i="41" s="1"/>
  <c r="D9" i="41"/>
  <c r="C9" i="41"/>
  <c r="M7" i="18"/>
  <c r="M6" i="18"/>
  <c r="M7" i="41"/>
  <c r="M6" i="41"/>
  <c r="M7" i="17"/>
  <c r="M6" i="17"/>
  <c r="K9" i="4"/>
  <c r="L9" i="4" s="1"/>
  <c r="F9" i="19"/>
  <c r="G9" i="19" s="1"/>
  <c r="B10" i="19"/>
  <c r="E10" i="19" s="1"/>
  <c r="H9" i="19"/>
  <c r="D9" i="19"/>
  <c r="C9" i="19"/>
  <c r="O6" i="26"/>
  <c r="P6" i="26" s="1"/>
  <c r="Q6" i="26" s="1"/>
  <c r="J8" i="17" l="1"/>
  <c r="K8" i="17" s="1"/>
  <c r="L8" i="17" s="1"/>
  <c r="M8" i="17" s="1"/>
  <c r="J8" i="39"/>
  <c r="K8" i="39" s="1"/>
  <c r="L8" i="39" s="1"/>
  <c r="M8" i="39" s="1"/>
  <c r="J8" i="40"/>
  <c r="K8" i="40" s="1"/>
  <c r="L8" i="40" s="1"/>
  <c r="M8" i="40" s="1"/>
  <c r="I9" i="39"/>
  <c r="J9" i="39" s="1"/>
  <c r="I9" i="41"/>
  <c r="J9" i="41" s="1"/>
  <c r="K9" i="41" s="1"/>
  <c r="L9" i="41" s="1"/>
  <c r="G9" i="40"/>
  <c r="H12" i="26"/>
  <c r="I12" i="26" s="1"/>
  <c r="D12" i="26"/>
  <c r="B13" i="26"/>
  <c r="C12" i="26"/>
  <c r="F12" i="26"/>
  <c r="E12" i="26"/>
  <c r="O10" i="25"/>
  <c r="P10" i="25" s="1"/>
  <c r="Q10" i="25" s="1"/>
  <c r="C11" i="25"/>
  <c r="B12" i="25"/>
  <c r="H11" i="25"/>
  <c r="I11" i="25" s="1"/>
  <c r="D11" i="25"/>
  <c r="F11" i="25"/>
  <c r="E11" i="25"/>
  <c r="I9" i="42"/>
  <c r="J9" i="42" s="1"/>
  <c r="I9" i="40"/>
  <c r="J8" i="42"/>
  <c r="K8" i="42" s="1"/>
  <c r="L8" i="42" s="1"/>
  <c r="M8" i="42" s="1"/>
  <c r="I10" i="8"/>
  <c r="J10" i="8" s="1"/>
  <c r="K10" i="8" s="1"/>
  <c r="L10" i="8" s="1"/>
  <c r="I11" i="4"/>
  <c r="I9" i="19"/>
  <c r="J9" i="19" s="1"/>
  <c r="K9" i="19" s="1"/>
  <c r="L9" i="19" s="1"/>
  <c r="M9" i="19" s="1"/>
  <c r="I11" i="9"/>
  <c r="J11" i="9" s="1"/>
  <c r="K11" i="9" s="1"/>
  <c r="L11" i="9" s="1"/>
  <c r="H10" i="41"/>
  <c r="F10" i="41"/>
  <c r="B11" i="41"/>
  <c r="C10" i="41"/>
  <c r="D10" i="41"/>
  <c r="M9" i="4"/>
  <c r="M10" i="4"/>
  <c r="I9" i="18"/>
  <c r="J9" i="18" s="1"/>
  <c r="M9" i="9"/>
  <c r="M7" i="40"/>
  <c r="E10" i="41"/>
  <c r="K10" i="9"/>
  <c r="L10" i="9" s="1"/>
  <c r="G11" i="4"/>
  <c r="H11" i="8"/>
  <c r="F11" i="8"/>
  <c r="G11" i="8" s="1"/>
  <c r="B12" i="8"/>
  <c r="E12" i="8" s="1"/>
  <c r="D11" i="8"/>
  <c r="C11" i="8"/>
  <c r="F10" i="39"/>
  <c r="G10" i="39" s="1"/>
  <c r="B11" i="39"/>
  <c r="H10" i="39"/>
  <c r="C10" i="39"/>
  <c r="D10" i="39"/>
  <c r="B13" i="4"/>
  <c r="E13" i="4" s="1"/>
  <c r="H12" i="4"/>
  <c r="F12" i="4"/>
  <c r="G12" i="4" s="1"/>
  <c r="D12" i="4"/>
  <c r="C12" i="4"/>
  <c r="K9" i="8"/>
  <c r="L9" i="8" s="1"/>
  <c r="B11" i="19"/>
  <c r="H10" i="19"/>
  <c r="F10" i="19"/>
  <c r="G10" i="19" s="1"/>
  <c r="D10" i="19"/>
  <c r="C10" i="19"/>
  <c r="B11" i="42"/>
  <c r="H10" i="42"/>
  <c r="F10" i="42"/>
  <c r="G10" i="42" s="1"/>
  <c r="C10" i="42"/>
  <c r="D10" i="42"/>
  <c r="F10" i="18"/>
  <c r="G10" i="18" s="1"/>
  <c r="B11" i="18"/>
  <c r="H10" i="18"/>
  <c r="D10" i="18"/>
  <c r="C10" i="18"/>
  <c r="I9" i="17"/>
  <c r="J9" i="17" s="1"/>
  <c r="H10" i="17"/>
  <c r="F10" i="17"/>
  <c r="G10" i="17" s="1"/>
  <c r="B11" i="17"/>
  <c r="E11" i="17" s="1"/>
  <c r="C10" i="17"/>
  <c r="D10" i="17"/>
  <c r="B13" i="9"/>
  <c r="E13" i="9" s="1"/>
  <c r="H12" i="9"/>
  <c r="F12" i="9"/>
  <c r="G12" i="9" s="1"/>
  <c r="C12" i="9"/>
  <c r="D12" i="9"/>
  <c r="H10" i="40"/>
  <c r="F10" i="40"/>
  <c r="G10" i="40" s="1"/>
  <c r="B11" i="40"/>
  <c r="E11" i="40" s="1"/>
  <c r="D10" i="40"/>
  <c r="C10" i="40"/>
  <c r="M8" i="19"/>
  <c r="M7" i="19"/>
  <c r="O7" i="26"/>
  <c r="P7" i="26" s="1"/>
  <c r="Q7" i="26" s="1"/>
  <c r="K9" i="39" l="1"/>
  <c r="L9" i="39" s="1"/>
  <c r="M9" i="39" s="1"/>
  <c r="J9" i="40"/>
  <c r="K9" i="40" s="1"/>
  <c r="L9" i="40" s="1"/>
  <c r="M9" i="40" s="1"/>
  <c r="J11" i="4"/>
  <c r="K11" i="4" s="1"/>
  <c r="L11" i="4" s="1"/>
  <c r="K9" i="42"/>
  <c r="L9" i="42" s="1"/>
  <c r="M9" i="42" s="1"/>
  <c r="I10" i="19"/>
  <c r="J10" i="19" s="1"/>
  <c r="K10" i="19" s="1"/>
  <c r="L10" i="19" s="1"/>
  <c r="G12" i="26"/>
  <c r="J12" i="26"/>
  <c r="H13" i="26"/>
  <c r="I13" i="26" s="1"/>
  <c r="D13" i="26"/>
  <c r="B14" i="26"/>
  <c r="E14" i="26" s="1"/>
  <c r="C13" i="26"/>
  <c r="F13" i="26"/>
  <c r="E13" i="26"/>
  <c r="H12" i="25"/>
  <c r="I12" i="25" s="1"/>
  <c r="D12" i="25"/>
  <c r="F12" i="25"/>
  <c r="B13" i="25"/>
  <c r="C12" i="25"/>
  <c r="G11" i="25"/>
  <c r="J11" i="25"/>
  <c r="O11" i="25" s="1"/>
  <c r="P11" i="25" s="1"/>
  <c r="Q11" i="25" s="1"/>
  <c r="E12" i="25"/>
  <c r="G10" i="41"/>
  <c r="I10" i="42"/>
  <c r="J10" i="42" s="1"/>
  <c r="K10" i="42" s="1"/>
  <c r="L10" i="42" s="1"/>
  <c r="M11" i="9"/>
  <c r="I12" i="9"/>
  <c r="J12" i="9" s="1"/>
  <c r="K12" i="9" s="1"/>
  <c r="L12" i="9" s="1"/>
  <c r="M12" i="9" s="1"/>
  <c r="I12" i="4"/>
  <c r="J12" i="4" s="1"/>
  <c r="I10" i="18"/>
  <c r="J10" i="18" s="1"/>
  <c r="K10" i="18" s="1"/>
  <c r="L10" i="18" s="1"/>
  <c r="I10" i="40"/>
  <c r="J10" i="40" s="1"/>
  <c r="I10" i="17"/>
  <c r="J10" i="17" s="1"/>
  <c r="K10" i="17" s="1"/>
  <c r="L10" i="17" s="1"/>
  <c r="I10" i="41"/>
  <c r="I11" i="8"/>
  <c r="J11" i="8" s="1"/>
  <c r="K11" i="8" s="1"/>
  <c r="L11" i="8" s="1"/>
  <c r="M11" i="8" s="1"/>
  <c r="K9" i="17"/>
  <c r="L9" i="17" s="1"/>
  <c r="F11" i="18"/>
  <c r="B12" i="18"/>
  <c r="E12" i="18" s="1"/>
  <c r="H11" i="18"/>
  <c r="C11" i="18"/>
  <c r="D11" i="18"/>
  <c r="M9" i="8"/>
  <c r="M10" i="8"/>
  <c r="F11" i="39"/>
  <c r="B12" i="39"/>
  <c r="E12" i="39" s="1"/>
  <c r="H11" i="39"/>
  <c r="C11" i="39"/>
  <c r="D11" i="39"/>
  <c r="F11" i="42"/>
  <c r="B12" i="42"/>
  <c r="E12" i="42" s="1"/>
  <c r="H11" i="42"/>
  <c r="C11" i="42"/>
  <c r="D11" i="42"/>
  <c r="E11" i="42"/>
  <c r="K9" i="18"/>
  <c r="L9" i="18" s="1"/>
  <c r="F11" i="41"/>
  <c r="B12" i="41"/>
  <c r="E12" i="41" s="1"/>
  <c r="H11" i="41"/>
  <c r="C11" i="41"/>
  <c r="D11" i="41"/>
  <c r="H11" i="19"/>
  <c r="F11" i="19"/>
  <c r="B12" i="19"/>
  <c r="E12" i="19" s="1"/>
  <c r="D11" i="19"/>
  <c r="C11" i="19"/>
  <c r="F11" i="40"/>
  <c r="G11" i="40" s="1"/>
  <c r="B12" i="40"/>
  <c r="E12" i="40" s="1"/>
  <c r="H11" i="40"/>
  <c r="D11" i="40"/>
  <c r="C11" i="40"/>
  <c r="H13" i="9"/>
  <c r="F13" i="9"/>
  <c r="G13" i="9" s="1"/>
  <c r="B14" i="9"/>
  <c r="E14" i="9" s="1"/>
  <c r="D13" i="9"/>
  <c r="C13" i="9"/>
  <c r="M9" i="41"/>
  <c r="E11" i="18"/>
  <c r="E11" i="19"/>
  <c r="I10" i="39"/>
  <c r="J10" i="39" s="1"/>
  <c r="E11" i="39"/>
  <c r="F12" i="8"/>
  <c r="G12" i="8" s="1"/>
  <c r="B13" i="8"/>
  <c r="H12" i="8"/>
  <c r="C12" i="8"/>
  <c r="D12" i="8"/>
  <c r="M10" i="9"/>
  <c r="F11" i="17"/>
  <c r="G11" i="17" s="1"/>
  <c r="B12" i="17"/>
  <c r="E12" i="17" s="1"/>
  <c r="H11" i="17"/>
  <c r="C11" i="17"/>
  <c r="D11" i="17"/>
  <c r="H13" i="4"/>
  <c r="F13" i="4"/>
  <c r="G13" i="4" s="1"/>
  <c r="B14" i="4"/>
  <c r="E14" i="4" s="1"/>
  <c r="D13" i="4"/>
  <c r="C13" i="4"/>
  <c r="E11" i="41"/>
  <c r="O8" i="26"/>
  <c r="P8" i="26" s="1"/>
  <c r="Q8" i="26" s="1"/>
  <c r="J10" i="41" l="1"/>
  <c r="K10" i="41" s="1"/>
  <c r="L10" i="41" s="1"/>
  <c r="M10" i="41" s="1"/>
  <c r="K10" i="40"/>
  <c r="L10" i="40" s="1"/>
  <c r="M10" i="40" s="1"/>
  <c r="K12" i="4"/>
  <c r="L12" i="4" s="1"/>
  <c r="M12" i="4" s="1"/>
  <c r="G11" i="18"/>
  <c r="G11" i="41"/>
  <c r="I11" i="40"/>
  <c r="J11" i="40" s="1"/>
  <c r="K11" i="40" s="1"/>
  <c r="L11" i="40" s="1"/>
  <c r="G14" i="26"/>
  <c r="G13" i="26"/>
  <c r="J13" i="26"/>
  <c r="B15" i="26"/>
  <c r="C14" i="26"/>
  <c r="E15" i="26"/>
  <c r="F14" i="26"/>
  <c r="J14" i="26" s="1"/>
  <c r="H14" i="26"/>
  <c r="I14" i="26" s="1"/>
  <c r="D14" i="26"/>
  <c r="J12" i="25"/>
  <c r="O12" i="25" s="1"/>
  <c r="P12" i="25" s="1"/>
  <c r="Q12" i="25" s="1"/>
  <c r="G12" i="25"/>
  <c r="B14" i="25"/>
  <c r="E14" i="25" s="1"/>
  <c r="C13" i="25"/>
  <c r="F13" i="25"/>
  <c r="D13" i="25"/>
  <c r="H13" i="25"/>
  <c r="I13" i="25" s="1"/>
  <c r="E13" i="25"/>
  <c r="G11" i="42"/>
  <c r="I11" i="42"/>
  <c r="I11" i="18"/>
  <c r="G11" i="39"/>
  <c r="I13" i="9"/>
  <c r="J13" i="9" s="1"/>
  <c r="K13" i="9" s="1"/>
  <c r="L13" i="9" s="1"/>
  <c r="M13" i="9" s="1"/>
  <c r="I11" i="39"/>
  <c r="I11" i="41"/>
  <c r="I11" i="17"/>
  <c r="J11" i="17" s="1"/>
  <c r="F13" i="8"/>
  <c r="B14" i="8"/>
  <c r="E14" i="8" s="1"/>
  <c r="H13" i="8"/>
  <c r="D13" i="8"/>
  <c r="C13" i="8"/>
  <c r="I11" i="19"/>
  <c r="K10" i="39"/>
  <c r="L10" i="39" s="1"/>
  <c r="F14" i="4"/>
  <c r="G14" i="4" s="1"/>
  <c r="B15" i="4"/>
  <c r="H14" i="4"/>
  <c r="D14" i="4"/>
  <c r="C14" i="4"/>
  <c r="I12" i="8"/>
  <c r="J12" i="8" s="1"/>
  <c r="G11" i="19"/>
  <c r="F12" i="40"/>
  <c r="G12" i="40" s="1"/>
  <c r="B13" i="40"/>
  <c r="H12" i="40"/>
  <c r="D12" i="40"/>
  <c r="C12" i="40"/>
  <c r="B13" i="42"/>
  <c r="H12" i="42"/>
  <c r="F12" i="42"/>
  <c r="G12" i="42" s="1"/>
  <c r="C12" i="42"/>
  <c r="D12" i="42"/>
  <c r="B13" i="39"/>
  <c r="E13" i="39" s="1"/>
  <c r="H12" i="39"/>
  <c r="F12" i="39"/>
  <c r="G12" i="39" s="1"/>
  <c r="D12" i="39"/>
  <c r="C12" i="39"/>
  <c r="B13" i="18"/>
  <c r="H12" i="18"/>
  <c r="F12" i="18"/>
  <c r="G12" i="18" s="1"/>
  <c r="D12" i="18"/>
  <c r="C12" i="18"/>
  <c r="F12" i="41"/>
  <c r="G12" i="41" s="1"/>
  <c r="B13" i="41"/>
  <c r="H12" i="41"/>
  <c r="D12" i="41"/>
  <c r="C12" i="41"/>
  <c r="M11" i="4"/>
  <c r="I13" i="4"/>
  <c r="J13" i="4" s="1"/>
  <c r="M10" i="19"/>
  <c r="F12" i="17"/>
  <c r="G12" i="17" s="1"/>
  <c r="B13" i="17"/>
  <c r="H12" i="17"/>
  <c r="C12" i="17"/>
  <c r="D12" i="17"/>
  <c r="E13" i="8"/>
  <c r="M10" i="42"/>
  <c r="F14" i="9"/>
  <c r="G14" i="9" s="1"/>
  <c r="B15" i="9"/>
  <c r="E15" i="9" s="1"/>
  <c r="H14" i="9"/>
  <c r="C14" i="9"/>
  <c r="D14" i="9"/>
  <c r="F12" i="19"/>
  <c r="G12" i="19" s="1"/>
  <c r="B13" i="19"/>
  <c r="H12" i="19"/>
  <c r="C12" i="19"/>
  <c r="D12" i="19"/>
  <c r="M10" i="18"/>
  <c r="M9" i="18"/>
  <c r="M9" i="17"/>
  <c r="M10" i="17"/>
  <c r="O9" i="26"/>
  <c r="P9" i="26" s="1"/>
  <c r="Q9" i="26" s="1"/>
  <c r="M11" i="40" l="1"/>
  <c r="J11" i="18"/>
  <c r="K11" i="18" s="1"/>
  <c r="L11" i="18" s="1"/>
  <c r="M11" i="18" s="1"/>
  <c r="J11" i="41"/>
  <c r="K11" i="41" s="1"/>
  <c r="L11" i="41" s="1"/>
  <c r="J11" i="42"/>
  <c r="K11" i="42" s="1"/>
  <c r="L11" i="42" s="1"/>
  <c r="M11" i="42" s="1"/>
  <c r="J11" i="19"/>
  <c r="K11" i="19" s="1"/>
  <c r="L11" i="19" s="1"/>
  <c r="J11" i="39"/>
  <c r="K11" i="39" s="1"/>
  <c r="L11" i="39" s="1"/>
  <c r="M11" i="39" s="1"/>
  <c r="I12" i="40"/>
  <c r="J12" i="40" s="1"/>
  <c r="K12" i="40" s="1"/>
  <c r="L12" i="40" s="1"/>
  <c r="G15" i="26"/>
  <c r="F15" i="26"/>
  <c r="J15" i="26" s="1"/>
  <c r="H15" i="26"/>
  <c r="I15" i="26" s="1"/>
  <c r="D15" i="26"/>
  <c r="B16" i="26"/>
  <c r="C15" i="26"/>
  <c r="G14" i="25"/>
  <c r="G13" i="25"/>
  <c r="J13" i="25"/>
  <c r="O13" i="25" s="1"/>
  <c r="P13" i="25" s="1"/>
  <c r="Q13" i="25" s="1"/>
  <c r="F14" i="25"/>
  <c r="J14" i="25" s="1"/>
  <c r="H14" i="25"/>
  <c r="I14" i="25" s="1"/>
  <c r="D14" i="25"/>
  <c r="C14" i="25"/>
  <c r="B15" i="25"/>
  <c r="I14" i="4"/>
  <c r="J14" i="4" s="1"/>
  <c r="K14" i="4" s="1"/>
  <c r="L14" i="4" s="1"/>
  <c r="G13" i="8"/>
  <c r="I13" i="8"/>
  <c r="I14" i="9"/>
  <c r="J14" i="9" s="1"/>
  <c r="K14" i="9" s="1"/>
  <c r="L14" i="9" s="1"/>
  <c r="M14" i="9" s="1"/>
  <c r="I12" i="39"/>
  <c r="J12" i="39" s="1"/>
  <c r="I12" i="18"/>
  <c r="J12" i="18" s="1"/>
  <c r="I12" i="42"/>
  <c r="J12" i="42" s="1"/>
  <c r="F13" i="19"/>
  <c r="B14" i="19"/>
  <c r="E14" i="19" s="1"/>
  <c r="H13" i="19"/>
  <c r="D13" i="19"/>
  <c r="C13" i="19"/>
  <c r="H13" i="18"/>
  <c r="F13" i="18"/>
  <c r="B14" i="18"/>
  <c r="E14" i="18" s="1"/>
  <c r="C13" i="18"/>
  <c r="D13" i="18"/>
  <c r="H13" i="42"/>
  <c r="B14" i="42"/>
  <c r="F13" i="42"/>
  <c r="D13" i="42"/>
  <c r="C13" i="42"/>
  <c r="B14" i="40"/>
  <c r="H13" i="40"/>
  <c r="F13" i="40"/>
  <c r="D13" i="40"/>
  <c r="C13" i="40"/>
  <c r="M10" i="39"/>
  <c r="B14" i="17"/>
  <c r="H13" i="17"/>
  <c r="F13" i="17"/>
  <c r="D13" i="17"/>
  <c r="C13" i="17"/>
  <c r="K13" i="4"/>
  <c r="L13" i="4" s="1"/>
  <c r="B14" i="41"/>
  <c r="H13" i="41"/>
  <c r="F13" i="41"/>
  <c r="C13" i="41"/>
  <c r="D13" i="41"/>
  <c r="K12" i="8"/>
  <c r="L12" i="8" s="1"/>
  <c r="F15" i="4"/>
  <c r="B16" i="4"/>
  <c r="E16" i="4" s="1"/>
  <c r="H15" i="4"/>
  <c r="D15" i="4"/>
  <c r="C15" i="4"/>
  <c r="I12" i="19"/>
  <c r="J12" i="19" s="1"/>
  <c r="E13" i="19"/>
  <c r="I12" i="41"/>
  <c r="J12" i="41" s="1"/>
  <c r="E13" i="18"/>
  <c r="H13" i="39"/>
  <c r="F13" i="39"/>
  <c r="G13" i="39" s="1"/>
  <c r="B14" i="39"/>
  <c r="E14" i="39" s="1"/>
  <c r="D13" i="39"/>
  <c r="C13" i="39"/>
  <c r="E13" i="40"/>
  <c r="F15" i="9"/>
  <c r="G15" i="9" s="1"/>
  <c r="B16" i="9"/>
  <c r="E16" i="9" s="1"/>
  <c r="H15" i="9"/>
  <c r="D15" i="9"/>
  <c r="C15" i="9"/>
  <c r="I12" i="17"/>
  <c r="J12" i="17" s="1"/>
  <c r="K12" i="17" s="1"/>
  <c r="L12" i="17" s="1"/>
  <c r="E13" i="17"/>
  <c r="E13" i="41"/>
  <c r="E13" i="42"/>
  <c r="E15" i="4"/>
  <c r="B15" i="8"/>
  <c r="E15" i="8" s="1"/>
  <c r="H14" i="8"/>
  <c r="F14" i="8"/>
  <c r="G14" i="8" s="1"/>
  <c r="C14" i="8"/>
  <c r="D14" i="8"/>
  <c r="K11" i="17"/>
  <c r="L11" i="17" s="1"/>
  <c r="O10" i="26"/>
  <c r="P10" i="26" s="1"/>
  <c r="Q10" i="26" s="1"/>
  <c r="K12" i="42" l="1"/>
  <c r="L12" i="42" s="1"/>
  <c r="M12" i="42" s="1"/>
  <c r="K12" i="41"/>
  <c r="L12" i="41" s="1"/>
  <c r="M12" i="41" s="1"/>
  <c r="K12" i="19"/>
  <c r="L12" i="19" s="1"/>
  <c r="M12" i="19" s="1"/>
  <c r="K12" i="39"/>
  <c r="L12" i="39" s="1"/>
  <c r="M12" i="39" s="1"/>
  <c r="J13" i="8"/>
  <c r="K13" i="8" s="1"/>
  <c r="L13" i="8" s="1"/>
  <c r="M13" i="8" s="1"/>
  <c r="G13" i="40"/>
  <c r="G13" i="17"/>
  <c r="G13" i="18"/>
  <c r="G13" i="42"/>
  <c r="G13" i="19"/>
  <c r="H16" i="26"/>
  <c r="I16" i="26" s="1"/>
  <c r="D16" i="26"/>
  <c r="B17" i="26"/>
  <c r="C16" i="26"/>
  <c r="F16" i="26"/>
  <c r="E16" i="26"/>
  <c r="O14" i="25"/>
  <c r="P14" i="25" s="1"/>
  <c r="Q14" i="25" s="1"/>
  <c r="C15" i="25"/>
  <c r="B16" i="25"/>
  <c r="H15" i="25"/>
  <c r="I15" i="25" s="1"/>
  <c r="D15" i="25"/>
  <c r="F15" i="25"/>
  <c r="E15" i="25"/>
  <c r="I13" i="41"/>
  <c r="G15" i="4"/>
  <c r="I13" i="39"/>
  <c r="J13" i="39" s="1"/>
  <c r="K13" i="39" s="1"/>
  <c r="L13" i="39" s="1"/>
  <c r="I13" i="40"/>
  <c r="I15" i="9"/>
  <c r="J15" i="9" s="1"/>
  <c r="K15" i="9" s="1"/>
  <c r="L15" i="9" s="1"/>
  <c r="M15" i="9" s="1"/>
  <c r="I15" i="4"/>
  <c r="I14" i="8"/>
  <c r="J14" i="8" s="1"/>
  <c r="G13" i="41"/>
  <c r="I13" i="17"/>
  <c r="I13" i="19"/>
  <c r="I13" i="18"/>
  <c r="H14" i="41"/>
  <c r="F14" i="41"/>
  <c r="B15" i="41"/>
  <c r="E15" i="41" s="1"/>
  <c r="C14" i="41"/>
  <c r="D14" i="41"/>
  <c r="H14" i="17"/>
  <c r="F14" i="17"/>
  <c r="B15" i="17"/>
  <c r="D14" i="17"/>
  <c r="C14" i="17"/>
  <c r="H14" i="40"/>
  <c r="F14" i="40"/>
  <c r="B15" i="40"/>
  <c r="D14" i="40"/>
  <c r="C14" i="40"/>
  <c r="B15" i="42"/>
  <c r="H14" i="42"/>
  <c r="F14" i="42"/>
  <c r="D14" i="42"/>
  <c r="C14" i="42"/>
  <c r="B17" i="4"/>
  <c r="E17" i="4" s="1"/>
  <c r="H16" i="4"/>
  <c r="F16" i="4"/>
  <c r="G16" i="4" s="1"/>
  <c r="C16" i="4"/>
  <c r="D16" i="4"/>
  <c r="M12" i="8"/>
  <c r="M12" i="40"/>
  <c r="I13" i="42"/>
  <c r="E14" i="42"/>
  <c r="M12" i="17"/>
  <c r="M11" i="17"/>
  <c r="H15" i="8"/>
  <c r="F15" i="8"/>
  <c r="G15" i="8" s="1"/>
  <c r="B16" i="8"/>
  <c r="E16" i="8" s="1"/>
  <c r="D15" i="8"/>
  <c r="C15" i="8"/>
  <c r="B17" i="9"/>
  <c r="E17" i="9" s="1"/>
  <c r="H16" i="9"/>
  <c r="F16" i="9"/>
  <c r="G16" i="9" s="1"/>
  <c r="C16" i="9"/>
  <c r="D16" i="9"/>
  <c r="F14" i="39"/>
  <c r="G14" i="39" s="1"/>
  <c r="B15" i="39"/>
  <c r="E15" i="39" s="1"/>
  <c r="H14" i="39"/>
  <c r="D14" i="39"/>
  <c r="C14" i="39"/>
  <c r="E14" i="41"/>
  <c r="M14" i="4"/>
  <c r="M13" i="4"/>
  <c r="E14" i="17"/>
  <c r="M11" i="19"/>
  <c r="E14" i="40"/>
  <c r="F14" i="18"/>
  <c r="G14" i="18" s="1"/>
  <c r="B15" i="18"/>
  <c r="H14" i="18"/>
  <c r="D14" i="18"/>
  <c r="C14" i="18"/>
  <c r="K12" i="18"/>
  <c r="L12" i="18" s="1"/>
  <c r="M11" i="41"/>
  <c r="B15" i="19"/>
  <c r="H14" i="19"/>
  <c r="F14" i="19"/>
  <c r="G14" i="19" s="1"/>
  <c r="C14" i="19"/>
  <c r="D14" i="19"/>
  <c r="O11" i="26"/>
  <c r="P11" i="26" s="1"/>
  <c r="Q11" i="26" s="1"/>
  <c r="M13" i="39" l="1"/>
  <c r="J13" i="17"/>
  <c r="K13" i="17" s="1"/>
  <c r="L13" i="17" s="1"/>
  <c r="M13" i="17" s="1"/>
  <c r="K14" i="8"/>
  <c r="L14" i="8" s="1"/>
  <c r="M14" i="8" s="1"/>
  <c r="J13" i="18"/>
  <c r="K13" i="18" s="1"/>
  <c r="L13" i="18" s="1"/>
  <c r="M13" i="18" s="1"/>
  <c r="J13" i="40"/>
  <c r="K13" i="40" s="1"/>
  <c r="L13" i="40" s="1"/>
  <c r="M13" i="40" s="1"/>
  <c r="J13" i="42"/>
  <c r="K13" i="42" s="1"/>
  <c r="L13" i="42" s="1"/>
  <c r="M13" i="42" s="1"/>
  <c r="J13" i="19"/>
  <c r="K13" i="19" s="1"/>
  <c r="L13" i="19" s="1"/>
  <c r="M13" i="19" s="1"/>
  <c r="J13" i="41"/>
  <c r="K13" i="41" s="1"/>
  <c r="L13" i="41" s="1"/>
  <c r="M13" i="41" s="1"/>
  <c r="J15" i="4"/>
  <c r="K15" i="4" s="1"/>
  <c r="L15" i="4" s="1"/>
  <c r="M15" i="4" s="1"/>
  <c r="I14" i="17"/>
  <c r="I14" i="40"/>
  <c r="G14" i="41"/>
  <c r="G16" i="26"/>
  <c r="J16" i="26"/>
  <c r="H17" i="26"/>
  <c r="I17" i="26" s="1"/>
  <c r="D17" i="26"/>
  <c r="B18" i="26"/>
  <c r="E18" i="26" s="1"/>
  <c r="C17" i="26"/>
  <c r="F17" i="26"/>
  <c r="E17" i="26"/>
  <c r="H16" i="25"/>
  <c r="I16" i="25" s="1"/>
  <c r="D16" i="25"/>
  <c r="F16" i="25"/>
  <c r="B17" i="25"/>
  <c r="C16" i="25"/>
  <c r="G15" i="25"/>
  <c r="J15" i="25"/>
  <c r="O15" i="25" s="1"/>
  <c r="P15" i="25" s="1"/>
  <c r="Q15" i="25" s="1"/>
  <c r="E16" i="25"/>
  <c r="G14" i="17"/>
  <c r="G14" i="42"/>
  <c r="I16" i="9"/>
  <c r="J16" i="9" s="1"/>
  <c r="K16" i="9" s="1"/>
  <c r="L16" i="9" s="1"/>
  <c r="M16" i="9" s="1"/>
  <c r="I16" i="4"/>
  <c r="J16" i="4" s="1"/>
  <c r="G14" i="40"/>
  <c r="I14" i="18"/>
  <c r="J14" i="18" s="1"/>
  <c r="I14" i="19"/>
  <c r="J14" i="19" s="1"/>
  <c r="I15" i="8"/>
  <c r="J15" i="8" s="1"/>
  <c r="K15" i="8" s="1"/>
  <c r="L15" i="8" s="1"/>
  <c r="I14" i="42"/>
  <c r="I14" i="41"/>
  <c r="H17" i="9"/>
  <c r="F17" i="9"/>
  <c r="G17" i="9" s="1"/>
  <c r="B18" i="9"/>
  <c r="D17" i="9"/>
  <c r="C17" i="9"/>
  <c r="M12" i="18"/>
  <c r="F15" i="18"/>
  <c r="B16" i="18"/>
  <c r="E16" i="18" s="1"/>
  <c r="H15" i="18"/>
  <c r="D15" i="18"/>
  <c r="C15" i="18"/>
  <c r="F15" i="42"/>
  <c r="B16" i="42"/>
  <c r="E16" i="42" s="1"/>
  <c r="H15" i="42"/>
  <c r="C15" i="42"/>
  <c r="D15" i="42"/>
  <c r="F15" i="40"/>
  <c r="B16" i="40"/>
  <c r="H15" i="40"/>
  <c r="D15" i="40"/>
  <c r="C15" i="40"/>
  <c r="F15" i="17"/>
  <c r="B16" i="17"/>
  <c r="E16" i="17" s="1"/>
  <c r="H15" i="17"/>
  <c r="D15" i="17"/>
  <c r="C15" i="17"/>
  <c r="F15" i="39"/>
  <c r="G15" i="39" s="1"/>
  <c r="B16" i="39"/>
  <c r="H15" i="39"/>
  <c r="D15" i="39"/>
  <c r="C15" i="39"/>
  <c r="E15" i="42"/>
  <c r="H15" i="19"/>
  <c r="F15" i="19"/>
  <c r="B16" i="19"/>
  <c r="E16" i="19" s="1"/>
  <c r="D15" i="19"/>
  <c r="C15" i="19"/>
  <c r="E15" i="19"/>
  <c r="E15" i="18"/>
  <c r="I14" i="39"/>
  <c r="J14" i="39" s="1"/>
  <c r="K14" i="39" s="1"/>
  <c r="L14" i="39" s="1"/>
  <c r="M14" i="39" s="1"/>
  <c r="F16" i="8"/>
  <c r="G16" i="8" s="1"/>
  <c r="B17" i="8"/>
  <c r="E17" i="8" s="1"/>
  <c r="H16" i="8"/>
  <c r="D16" i="8"/>
  <c r="C16" i="8"/>
  <c r="H17" i="4"/>
  <c r="F17" i="4"/>
  <c r="G17" i="4" s="1"/>
  <c r="B18" i="4"/>
  <c r="E18" i="4" s="1"/>
  <c r="D17" i="4"/>
  <c r="C17" i="4"/>
  <c r="E15" i="40"/>
  <c r="E15" i="17"/>
  <c r="F15" i="41"/>
  <c r="G15" i="41" s="1"/>
  <c r="B16" i="41"/>
  <c r="E16" i="41" s="1"/>
  <c r="H15" i="41"/>
  <c r="D15" i="41"/>
  <c r="C15" i="41"/>
  <c r="O12" i="26"/>
  <c r="P12" i="26" s="1"/>
  <c r="Q12" i="26" s="1"/>
  <c r="M15" i="8" l="1"/>
  <c r="K16" i="4"/>
  <c r="L16" i="4" s="1"/>
  <c r="M16" i="4" s="1"/>
  <c r="K14" i="18"/>
  <c r="L14" i="18" s="1"/>
  <c r="M14" i="18" s="1"/>
  <c r="K14" i="19"/>
  <c r="L14" i="19" s="1"/>
  <c r="M14" i="19" s="1"/>
  <c r="J14" i="41"/>
  <c r="K14" i="41" s="1"/>
  <c r="L14" i="41" s="1"/>
  <c r="M14" i="41" s="1"/>
  <c r="J14" i="42"/>
  <c r="K14" i="42" s="1"/>
  <c r="L14" i="42" s="1"/>
  <c r="M14" i="42" s="1"/>
  <c r="J14" i="40"/>
  <c r="K14" i="40" s="1"/>
  <c r="L14" i="40" s="1"/>
  <c r="M14" i="40" s="1"/>
  <c r="J14" i="17"/>
  <c r="K14" i="17" s="1"/>
  <c r="L14" i="17" s="1"/>
  <c r="M14" i="17" s="1"/>
  <c r="I17" i="9"/>
  <c r="J17" i="9" s="1"/>
  <c r="K17" i="9" s="1"/>
  <c r="L17" i="9" s="1"/>
  <c r="M17" i="9" s="1"/>
  <c r="G15" i="19"/>
  <c r="G18" i="26"/>
  <c r="G17" i="26"/>
  <c r="J17" i="26"/>
  <c r="B19" i="26"/>
  <c r="E19" i="26" s="1"/>
  <c r="C18" i="26"/>
  <c r="F18" i="26"/>
  <c r="J18" i="26" s="1"/>
  <c r="H18" i="26"/>
  <c r="I18" i="26" s="1"/>
  <c r="D18" i="26"/>
  <c r="J16" i="25"/>
  <c r="O16" i="25" s="1"/>
  <c r="P16" i="25" s="1"/>
  <c r="Q16" i="25" s="1"/>
  <c r="G16" i="25"/>
  <c r="B18" i="25"/>
  <c r="E18" i="25" s="1"/>
  <c r="C17" i="25"/>
  <c r="F17" i="25"/>
  <c r="H17" i="25"/>
  <c r="I17" i="25" s="1"/>
  <c r="D17" i="25"/>
  <c r="E17" i="25"/>
  <c r="I15" i="19"/>
  <c r="G15" i="18"/>
  <c r="G15" i="17"/>
  <c r="G15" i="42"/>
  <c r="I15" i="40"/>
  <c r="I17" i="4"/>
  <c r="J17" i="4" s="1"/>
  <c r="K17" i="4" s="1"/>
  <c r="L17" i="4" s="1"/>
  <c r="G15" i="40"/>
  <c r="I15" i="39"/>
  <c r="J15" i="39" s="1"/>
  <c r="K15" i="39" s="1"/>
  <c r="L15" i="39" s="1"/>
  <c r="M15" i="39" s="1"/>
  <c r="I15" i="42"/>
  <c r="I15" i="41"/>
  <c r="J15" i="41" s="1"/>
  <c r="I16" i="8"/>
  <c r="J16" i="8" s="1"/>
  <c r="K16" i="8" s="1"/>
  <c r="L16" i="8" s="1"/>
  <c r="M16" i="8" s="1"/>
  <c r="B17" i="39"/>
  <c r="E17" i="39" s="1"/>
  <c r="H16" i="39"/>
  <c r="F16" i="39"/>
  <c r="C16" i="39"/>
  <c r="D16" i="39"/>
  <c r="F16" i="40"/>
  <c r="B17" i="40"/>
  <c r="E17" i="40" s="1"/>
  <c r="H16" i="40"/>
  <c r="C16" i="40"/>
  <c r="D16" i="40"/>
  <c r="I15" i="18"/>
  <c r="F18" i="9"/>
  <c r="B19" i="9"/>
  <c r="E19" i="9" s="1"/>
  <c r="H18" i="9"/>
  <c r="D18" i="9"/>
  <c r="C18" i="9"/>
  <c r="F16" i="41"/>
  <c r="G16" i="41" s="1"/>
  <c r="B17" i="41"/>
  <c r="E17" i="41" s="1"/>
  <c r="H16" i="41"/>
  <c r="C16" i="41"/>
  <c r="D16" i="41"/>
  <c r="F16" i="19"/>
  <c r="G16" i="19" s="1"/>
  <c r="B17" i="19"/>
  <c r="E17" i="19" s="1"/>
  <c r="H16" i="19"/>
  <c r="D16" i="19"/>
  <c r="C16" i="19"/>
  <c r="E16" i="39"/>
  <c r="F16" i="17"/>
  <c r="G16" i="17" s="1"/>
  <c r="B17" i="17"/>
  <c r="E17" i="17" s="1"/>
  <c r="H16" i="17"/>
  <c r="C16" i="17"/>
  <c r="D16" i="17"/>
  <c r="E16" i="40"/>
  <c r="B17" i="42"/>
  <c r="E17" i="42" s="1"/>
  <c r="F16" i="42"/>
  <c r="G16" i="42" s="1"/>
  <c r="H16" i="42"/>
  <c r="D16" i="42"/>
  <c r="C16" i="42"/>
  <c r="E18" i="9"/>
  <c r="F18" i="4"/>
  <c r="G18" i="4" s="1"/>
  <c r="B19" i="4"/>
  <c r="E19" i="4" s="1"/>
  <c r="H18" i="4"/>
  <c r="D18" i="4"/>
  <c r="C18" i="4"/>
  <c r="F17" i="8"/>
  <c r="G17" i="8" s="1"/>
  <c r="B18" i="8"/>
  <c r="E18" i="8" s="1"/>
  <c r="H17" i="8"/>
  <c r="D17" i="8"/>
  <c r="C17" i="8"/>
  <c r="I15" i="17"/>
  <c r="B17" i="18"/>
  <c r="E17" i="18" s="1"/>
  <c r="H16" i="18"/>
  <c r="F16" i="18"/>
  <c r="G16" i="18" s="1"/>
  <c r="D16" i="18"/>
  <c r="C16" i="18"/>
  <c r="O13" i="26"/>
  <c r="P13" i="26" s="1"/>
  <c r="Q13" i="26" s="1"/>
  <c r="J15" i="40" l="1"/>
  <c r="K15" i="40" s="1"/>
  <c r="L15" i="40" s="1"/>
  <c r="M15" i="40" s="1"/>
  <c r="K15" i="41"/>
  <c r="L15" i="41" s="1"/>
  <c r="M15" i="41" s="1"/>
  <c r="M17" i="4"/>
  <c r="J15" i="19"/>
  <c r="K15" i="19" s="1"/>
  <c r="L15" i="19" s="1"/>
  <c r="M15" i="19" s="1"/>
  <c r="J15" i="42"/>
  <c r="K15" i="42" s="1"/>
  <c r="L15" i="42" s="1"/>
  <c r="M15" i="42" s="1"/>
  <c r="J15" i="17"/>
  <c r="K15" i="17" s="1"/>
  <c r="L15" i="17" s="1"/>
  <c r="M15" i="17" s="1"/>
  <c r="J15" i="18"/>
  <c r="K15" i="18" s="1"/>
  <c r="L15" i="18" s="1"/>
  <c r="M15" i="18" s="1"/>
  <c r="G19" i="26"/>
  <c r="F19" i="26"/>
  <c r="J19" i="26" s="1"/>
  <c r="H19" i="26"/>
  <c r="I19" i="26" s="1"/>
  <c r="D19" i="26"/>
  <c r="B20" i="26"/>
  <c r="C19" i="26"/>
  <c r="G17" i="25"/>
  <c r="J17" i="25"/>
  <c r="O17" i="25" s="1"/>
  <c r="P17" i="25" s="1"/>
  <c r="Q17" i="25" s="1"/>
  <c r="G18" i="25"/>
  <c r="F18" i="25"/>
  <c r="J18" i="25" s="1"/>
  <c r="H18" i="25"/>
  <c r="I18" i="25" s="1"/>
  <c r="D18" i="25"/>
  <c r="C18" i="25"/>
  <c r="B19" i="25"/>
  <c r="G16" i="39"/>
  <c r="G16" i="40"/>
  <c r="I16" i="39"/>
  <c r="G18" i="9"/>
  <c r="I18" i="9"/>
  <c r="I16" i="18"/>
  <c r="J16" i="18" s="1"/>
  <c r="I16" i="19"/>
  <c r="J16" i="19" s="1"/>
  <c r="I17" i="8"/>
  <c r="J17" i="8" s="1"/>
  <c r="K17" i="8" s="1"/>
  <c r="L17" i="8" s="1"/>
  <c r="M17" i="8" s="1"/>
  <c r="I16" i="41"/>
  <c r="J16" i="41" s="1"/>
  <c r="K16" i="41" s="1"/>
  <c r="L16" i="41" s="1"/>
  <c r="I16" i="40"/>
  <c r="I18" i="4"/>
  <c r="J18" i="4" s="1"/>
  <c r="K18" i="4" s="1"/>
  <c r="L18" i="4" s="1"/>
  <c r="M18" i="4" s="1"/>
  <c r="H17" i="18"/>
  <c r="F17" i="18"/>
  <c r="G17" i="18" s="1"/>
  <c r="B18" i="18"/>
  <c r="E18" i="18" s="1"/>
  <c r="D17" i="18"/>
  <c r="C17" i="18"/>
  <c r="I16" i="42"/>
  <c r="J16" i="42" s="1"/>
  <c r="I16" i="17"/>
  <c r="J16" i="17" s="1"/>
  <c r="H17" i="42"/>
  <c r="F17" i="42"/>
  <c r="G17" i="42" s="1"/>
  <c r="B18" i="42"/>
  <c r="E18" i="42" s="1"/>
  <c r="C17" i="42"/>
  <c r="D17" i="42"/>
  <c r="B18" i="41"/>
  <c r="H17" i="41"/>
  <c r="F17" i="41"/>
  <c r="G17" i="41" s="1"/>
  <c r="D17" i="41"/>
  <c r="C17" i="41"/>
  <c r="B18" i="40"/>
  <c r="E18" i="40" s="1"/>
  <c r="H17" i="40"/>
  <c r="F17" i="40"/>
  <c r="G17" i="40" s="1"/>
  <c r="D17" i="40"/>
  <c r="C17" i="40"/>
  <c r="H17" i="39"/>
  <c r="F17" i="39"/>
  <c r="G17" i="39" s="1"/>
  <c r="B18" i="39"/>
  <c r="E18" i="39" s="1"/>
  <c r="C17" i="39"/>
  <c r="D17" i="39"/>
  <c r="B18" i="17"/>
  <c r="H17" i="17"/>
  <c r="F17" i="17"/>
  <c r="G17" i="17" s="1"/>
  <c r="D17" i="17"/>
  <c r="C17" i="17"/>
  <c r="F17" i="19"/>
  <c r="G17" i="19" s="1"/>
  <c r="B18" i="19"/>
  <c r="H17" i="19"/>
  <c r="C17" i="19"/>
  <c r="D17" i="19"/>
  <c r="F19" i="9"/>
  <c r="G19" i="9" s="1"/>
  <c r="B20" i="9"/>
  <c r="E20" i="9" s="1"/>
  <c r="H19" i="9"/>
  <c r="D19" i="9"/>
  <c r="C19" i="9"/>
  <c r="B19" i="8"/>
  <c r="E19" i="8" s="1"/>
  <c r="H18" i="8"/>
  <c r="F18" i="8"/>
  <c r="G18" i="8" s="1"/>
  <c r="D18" i="8"/>
  <c r="C18" i="8"/>
  <c r="F19" i="4"/>
  <c r="G19" i="4" s="1"/>
  <c r="B20" i="4"/>
  <c r="E20" i="4" s="1"/>
  <c r="H19" i="4"/>
  <c r="D19" i="4"/>
  <c r="C19" i="4"/>
  <c r="O14" i="26"/>
  <c r="P14" i="26" s="1"/>
  <c r="Q14" i="26" s="1"/>
  <c r="K16" i="19" l="1"/>
  <c r="L16" i="19" s="1"/>
  <c r="M16" i="19" s="1"/>
  <c r="M16" i="41"/>
  <c r="K16" i="42"/>
  <c r="L16" i="42" s="1"/>
  <c r="M16" i="42" s="1"/>
  <c r="K16" i="17"/>
  <c r="L16" i="17" s="1"/>
  <c r="M16" i="17" s="1"/>
  <c r="K16" i="18"/>
  <c r="L16" i="18" s="1"/>
  <c r="M16" i="18" s="1"/>
  <c r="J16" i="40"/>
  <c r="K16" i="40" s="1"/>
  <c r="L16" i="40" s="1"/>
  <c r="M16" i="40" s="1"/>
  <c r="J16" i="39"/>
  <c r="K16" i="39" s="1"/>
  <c r="L16" i="39" s="1"/>
  <c r="M16" i="39" s="1"/>
  <c r="J18" i="9"/>
  <c r="K18" i="9" s="1"/>
  <c r="L18" i="9" s="1"/>
  <c r="M18" i="9" s="1"/>
  <c r="I17" i="42"/>
  <c r="J17" i="42" s="1"/>
  <c r="K17" i="42" s="1"/>
  <c r="L17" i="42" s="1"/>
  <c r="H20" i="26"/>
  <c r="I20" i="26" s="1"/>
  <c r="D20" i="26"/>
  <c r="B21" i="26"/>
  <c r="C20" i="26"/>
  <c r="F20" i="26"/>
  <c r="E20" i="26"/>
  <c r="O18" i="25"/>
  <c r="P18" i="25" s="1"/>
  <c r="Q18" i="25" s="1"/>
  <c r="C19" i="25"/>
  <c r="B20" i="25"/>
  <c r="H19" i="25"/>
  <c r="I19" i="25" s="1"/>
  <c r="D19" i="25"/>
  <c r="F19" i="25"/>
  <c r="E19" i="25"/>
  <c r="I17" i="41"/>
  <c r="J17" i="41" s="1"/>
  <c r="K17" i="41" s="1"/>
  <c r="L17" i="41" s="1"/>
  <c r="M17" i="41" s="1"/>
  <c r="I17" i="19"/>
  <c r="J17" i="19" s="1"/>
  <c r="K17" i="19" s="1"/>
  <c r="L17" i="19" s="1"/>
  <c r="I17" i="17"/>
  <c r="J17" i="17" s="1"/>
  <c r="K17" i="17" s="1"/>
  <c r="L17" i="17" s="1"/>
  <c r="I17" i="40"/>
  <c r="J17" i="40" s="1"/>
  <c r="I19" i="4"/>
  <c r="J19" i="4" s="1"/>
  <c r="K19" i="4" s="1"/>
  <c r="L19" i="4" s="1"/>
  <c r="M19" i="4" s="1"/>
  <c r="I17" i="39"/>
  <c r="J17" i="39" s="1"/>
  <c r="I18" i="8"/>
  <c r="J18" i="8" s="1"/>
  <c r="K18" i="8" s="1"/>
  <c r="L18" i="8" s="1"/>
  <c r="M18" i="8" s="1"/>
  <c r="H18" i="40"/>
  <c r="F18" i="40"/>
  <c r="G18" i="40" s="1"/>
  <c r="B19" i="40"/>
  <c r="C18" i="40"/>
  <c r="D18" i="40"/>
  <c r="F18" i="42"/>
  <c r="G18" i="42" s="1"/>
  <c r="B19" i="42"/>
  <c r="H18" i="42"/>
  <c r="C18" i="42"/>
  <c r="D18" i="42"/>
  <c r="I17" i="18"/>
  <c r="J17" i="18" s="1"/>
  <c r="K17" i="18" s="1"/>
  <c r="L17" i="18" s="1"/>
  <c r="B21" i="4"/>
  <c r="H20" i="4"/>
  <c r="F20" i="4"/>
  <c r="G20" i="4" s="1"/>
  <c r="C20" i="4"/>
  <c r="D20" i="4"/>
  <c r="B19" i="19"/>
  <c r="E19" i="19" s="1"/>
  <c r="H18" i="19"/>
  <c r="F18" i="19"/>
  <c r="D18" i="19"/>
  <c r="C18" i="19"/>
  <c r="H18" i="17"/>
  <c r="F18" i="17"/>
  <c r="B19" i="17"/>
  <c r="D18" i="17"/>
  <c r="C18" i="17"/>
  <c r="H18" i="41"/>
  <c r="F18" i="41"/>
  <c r="B19" i="41"/>
  <c r="D18" i="41"/>
  <c r="C18" i="41"/>
  <c r="H19" i="8"/>
  <c r="F19" i="8"/>
  <c r="G19" i="8" s="1"/>
  <c r="B20" i="8"/>
  <c r="E20" i="8" s="1"/>
  <c r="C19" i="8"/>
  <c r="D19" i="8"/>
  <c r="B21" i="9"/>
  <c r="E21" i="9" s="1"/>
  <c r="H20" i="9"/>
  <c r="F20" i="9"/>
  <c r="G20" i="9" s="1"/>
  <c r="C20" i="9"/>
  <c r="D20" i="9"/>
  <c r="F18" i="39"/>
  <c r="G18" i="39" s="1"/>
  <c r="B19" i="39"/>
  <c r="E19" i="39" s="1"/>
  <c r="H18" i="39"/>
  <c r="D18" i="39"/>
  <c r="C18" i="39"/>
  <c r="F18" i="18"/>
  <c r="G18" i="18" s="1"/>
  <c r="B19" i="18"/>
  <c r="E19" i="18" s="1"/>
  <c r="H18" i="18"/>
  <c r="D18" i="18"/>
  <c r="C18" i="18"/>
  <c r="I19" i="9"/>
  <c r="J19" i="9" s="1"/>
  <c r="E18" i="19"/>
  <c r="E18" i="17"/>
  <c r="E18" i="41"/>
  <c r="O15" i="26"/>
  <c r="P15" i="26" s="1"/>
  <c r="Q15" i="26" s="1"/>
  <c r="M17" i="19" l="1"/>
  <c r="M17" i="17"/>
  <c r="M17" i="42"/>
  <c r="K17" i="40"/>
  <c r="L17" i="40" s="1"/>
  <c r="M17" i="40" s="1"/>
  <c r="K17" i="39"/>
  <c r="L17" i="39" s="1"/>
  <c r="M17" i="39" s="1"/>
  <c r="K19" i="9"/>
  <c r="L19" i="9" s="1"/>
  <c r="M19" i="9" s="1"/>
  <c r="I18" i="17"/>
  <c r="G18" i="41"/>
  <c r="G20" i="26"/>
  <c r="J20" i="26"/>
  <c r="H21" i="26"/>
  <c r="I21" i="26" s="1"/>
  <c r="D21" i="26"/>
  <c r="B22" i="26"/>
  <c r="C21" i="26"/>
  <c r="E22" i="26"/>
  <c r="F21" i="26"/>
  <c r="E21" i="26"/>
  <c r="H20" i="25"/>
  <c r="I20" i="25" s="1"/>
  <c r="D20" i="25"/>
  <c r="F20" i="25"/>
  <c r="B21" i="25"/>
  <c r="C20" i="25"/>
  <c r="G19" i="25"/>
  <c r="J19" i="25"/>
  <c r="O19" i="25" s="1"/>
  <c r="P19" i="25" s="1"/>
  <c r="Q19" i="25" s="1"/>
  <c r="E20" i="25"/>
  <c r="I18" i="40"/>
  <c r="J18" i="40" s="1"/>
  <c r="K18" i="40" s="1"/>
  <c r="L18" i="40" s="1"/>
  <c r="G18" i="17"/>
  <c r="I18" i="19"/>
  <c r="I20" i="4"/>
  <c r="J20" i="4" s="1"/>
  <c r="K20" i="4" s="1"/>
  <c r="L20" i="4" s="1"/>
  <c r="M20" i="4" s="1"/>
  <c r="I18" i="41"/>
  <c r="G18" i="19"/>
  <c r="I19" i="8"/>
  <c r="J19" i="8" s="1"/>
  <c r="K19" i="8" s="1"/>
  <c r="L19" i="8" s="1"/>
  <c r="M19" i="8" s="1"/>
  <c r="I18" i="39"/>
  <c r="J18" i="39" s="1"/>
  <c r="K18" i="39" s="1"/>
  <c r="L18" i="39" s="1"/>
  <c r="I18" i="42"/>
  <c r="J18" i="42" s="1"/>
  <c r="K18" i="42" s="1"/>
  <c r="L18" i="42" s="1"/>
  <c r="M18" i="42" s="1"/>
  <c r="F19" i="41"/>
  <c r="B20" i="41"/>
  <c r="E20" i="41" s="1"/>
  <c r="H19" i="41"/>
  <c r="C19" i="41"/>
  <c r="D19" i="41"/>
  <c r="F19" i="17"/>
  <c r="B20" i="17"/>
  <c r="E20" i="17" s="1"/>
  <c r="H19" i="17"/>
  <c r="D19" i="17"/>
  <c r="C19" i="17"/>
  <c r="H21" i="4"/>
  <c r="F21" i="4"/>
  <c r="B22" i="4"/>
  <c r="E22" i="4" s="1"/>
  <c r="D21" i="4"/>
  <c r="C21" i="4"/>
  <c r="F19" i="40"/>
  <c r="B20" i="40"/>
  <c r="E20" i="40" s="1"/>
  <c r="H19" i="40"/>
  <c r="D19" i="40"/>
  <c r="C19" i="40"/>
  <c r="F20" i="8"/>
  <c r="G20" i="8" s="1"/>
  <c r="B21" i="8"/>
  <c r="E21" i="8" s="1"/>
  <c r="H20" i="8"/>
  <c r="C20" i="8"/>
  <c r="D20" i="8"/>
  <c r="H19" i="19"/>
  <c r="F19" i="19"/>
  <c r="G19" i="19" s="1"/>
  <c r="B20" i="19"/>
  <c r="E20" i="19" s="1"/>
  <c r="D19" i="19"/>
  <c r="C19" i="19"/>
  <c r="M17" i="18"/>
  <c r="F19" i="42"/>
  <c r="B20" i="42"/>
  <c r="E20" i="42" s="1"/>
  <c r="H19" i="42"/>
  <c r="D19" i="42"/>
  <c r="C19" i="42"/>
  <c r="F19" i="18"/>
  <c r="G19" i="18" s="1"/>
  <c r="B20" i="18"/>
  <c r="E20" i="18" s="1"/>
  <c r="H19" i="18"/>
  <c r="D19" i="18"/>
  <c r="C19" i="18"/>
  <c r="I18" i="18"/>
  <c r="J18" i="18" s="1"/>
  <c r="K18" i="18" s="1"/>
  <c r="L18" i="18" s="1"/>
  <c r="M18" i="18" s="1"/>
  <c r="F19" i="39"/>
  <c r="G19" i="39" s="1"/>
  <c r="B20" i="39"/>
  <c r="E20" i="39" s="1"/>
  <c r="H19" i="39"/>
  <c r="D19" i="39"/>
  <c r="C19" i="39"/>
  <c r="I20" i="9"/>
  <c r="J20" i="9" s="1"/>
  <c r="K20" i="9" s="1"/>
  <c r="L20" i="9" s="1"/>
  <c r="H21" i="9"/>
  <c r="F21" i="9"/>
  <c r="G21" i="9" s="1"/>
  <c r="B22" i="9"/>
  <c r="E22" i="9" s="1"/>
  <c r="D21" i="9"/>
  <c r="C21" i="9"/>
  <c r="E19" i="41"/>
  <c r="E19" i="17"/>
  <c r="E21" i="4"/>
  <c r="E19" i="42"/>
  <c r="E19" i="40"/>
  <c r="O16" i="26"/>
  <c r="P16" i="26" s="1"/>
  <c r="Q16" i="26" s="1"/>
  <c r="M18" i="40" l="1"/>
  <c r="M18" i="39"/>
  <c r="M20" i="9"/>
  <c r="J18" i="41"/>
  <c r="K18" i="41" s="1"/>
  <c r="L18" i="41" s="1"/>
  <c r="M18" i="41" s="1"/>
  <c r="J18" i="19"/>
  <c r="K18" i="19" s="1"/>
  <c r="L18" i="19" s="1"/>
  <c r="M18" i="19" s="1"/>
  <c r="J18" i="17"/>
  <c r="K18" i="17" s="1"/>
  <c r="L18" i="17" s="1"/>
  <c r="M18" i="17" s="1"/>
  <c r="I19" i="18"/>
  <c r="J19" i="18" s="1"/>
  <c r="K19" i="18" s="1"/>
  <c r="L19" i="18" s="1"/>
  <c r="M19" i="18" s="1"/>
  <c r="G22" i="26"/>
  <c r="G21" i="26"/>
  <c r="J21" i="26"/>
  <c r="B23" i="26"/>
  <c r="E23" i="26" s="1"/>
  <c r="C22" i="26"/>
  <c r="F22" i="26"/>
  <c r="J22" i="26" s="1"/>
  <c r="H22" i="26"/>
  <c r="I22" i="26" s="1"/>
  <c r="D22" i="26"/>
  <c r="J20" i="25"/>
  <c r="O20" i="25" s="1"/>
  <c r="P20" i="25" s="1"/>
  <c r="Q20" i="25" s="1"/>
  <c r="G20" i="25"/>
  <c r="B22" i="25"/>
  <c r="C21" i="25"/>
  <c r="F21" i="25"/>
  <c r="H21" i="25"/>
  <c r="I21" i="25" s="1"/>
  <c r="E22" i="25"/>
  <c r="D21" i="25"/>
  <c r="E21" i="25"/>
  <c r="G19" i="17"/>
  <c r="I19" i="40"/>
  <c r="G19" i="42"/>
  <c r="G19" i="41"/>
  <c r="I21" i="4"/>
  <c r="G21" i="4"/>
  <c r="G19" i="40"/>
  <c r="I20" i="8"/>
  <c r="J20" i="8" s="1"/>
  <c r="K20" i="8" s="1"/>
  <c r="L20" i="8" s="1"/>
  <c r="M20" i="8" s="1"/>
  <c r="I19" i="17"/>
  <c r="I19" i="39"/>
  <c r="J19" i="39" s="1"/>
  <c r="K19" i="39" s="1"/>
  <c r="L19" i="39" s="1"/>
  <c r="M19" i="39" s="1"/>
  <c r="I19" i="42"/>
  <c r="I21" i="9"/>
  <c r="J21" i="9" s="1"/>
  <c r="K21" i="9" s="1"/>
  <c r="L21" i="9" s="1"/>
  <c r="M21" i="9" s="1"/>
  <c r="F20" i="19"/>
  <c r="G20" i="19" s="1"/>
  <c r="B21" i="19"/>
  <c r="H20" i="19"/>
  <c r="D20" i="19"/>
  <c r="C20" i="19"/>
  <c r="I19" i="41"/>
  <c r="B21" i="42"/>
  <c r="E21" i="42" s="1"/>
  <c r="F20" i="42"/>
  <c r="G20" i="42" s="1"/>
  <c r="H20" i="42"/>
  <c r="D20" i="42"/>
  <c r="C20" i="42"/>
  <c r="F21" i="8"/>
  <c r="G21" i="8" s="1"/>
  <c r="B22" i="8"/>
  <c r="E22" i="8" s="1"/>
  <c r="H21" i="8"/>
  <c r="C21" i="8"/>
  <c r="D21" i="8"/>
  <c r="F20" i="40"/>
  <c r="G20" i="40" s="1"/>
  <c r="B21" i="40"/>
  <c r="E21" i="40" s="1"/>
  <c r="H20" i="40"/>
  <c r="D20" i="40"/>
  <c r="C20" i="40"/>
  <c r="B21" i="39"/>
  <c r="E21" i="39" s="1"/>
  <c r="H20" i="39"/>
  <c r="F20" i="39"/>
  <c r="G20" i="39" s="1"/>
  <c r="C20" i="39"/>
  <c r="D20" i="39"/>
  <c r="B21" i="18"/>
  <c r="E21" i="18" s="1"/>
  <c r="H20" i="18"/>
  <c r="F20" i="18"/>
  <c r="G20" i="18" s="1"/>
  <c r="C20" i="18"/>
  <c r="D20" i="18"/>
  <c r="I19" i="19"/>
  <c r="J19" i="19" s="1"/>
  <c r="F20" i="41"/>
  <c r="G20" i="41" s="1"/>
  <c r="B21" i="41"/>
  <c r="E21" i="41" s="1"/>
  <c r="H20" i="41"/>
  <c r="C20" i="41"/>
  <c r="D20" i="41"/>
  <c r="F22" i="9"/>
  <c r="G22" i="9" s="1"/>
  <c r="B23" i="9"/>
  <c r="H22" i="9"/>
  <c r="D22" i="9"/>
  <c r="C22" i="9"/>
  <c r="F22" i="4"/>
  <c r="G22" i="4" s="1"/>
  <c r="B23" i="4"/>
  <c r="H22" i="4"/>
  <c r="D22" i="4"/>
  <c r="C22" i="4"/>
  <c r="F20" i="17"/>
  <c r="G20" i="17" s="1"/>
  <c r="B21" i="17"/>
  <c r="H20" i="17"/>
  <c r="D20" i="17"/>
  <c r="C20" i="17"/>
  <c r="O17" i="26"/>
  <c r="P17" i="26" s="1"/>
  <c r="Q17" i="26" s="1"/>
  <c r="J19" i="17" l="1"/>
  <c r="K19" i="17" s="1"/>
  <c r="L19" i="17" s="1"/>
  <c r="M19" i="17" s="1"/>
  <c r="K19" i="19"/>
  <c r="L19" i="19" s="1"/>
  <c r="M19" i="19" s="1"/>
  <c r="J19" i="40"/>
  <c r="K19" i="40" s="1"/>
  <c r="L19" i="40" s="1"/>
  <c r="M19" i="40" s="1"/>
  <c r="J19" i="42"/>
  <c r="K19" i="42" s="1"/>
  <c r="L19" i="42" s="1"/>
  <c r="M19" i="42" s="1"/>
  <c r="J19" i="41"/>
  <c r="K19" i="41" s="1"/>
  <c r="L19" i="41" s="1"/>
  <c r="M19" i="41" s="1"/>
  <c r="J21" i="4"/>
  <c r="K21" i="4" s="1"/>
  <c r="L21" i="4" s="1"/>
  <c r="M21" i="4" s="1"/>
  <c r="G23" i="26"/>
  <c r="F23" i="26"/>
  <c r="J23" i="26" s="1"/>
  <c r="H23" i="26"/>
  <c r="I23" i="26" s="1"/>
  <c r="D23" i="26"/>
  <c r="B24" i="26"/>
  <c r="C23" i="26"/>
  <c r="G21" i="25"/>
  <c r="J21" i="25"/>
  <c r="O21" i="25" s="1"/>
  <c r="P21" i="25" s="1"/>
  <c r="Q21" i="25" s="1"/>
  <c r="G22" i="25"/>
  <c r="F22" i="25"/>
  <c r="J22" i="25" s="1"/>
  <c r="H22" i="25"/>
  <c r="I22" i="25" s="1"/>
  <c r="D22" i="25"/>
  <c r="C22" i="25"/>
  <c r="B23" i="25"/>
  <c r="I20" i="41"/>
  <c r="J20" i="41" s="1"/>
  <c r="I20" i="39"/>
  <c r="J20" i="39" s="1"/>
  <c r="K20" i="39" s="1"/>
  <c r="L20" i="39" s="1"/>
  <c r="M20" i="39" s="1"/>
  <c r="I21" i="8"/>
  <c r="J21" i="8" s="1"/>
  <c r="K21" i="8" s="1"/>
  <c r="L21" i="8" s="1"/>
  <c r="M21" i="8" s="1"/>
  <c r="I20" i="18"/>
  <c r="J20" i="18" s="1"/>
  <c r="K20" i="18" s="1"/>
  <c r="L20" i="18" s="1"/>
  <c r="M20" i="18" s="1"/>
  <c r="I22" i="4"/>
  <c r="J22" i="4" s="1"/>
  <c r="F23" i="4"/>
  <c r="B24" i="4"/>
  <c r="E24" i="4" s="1"/>
  <c r="H23" i="4"/>
  <c r="D23" i="4"/>
  <c r="C23" i="4"/>
  <c r="F21" i="19"/>
  <c r="B22" i="19"/>
  <c r="H21" i="19"/>
  <c r="D21" i="19"/>
  <c r="C21" i="19"/>
  <c r="F23" i="9"/>
  <c r="B24" i="9"/>
  <c r="E24" i="9" s="1"/>
  <c r="H23" i="9"/>
  <c r="C23" i="9"/>
  <c r="D23" i="9"/>
  <c r="H21" i="39"/>
  <c r="F21" i="39"/>
  <c r="G21" i="39" s="1"/>
  <c r="B22" i="39"/>
  <c r="E22" i="39" s="1"/>
  <c r="D21" i="39"/>
  <c r="C21" i="39"/>
  <c r="B22" i="40"/>
  <c r="E22" i="40" s="1"/>
  <c r="H21" i="40"/>
  <c r="F21" i="40"/>
  <c r="G21" i="40" s="1"/>
  <c r="C21" i="40"/>
  <c r="D21" i="40"/>
  <c r="I20" i="19"/>
  <c r="J20" i="19" s="1"/>
  <c r="K20" i="19" s="1"/>
  <c r="L20" i="19" s="1"/>
  <c r="B22" i="17"/>
  <c r="E22" i="17" s="1"/>
  <c r="H21" i="17"/>
  <c r="F21" i="17"/>
  <c r="C21" i="17"/>
  <c r="D21" i="17"/>
  <c r="I20" i="17"/>
  <c r="J20" i="17" s="1"/>
  <c r="E23" i="4"/>
  <c r="I22" i="9"/>
  <c r="J22" i="9" s="1"/>
  <c r="K22" i="9" s="1"/>
  <c r="L22" i="9" s="1"/>
  <c r="M22" i="9" s="1"/>
  <c r="I20" i="40"/>
  <c r="J20" i="40" s="1"/>
  <c r="I20" i="42"/>
  <c r="J20" i="42" s="1"/>
  <c r="E21" i="19"/>
  <c r="E21" i="17"/>
  <c r="E23" i="9"/>
  <c r="B22" i="41"/>
  <c r="E22" i="41" s="1"/>
  <c r="H21" i="41"/>
  <c r="F21" i="41"/>
  <c r="G21" i="41" s="1"/>
  <c r="C21" i="41"/>
  <c r="D21" i="41"/>
  <c r="H21" i="18"/>
  <c r="F21" i="18"/>
  <c r="G21" i="18" s="1"/>
  <c r="B22" i="18"/>
  <c r="E22" i="18" s="1"/>
  <c r="D21" i="18"/>
  <c r="C21" i="18"/>
  <c r="B23" i="8"/>
  <c r="E23" i="8" s="1"/>
  <c r="H22" i="8"/>
  <c r="F22" i="8"/>
  <c r="G22" i="8" s="1"/>
  <c r="C22" i="8"/>
  <c r="D22" i="8"/>
  <c r="H21" i="42"/>
  <c r="F21" i="42"/>
  <c r="G21" i="42" s="1"/>
  <c r="B22" i="42"/>
  <c r="D21" i="42"/>
  <c r="C21" i="42"/>
  <c r="O18" i="26"/>
  <c r="P18" i="26" s="1"/>
  <c r="Q18" i="26" s="1"/>
  <c r="K20" i="17" l="1"/>
  <c r="L20" i="17" s="1"/>
  <c r="M20" i="17" s="1"/>
  <c r="K20" i="41"/>
  <c r="L20" i="41" s="1"/>
  <c r="M20" i="41" s="1"/>
  <c r="K20" i="42"/>
  <c r="L20" i="42" s="1"/>
  <c r="M20" i="42" s="1"/>
  <c r="M20" i="19"/>
  <c r="K20" i="40"/>
  <c r="L20" i="40" s="1"/>
  <c r="M20" i="40" s="1"/>
  <c r="K22" i="4"/>
  <c r="L22" i="4" s="1"/>
  <c r="M22" i="4" s="1"/>
  <c r="G21" i="19"/>
  <c r="I21" i="42"/>
  <c r="J21" i="42" s="1"/>
  <c r="K21" i="42" s="1"/>
  <c r="L21" i="42" s="1"/>
  <c r="H24" i="26"/>
  <c r="I24" i="26" s="1"/>
  <c r="D24" i="26"/>
  <c r="B25" i="26"/>
  <c r="C24" i="26"/>
  <c r="F24" i="26"/>
  <c r="E24" i="26"/>
  <c r="O22" i="25"/>
  <c r="P22" i="25" s="1"/>
  <c r="Q22" i="25" s="1"/>
  <c r="C23" i="25"/>
  <c r="B24" i="25"/>
  <c r="H23" i="25"/>
  <c r="I23" i="25" s="1"/>
  <c r="D23" i="25"/>
  <c r="F23" i="25"/>
  <c r="E23" i="25"/>
  <c r="I21" i="18"/>
  <c r="J21" i="18" s="1"/>
  <c r="K21" i="18" s="1"/>
  <c r="L21" i="18" s="1"/>
  <c r="M21" i="18" s="1"/>
  <c r="G23" i="9"/>
  <c r="G23" i="4"/>
  <c r="I21" i="40"/>
  <c r="J21" i="40" s="1"/>
  <c r="K21" i="40" s="1"/>
  <c r="L21" i="40" s="1"/>
  <c r="I23" i="4"/>
  <c r="I21" i="41"/>
  <c r="J21" i="41" s="1"/>
  <c r="K21" i="41" s="1"/>
  <c r="L21" i="41" s="1"/>
  <c r="H22" i="41"/>
  <c r="F22" i="41"/>
  <c r="G22" i="41" s="1"/>
  <c r="B23" i="41"/>
  <c r="E23" i="41" s="1"/>
  <c r="D22" i="41"/>
  <c r="C22" i="41"/>
  <c r="I21" i="17"/>
  <c r="H22" i="17"/>
  <c r="F22" i="17"/>
  <c r="G22" i="17" s="1"/>
  <c r="B23" i="17"/>
  <c r="D22" i="17"/>
  <c r="C22" i="17"/>
  <c r="I21" i="39"/>
  <c r="J21" i="39" s="1"/>
  <c r="K21" i="39" s="1"/>
  <c r="L21" i="39" s="1"/>
  <c r="M21" i="39" s="1"/>
  <c r="I23" i="9"/>
  <c r="B23" i="19"/>
  <c r="E23" i="19" s="1"/>
  <c r="H22" i="19"/>
  <c r="F22" i="19"/>
  <c r="C22" i="19"/>
  <c r="D22" i="19"/>
  <c r="H22" i="42"/>
  <c r="F22" i="42"/>
  <c r="B23" i="42"/>
  <c r="C22" i="42"/>
  <c r="D22" i="42"/>
  <c r="I21" i="19"/>
  <c r="E22" i="42"/>
  <c r="I22" i="8"/>
  <c r="J22" i="8" s="1"/>
  <c r="K22" i="8" s="1"/>
  <c r="L22" i="8" s="1"/>
  <c r="M22" i="8" s="1"/>
  <c r="H23" i="8"/>
  <c r="F23" i="8"/>
  <c r="G23" i="8" s="1"/>
  <c r="B24" i="8"/>
  <c r="E24" i="8" s="1"/>
  <c r="C23" i="8"/>
  <c r="D23" i="8"/>
  <c r="G21" i="17"/>
  <c r="F22" i="39"/>
  <c r="G22" i="39" s="1"/>
  <c r="B23" i="39"/>
  <c r="E23" i="39" s="1"/>
  <c r="H22" i="39"/>
  <c r="D22" i="39"/>
  <c r="C22" i="39"/>
  <c r="B25" i="9"/>
  <c r="E25" i="9" s="1"/>
  <c r="H24" i="9"/>
  <c r="F24" i="9"/>
  <c r="G24" i="9" s="1"/>
  <c r="D24" i="9"/>
  <c r="C24" i="9"/>
  <c r="E22" i="19"/>
  <c r="F22" i="18"/>
  <c r="G22" i="18" s="1"/>
  <c r="B23" i="18"/>
  <c r="E23" i="18" s="1"/>
  <c r="H22" i="18"/>
  <c r="D22" i="18"/>
  <c r="C22" i="18"/>
  <c r="H22" i="40"/>
  <c r="F22" i="40"/>
  <c r="G22" i="40" s="1"/>
  <c r="B23" i="40"/>
  <c r="E23" i="40" s="1"/>
  <c r="D22" i="40"/>
  <c r="C22" i="40"/>
  <c r="B25" i="4"/>
  <c r="E25" i="4" s="1"/>
  <c r="H24" i="4"/>
  <c r="F24" i="4"/>
  <c r="G24" i="4" s="1"/>
  <c r="D24" i="4"/>
  <c r="C24" i="4"/>
  <c r="O19" i="26"/>
  <c r="P19" i="26" s="1"/>
  <c r="Q19" i="26" s="1"/>
  <c r="J21" i="19" l="1"/>
  <c r="K21" i="19" s="1"/>
  <c r="L21" i="19" s="1"/>
  <c r="M21" i="19" s="1"/>
  <c r="M21" i="41"/>
  <c r="M21" i="42"/>
  <c r="M21" i="40"/>
  <c r="J21" i="17"/>
  <c r="K21" i="17" s="1"/>
  <c r="L21" i="17" s="1"/>
  <c r="M21" i="17" s="1"/>
  <c r="J23" i="9"/>
  <c r="K23" i="9" s="1"/>
  <c r="L23" i="9" s="1"/>
  <c r="M23" i="9" s="1"/>
  <c r="J23" i="4"/>
  <c r="K23" i="4" s="1"/>
  <c r="L23" i="4" s="1"/>
  <c r="M23" i="4" s="1"/>
  <c r="I22" i="41"/>
  <c r="J22" i="41" s="1"/>
  <c r="K22" i="41" s="1"/>
  <c r="L22" i="41" s="1"/>
  <c r="M22" i="41" s="1"/>
  <c r="I22" i="40"/>
  <c r="J22" i="40" s="1"/>
  <c r="K22" i="40" s="1"/>
  <c r="L22" i="40" s="1"/>
  <c r="M22" i="40" s="1"/>
  <c r="G22" i="19"/>
  <c r="G22" i="42"/>
  <c r="G24" i="26"/>
  <c r="J24" i="26"/>
  <c r="H25" i="26"/>
  <c r="I25" i="26" s="1"/>
  <c r="D25" i="26"/>
  <c r="B26" i="26"/>
  <c r="E26" i="26" s="1"/>
  <c r="C25" i="26"/>
  <c r="F25" i="26"/>
  <c r="E25" i="26"/>
  <c r="H24" i="25"/>
  <c r="I24" i="25" s="1"/>
  <c r="D24" i="25"/>
  <c r="F24" i="25"/>
  <c r="B25" i="25"/>
  <c r="C24" i="25"/>
  <c r="G23" i="25"/>
  <c r="J23" i="25"/>
  <c r="O23" i="25" s="1"/>
  <c r="P23" i="25" s="1"/>
  <c r="Q23" i="25" s="1"/>
  <c r="E24" i="25"/>
  <c r="I23" i="8"/>
  <c r="J23" i="8" s="1"/>
  <c r="K23" i="8" s="1"/>
  <c r="L23" i="8" s="1"/>
  <c r="M23" i="8" s="1"/>
  <c r="I24" i="9"/>
  <c r="J24" i="9" s="1"/>
  <c r="I22" i="39"/>
  <c r="J22" i="39" s="1"/>
  <c r="K22" i="39" s="1"/>
  <c r="L22" i="39" s="1"/>
  <c r="M22" i="39" s="1"/>
  <c r="I22" i="19"/>
  <c r="I24" i="4"/>
  <c r="J24" i="4" s="1"/>
  <c r="I22" i="18"/>
  <c r="J22" i="18" s="1"/>
  <c r="K22" i="18" s="1"/>
  <c r="L22" i="18" s="1"/>
  <c r="M22" i="18" s="1"/>
  <c r="I22" i="42"/>
  <c r="F23" i="42"/>
  <c r="H23" i="42"/>
  <c r="B24" i="42"/>
  <c r="E24" i="42" s="1"/>
  <c r="C23" i="42"/>
  <c r="D23" i="42"/>
  <c r="F23" i="17"/>
  <c r="B24" i="17"/>
  <c r="E24" i="17" s="1"/>
  <c r="H23" i="17"/>
  <c r="D23" i="17"/>
  <c r="C23" i="17"/>
  <c r="E23" i="42"/>
  <c r="H25" i="4"/>
  <c r="F25" i="4"/>
  <c r="G25" i="4" s="1"/>
  <c r="B26" i="4"/>
  <c r="E26" i="4" s="1"/>
  <c r="C25" i="4"/>
  <c r="D25" i="4"/>
  <c r="F23" i="18"/>
  <c r="G23" i="18" s="1"/>
  <c r="B24" i="18"/>
  <c r="E24" i="18" s="1"/>
  <c r="H23" i="18"/>
  <c r="D23" i="18"/>
  <c r="C23" i="18"/>
  <c r="H25" i="9"/>
  <c r="F25" i="9"/>
  <c r="G25" i="9" s="1"/>
  <c r="B26" i="9"/>
  <c r="E26" i="9" s="1"/>
  <c r="C25" i="9"/>
  <c r="D25" i="9"/>
  <c r="F23" i="39"/>
  <c r="G23" i="39" s="1"/>
  <c r="B24" i="39"/>
  <c r="H23" i="39"/>
  <c r="C23" i="39"/>
  <c r="D23" i="39"/>
  <c r="I22" i="17"/>
  <c r="J22" i="17" s="1"/>
  <c r="E23" i="17"/>
  <c r="F23" i="40"/>
  <c r="G23" i="40" s="1"/>
  <c r="B24" i="40"/>
  <c r="E24" i="40" s="1"/>
  <c r="H23" i="40"/>
  <c r="C23" i="40"/>
  <c r="D23" i="40"/>
  <c r="F24" i="8"/>
  <c r="G24" i="8" s="1"/>
  <c r="B25" i="8"/>
  <c r="E25" i="8" s="1"/>
  <c r="H24" i="8"/>
  <c r="D24" i="8"/>
  <c r="C24" i="8"/>
  <c r="H23" i="19"/>
  <c r="F23" i="19"/>
  <c r="G23" i="19" s="1"/>
  <c r="B24" i="19"/>
  <c r="E24" i="19" s="1"/>
  <c r="D23" i="19"/>
  <c r="C23" i="19"/>
  <c r="F23" i="41"/>
  <c r="G23" i="41" s="1"/>
  <c r="B24" i="41"/>
  <c r="E24" i="41" s="1"/>
  <c r="H23" i="41"/>
  <c r="D23" i="41"/>
  <c r="C23" i="41"/>
  <c r="O20" i="26"/>
  <c r="P20" i="26" s="1"/>
  <c r="Q20" i="26" s="1"/>
  <c r="K22" i="17" l="1"/>
  <c r="L22" i="17" s="1"/>
  <c r="M22" i="17" s="1"/>
  <c r="J22" i="19"/>
  <c r="K22" i="19" s="1"/>
  <c r="L22" i="19" s="1"/>
  <c r="M22" i="19" s="1"/>
  <c r="J22" i="42"/>
  <c r="K22" i="42" s="1"/>
  <c r="L22" i="42" s="1"/>
  <c r="M22" i="42" s="1"/>
  <c r="K24" i="9"/>
  <c r="L24" i="9" s="1"/>
  <c r="M24" i="9" s="1"/>
  <c r="K24" i="4"/>
  <c r="L24" i="4" s="1"/>
  <c r="M24" i="4" s="1"/>
  <c r="G23" i="42"/>
  <c r="G26" i="26"/>
  <c r="G25" i="26"/>
  <c r="J25" i="26"/>
  <c r="B27" i="26"/>
  <c r="E27" i="26" s="1"/>
  <c r="C26" i="26"/>
  <c r="F26" i="26"/>
  <c r="J26" i="26" s="1"/>
  <c r="H26" i="26"/>
  <c r="I26" i="26" s="1"/>
  <c r="D26" i="26"/>
  <c r="J24" i="25"/>
  <c r="O24" i="25" s="1"/>
  <c r="P24" i="25" s="1"/>
  <c r="Q24" i="25" s="1"/>
  <c r="G24" i="25"/>
  <c r="B26" i="25"/>
  <c r="E26" i="25" s="1"/>
  <c r="C25" i="25"/>
  <c r="F25" i="25"/>
  <c r="H25" i="25"/>
  <c r="I25" i="25" s="1"/>
  <c r="D25" i="25"/>
  <c r="E25" i="25"/>
  <c r="I23" i="17"/>
  <c r="I25" i="4"/>
  <c r="J25" i="4" s="1"/>
  <c r="K25" i="4" s="1"/>
  <c r="L25" i="4" s="1"/>
  <c r="I25" i="9"/>
  <c r="J25" i="9" s="1"/>
  <c r="K25" i="9" s="1"/>
  <c r="L25" i="9" s="1"/>
  <c r="I23" i="40"/>
  <c r="J23" i="40" s="1"/>
  <c r="K23" i="40" s="1"/>
  <c r="L23" i="40" s="1"/>
  <c r="M23" i="40" s="1"/>
  <c r="G23" i="17"/>
  <c r="I24" i="8"/>
  <c r="J24" i="8" s="1"/>
  <c r="K24" i="8" s="1"/>
  <c r="L24" i="8" s="1"/>
  <c r="M24" i="8" s="1"/>
  <c r="I23" i="19"/>
  <c r="J23" i="19" s="1"/>
  <c r="I23" i="39"/>
  <c r="J23" i="39" s="1"/>
  <c r="K23" i="39" s="1"/>
  <c r="L23" i="39" s="1"/>
  <c r="M23" i="39" s="1"/>
  <c r="I23" i="41"/>
  <c r="J23" i="41" s="1"/>
  <c r="K23" i="41" s="1"/>
  <c r="L23" i="41" s="1"/>
  <c r="M23" i="41" s="1"/>
  <c r="F24" i="19"/>
  <c r="G24" i="19" s="1"/>
  <c r="B25" i="19"/>
  <c r="E25" i="19" s="1"/>
  <c r="H24" i="19"/>
  <c r="D24" i="19"/>
  <c r="C24" i="19"/>
  <c r="F25" i="8"/>
  <c r="G25" i="8" s="1"/>
  <c r="B26" i="8"/>
  <c r="E26" i="8" s="1"/>
  <c r="H25" i="8"/>
  <c r="C25" i="8"/>
  <c r="D25" i="8"/>
  <c r="F24" i="40"/>
  <c r="G24" i="40" s="1"/>
  <c r="B25" i="40"/>
  <c r="E25" i="40" s="1"/>
  <c r="H24" i="40"/>
  <c r="C24" i="40"/>
  <c r="D24" i="40"/>
  <c r="F26" i="4"/>
  <c r="G26" i="4" s="1"/>
  <c r="B27" i="4"/>
  <c r="E27" i="4" s="1"/>
  <c r="H26" i="4"/>
  <c r="D26" i="4"/>
  <c r="C26" i="4"/>
  <c r="F24" i="17"/>
  <c r="G24" i="17" s="1"/>
  <c r="B25" i="17"/>
  <c r="E25" i="17" s="1"/>
  <c r="H24" i="17"/>
  <c r="C24" i="17"/>
  <c r="D24" i="17"/>
  <c r="I23" i="42"/>
  <c r="B25" i="39"/>
  <c r="H24" i="39"/>
  <c r="F24" i="39"/>
  <c r="D24" i="39"/>
  <c r="C24" i="39"/>
  <c r="B25" i="42"/>
  <c r="E25" i="42" s="1"/>
  <c r="H24" i="42"/>
  <c r="F24" i="42"/>
  <c r="G24" i="42" s="1"/>
  <c r="C24" i="42"/>
  <c r="D24" i="42"/>
  <c r="F26" i="9"/>
  <c r="G26" i="9" s="1"/>
  <c r="B27" i="9"/>
  <c r="E27" i="9" s="1"/>
  <c r="H26" i="9"/>
  <c r="C26" i="9"/>
  <c r="D26" i="9"/>
  <c r="B25" i="18"/>
  <c r="E25" i="18" s="1"/>
  <c r="H24" i="18"/>
  <c r="F24" i="18"/>
  <c r="G24" i="18" s="1"/>
  <c r="C24" i="18"/>
  <c r="D24" i="18"/>
  <c r="F24" i="41"/>
  <c r="G24" i="41" s="1"/>
  <c r="B25" i="41"/>
  <c r="E25" i="41" s="1"/>
  <c r="H24" i="41"/>
  <c r="D24" i="41"/>
  <c r="C24" i="41"/>
  <c r="E24" i="39"/>
  <c r="I23" i="18"/>
  <c r="J23" i="18" s="1"/>
  <c r="K23" i="18" s="1"/>
  <c r="L23" i="18" s="1"/>
  <c r="M23" i="18" s="1"/>
  <c r="O21" i="26"/>
  <c r="P21" i="26" s="1"/>
  <c r="Q21" i="26" s="1"/>
  <c r="K23" i="19" l="1"/>
  <c r="L23" i="19" s="1"/>
  <c r="M23" i="19" s="1"/>
  <c r="J23" i="42"/>
  <c r="K23" i="42" s="1"/>
  <c r="L23" i="42" s="1"/>
  <c r="M23" i="42" s="1"/>
  <c r="M25" i="9"/>
  <c r="M25" i="4"/>
  <c r="J23" i="17"/>
  <c r="K23" i="17" s="1"/>
  <c r="L23" i="17" s="1"/>
  <c r="M23" i="17" s="1"/>
  <c r="G24" i="39"/>
  <c r="G27" i="26"/>
  <c r="F27" i="26"/>
  <c r="J27" i="26" s="1"/>
  <c r="H27" i="26"/>
  <c r="I27" i="26" s="1"/>
  <c r="D27" i="26"/>
  <c r="B28" i="26"/>
  <c r="C27" i="26"/>
  <c r="G25" i="25"/>
  <c r="J25" i="25"/>
  <c r="O25" i="25" s="1"/>
  <c r="P25" i="25" s="1"/>
  <c r="Q25" i="25" s="1"/>
  <c r="G26" i="25"/>
  <c r="F26" i="25"/>
  <c r="J26" i="25" s="1"/>
  <c r="B27" i="25"/>
  <c r="H26" i="25"/>
  <c r="I26" i="25" s="1"/>
  <c r="D26" i="25"/>
  <c r="C26" i="25"/>
  <c r="I26" i="4"/>
  <c r="J26" i="4" s="1"/>
  <c r="K26" i="4" s="1"/>
  <c r="L26" i="4" s="1"/>
  <c r="M26" i="4" s="1"/>
  <c r="I26" i="9"/>
  <c r="J26" i="9" s="1"/>
  <c r="K26" i="9" s="1"/>
  <c r="L26" i="9" s="1"/>
  <c r="M26" i="9" s="1"/>
  <c r="I24" i="39"/>
  <c r="I24" i="41"/>
  <c r="J24" i="41" s="1"/>
  <c r="K24" i="41" s="1"/>
  <c r="L24" i="41" s="1"/>
  <c r="M24" i="41" s="1"/>
  <c r="B26" i="41"/>
  <c r="E26" i="41" s="1"/>
  <c r="H25" i="41"/>
  <c r="F25" i="41"/>
  <c r="G25" i="41" s="1"/>
  <c r="D25" i="41"/>
  <c r="C25" i="41"/>
  <c r="B26" i="17"/>
  <c r="E26" i="17" s="1"/>
  <c r="H25" i="17"/>
  <c r="F25" i="17"/>
  <c r="G25" i="17" s="1"/>
  <c r="C25" i="17"/>
  <c r="D25" i="17"/>
  <c r="F27" i="4"/>
  <c r="G27" i="4" s="1"/>
  <c r="B28" i="4"/>
  <c r="E28" i="4" s="1"/>
  <c r="H27" i="4"/>
  <c r="D27" i="4"/>
  <c r="C27" i="4"/>
  <c r="I24" i="40"/>
  <c r="J24" i="40" s="1"/>
  <c r="K24" i="40" s="1"/>
  <c r="L24" i="40" s="1"/>
  <c r="M24" i="40" s="1"/>
  <c r="B27" i="8"/>
  <c r="E27" i="8" s="1"/>
  <c r="H26" i="8"/>
  <c r="F26" i="8"/>
  <c r="G26" i="8" s="1"/>
  <c r="C26" i="8"/>
  <c r="D26" i="8"/>
  <c r="H25" i="39"/>
  <c r="F25" i="39"/>
  <c r="B26" i="39"/>
  <c r="E26" i="39" s="1"/>
  <c r="D25" i="39"/>
  <c r="C25" i="39"/>
  <c r="I24" i="18"/>
  <c r="J24" i="18" s="1"/>
  <c r="K24" i="18" s="1"/>
  <c r="L24" i="18" s="1"/>
  <c r="M24" i="18" s="1"/>
  <c r="H25" i="18"/>
  <c r="F25" i="18"/>
  <c r="G25" i="18" s="1"/>
  <c r="B26" i="18"/>
  <c r="D25" i="18"/>
  <c r="C25" i="18"/>
  <c r="I24" i="42"/>
  <c r="J24" i="42" s="1"/>
  <c r="H25" i="42"/>
  <c r="B26" i="42"/>
  <c r="E26" i="42" s="1"/>
  <c r="F25" i="42"/>
  <c r="G25" i="42" s="1"/>
  <c r="D25" i="42"/>
  <c r="C25" i="42"/>
  <c r="I24" i="17"/>
  <c r="J24" i="17" s="1"/>
  <c r="B26" i="40"/>
  <c r="H25" i="40"/>
  <c r="F25" i="40"/>
  <c r="G25" i="40" s="1"/>
  <c r="D25" i="40"/>
  <c r="C25" i="40"/>
  <c r="I25" i="8"/>
  <c r="J25" i="8" s="1"/>
  <c r="K25" i="8" s="1"/>
  <c r="L25" i="8" s="1"/>
  <c r="M25" i="8" s="1"/>
  <c r="F25" i="19"/>
  <c r="G25" i="19" s="1"/>
  <c r="B26" i="19"/>
  <c r="H25" i="19"/>
  <c r="D25" i="19"/>
  <c r="C25" i="19"/>
  <c r="F27" i="9"/>
  <c r="G27" i="9" s="1"/>
  <c r="B28" i="9"/>
  <c r="E28" i="9" s="1"/>
  <c r="H27" i="9"/>
  <c r="D27" i="9"/>
  <c r="C27" i="9"/>
  <c r="E25" i="39"/>
  <c r="I24" i="19"/>
  <c r="J24" i="19" s="1"/>
  <c r="K24" i="19" s="1"/>
  <c r="L24" i="19" s="1"/>
  <c r="O22" i="26"/>
  <c r="P22" i="26" s="1"/>
  <c r="Q22" i="26" s="1"/>
  <c r="M24" i="19" l="1"/>
  <c r="K24" i="42"/>
  <c r="L24" i="42" s="1"/>
  <c r="M24" i="42" s="1"/>
  <c r="K24" i="17"/>
  <c r="L24" i="17" s="1"/>
  <c r="M24" i="17" s="1"/>
  <c r="J24" i="39"/>
  <c r="K24" i="39" s="1"/>
  <c r="L24" i="39" s="1"/>
  <c r="M24" i="39" s="1"/>
  <c r="I25" i="18"/>
  <c r="J25" i="18" s="1"/>
  <c r="K25" i="18" s="1"/>
  <c r="L25" i="18" s="1"/>
  <c r="M25" i="18" s="1"/>
  <c r="G25" i="39"/>
  <c r="H28" i="26"/>
  <c r="I28" i="26" s="1"/>
  <c r="D28" i="26"/>
  <c r="B29" i="26"/>
  <c r="C28" i="26"/>
  <c r="F28" i="26"/>
  <c r="E28" i="26"/>
  <c r="O26" i="25"/>
  <c r="P26" i="25" s="1"/>
  <c r="Q26" i="25" s="1"/>
  <c r="C27" i="25"/>
  <c r="F27" i="25"/>
  <c r="B28" i="25"/>
  <c r="E28" i="25" s="1"/>
  <c r="H27" i="25"/>
  <c r="I27" i="25" s="1"/>
  <c r="D27" i="25"/>
  <c r="E27" i="25"/>
  <c r="I25" i="41"/>
  <c r="J25" i="41" s="1"/>
  <c r="K25" i="41" s="1"/>
  <c r="L25" i="41" s="1"/>
  <c r="M25" i="41" s="1"/>
  <c r="I27" i="4"/>
  <c r="J27" i="4" s="1"/>
  <c r="K27" i="4" s="1"/>
  <c r="L27" i="4" s="1"/>
  <c r="M27" i="4" s="1"/>
  <c r="I25" i="19"/>
  <c r="J25" i="19" s="1"/>
  <c r="K25" i="19" s="1"/>
  <c r="L25" i="19" s="1"/>
  <c r="M25" i="19" s="1"/>
  <c r="I25" i="40"/>
  <c r="J25" i="40" s="1"/>
  <c r="K25" i="40" s="1"/>
  <c r="L25" i="40" s="1"/>
  <c r="M25" i="40" s="1"/>
  <c r="H26" i="40"/>
  <c r="F26" i="40"/>
  <c r="B27" i="40"/>
  <c r="E27" i="40" s="1"/>
  <c r="C26" i="40"/>
  <c r="D26" i="40"/>
  <c r="I27" i="9"/>
  <c r="J27" i="9" s="1"/>
  <c r="K27" i="9" s="1"/>
  <c r="L27" i="9" s="1"/>
  <c r="M27" i="9" s="1"/>
  <c r="I25" i="42"/>
  <c r="J25" i="42" s="1"/>
  <c r="K25" i="42" s="1"/>
  <c r="L25" i="42" s="1"/>
  <c r="B27" i="42"/>
  <c r="H26" i="42"/>
  <c r="F26" i="42"/>
  <c r="G26" i="42" s="1"/>
  <c r="C26" i="42"/>
  <c r="D26" i="42"/>
  <c r="I26" i="8"/>
  <c r="J26" i="8" s="1"/>
  <c r="K26" i="8" s="1"/>
  <c r="L26" i="8" s="1"/>
  <c r="M26" i="8" s="1"/>
  <c r="H27" i="8"/>
  <c r="F27" i="8"/>
  <c r="G27" i="8" s="1"/>
  <c r="B28" i="8"/>
  <c r="E28" i="8" s="1"/>
  <c r="D27" i="8"/>
  <c r="C27" i="8"/>
  <c r="B27" i="19"/>
  <c r="E27" i="19" s="1"/>
  <c r="H26" i="19"/>
  <c r="F26" i="19"/>
  <c r="D26" i="19"/>
  <c r="C26" i="19"/>
  <c r="E26" i="40"/>
  <c r="F26" i="18"/>
  <c r="B27" i="18"/>
  <c r="H26" i="18"/>
  <c r="D26" i="18"/>
  <c r="C26" i="18"/>
  <c r="I25" i="39"/>
  <c r="B29" i="4"/>
  <c r="E29" i="4" s="1"/>
  <c r="H28" i="4"/>
  <c r="F28" i="4"/>
  <c r="G28" i="4" s="1"/>
  <c r="D28" i="4"/>
  <c r="C28" i="4"/>
  <c r="I25" i="17"/>
  <c r="J25" i="17" s="1"/>
  <c r="K25" i="17" s="1"/>
  <c r="L25" i="17" s="1"/>
  <c r="H26" i="17"/>
  <c r="F26" i="17"/>
  <c r="G26" i="17" s="1"/>
  <c r="B27" i="17"/>
  <c r="C26" i="17"/>
  <c r="D26" i="17"/>
  <c r="H26" i="41"/>
  <c r="F26" i="41"/>
  <c r="G26" i="41" s="1"/>
  <c r="B27" i="41"/>
  <c r="E27" i="41" s="1"/>
  <c r="C26" i="41"/>
  <c r="D26" i="41"/>
  <c r="B29" i="9"/>
  <c r="H28" i="9"/>
  <c r="F28" i="9"/>
  <c r="G28" i="9" s="1"/>
  <c r="C28" i="9"/>
  <c r="D28" i="9"/>
  <c r="E26" i="19"/>
  <c r="E26" i="18"/>
  <c r="F26" i="39"/>
  <c r="G26" i="39" s="1"/>
  <c r="B27" i="39"/>
  <c r="H26" i="39"/>
  <c r="D26" i="39"/>
  <c r="C26" i="39"/>
  <c r="O23" i="26"/>
  <c r="P23" i="26" s="1"/>
  <c r="Q23" i="26" s="1"/>
  <c r="M25" i="17" l="1"/>
  <c r="J25" i="39"/>
  <c r="K25" i="39" s="1"/>
  <c r="L25" i="39" s="1"/>
  <c r="M25" i="39" s="1"/>
  <c r="M25" i="42"/>
  <c r="G26" i="19"/>
  <c r="G26" i="40"/>
  <c r="G26" i="18"/>
  <c r="G28" i="26"/>
  <c r="J28" i="26"/>
  <c r="H29" i="26"/>
  <c r="I29" i="26" s="1"/>
  <c r="D29" i="26"/>
  <c r="B30" i="26"/>
  <c r="E30" i="26" s="1"/>
  <c r="C29" i="26"/>
  <c r="F29" i="26"/>
  <c r="E29" i="26"/>
  <c r="G28" i="25"/>
  <c r="G27" i="25"/>
  <c r="J27" i="25"/>
  <c r="O27" i="25" s="1"/>
  <c r="P27" i="25" s="1"/>
  <c r="Q27" i="25" s="1"/>
  <c r="H28" i="25"/>
  <c r="I28" i="25" s="1"/>
  <c r="D28" i="25"/>
  <c r="C28" i="25"/>
  <c r="F28" i="25"/>
  <c r="J28" i="25" s="1"/>
  <c r="B29" i="25"/>
  <c r="E29" i="25" s="1"/>
  <c r="I26" i="41"/>
  <c r="J26" i="41" s="1"/>
  <c r="K26" i="41" s="1"/>
  <c r="L26" i="41" s="1"/>
  <c r="M26" i="41" s="1"/>
  <c r="I28" i="9"/>
  <c r="J28" i="9" s="1"/>
  <c r="K28" i="9" s="1"/>
  <c r="L28" i="9" s="1"/>
  <c r="M28" i="9" s="1"/>
  <c r="I28" i="4"/>
  <c r="J28" i="4" s="1"/>
  <c r="K28" i="4" s="1"/>
  <c r="L28" i="4" s="1"/>
  <c r="M28" i="4" s="1"/>
  <c r="I26" i="42"/>
  <c r="J26" i="42" s="1"/>
  <c r="K26" i="42" s="1"/>
  <c r="L26" i="42" s="1"/>
  <c r="M26" i="42" s="1"/>
  <c r="I26" i="19"/>
  <c r="I26" i="40"/>
  <c r="I26" i="17"/>
  <c r="J26" i="17" s="1"/>
  <c r="K26" i="17" s="1"/>
  <c r="L26" i="17" s="1"/>
  <c r="M26" i="17" s="1"/>
  <c r="I26" i="39"/>
  <c r="J26" i="39" s="1"/>
  <c r="I26" i="18"/>
  <c r="F27" i="17"/>
  <c r="B28" i="17"/>
  <c r="E28" i="17" s="1"/>
  <c r="H27" i="17"/>
  <c r="C27" i="17"/>
  <c r="D27" i="17"/>
  <c r="F27" i="41"/>
  <c r="G27" i="41" s="1"/>
  <c r="B28" i="41"/>
  <c r="E28" i="41" s="1"/>
  <c r="H27" i="41"/>
  <c r="C27" i="41"/>
  <c r="D27" i="41"/>
  <c r="E27" i="17"/>
  <c r="H29" i="4"/>
  <c r="F29" i="4"/>
  <c r="G29" i="4" s="1"/>
  <c r="B30" i="4"/>
  <c r="E30" i="4" s="1"/>
  <c r="D29" i="4"/>
  <c r="C29" i="4"/>
  <c r="I27" i="8"/>
  <c r="J27" i="8" s="1"/>
  <c r="K27" i="8" s="1"/>
  <c r="L27" i="8" s="1"/>
  <c r="M27" i="8" s="1"/>
  <c r="F27" i="39"/>
  <c r="B28" i="39"/>
  <c r="E28" i="39" s="1"/>
  <c r="H27" i="39"/>
  <c r="D27" i="39"/>
  <c r="C27" i="39"/>
  <c r="H29" i="9"/>
  <c r="F29" i="9"/>
  <c r="B30" i="9"/>
  <c r="E30" i="9" s="1"/>
  <c r="D29" i="9"/>
  <c r="C29" i="9"/>
  <c r="F27" i="18"/>
  <c r="B28" i="18"/>
  <c r="E28" i="18" s="1"/>
  <c r="H27" i="18"/>
  <c r="D27" i="18"/>
  <c r="C27" i="18"/>
  <c r="F27" i="42"/>
  <c r="B28" i="42"/>
  <c r="E28" i="42" s="1"/>
  <c r="H27" i="42"/>
  <c r="D27" i="42"/>
  <c r="C27" i="42"/>
  <c r="H27" i="19"/>
  <c r="F27" i="19"/>
  <c r="G27" i="19" s="1"/>
  <c r="B28" i="19"/>
  <c r="E28" i="19" s="1"/>
  <c r="D27" i="19"/>
  <c r="C27" i="19"/>
  <c r="F28" i="8"/>
  <c r="G28" i="8" s="1"/>
  <c r="B29" i="8"/>
  <c r="E29" i="8" s="1"/>
  <c r="H28" i="8"/>
  <c r="D28" i="8"/>
  <c r="C28" i="8"/>
  <c r="F27" i="40"/>
  <c r="G27" i="40" s="1"/>
  <c r="B28" i="40"/>
  <c r="E28" i="40" s="1"/>
  <c r="H27" i="40"/>
  <c r="D27" i="40"/>
  <c r="C27" i="40"/>
  <c r="E27" i="39"/>
  <c r="E29" i="9"/>
  <c r="E27" i="18"/>
  <c r="E27" i="42"/>
  <c r="O24" i="26"/>
  <c r="P24" i="26" s="1"/>
  <c r="Q24" i="26" s="1"/>
  <c r="K26" i="39" l="1"/>
  <c r="L26" i="39" s="1"/>
  <c r="M26" i="39" s="1"/>
  <c r="J26" i="40"/>
  <c r="K26" i="40" s="1"/>
  <c r="L26" i="40" s="1"/>
  <c r="M26" i="40" s="1"/>
  <c r="J26" i="18"/>
  <c r="K26" i="18" s="1"/>
  <c r="L26" i="18" s="1"/>
  <c r="M26" i="18" s="1"/>
  <c r="J26" i="19"/>
  <c r="K26" i="19" s="1"/>
  <c r="L26" i="19" s="1"/>
  <c r="M26" i="19" s="1"/>
  <c r="G27" i="39"/>
  <c r="G27" i="42"/>
  <c r="G30" i="26"/>
  <c r="G29" i="26"/>
  <c r="J29" i="26"/>
  <c r="B31" i="26"/>
  <c r="E31" i="26" s="1"/>
  <c r="C30" i="26"/>
  <c r="F30" i="26"/>
  <c r="J30" i="26" s="1"/>
  <c r="H30" i="26"/>
  <c r="I30" i="26" s="1"/>
  <c r="D30" i="26"/>
  <c r="O28" i="25"/>
  <c r="P28" i="25" s="1"/>
  <c r="Q28" i="25" s="1"/>
  <c r="B30" i="25"/>
  <c r="E30" i="25" s="1"/>
  <c r="H29" i="25"/>
  <c r="I29" i="25" s="1"/>
  <c r="D29" i="25"/>
  <c r="C29" i="25"/>
  <c r="F29" i="25"/>
  <c r="J29" i="25" s="1"/>
  <c r="G29" i="25"/>
  <c r="G27" i="18"/>
  <c r="I27" i="41"/>
  <c r="J27" i="41" s="1"/>
  <c r="K27" i="41" s="1"/>
  <c r="L27" i="41" s="1"/>
  <c r="M27" i="41" s="1"/>
  <c r="G29" i="9"/>
  <c r="I29" i="9"/>
  <c r="I29" i="4"/>
  <c r="J29" i="4" s="1"/>
  <c r="K29" i="4" s="1"/>
  <c r="L29" i="4" s="1"/>
  <c r="M29" i="4" s="1"/>
  <c r="I28" i="8"/>
  <c r="J28" i="8" s="1"/>
  <c r="K28" i="8" s="1"/>
  <c r="L28" i="8" s="1"/>
  <c r="M28" i="8" s="1"/>
  <c r="B29" i="42"/>
  <c r="E29" i="42" s="1"/>
  <c r="H28" i="42"/>
  <c r="F28" i="42"/>
  <c r="G28" i="42" s="1"/>
  <c r="D28" i="42"/>
  <c r="C28" i="42"/>
  <c r="I27" i="18"/>
  <c r="F30" i="9"/>
  <c r="G30" i="9" s="1"/>
  <c r="B31" i="9"/>
  <c r="E31" i="9" s="1"/>
  <c r="H30" i="9"/>
  <c r="C30" i="9"/>
  <c r="D30" i="9"/>
  <c r="I27" i="39"/>
  <c r="G27" i="17"/>
  <c r="F28" i="41"/>
  <c r="G28" i="41" s="1"/>
  <c r="B29" i="41"/>
  <c r="E29" i="41" s="1"/>
  <c r="H28" i="41"/>
  <c r="D28" i="41"/>
  <c r="C28" i="41"/>
  <c r="I27" i="17"/>
  <c r="F28" i="40"/>
  <c r="G28" i="40" s="1"/>
  <c r="B29" i="40"/>
  <c r="H28" i="40"/>
  <c r="C28" i="40"/>
  <c r="D28" i="40"/>
  <c r="I27" i="40"/>
  <c r="J27" i="40" s="1"/>
  <c r="I27" i="19"/>
  <c r="J27" i="19" s="1"/>
  <c r="I27" i="42"/>
  <c r="F30" i="4"/>
  <c r="G30" i="4" s="1"/>
  <c r="B31" i="4"/>
  <c r="E31" i="4" s="1"/>
  <c r="H30" i="4"/>
  <c r="D30" i="4"/>
  <c r="C30" i="4"/>
  <c r="F29" i="8"/>
  <c r="G29" i="8" s="1"/>
  <c r="B30" i="8"/>
  <c r="E30" i="8" s="1"/>
  <c r="H29" i="8"/>
  <c r="D29" i="8"/>
  <c r="C29" i="8"/>
  <c r="F28" i="17"/>
  <c r="G28" i="17" s="1"/>
  <c r="B29" i="17"/>
  <c r="E29" i="17" s="1"/>
  <c r="H28" i="17"/>
  <c r="C28" i="17"/>
  <c r="D28" i="17"/>
  <c r="F28" i="19"/>
  <c r="G28" i="19" s="1"/>
  <c r="B29" i="19"/>
  <c r="E29" i="19" s="1"/>
  <c r="H28" i="19"/>
  <c r="C28" i="19"/>
  <c r="D28" i="19"/>
  <c r="B29" i="18"/>
  <c r="E29" i="18" s="1"/>
  <c r="H28" i="18"/>
  <c r="F28" i="18"/>
  <c r="G28" i="18" s="1"/>
  <c r="C28" i="18"/>
  <c r="D28" i="18"/>
  <c r="B29" i="39"/>
  <c r="E29" i="39" s="1"/>
  <c r="H28" i="39"/>
  <c r="F28" i="39"/>
  <c r="G28" i="39" s="1"/>
  <c r="D28" i="39"/>
  <c r="C28" i="39"/>
  <c r="O25" i="26"/>
  <c r="P25" i="26" s="1"/>
  <c r="Q25" i="26" s="1"/>
  <c r="K27" i="40" l="1"/>
  <c r="L27" i="40" s="1"/>
  <c r="M27" i="40" s="1"/>
  <c r="K27" i="19"/>
  <c r="L27" i="19" s="1"/>
  <c r="M27" i="19" s="1"/>
  <c r="J27" i="42"/>
  <c r="K27" i="42" s="1"/>
  <c r="L27" i="42" s="1"/>
  <c r="M27" i="42" s="1"/>
  <c r="J27" i="39"/>
  <c r="K27" i="39" s="1"/>
  <c r="L27" i="39" s="1"/>
  <c r="M27" i="39" s="1"/>
  <c r="J27" i="18"/>
  <c r="K27" i="18" s="1"/>
  <c r="L27" i="18" s="1"/>
  <c r="M27" i="18" s="1"/>
  <c r="J27" i="17"/>
  <c r="K27" i="17" s="1"/>
  <c r="L27" i="17" s="1"/>
  <c r="M27" i="17" s="1"/>
  <c r="J29" i="9"/>
  <c r="K29" i="9" s="1"/>
  <c r="L29" i="9" s="1"/>
  <c r="M29" i="9" s="1"/>
  <c r="G31" i="26"/>
  <c r="F31" i="26"/>
  <c r="J31" i="26" s="1"/>
  <c r="H31" i="26"/>
  <c r="I31" i="26" s="1"/>
  <c r="D31" i="26"/>
  <c r="B32" i="26"/>
  <c r="C31" i="26"/>
  <c r="O29" i="25"/>
  <c r="P29" i="25" s="1"/>
  <c r="Q29" i="25" s="1"/>
  <c r="G30" i="25"/>
  <c r="F30" i="25"/>
  <c r="J30" i="25" s="1"/>
  <c r="B31" i="25"/>
  <c r="E31" i="25" s="1"/>
  <c r="H30" i="25"/>
  <c r="I30" i="25" s="1"/>
  <c r="D30" i="25"/>
  <c r="C30" i="25"/>
  <c r="I28" i="39"/>
  <c r="J28" i="39" s="1"/>
  <c r="I28" i="40"/>
  <c r="J28" i="40" s="1"/>
  <c r="K28" i="40" s="1"/>
  <c r="L28" i="40" s="1"/>
  <c r="I28" i="19"/>
  <c r="J28" i="19" s="1"/>
  <c r="K28" i="19" s="1"/>
  <c r="L28" i="19" s="1"/>
  <c r="I30" i="4"/>
  <c r="J30" i="4" s="1"/>
  <c r="K30" i="4" s="1"/>
  <c r="L30" i="4" s="1"/>
  <c r="M30" i="4" s="1"/>
  <c r="I28" i="18"/>
  <c r="J28" i="18" s="1"/>
  <c r="F29" i="19"/>
  <c r="G29" i="19" s="1"/>
  <c r="B30" i="19"/>
  <c r="E30" i="19" s="1"/>
  <c r="H29" i="19"/>
  <c r="D29" i="19"/>
  <c r="C29" i="19"/>
  <c r="I28" i="17"/>
  <c r="J28" i="17" s="1"/>
  <c r="I29" i="8"/>
  <c r="J29" i="8" s="1"/>
  <c r="K29" i="8" s="1"/>
  <c r="L29" i="8" s="1"/>
  <c r="M29" i="8" s="1"/>
  <c r="B30" i="41"/>
  <c r="E30" i="41" s="1"/>
  <c r="H29" i="41"/>
  <c r="F29" i="41"/>
  <c r="G29" i="41" s="1"/>
  <c r="D29" i="41"/>
  <c r="C29" i="41"/>
  <c r="I30" i="9"/>
  <c r="J30" i="9" s="1"/>
  <c r="H29" i="39"/>
  <c r="F29" i="39"/>
  <c r="G29" i="39" s="1"/>
  <c r="B30" i="39"/>
  <c r="E30" i="39" s="1"/>
  <c r="D29" i="39"/>
  <c r="C29" i="39"/>
  <c r="B30" i="40"/>
  <c r="E30" i="40" s="1"/>
  <c r="H29" i="40"/>
  <c r="F29" i="40"/>
  <c r="D29" i="40"/>
  <c r="C29" i="40"/>
  <c r="I28" i="41"/>
  <c r="J28" i="41" s="1"/>
  <c r="K28" i="41" s="1"/>
  <c r="L28" i="41" s="1"/>
  <c r="M28" i="41" s="1"/>
  <c r="B30" i="17"/>
  <c r="E30" i="17" s="1"/>
  <c r="H29" i="17"/>
  <c r="F29" i="17"/>
  <c r="G29" i="17" s="1"/>
  <c r="D29" i="17"/>
  <c r="C29" i="17"/>
  <c r="F31" i="4"/>
  <c r="G31" i="4" s="1"/>
  <c r="B32" i="4"/>
  <c r="E32" i="4" s="1"/>
  <c r="H31" i="4"/>
  <c r="D31" i="4"/>
  <c r="C31" i="4"/>
  <c r="F31" i="9"/>
  <c r="G31" i="9" s="1"/>
  <c r="B32" i="9"/>
  <c r="E32" i="9" s="1"/>
  <c r="H31" i="9"/>
  <c r="D31" i="9"/>
  <c r="C31" i="9"/>
  <c r="I28" i="42"/>
  <c r="J28" i="42" s="1"/>
  <c r="H29" i="18"/>
  <c r="F29" i="18"/>
  <c r="G29" i="18" s="1"/>
  <c r="B30" i="18"/>
  <c r="E30" i="18" s="1"/>
  <c r="C29" i="18"/>
  <c r="D29" i="18"/>
  <c r="B31" i="8"/>
  <c r="E31" i="8" s="1"/>
  <c r="H30" i="8"/>
  <c r="F30" i="8"/>
  <c r="G30" i="8" s="1"/>
  <c r="C30" i="8"/>
  <c r="D30" i="8"/>
  <c r="E29" i="40"/>
  <c r="H29" i="42"/>
  <c r="B30" i="42"/>
  <c r="E30" i="42" s="1"/>
  <c r="F29" i="42"/>
  <c r="G29" i="42" s="1"/>
  <c r="D29" i="42"/>
  <c r="C29" i="42"/>
  <c r="O26" i="26"/>
  <c r="P26" i="26" s="1"/>
  <c r="Q26" i="26" s="1"/>
  <c r="M28" i="40" l="1"/>
  <c r="M28" i="19"/>
  <c r="K28" i="18"/>
  <c r="L28" i="18" s="1"/>
  <c r="M28" i="18" s="1"/>
  <c r="K28" i="42"/>
  <c r="L28" i="42" s="1"/>
  <c r="M28" i="42" s="1"/>
  <c r="K28" i="17"/>
  <c r="L28" i="17" s="1"/>
  <c r="M28" i="17" s="1"/>
  <c r="K28" i="39"/>
  <c r="L28" i="39" s="1"/>
  <c r="M28" i="39" s="1"/>
  <c r="K30" i="9"/>
  <c r="L30" i="9" s="1"/>
  <c r="M30" i="9" s="1"/>
  <c r="G29" i="40"/>
  <c r="H32" i="26"/>
  <c r="I32" i="26" s="1"/>
  <c r="D32" i="26"/>
  <c r="B33" i="26"/>
  <c r="C32" i="26"/>
  <c r="F32" i="26"/>
  <c r="E32" i="26"/>
  <c r="O30" i="25"/>
  <c r="P30" i="25" s="1"/>
  <c r="Q30" i="25" s="1"/>
  <c r="G31" i="25"/>
  <c r="C31" i="25"/>
  <c r="F31" i="25"/>
  <c r="J31" i="25" s="1"/>
  <c r="B32" i="25"/>
  <c r="E32" i="25" s="1"/>
  <c r="H31" i="25"/>
  <c r="I31" i="25" s="1"/>
  <c r="D31" i="25"/>
  <c r="I29" i="41"/>
  <c r="J29" i="41" s="1"/>
  <c r="K29" i="41" s="1"/>
  <c r="L29" i="41" s="1"/>
  <c r="M29" i="41" s="1"/>
  <c r="I29" i="17"/>
  <c r="J29" i="17" s="1"/>
  <c r="K29" i="17" s="1"/>
  <c r="L29" i="17" s="1"/>
  <c r="I29" i="18"/>
  <c r="J29" i="18" s="1"/>
  <c r="K29" i="18" s="1"/>
  <c r="L29" i="18" s="1"/>
  <c r="I31" i="4"/>
  <c r="J31" i="4" s="1"/>
  <c r="K31" i="4" s="1"/>
  <c r="L31" i="4" s="1"/>
  <c r="M31" i="4" s="1"/>
  <c r="I31" i="9"/>
  <c r="J31" i="9" s="1"/>
  <c r="K31" i="9" s="1"/>
  <c r="L31" i="9" s="1"/>
  <c r="I29" i="42"/>
  <c r="J29" i="42" s="1"/>
  <c r="K29" i="42" s="1"/>
  <c r="L29" i="42" s="1"/>
  <c r="I29" i="40"/>
  <c r="I30" i="8"/>
  <c r="J30" i="8" s="1"/>
  <c r="K30" i="8" s="1"/>
  <c r="L30" i="8" s="1"/>
  <c r="M30" i="8" s="1"/>
  <c r="B31" i="42"/>
  <c r="H30" i="42"/>
  <c r="F30" i="42"/>
  <c r="G30" i="42" s="1"/>
  <c r="C30" i="42"/>
  <c r="D30" i="42"/>
  <c r="F30" i="18"/>
  <c r="G30" i="18" s="1"/>
  <c r="B31" i="18"/>
  <c r="E31" i="18" s="1"/>
  <c r="H30" i="18"/>
  <c r="D30" i="18"/>
  <c r="C30" i="18"/>
  <c r="I29" i="39"/>
  <c r="J29" i="39" s="1"/>
  <c r="K29" i="39" s="1"/>
  <c r="L29" i="39" s="1"/>
  <c r="I29" i="19"/>
  <c r="J29" i="19" s="1"/>
  <c r="K29" i="19" s="1"/>
  <c r="L29" i="19" s="1"/>
  <c r="M29" i="19" s="1"/>
  <c r="H31" i="8"/>
  <c r="F31" i="8"/>
  <c r="G31" i="8" s="1"/>
  <c r="B32" i="8"/>
  <c r="D31" i="8"/>
  <c r="C31" i="8"/>
  <c r="B33" i="9"/>
  <c r="E33" i="9" s="1"/>
  <c r="H32" i="9"/>
  <c r="F32" i="9"/>
  <c r="G32" i="9" s="1"/>
  <c r="C32" i="9"/>
  <c r="D32" i="9"/>
  <c r="B33" i="4"/>
  <c r="E33" i="4" s="1"/>
  <c r="H32" i="4"/>
  <c r="F32" i="4"/>
  <c r="G32" i="4" s="1"/>
  <c r="C32" i="4"/>
  <c r="D32" i="4"/>
  <c r="H30" i="41"/>
  <c r="F30" i="41"/>
  <c r="G30" i="41" s="1"/>
  <c r="B31" i="41"/>
  <c r="E31" i="41" s="1"/>
  <c r="D30" i="41"/>
  <c r="C30" i="41"/>
  <c r="F30" i="39"/>
  <c r="G30" i="39" s="1"/>
  <c r="B31" i="39"/>
  <c r="E31" i="39" s="1"/>
  <c r="H30" i="39"/>
  <c r="D30" i="39"/>
  <c r="C30" i="39"/>
  <c r="H30" i="17"/>
  <c r="F30" i="17"/>
  <c r="G30" i="17" s="1"/>
  <c r="B31" i="17"/>
  <c r="E31" i="17" s="1"/>
  <c r="D30" i="17"/>
  <c r="C30" i="17"/>
  <c r="H30" i="40"/>
  <c r="F30" i="40"/>
  <c r="G30" i="40" s="1"/>
  <c r="B31" i="40"/>
  <c r="E31" i="40" s="1"/>
  <c r="D30" i="40"/>
  <c r="C30" i="40"/>
  <c r="B31" i="19"/>
  <c r="E31" i="19" s="1"/>
  <c r="H30" i="19"/>
  <c r="F30" i="19"/>
  <c r="G30" i="19" s="1"/>
  <c r="D30" i="19"/>
  <c r="C30" i="19"/>
  <c r="O27" i="26"/>
  <c r="P27" i="26" s="1"/>
  <c r="Q27" i="26" s="1"/>
  <c r="J29" i="40" l="1"/>
  <c r="K29" i="40" s="1"/>
  <c r="L29" i="40" s="1"/>
  <c r="M29" i="40" s="1"/>
  <c r="M29" i="18"/>
  <c r="M29" i="42"/>
  <c r="M29" i="39"/>
  <c r="M29" i="17"/>
  <c r="M31" i="9"/>
  <c r="G32" i="26"/>
  <c r="J32" i="26"/>
  <c r="H33" i="26"/>
  <c r="I33" i="26" s="1"/>
  <c r="D33" i="26"/>
  <c r="B34" i="26"/>
  <c r="C33" i="26"/>
  <c r="E34" i="26"/>
  <c r="F33" i="26"/>
  <c r="E33" i="26"/>
  <c r="G32" i="25"/>
  <c r="H32" i="25"/>
  <c r="I32" i="25" s="1"/>
  <c r="D32" i="25"/>
  <c r="C32" i="25"/>
  <c r="F32" i="25"/>
  <c r="J32" i="25" s="1"/>
  <c r="B33" i="25"/>
  <c r="E33" i="25" s="1"/>
  <c r="O31" i="25"/>
  <c r="P31" i="25" s="1"/>
  <c r="Q31" i="25" s="1"/>
  <c r="I30" i="19"/>
  <c r="J30" i="19" s="1"/>
  <c r="K30" i="19" s="1"/>
  <c r="L30" i="19" s="1"/>
  <c r="M30" i="19" s="1"/>
  <c r="I32" i="9"/>
  <c r="J32" i="9" s="1"/>
  <c r="K32" i="9" s="1"/>
  <c r="L32" i="9" s="1"/>
  <c r="M32" i="9" s="1"/>
  <c r="I30" i="39"/>
  <c r="J30" i="39" s="1"/>
  <c r="K30" i="39" s="1"/>
  <c r="L30" i="39" s="1"/>
  <c r="M30" i="39" s="1"/>
  <c r="I30" i="41"/>
  <c r="J30" i="41" s="1"/>
  <c r="K30" i="41" s="1"/>
  <c r="L30" i="41" s="1"/>
  <c r="M30" i="41" s="1"/>
  <c r="I32" i="4"/>
  <c r="J32" i="4" s="1"/>
  <c r="K32" i="4" s="1"/>
  <c r="L32" i="4" s="1"/>
  <c r="M32" i="4" s="1"/>
  <c r="I30" i="18"/>
  <c r="J30" i="18" s="1"/>
  <c r="K30" i="18" s="1"/>
  <c r="L30" i="18" s="1"/>
  <c r="M30" i="18" s="1"/>
  <c r="H31" i="19"/>
  <c r="F31" i="19"/>
  <c r="G31" i="19" s="1"/>
  <c r="B32" i="19"/>
  <c r="E32" i="19" s="1"/>
  <c r="D31" i="19"/>
  <c r="C31" i="19"/>
  <c r="F31" i="40"/>
  <c r="G31" i="40" s="1"/>
  <c r="B32" i="40"/>
  <c r="E32" i="40" s="1"/>
  <c r="H31" i="40"/>
  <c r="D31" i="40"/>
  <c r="C31" i="40"/>
  <c r="I30" i="17"/>
  <c r="J30" i="17" s="1"/>
  <c r="K30" i="17" s="1"/>
  <c r="L30" i="17" s="1"/>
  <c r="M30" i="17" s="1"/>
  <c r="F32" i="8"/>
  <c r="B33" i="8"/>
  <c r="E33" i="8" s="1"/>
  <c r="H32" i="8"/>
  <c r="D32" i="8"/>
  <c r="C32" i="8"/>
  <c r="F31" i="41"/>
  <c r="G31" i="41" s="1"/>
  <c r="B32" i="41"/>
  <c r="E32" i="41" s="1"/>
  <c r="H31" i="41"/>
  <c r="C31" i="41"/>
  <c r="D31" i="41"/>
  <c r="H33" i="9"/>
  <c r="F33" i="9"/>
  <c r="G33" i="9" s="1"/>
  <c r="B34" i="9"/>
  <c r="E34" i="9" s="1"/>
  <c r="D33" i="9"/>
  <c r="C33" i="9"/>
  <c r="F31" i="42"/>
  <c r="B32" i="42"/>
  <c r="E32" i="42" s="1"/>
  <c r="H31" i="42"/>
  <c r="D31" i="42"/>
  <c r="C31" i="42"/>
  <c r="I30" i="40"/>
  <c r="J30" i="40" s="1"/>
  <c r="F31" i="17"/>
  <c r="G31" i="17" s="1"/>
  <c r="B32" i="17"/>
  <c r="H31" i="17"/>
  <c r="D31" i="17"/>
  <c r="C31" i="17"/>
  <c r="F31" i="39"/>
  <c r="G31" i="39" s="1"/>
  <c r="B32" i="39"/>
  <c r="E32" i="39" s="1"/>
  <c r="H31" i="39"/>
  <c r="D31" i="39"/>
  <c r="C31" i="39"/>
  <c r="I31" i="8"/>
  <c r="J31" i="8" s="1"/>
  <c r="K31" i="8" s="1"/>
  <c r="L31" i="8" s="1"/>
  <c r="M31" i="8" s="1"/>
  <c r="E32" i="8"/>
  <c r="I30" i="42"/>
  <c r="J30" i="42" s="1"/>
  <c r="K30" i="42" s="1"/>
  <c r="L30" i="42" s="1"/>
  <c r="M30" i="42" s="1"/>
  <c r="E31" i="42"/>
  <c r="H33" i="4"/>
  <c r="F33" i="4"/>
  <c r="G33" i="4" s="1"/>
  <c r="B34" i="4"/>
  <c r="E34" i="4" s="1"/>
  <c r="D33" i="4"/>
  <c r="C33" i="4"/>
  <c r="F31" i="18"/>
  <c r="G31" i="18" s="1"/>
  <c r="B32" i="18"/>
  <c r="E32" i="18" s="1"/>
  <c r="H31" i="18"/>
  <c r="D31" i="18"/>
  <c r="C31" i="18"/>
  <c r="O28" i="26"/>
  <c r="P28" i="26" s="1"/>
  <c r="Q28" i="26" s="1"/>
  <c r="K30" i="40" l="1"/>
  <c r="L30" i="40" s="1"/>
  <c r="M30" i="40" s="1"/>
  <c r="I31" i="19"/>
  <c r="J31" i="19" s="1"/>
  <c r="K31" i="19" s="1"/>
  <c r="L31" i="19" s="1"/>
  <c r="M31" i="19" s="1"/>
  <c r="G31" i="42"/>
  <c r="G34" i="26"/>
  <c r="G33" i="26"/>
  <c r="J33" i="26"/>
  <c r="B35" i="26"/>
  <c r="E35" i="26" s="1"/>
  <c r="C34" i="26"/>
  <c r="F34" i="26"/>
  <c r="J34" i="26" s="1"/>
  <c r="H34" i="26"/>
  <c r="I34" i="26" s="1"/>
  <c r="D34" i="26"/>
  <c r="B34" i="25"/>
  <c r="E34" i="25" s="1"/>
  <c r="H33" i="25"/>
  <c r="I33" i="25" s="1"/>
  <c r="D33" i="25"/>
  <c r="C33" i="25"/>
  <c r="F33" i="25"/>
  <c r="J33" i="25" s="1"/>
  <c r="G33" i="25"/>
  <c r="O32" i="25"/>
  <c r="P32" i="25" s="1"/>
  <c r="Q32" i="25" s="1"/>
  <c r="I31" i="18"/>
  <c r="J31" i="18" s="1"/>
  <c r="K31" i="18" s="1"/>
  <c r="L31" i="18" s="1"/>
  <c r="M31" i="18" s="1"/>
  <c r="G32" i="8"/>
  <c r="I31" i="42"/>
  <c r="I33" i="4"/>
  <c r="J33" i="4" s="1"/>
  <c r="K33" i="4" s="1"/>
  <c r="L33" i="4" s="1"/>
  <c r="M33" i="4" s="1"/>
  <c r="I31" i="17"/>
  <c r="J31" i="17" s="1"/>
  <c r="K31" i="17" s="1"/>
  <c r="L31" i="17" s="1"/>
  <c r="M31" i="17" s="1"/>
  <c r="I31" i="39"/>
  <c r="J31" i="39" s="1"/>
  <c r="K31" i="39" s="1"/>
  <c r="L31" i="39" s="1"/>
  <c r="M31" i="39" s="1"/>
  <c r="I31" i="41"/>
  <c r="J31" i="41" s="1"/>
  <c r="K31" i="41" s="1"/>
  <c r="L31" i="41" s="1"/>
  <c r="M31" i="41" s="1"/>
  <c r="B33" i="18"/>
  <c r="E33" i="18" s="1"/>
  <c r="H32" i="18"/>
  <c r="F32" i="18"/>
  <c r="G32" i="18" s="1"/>
  <c r="D32" i="18"/>
  <c r="C32" i="18"/>
  <c r="F32" i="17"/>
  <c r="B33" i="17"/>
  <c r="E33" i="17" s="1"/>
  <c r="H32" i="17"/>
  <c r="C32" i="17"/>
  <c r="D32" i="17"/>
  <c r="I33" i="9"/>
  <c r="J33" i="9" s="1"/>
  <c r="K33" i="9" s="1"/>
  <c r="L33" i="9" s="1"/>
  <c r="M33" i="9" s="1"/>
  <c r="B33" i="42"/>
  <c r="F32" i="42"/>
  <c r="G32" i="42" s="1"/>
  <c r="H32" i="42"/>
  <c r="C32" i="42"/>
  <c r="D32" i="42"/>
  <c r="F32" i="41"/>
  <c r="G32" i="41" s="1"/>
  <c r="B33" i="41"/>
  <c r="H32" i="41"/>
  <c r="D32" i="41"/>
  <c r="C32" i="41"/>
  <c r="F33" i="8"/>
  <c r="G33" i="8" s="1"/>
  <c r="B34" i="8"/>
  <c r="E34" i="8" s="1"/>
  <c r="H33" i="8"/>
  <c r="D33" i="8"/>
  <c r="C33" i="8"/>
  <c r="F32" i="40"/>
  <c r="G32" i="40" s="1"/>
  <c r="B33" i="40"/>
  <c r="H32" i="40"/>
  <c r="D32" i="40"/>
  <c r="C32" i="40"/>
  <c r="F34" i="4"/>
  <c r="G34" i="4" s="1"/>
  <c r="B35" i="4"/>
  <c r="E35" i="4" s="1"/>
  <c r="H34" i="4"/>
  <c r="D34" i="4"/>
  <c r="C34" i="4"/>
  <c r="B33" i="39"/>
  <c r="E33" i="39" s="1"/>
  <c r="H32" i="39"/>
  <c r="F32" i="39"/>
  <c r="G32" i="39" s="1"/>
  <c r="C32" i="39"/>
  <c r="D32" i="39"/>
  <c r="E32" i="17"/>
  <c r="F34" i="9"/>
  <c r="G34" i="9" s="1"/>
  <c r="B35" i="9"/>
  <c r="E35" i="9" s="1"/>
  <c r="H34" i="9"/>
  <c r="D34" i="9"/>
  <c r="C34" i="9"/>
  <c r="I32" i="8"/>
  <c r="I31" i="40"/>
  <c r="J31" i="40" s="1"/>
  <c r="K31" i="40" s="1"/>
  <c r="L31" i="40" s="1"/>
  <c r="F32" i="19"/>
  <c r="G32" i="19" s="1"/>
  <c r="B33" i="19"/>
  <c r="E33" i="19" s="1"/>
  <c r="H32" i="19"/>
  <c r="D32" i="19"/>
  <c r="C32" i="19"/>
  <c r="O29" i="26"/>
  <c r="P29" i="26" s="1"/>
  <c r="Q29" i="26" s="1"/>
  <c r="M31" i="40" l="1"/>
  <c r="J32" i="8"/>
  <c r="K32" i="8" s="1"/>
  <c r="L32" i="8" s="1"/>
  <c r="M32" i="8" s="1"/>
  <c r="J31" i="42"/>
  <c r="K31" i="42" s="1"/>
  <c r="L31" i="42" s="1"/>
  <c r="M31" i="42" s="1"/>
  <c r="G32" i="17"/>
  <c r="G35" i="26"/>
  <c r="F35" i="26"/>
  <c r="J35" i="26" s="1"/>
  <c r="H35" i="26"/>
  <c r="I35" i="26" s="1"/>
  <c r="D35" i="26"/>
  <c r="B36" i="26"/>
  <c r="C35" i="26"/>
  <c r="G34" i="25"/>
  <c r="O33" i="25"/>
  <c r="P33" i="25" s="1"/>
  <c r="Q33" i="25" s="1"/>
  <c r="F34" i="25"/>
  <c r="J34" i="25" s="1"/>
  <c r="B35" i="25"/>
  <c r="E35" i="25" s="1"/>
  <c r="H34" i="25"/>
  <c r="I34" i="25" s="1"/>
  <c r="D34" i="25"/>
  <c r="C34" i="25"/>
  <c r="I32" i="18"/>
  <c r="J32" i="18" s="1"/>
  <c r="K32" i="18" s="1"/>
  <c r="L32" i="18" s="1"/>
  <c r="M32" i="18" s="1"/>
  <c r="I32" i="41"/>
  <c r="J32" i="41" s="1"/>
  <c r="K32" i="41" s="1"/>
  <c r="L32" i="41" s="1"/>
  <c r="M32" i="41" s="1"/>
  <c r="I32" i="40"/>
  <c r="J32" i="40" s="1"/>
  <c r="K32" i="40" s="1"/>
  <c r="L32" i="40" s="1"/>
  <c r="M32" i="40" s="1"/>
  <c r="I32" i="42"/>
  <c r="J32" i="42" s="1"/>
  <c r="I32" i="19"/>
  <c r="J32" i="19" s="1"/>
  <c r="K32" i="19" s="1"/>
  <c r="L32" i="19" s="1"/>
  <c r="M32" i="19" s="1"/>
  <c r="I34" i="9"/>
  <c r="J34" i="9" s="1"/>
  <c r="K34" i="9" s="1"/>
  <c r="L34" i="9" s="1"/>
  <c r="M34" i="9" s="1"/>
  <c r="F33" i="19"/>
  <c r="G33" i="19" s="1"/>
  <c r="B34" i="19"/>
  <c r="H33" i="19"/>
  <c r="C33" i="19"/>
  <c r="D33" i="19"/>
  <c r="F35" i="9"/>
  <c r="G35" i="9" s="1"/>
  <c r="B36" i="9"/>
  <c r="E36" i="9" s="1"/>
  <c r="H35" i="9"/>
  <c r="D35" i="9"/>
  <c r="C35" i="9"/>
  <c r="I33" i="8"/>
  <c r="J33" i="8" s="1"/>
  <c r="I32" i="17"/>
  <c r="B34" i="40"/>
  <c r="E34" i="40" s="1"/>
  <c r="H33" i="40"/>
  <c r="F33" i="40"/>
  <c r="C33" i="40"/>
  <c r="D33" i="40"/>
  <c r="B34" i="41"/>
  <c r="E34" i="41" s="1"/>
  <c r="H33" i="41"/>
  <c r="F33" i="41"/>
  <c r="D33" i="41"/>
  <c r="C33" i="41"/>
  <c r="H33" i="42"/>
  <c r="F33" i="42"/>
  <c r="B34" i="42"/>
  <c r="E34" i="42" s="1"/>
  <c r="C33" i="42"/>
  <c r="D33" i="42"/>
  <c r="I32" i="39"/>
  <c r="J32" i="39" s="1"/>
  <c r="K32" i="39" s="1"/>
  <c r="L32" i="39" s="1"/>
  <c r="M32" i="39" s="1"/>
  <c r="H33" i="39"/>
  <c r="F33" i="39"/>
  <c r="G33" i="39" s="1"/>
  <c r="B34" i="39"/>
  <c r="C33" i="39"/>
  <c r="D33" i="39"/>
  <c r="B34" i="17"/>
  <c r="H33" i="17"/>
  <c r="F33" i="17"/>
  <c r="G33" i="17" s="1"/>
  <c r="D33" i="17"/>
  <c r="C33" i="17"/>
  <c r="H33" i="18"/>
  <c r="F33" i="18"/>
  <c r="G33" i="18" s="1"/>
  <c r="B34" i="18"/>
  <c r="E34" i="18" s="1"/>
  <c r="D33" i="18"/>
  <c r="C33" i="18"/>
  <c r="I34" i="4"/>
  <c r="J34" i="4" s="1"/>
  <c r="K34" i="4" s="1"/>
  <c r="L34" i="4" s="1"/>
  <c r="M34" i="4" s="1"/>
  <c r="F35" i="4"/>
  <c r="G35" i="4" s="1"/>
  <c r="B36" i="4"/>
  <c r="H35" i="4"/>
  <c r="C35" i="4"/>
  <c r="D35" i="4"/>
  <c r="E33" i="40"/>
  <c r="B35" i="8"/>
  <c r="E35" i="8" s="1"/>
  <c r="H34" i="8"/>
  <c r="F34" i="8"/>
  <c r="G34" i="8" s="1"/>
  <c r="C34" i="8"/>
  <c r="D34" i="8"/>
  <c r="E33" i="41"/>
  <c r="E33" i="42"/>
  <c r="O30" i="26"/>
  <c r="P30" i="26" s="1"/>
  <c r="Q30" i="26" s="1"/>
  <c r="K33" i="8" l="1"/>
  <c r="L33" i="8" s="1"/>
  <c r="M33" i="8" s="1"/>
  <c r="J32" i="17"/>
  <c r="K32" i="17" s="1"/>
  <c r="L32" i="17" s="1"/>
  <c r="M32" i="17" s="1"/>
  <c r="K32" i="42"/>
  <c r="L32" i="42" s="1"/>
  <c r="M32" i="42" s="1"/>
  <c r="I33" i="18"/>
  <c r="J33" i="18" s="1"/>
  <c r="K33" i="18" s="1"/>
  <c r="L33" i="18" s="1"/>
  <c r="M33" i="18" s="1"/>
  <c r="G33" i="40"/>
  <c r="H36" i="26"/>
  <c r="I36" i="26" s="1"/>
  <c r="D36" i="26"/>
  <c r="B37" i="26"/>
  <c r="C36" i="26"/>
  <c r="F36" i="26"/>
  <c r="E36" i="26"/>
  <c r="G35" i="25"/>
  <c r="O34" i="25"/>
  <c r="P34" i="25" s="1"/>
  <c r="Q34" i="25" s="1"/>
  <c r="C35" i="25"/>
  <c r="F35" i="25"/>
  <c r="J35" i="25" s="1"/>
  <c r="B36" i="25"/>
  <c r="E36" i="25" s="1"/>
  <c r="H35" i="25"/>
  <c r="I35" i="25" s="1"/>
  <c r="D35" i="25"/>
  <c r="I33" i="41"/>
  <c r="I33" i="40"/>
  <c r="I33" i="19"/>
  <c r="J33" i="19" s="1"/>
  <c r="K33" i="19" s="1"/>
  <c r="L33" i="19" s="1"/>
  <c r="M33" i="19" s="1"/>
  <c r="G33" i="42"/>
  <c r="I35" i="9"/>
  <c r="J35" i="9" s="1"/>
  <c r="K35" i="9" s="1"/>
  <c r="L35" i="9" s="1"/>
  <c r="M35" i="9" s="1"/>
  <c r="G33" i="41"/>
  <c r="I33" i="17"/>
  <c r="J33" i="17" s="1"/>
  <c r="I33" i="42"/>
  <c r="I35" i="4"/>
  <c r="J35" i="4" s="1"/>
  <c r="K35" i="4" s="1"/>
  <c r="L35" i="4" s="1"/>
  <c r="M35" i="4" s="1"/>
  <c r="I33" i="39"/>
  <c r="J33" i="39" s="1"/>
  <c r="K33" i="39" s="1"/>
  <c r="L33" i="39" s="1"/>
  <c r="M33" i="39" s="1"/>
  <c r="B37" i="4"/>
  <c r="E37" i="4" s="1"/>
  <c r="H36" i="4"/>
  <c r="F36" i="4"/>
  <c r="C36" i="4"/>
  <c r="D36" i="4"/>
  <c r="F34" i="18"/>
  <c r="G34" i="18" s="1"/>
  <c r="B35" i="18"/>
  <c r="E35" i="18" s="1"/>
  <c r="H34" i="18"/>
  <c r="D34" i="18"/>
  <c r="C34" i="18"/>
  <c r="F34" i="42"/>
  <c r="G34" i="42" s="1"/>
  <c r="B35" i="42"/>
  <c r="H34" i="42"/>
  <c r="C34" i="42"/>
  <c r="D34" i="42"/>
  <c r="H34" i="17"/>
  <c r="F34" i="17"/>
  <c r="B35" i="17"/>
  <c r="D34" i="17"/>
  <c r="C34" i="17"/>
  <c r="F34" i="39"/>
  <c r="B35" i="39"/>
  <c r="E35" i="39" s="1"/>
  <c r="H34" i="39"/>
  <c r="D34" i="39"/>
  <c r="C34" i="39"/>
  <c r="H34" i="40"/>
  <c r="F34" i="40"/>
  <c r="G34" i="40" s="1"/>
  <c r="B35" i="40"/>
  <c r="E35" i="40" s="1"/>
  <c r="D34" i="40"/>
  <c r="C34" i="40"/>
  <c r="B35" i="19"/>
  <c r="E35" i="19" s="1"/>
  <c r="H34" i="19"/>
  <c r="F34" i="19"/>
  <c r="D34" i="19"/>
  <c r="C34" i="19"/>
  <c r="H34" i="41"/>
  <c r="F34" i="41"/>
  <c r="G34" i="41" s="1"/>
  <c r="B35" i="41"/>
  <c r="E35" i="41" s="1"/>
  <c r="C34" i="41"/>
  <c r="D34" i="41"/>
  <c r="I34" i="8"/>
  <c r="J34" i="8" s="1"/>
  <c r="K34" i="8" s="1"/>
  <c r="L34" i="8" s="1"/>
  <c r="H35" i="8"/>
  <c r="F35" i="8"/>
  <c r="G35" i="8" s="1"/>
  <c r="B36" i="8"/>
  <c r="E36" i="8" s="1"/>
  <c r="D35" i="8"/>
  <c r="C35" i="8"/>
  <c r="E36" i="4"/>
  <c r="E34" i="17"/>
  <c r="E34" i="39"/>
  <c r="B37" i="9"/>
  <c r="E37" i="9" s="1"/>
  <c r="H36" i="9"/>
  <c r="F36" i="9"/>
  <c r="G36" i="9" s="1"/>
  <c r="D36" i="9"/>
  <c r="C36" i="9"/>
  <c r="E34" i="19"/>
  <c r="O31" i="26"/>
  <c r="P31" i="26" s="1"/>
  <c r="Q31" i="26" s="1"/>
  <c r="M34" i="8" l="1"/>
  <c r="K33" i="17"/>
  <c r="L33" i="17" s="1"/>
  <c r="M33" i="17" s="1"/>
  <c r="J33" i="40"/>
  <c r="K33" i="40" s="1"/>
  <c r="L33" i="40" s="1"/>
  <c r="M33" i="40" s="1"/>
  <c r="J33" i="42"/>
  <c r="K33" i="42" s="1"/>
  <c r="L33" i="42" s="1"/>
  <c r="M33" i="42" s="1"/>
  <c r="J33" i="41"/>
  <c r="K33" i="41" s="1"/>
  <c r="L33" i="41" s="1"/>
  <c r="M33" i="41" s="1"/>
  <c r="I34" i="17"/>
  <c r="G34" i="19"/>
  <c r="I34" i="41"/>
  <c r="J34" i="41" s="1"/>
  <c r="G36" i="26"/>
  <c r="J36" i="26"/>
  <c r="H37" i="26"/>
  <c r="I37" i="26" s="1"/>
  <c r="D37" i="26"/>
  <c r="B38" i="26"/>
  <c r="E38" i="26" s="1"/>
  <c r="C37" i="26"/>
  <c r="F37" i="26"/>
  <c r="E37" i="26"/>
  <c r="O35" i="25"/>
  <c r="P35" i="25" s="1"/>
  <c r="Q35" i="25" s="1"/>
  <c r="G36" i="25"/>
  <c r="H36" i="25"/>
  <c r="I36" i="25" s="1"/>
  <c r="D36" i="25"/>
  <c r="C36" i="25"/>
  <c r="F36" i="25"/>
  <c r="J36" i="25" s="1"/>
  <c r="B37" i="25"/>
  <c r="I34" i="39"/>
  <c r="I36" i="4"/>
  <c r="G36" i="4"/>
  <c r="G34" i="17"/>
  <c r="I34" i="18"/>
  <c r="J34" i="18" s="1"/>
  <c r="K34" i="18" s="1"/>
  <c r="L34" i="18" s="1"/>
  <c r="M34" i="18" s="1"/>
  <c r="G34" i="39"/>
  <c r="I35" i="8"/>
  <c r="J35" i="8" s="1"/>
  <c r="K35" i="8" s="1"/>
  <c r="L35" i="8" s="1"/>
  <c r="M35" i="8" s="1"/>
  <c r="I34" i="19"/>
  <c r="I34" i="42"/>
  <c r="J34" i="42" s="1"/>
  <c r="H37" i="9"/>
  <c r="F37" i="9"/>
  <c r="G37" i="9" s="1"/>
  <c r="B38" i="9"/>
  <c r="E38" i="9" s="1"/>
  <c r="D37" i="9"/>
  <c r="C37" i="9"/>
  <c r="F36" i="8"/>
  <c r="G36" i="8" s="1"/>
  <c r="B37" i="8"/>
  <c r="E37" i="8" s="1"/>
  <c r="H36" i="8"/>
  <c r="C36" i="8"/>
  <c r="D36" i="8"/>
  <c r="I34" i="40"/>
  <c r="J34" i="40" s="1"/>
  <c r="K34" i="40" s="1"/>
  <c r="L34" i="40" s="1"/>
  <c r="F35" i="39"/>
  <c r="G35" i="39" s="1"/>
  <c r="B36" i="39"/>
  <c r="E36" i="39" s="1"/>
  <c r="H35" i="39"/>
  <c r="C35" i="39"/>
  <c r="D35" i="39"/>
  <c r="F35" i="41"/>
  <c r="G35" i="41" s="1"/>
  <c r="B36" i="41"/>
  <c r="E36" i="41" s="1"/>
  <c r="H35" i="41"/>
  <c r="C35" i="41"/>
  <c r="D35" i="41"/>
  <c r="F35" i="17"/>
  <c r="B36" i="17"/>
  <c r="E36" i="17" s="1"/>
  <c r="H35" i="17"/>
  <c r="D35" i="17"/>
  <c r="C35" i="17"/>
  <c r="F35" i="42"/>
  <c r="B36" i="42"/>
  <c r="E36" i="42" s="1"/>
  <c r="H35" i="42"/>
  <c r="D35" i="42"/>
  <c r="C35" i="42"/>
  <c r="F35" i="40"/>
  <c r="G35" i="40" s="1"/>
  <c r="B36" i="40"/>
  <c r="E36" i="40" s="1"/>
  <c r="H35" i="40"/>
  <c r="D35" i="40"/>
  <c r="C35" i="40"/>
  <c r="E35" i="42"/>
  <c r="F35" i="18"/>
  <c r="G35" i="18" s="1"/>
  <c r="B36" i="18"/>
  <c r="E36" i="18" s="1"/>
  <c r="H35" i="18"/>
  <c r="D35" i="18"/>
  <c r="C35" i="18"/>
  <c r="I36" i="9"/>
  <c r="J36" i="9" s="1"/>
  <c r="K36" i="9" s="1"/>
  <c r="L36" i="9" s="1"/>
  <c r="M36" i="9" s="1"/>
  <c r="H35" i="19"/>
  <c r="F35" i="19"/>
  <c r="G35" i="19" s="1"/>
  <c r="B36" i="19"/>
  <c r="E36" i="19" s="1"/>
  <c r="C35" i="19"/>
  <c r="D35" i="19"/>
  <c r="E35" i="17"/>
  <c r="H37" i="4"/>
  <c r="F37" i="4"/>
  <c r="G37" i="4" s="1"/>
  <c r="B38" i="4"/>
  <c r="E38" i="4" s="1"/>
  <c r="D37" i="4"/>
  <c r="C37" i="4"/>
  <c r="O32" i="26"/>
  <c r="P32" i="26" s="1"/>
  <c r="Q32" i="26" s="1"/>
  <c r="M34" i="40" l="1"/>
  <c r="J34" i="19"/>
  <c r="K34" i="19" s="1"/>
  <c r="L34" i="19" s="1"/>
  <c r="M34" i="19" s="1"/>
  <c r="K34" i="42"/>
  <c r="L34" i="42" s="1"/>
  <c r="M34" i="42" s="1"/>
  <c r="K34" i="41"/>
  <c r="L34" i="41" s="1"/>
  <c r="M34" i="41" s="1"/>
  <c r="J34" i="39"/>
  <c r="K34" i="39" s="1"/>
  <c r="L34" i="39" s="1"/>
  <c r="M34" i="39" s="1"/>
  <c r="J34" i="17"/>
  <c r="K34" i="17" s="1"/>
  <c r="L34" i="17" s="1"/>
  <c r="M34" i="17" s="1"/>
  <c r="I37" i="9"/>
  <c r="J37" i="9" s="1"/>
  <c r="K37" i="9" s="1"/>
  <c r="L37" i="9" s="1"/>
  <c r="M37" i="9" s="1"/>
  <c r="J36" i="4"/>
  <c r="K36" i="4" s="1"/>
  <c r="L36" i="4" s="1"/>
  <c r="M36" i="4" s="1"/>
  <c r="G38" i="26"/>
  <c r="G37" i="26"/>
  <c r="J37" i="26"/>
  <c r="B39" i="26"/>
  <c r="E39" i="26" s="1"/>
  <c r="C38" i="26"/>
  <c r="F38" i="26"/>
  <c r="J38" i="26" s="1"/>
  <c r="H38" i="26"/>
  <c r="I38" i="26" s="1"/>
  <c r="D38" i="26"/>
  <c r="O36" i="25"/>
  <c r="P36" i="25" s="1"/>
  <c r="Q36" i="25" s="1"/>
  <c r="B38" i="25"/>
  <c r="E38" i="25" s="1"/>
  <c r="H37" i="25"/>
  <c r="I37" i="25" s="1"/>
  <c r="D37" i="25"/>
  <c r="C37" i="25"/>
  <c r="F37" i="25"/>
  <c r="E37" i="25"/>
  <c r="G35" i="42"/>
  <c r="I35" i="18"/>
  <c r="J35" i="18" s="1"/>
  <c r="K35" i="18" s="1"/>
  <c r="L35" i="18" s="1"/>
  <c r="M35" i="18" s="1"/>
  <c r="G35" i="17"/>
  <c r="I35" i="42"/>
  <c r="I35" i="19"/>
  <c r="J35" i="19" s="1"/>
  <c r="I35" i="40"/>
  <c r="J35" i="40" s="1"/>
  <c r="K35" i="40" s="1"/>
  <c r="L35" i="40" s="1"/>
  <c r="M35" i="40" s="1"/>
  <c r="F36" i="17"/>
  <c r="G36" i="17" s="1"/>
  <c r="B37" i="17"/>
  <c r="H36" i="17"/>
  <c r="D36" i="17"/>
  <c r="C36" i="17"/>
  <c r="I35" i="39"/>
  <c r="J35" i="39" s="1"/>
  <c r="I36" i="8"/>
  <c r="J36" i="8" s="1"/>
  <c r="K36" i="8" s="1"/>
  <c r="L36" i="8" s="1"/>
  <c r="M36" i="8" s="1"/>
  <c r="F38" i="4"/>
  <c r="G38" i="4" s="1"/>
  <c r="B39" i="4"/>
  <c r="H38" i="4"/>
  <c r="D38" i="4"/>
  <c r="C38" i="4"/>
  <c r="I37" i="4"/>
  <c r="J37" i="4" s="1"/>
  <c r="I35" i="17"/>
  <c r="I35" i="41"/>
  <c r="J35" i="41" s="1"/>
  <c r="K35" i="41" s="1"/>
  <c r="L35" i="41" s="1"/>
  <c r="B37" i="18"/>
  <c r="H36" i="18"/>
  <c r="F36" i="18"/>
  <c r="G36" i="18" s="1"/>
  <c r="C36" i="18"/>
  <c r="D36" i="18"/>
  <c r="F36" i="40"/>
  <c r="G36" i="40" s="1"/>
  <c r="B37" i="40"/>
  <c r="H36" i="40"/>
  <c r="C36" i="40"/>
  <c r="D36" i="40"/>
  <c r="B37" i="42"/>
  <c r="E37" i="42" s="1"/>
  <c r="F36" i="42"/>
  <c r="G36" i="42" s="1"/>
  <c r="H36" i="42"/>
  <c r="D36" i="42"/>
  <c r="C36" i="42"/>
  <c r="B37" i="39"/>
  <c r="H36" i="39"/>
  <c r="F36" i="39"/>
  <c r="G36" i="39" s="1"/>
  <c r="C36" i="39"/>
  <c r="D36" i="39"/>
  <c r="F37" i="8"/>
  <c r="G37" i="8" s="1"/>
  <c r="B38" i="8"/>
  <c r="H37" i="8"/>
  <c r="C37" i="8"/>
  <c r="D37" i="8"/>
  <c r="F36" i="19"/>
  <c r="G36" i="19" s="1"/>
  <c r="B37" i="19"/>
  <c r="E37" i="19" s="1"/>
  <c r="H36" i="19"/>
  <c r="D36" i="19"/>
  <c r="C36" i="19"/>
  <c r="F36" i="41"/>
  <c r="G36" i="41" s="1"/>
  <c r="B37" i="41"/>
  <c r="E37" i="41" s="1"/>
  <c r="H36" i="41"/>
  <c r="C36" i="41"/>
  <c r="D36" i="41"/>
  <c r="F38" i="9"/>
  <c r="G38" i="9" s="1"/>
  <c r="B39" i="9"/>
  <c r="H38" i="9"/>
  <c r="D38" i="9"/>
  <c r="C38" i="9"/>
  <c r="O33" i="26"/>
  <c r="P33" i="26" s="1"/>
  <c r="Q33" i="26" s="1"/>
  <c r="K35" i="19" l="1"/>
  <c r="L35" i="19" s="1"/>
  <c r="M35" i="19" s="1"/>
  <c r="M35" i="41"/>
  <c r="K35" i="39"/>
  <c r="L35" i="39" s="1"/>
  <c r="M35" i="39" s="1"/>
  <c r="J35" i="42"/>
  <c r="K35" i="42" s="1"/>
  <c r="L35" i="42" s="1"/>
  <c r="M35" i="42" s="1"/>
  <c r="J35" i="17"/>
  <c r="K35" i="17" s="1"/>
  <c r="L35" i="17" s="1"/>
  <c r="M35" i="17" s="1"/>
  <c r="K37" i="4"/>
  <c r="L37" i="4" s="1"/>
  <c r="M37" i="4" s="1"/>
  <c r="G39" i="26"/>
  <c r="F39" i="26"/>
  <c r="J39" i="26" s="1"/>
  <c r="H39" i="26"/>
  <c r="I39" i="26" s="1"/>
  <c r="D39" i="26"/>
  <c r="B40" i="26"/>
  <c r="E40" i="26" s="1"/>
  <c r="C39" i="26"/>
  <c r="F38" i="25"/>
  <c r="J38" i="25" s="1"/>
  <c r="B39" i="25"/>
  <c r="E39" i="25" s="1"/>
  <c r="H38" i="25"/>
  <c r="I38" i="25" s="1"/>
  <c r="D38" i="25"/>
  <c r="C38" i="25"/>
  <c r="G38" i="25"/>
  <c r="G37" i="25"/>
  <c r="J37" i="25"/>
  <c r="O37" i="25" s="1"/>
  <c r="P37" i="25" s="1"/>
  <c r="Q37" i="25" s="1"/>
  <c r="I36" i="18"/>
  <c r="J36" i="18" s="1"/>
  <c r="K36" i="18" s="1"/>
  <c r="L36" i="18" s="1"/>
  <c r="M36" i="18" s="1"/>
  <c r="I38" i="4"/>
  <c r="J38" i="4" s="1"/>
  <c r="K38" i="4" s="1"/>
  <c r="L38" i="4" s="1"/>
  <c r="I38" i="9"/>
  <c r="J38" i="9" s="1"/>
  <c r="K38" i="9" s="1"/>
  <c r="L38" i="9" s="1"/>
  <c r="M38" i="9" s="1"/>
  <c r="I36" i="17"/>
  <c r="J36" i="17" s="1"/>
  <c r="I36" i="39"/>
  <c r="J36" i="39" s="1"/>
  <c r="K36" i="39" s="1"/>
  <c r="L36" i="39" s="1"/>
  <c r="I36" i="41"/>
  <c r="J36" i="41" s="1"/>
  <c r="K36" i="41" s="1"/>
  <c r="L36" i="41" s="1"/>
  <c r="M36" i="41" s="1"/>
  <c r="B39" i="8"/>
  <c r="H38" i="8"/>
  <c r="F38" i="8"/>
  <c r="C38" i="8"/>
  <c r="D38" i="8"/>
  <c r="H37" i="39"/>
  <c r="F37" i="39"/>
  <c r="B38" i="39"/>
  <c r="E38" i="39" s="1"/>
  <c r="D37" i="39"/>
  <c r="C37" i="39"/>
  <c r="F39" i="4"/>
  <c r="B40" i="4"/>
  <c r="E40" i="4" s="1"/>
  <c r="H39" i="4"/>
  <c r="D39" i="4"/>
  <c r="C39" i="4"/>
  <c r="B38" i="17"/>
  <c r="H37" i="17"/>
  <c r="F37" i="17"/>
  <c r="C37" i="17"/>
  <c r="D37" i="17"/>
  <c r="F39" i="9"/>
  <c r="B40" i="9"/>
  <c r="H39" i="9"/>
  <c r="D39" i="9"/>
  <c r="C39" i="9"/>
  <c r="B38" i="40"/>
  <c r="E38" i="40" s="1"/>
  <c r="H37" i="40"/>
  <c r="F37" i="40"/>
  <c r="D37" i="40"/>
  <c r="C37" i="40"/>
  <c r="H37" i="18"/>
  <c r="F37" i="18"/>
  <c r="B38" i="18"/>
  <c r="D37" i="18"/>
  <c r="C37" i="18"/>
  <c r="E39" i="9"/>
  <c r="B38" i="41"/>
  <c r="E38" i="41" s="1"/>
  <c r="H37" i="41"/>
  <c r="F37" i="41"/>
  <c r="G37" i="41" s="1"/>
  <c r="D37" i="41"/>
  <c r="C37" i="41"/>
  <c r="F37" i="19"/>
  <c r="G37" i="19" s="1"/>
  <c r="B38" i="19"/>
  <c r="E38" i="19" s="1"/>
  <c r="H37" i="19"/>
  <c r="D37" i="19"/>
  <c r="C37" i="19"/>
  <c r="I37" i="8"/>
  <c r="J37" i="8" s="1"/>
  <c r="K37" i="8" s="1"/>
  <c r="L37" i="8" s="1"/>
  <c r="M37" i="8" s="1"/>
  <c r="E38" i="8"/>
  <c r="E37" i="39"/>
  <c r="I36" i="42"/>
  <c r="J36" i="42" s="1"/>
  <c r="E39" i="4"/>
  <c r="E37" i="17"/>
  <c r="I36" i="19"/>
  <c r="J36" i="19" s="1"/>
  <c r="K36" i="19" s="1"/>
  <c r="L36" i="19" s="1"/>
  <c r="H37" i="42"/>
  <c r="F37" i="42"/>
  <c r="G37" i="42" s="1"/>
  <c r="B38" i="42"/>
  <c r="D37" i="42"/>
  <c r="C37" i="42"/>
  <c r="I36" i="40"/>
  <c r="J36" i="40" s="1"/>
  <c r="K36" i="40" s="1"/>
  <c r="L36" i="40" s="1"/>
  <c r="M36" i="40" s="1"/>
  <c r="E37" i="40"/>
  <c r="E37" i="18"/>
  <c r="O34" i="26"/>
  <c r="P34" i="26" s="1"/>
  <c r="Q34" i="26" s="1"/>
  <c r="M36" i="19" l="1"/>
  <c r="M36" i="39"/>
  <c r="K36" i="42"/>
  <c r="L36" i="42" s="1"/>
  <c r="M36" i="42" s="1"/>
  <c r="K36" i="17"/>
  <c r="L36" i="17" s="1"/>
  <c r="M36" i="17" s="1"/>
  <c r="G37" i="40"/>
  <c r="M38" i="4"/>
  <c r="G37" i="17"/>
  <c r="I37" i="42"/>
  <c r="J37" i="42" s="1"/>
  <c r="K37" i="42" s="1"/>
  <c r="L37" i="42" s="1"/>
  <c r="I37" i="40"/>
  <c r="G40" i="26"/>
  <c r="H40" i="26"/>
  <c r="I40" i="26" s="1"/>
  <c r="D40" i="26"/>
  <c r="B41" i="26"/>
  <c r="E41" i="26" s="1"/>
  <c r="C40" i="26"/>
  <c r="F40" i="26"/>
  <c r="J40" i="26" s="1"/>
  <c r="O38" i="25"/>
  <c r="P38" i="25" s="1"/>
  <c r="Q38" i="25" s="1"/>
  <c r="G39" i="25"/>
  <c r="G37" i="18"/>
  <c r="C39" i="25"/>
  <c r="F39" i="25"/>
  <c r="J39" i="25" s="1"/>
  <c r="B40" i="25"/>
  <c r="E40" i="25" s="1"/>
  <c r="H39" i="25"/>
  <c r="I39" i="25" s="1"/>
  <c r="D39" i="25"/>
  <c r="I37" i="41"/>
  <c r="J37" i="41" s="1"/>
  <c r="K37" i="41" s="1"/>
  <c r="L37" i="41" s="1"/>
  <c r="M37" i="41" s="1"/>
  <c r="I37" i="19"/>
  <c r="J37" i="19" s="1"/>
  <c r="K37" i="19" s="1"/>
  <c r="L37" i="19" s="1"/>
  <c r="M37" i="19" s="1"/>
  <c r="G39" i="4"/>
  <c r="G38" i="8"/>
  <c r="G37" i="39"/>
  <c r="I39" i="4"/>
  <c r="G39" i="9"/>
  <c r="I38" i="8"/>
  <c r="I39" i="9"/>
  <c r="B41" i="9"/>
  <c r="H40" i="9"/>
  <c r="F40" i="9"/>
  <c r="D40" i="9"/>
  <c r="C40" i="9"/>
  <c r="I37" i="17"/>
  <c r="H38" i="17"/>
  <c r="F38" i="17"/>
  <c r="B39" i="17"/>
  <c r="E39" i="17" s="1"/>
  <c r="D38" i="17"/>
  <c r="C38" i="17"/>
  <c r="B41" i="4"/>
  <c r="H40" i="4"/>
  <c r="F40" i="4"/>
  <c r="G40" i="4" s="1"/>
  <c r="D40" i="4"/>
  <c r="C40" i="4"/>
  <c r="I37" i="39"/>
  <c r="H38" i="42"/>
  <c r="F38" i="42"/>
  <c r="B39" i="42"/>
  <c r="C38" i="42"/>
  <c r="D38" i="42"/>
  <c r="F38" i="18"/>
  <c r="B39" i="18"/>
  <c r="E39" i="18" s="1"/>
  <c r="H38" i="18"/>
  <c r="D38" i="18"/>
  <c r="C38" i="18"/>
  <c r="H39" i="8"/>
  <c r="F39" i="8"/>
  <c r="B40" i="8"/>
  <c r="E40" i="8" s="1"/>
  <c r="C39" i="8"/>
  <c r="D39" i="8"/>
  <c r="E38" i="42"/>
  <c r="H38" i="40"/>
  <c r="F38" i="40"/>
  <c r="G38" i="40" s="1"/>
  <c r="B39" i="40"/>
  <c r="D38" i="40"/>
  <c r="C38" i="40"/>
  <c r="E40" i="9"/>
  <c r="E38" i="17"/>
  <c r="F38" i="39"/>
  <c r="G38" i="39" s="1"/>
  <c r="B39" i="39"/>
  <c r="H38" i="39"/>
  <c r="D38" i="39"/>
  <c r="C38" i="39"/>
  <c r="B39" i="19"/>
  <c r="H38" i="19"/>
  <c r="F38" i="19"/>
  <c r="G38" i="19" s="1"/>
  <c r="D38" i="19"/>
  <c r="C38" i="19"/>
  <c r="H38" i="41"/>
  <c r="F38" i="41"/>
  <c r="G38" i="41" s="1"/>
  <c r="B39" i="41"/>
  <c r="D38" i="41"/>
  <c r="C38" i="41"/>
  <c r="I37" i="18"/>
  <c r="J37" i="18" s="1"/>
  <c r="K37" i="18" s="1"/>
  <c r="L37" i="18" s="1"/>
  <c r="M37" i="18" s="1"/>
  <c r="E38" i="18"/>
  <c r="E39" i="8"/>
  <c r="O35" i="26"/>
  <c r="P35" i="26" s="1"/>
  <c r="Q35" i="26" s="1"/>
  <c r="J37" i="40" l="1"/>
  <c r="K37" i="40" s="1"/>
  <c r="L37" i="40" s="1"/>
  <c r="M37" i="40" s="1"/>
  <c r="M37" i="42"/>
  <c r="J37" i="17"/>
  <c r="K37" i="17" s="1"/>
  <c r="L37" i="17" s="1"/>
  <c r="M37" i="17" s="1"/>
  <c r="J37" i="39"/>
  <c r="K37" i="39" s="1"/>
  <c r="L37" i="39" s="1"/>
  <c r="M37" i="39" s="1"/>
  <c r="J38" i="8"/>
  <c r="K38" i="8" s="1"/>
  <c r="L38" i="8" s="1"/>
  <c r="M38" i="8" s="1"/>
  <c r="G38" i="18"/>
  <c r="I38" i="17"/>
  <c r="J39" i="9"/>
  <c r="K39" i="9" s="1"/>
  <c r="L39" i="9" s="1"/>
  <c r="M39" i="9" s="1"/>
  <c r="G41" i="26"/>
  <c r="H41" i="26"/>
  <c r="I41" i="26" s="1"/>
  <c r="D41" i="26"/>
  <c r="B42" i="26"/>
  <c r="E42" i="26" s="1"/>
  <c r="C41" i="26"/>
  <c r="F41" i="26"/>
  <c r="J41" i="26" s="1"/>
  <c r="H40" i="25"/>
  <c r="I40" i="25" s="1"/>
  <c r="D40" i="25"/>
  <c r="C40" i="25"/>
  <c r="F40" i="25"/>
  <c r="B41" i="25"/>
  <c r="O39" i="25"/>
  <c r="P39" i="25" s="1"/>
  <c r="Q39" i="25" s="1"/>
  <c r="G40" i="25"/>
  <c r="J40" i="25"/>
  <c r="I38" i="19"/>
  <c r="J38" i="19" s="1"/>
  <c r="K38" i="19" s="1"/>
  <c r="L38" i="19" s="1"/>
  <c r="M38" i="19" s="1"/>
  <c r="J39" i="4"/>
  <c r="K39" i="4" s="1"/>
  <c r="L39" i="4" s="1"/>
  <c r="M39" i="4" s="1"/>
  <c r="G40" i="9"/>
  <c r="G39" i="8"/>
  <c r="I40" i="9"/>
  <c r="I39" i="8"/>
  <c r="G38" i="17"/>
  <c r="I38" i="42"/>
  <c r="F39" i="41"/>
  <c r="B40" i="41"/>
  <c r="E40" i="41" s="1"/>
  <c r="H39" i="41"/>
  <c r="D39" i="41"/>
  <c r="C39" i="41"/>
  <c r="F39" i="40"/>
  <c r="B40" i="40"/>
  <c r="H39" i="40"/>
  <c r="C39" i="40"/>
  <c r="D39" i="40"/>
  <c r="H41" i="4"/>
  <c r="F41" i="4"/>
  <c r="B42" i="4"/>
  <c r="E42" i="4" s="1"/>
  <c r="C41" i="4"/>
  <c r="D41" i="4"/>
  <c r="H39" i="19"/>
  <c r="F39" i="19"/>
  <c r="B40" i="19"/>
  <c r="E40" i="19" s="1"/>
  <c r="D39" i="19"/>
  <c r="C39" i="19"/>
  <c r="F39" i="42"/>
  <c r="H39" i="42"/>
  <c r="B40" i="42"/>
  <c r="C39" i="42"/>
  <c r="D39" i="42"/>
  <c r="H41" i="9"/>
  <c r="F41" i="9"/>
  <c r="B42" i="9"/>
  <c r="C41" i="9"/>
  <c r="D41" i="9"/>
  <c r="F39" i="39"/>
  <c r="B40" i="39"/>
  <c r="H39" i="39"/>
  <c r="D39" i="39"/>
  <c r="C39" i="39"/>
  <c r="I38" i="41"/>
  <c r="J38" i="41" s="1"/>
  <c r="K38" i="41" s="1"/>
  <c r="L38" i="41" s="1"/>
  <c r="M38" i="41" s="1"/>
  <c r="E39" i="41"/>
  <c r="I38" i="39"/>
  <c r="J38" i="39" s="1"/>
  <c r="I38" i="40"/>
  <c r="J38" i="40" s="1"/>
  <c r="K38" i="40" s="1"/>
  <c r="L38" i="40" s="1"/>
  <c r="M38" i="40" s="1"/>
  <c r="E39" i="40"/>
  <c r="G38" i="42"/>
  <c r="F39" i="18"/>
  <c r="G39" i="18" s="1"/>
  <c r="B40" i="18"/>
  <c r="E40" i="18" s="1"/>
  <c r="H39" i="18"/>
  <c r="D39" i="18"/>
  <c r="C39" i="18"/>
  <c r="E39" i="42"/>
  <c r="I40" i="4"/>
  <c r="J40" i="4" s="1"/>
  <c r="E41" i="4"/>
  <c r="E39" i="19"/>
  <c r="E39" i="39"/>
  <c r="F40" i="8"/>
  <c r="G40" i="8" s="1"/>
  <c r="B41" i="8"/>
  <c r="H40" i="8"/>
  <c r="D40" i="8"/>
  <c r="C40" i="8"/>
  <c r="I38" i="18"/>
  <c r="F39" i="17"/>
  <c r="G39" i="17" s="1"/>
  <c r="B40" i="17"/>
  <c r="H39" i="17"/>
  <c r="D39" i="17"/>
  <c r="C39" i="17"/>
  <c r="E41" i="9"/>
  <c r="O36" i="26"/>
  <c r="P36" i="26" s="1"/>
  <c r="Q36" i="26" s="1"/>
  <c r="K38" i="39" l="1"/>
  <c r="L38" i="39" s="1"/>
  <c r="M38" i="39" s="1"/>
  <c r="J38" i="18"/>
  <c r="K38" i="18" s="1"/>
  <c r="L38" i="18" s="1"/>
  <c r="M38" i="18" s="1"/>
  <c r="J38" i="17"/>
  <c r="K38" i="17" s="1"/>
  <c r="L38" i="17" s="1"/>
  <c r="M38" i="17" s="1"/>
  <c r="J38" i="42"/>
  <c r="K38" i="42" s="1"/>
  <c r="L38" i="42" s="1"/>
  <c r="M38" i="42" s="1"/>
  <c r="J40" i="9"/>
  <c r="K40" i="9" s="1"/>
  <c r="L40" i="9" s="1"/>
  <c r="M40" i="9" s="1"/>
  <c r="G39" i="39"/>
  <c r="G39" i="42"/>
  <c r="G39" i="41"/>
  <c r="G39" i="40"/>
  <c r="K40" i="4"/>
  <c r="L40" i="4" s="1"/>
  <c r="M40" i="4" s="1"/>
  <c r="J39" i="8"/>
  <c r="K39" i="8" s="1"/>
  <c r="L39" i="8" s="1"/>
  <c r="M39" i="8" s="1"/>
  <c r="G42" i="26"/>
  <c r="B43" i="26"/>
  <c r="C42" i="26"/>
  <c r="F42" i="26"/>
  <c r="J42" i="26" s="1"/>
  <c r="H42" i="26"/>
  <c r="I42" i="26" s="1"/>
  <c r="D42" i="26"/>
  <c r="O40" i="25"/>
  <c r="P40" i="25" s="1"/>
  <c r="Q40" i="25" s="1"/>
  <c r="B42" i="25"/>
  <c r="E42" i="25" s="1"/>
  <c r="H41" i="25"/>
  <c r="I41" i="25" s="1"/>
  <c r="D41" i="25"/>
  <c r="C41" i="25"/>
  <c r="F41" i="25"/>
  <c r="E41" i="25"/>
  <c r="G39" i="19"/>
  <c r="G41" i="4"/>
  <c r="G41" i="9"/>
  <c r="I39" i="19"/>
  <c r="I39" i="18"/>
  <c r="J39" i="18" s="1"/>
  <c r="I39" i="39"/>
  <c r="I39" i="40"/>
  <c r="I39" i="41"/>
  <c r="I41" i="9"/>
  <c r="I39" i="42"/>
  <c r="B41" i="39"/>
  <c r="H40" i="39"/>
  <c r="F40" i="39"/>
  <c r="D40" i="39"/>
  <c r="C40" i="39"/>
  <c r="B41" i="42"/>
  <c r="H40" i="42"/>
  <c r="F40" i="42"/>
  <c r="C40" i="42"/>
  <c r="D40" i="42"/>
  <c r="F41" i="8"/>
  <c r="B42" i="8"/>
  <c r="H41" i="8"/>
  <c r="C41" i="8"/>
  <c r="D41" i="8"/>
  <c r="F40" i="17"/>
  <c r="B41" i="17"/>
  <c r="E41" i="17" s="1"/>
  <c r="H40" i="17"/>
  <c r="C40" i="17"/>
  <c r="D40" i="17"/>
  <c r="F42" i="9"/>
  <c r="B43" i="9"/>
  <c r="H42" i="9"/>
  <c r="C42" i="9"/>
  <c r="D42" i="9"/>
  <c r="F40" i="40"/>
  <c r="B41" i="40"/>
  <c r="H40" i="40"/>
  <c r="C40" i="40"/>
  <c r="D40" i="40"/>
  <c r="I40" i="8"/>
  <c r="J40" i="8" s="1"/>
  <c r="I39" i="17"/>
  <c r="J39" i="17" s="1"/>
  <c r="E41" i="8"/>
  <c r="E40" i="39"/>
  <c r="I41" i="4"/>
  <c r="E40" i="17"/>
  <c r="B41" i="18"/>
  <c r="E41" i="18" s="1"/>
  <c r="H40" i="18"/>
  <c r="F40" i="18"/>
  <c r="G40" i="18" s="1"/>
  <c r="C40" i="18"/>
  <c r="D40" i="18"/>
  <c r="E42" i="9"/>
  <c r="E40" i="42"/>
  <c r="F40" i="19"/>
  <c r="G40" i="19" s="1"/>
  <c r="B41" i="19"/>
  <c r="E41" i="19" s="1"/>
  <c r="H40" i="19"/>
  <c r="C40" i="19"/>
  <c r="D40" i="19"/>
  <c r="F42" i="4"/>
  <c r="G42" i="4" s="1"/>
  <c r="B43" i="4"/>
  <c r="H42" i="4"/>
  <c r="D42" i="4"/>
  <c r="C42" i="4"/>
  <c r="E40" i="40"/>
  <c r="F40" i="41"/>
  <c r="G40" i="41" s="1"/>
  <c r="B41" i="41"/>
  <c r="E41" i="41" s="1"/>
  <c r="H40" i="41"/>
  <c r="D40" i="41"/>
  <c r="C40" i="41"/>
  <c r="O37" i="26"/>
  <c r="P37" i="26" s="1"/>
  <c r="Q37" i="26" s="1"/>
  <c r="K39" i="18" l="1"/>
  <c r="L39" i="18" s="1"/>
  <c r="M39" i="18" s="1"/>
  <c r="G40" i="17"/>
  <c r="K39" i="17"/>
  <c r="L39" i="17" s="1"/>
  <c r="M39" i="17" s="1"/>
  <c r="J39" i="39"/>
  <c r="K39" i="39" s="1"/>
  <c r="L39" i="39" s="1"/>
  <c r="M39" i="39" s="1"/>
  <c r="J39" i="41"/>
  <c r="K39" i="41" s="1"/>
  <c r="L39" i="41" s="1"/>
  <c r="M39" i="41" s="1"/>
  <c r="J39" i="40"/>
  <c r="K39" i="40" s="1"/>
  <c r="L39" i="40" s="1"/>
  <c r="M39" i="40" s="1"/>
  <c r="J39" i="42"/>
  <c r="K39" i="42" s="1"/>
  <c r="L39" i="42" s="1"/>
  <c r="M39" i="42" s="1"/>
  <c r="J41" i="4"/>
  <c r="K41" i="4" s="1"/>
  <c r="L41" i="4" s="1"/>
  <c r="M41" i="4" s="1"/>
  <c r="J41" i="9"/>
  <c r="K41" i="9" s="1"/>
  <c r="L41" i="9" s="1"/>
  <c r="M41" i="9" s="1"/>
  <c r="G40" i="42"/>
  <c r="K40" i="8"/>
  <c r="L40" i="8" s="1"/>
  <c r="M40" i="8" s="1"/>
  <c r="J39" i="19"/>
  <c r="K39" i="19" s="1"/>
  <c r="L39" i="19" s="1"/>
  <c r="M39" i="19" s="1"/>
  <c r="G40" i="39"/>
  <c r="F43" i="26"/>
  <c r="H43" i="26"/>
  <c r="I43" i="26" s="1"/>
  <c r="D43" i="26"/>
  <c r="B44" i="26"/>
  <c r="C43" i="26"/>
  <c r="E43" i="26"/>
  <c r="G42" i="25"/>
  <c r="F42" i="25"/>
  <c r="J42" i="25" s="1"/>
  <c r="B43" i="25"/>
  <c r="H42" i="25"/>
  <c r="I42" i="25" s="1"/>
  <c r="D42" i="25"/>
  <c r="C42" i="25"/>
  <c r="G41" i="25"/>
  <c r="J41" i="25"/>
  <c r="O41" i="25" s="1"/>
  <c r="P41" i="25" s="1"/>
  <c r="Q41" i="25" s="1"/>
  <c r="I40" i="40"/>
  <c r="G42" i="9"/>
  <c r="I40" i="18"/>
  <c r="J40" i="18" s="1"/>
  <c r="K40" i="18" s="1"/>
  <c r="L40" i="18" s="1"/>
  <c r="G41" i="8"/>
  <c r="I40" i="41"/>
  <c r="J40" i="41" s="1"/>
  <c r="G40" i="40"/>
  <c r="I40" i="42"/>
  <c r="I40" i="39"/>
  <c r="I42" i="4"/>
  <c r="J42" i="4" s="1"/>
  <c r="F43" i="4"/>
  <c r="B44" i="4"/>
  <c r="H43" i="4"/>
  <c r="D43" i="4"/>
  <c r="C43" i="4"/>
  <c r="I40" i="19"/>
  <c r="J40" i="19" s="1"/>
  <c r="F43" i="9"/>
  <c r="B44" i="9"/>
  <c r="H43" i="9"/>
  <c r="D43" i="9"/>
  <c r="C43" i="9"/>
  <c r="I40" i="17"/>
  <c r="B43" i="8"/>
  <c r="H42" i="8"/>
  <c r="F42" i="8"/>
  <c r="C42" i="8"/>
  <c r="D42" i="8"/>
  <c r="H41" i="39"/>
  <c r="F41" i="39"/>
  <c r="B42" i="39"/>
  <c r="C41" i="39"/>
  <c r="D41" i="39"/>
  <c r="B42" i="40"/>
  <c r="H41" i="40"/>
  <c r="F41" i="40"/>
  <c r="C41" i="40"/>
  <c r="D41" i="40"/>
  <c r="H41" i="42"/>
  <c r="B42" i="42"/>
  <c r="E42" i="42" s="1"/>
  <c r="F41" i="42"/>
  <c r="C41" i="42"/>
  <c r="D41" i="42"/>
  <c r="E43" i="4"/>
  <c r="F41" i="19"/>
  <c r="G41" i="19" s="1"/>
  <c r="B42" i="19"/>
  <c r="E42" i="19" s="1"/>
  <c r="H41" i="19"/>
  <c r="C41" i="19"/>
  <c r="D41" i="19"/>
  <c r="I42" i="9"/>
  <c r="E43" i="9"/>
  <c r="B42" i="17"/>
  <c r="H41" i="17"/>
  <c r="F41" i="17"/>
  <c r="G41" i="17" s="1"/>
  <c r="C41" i="17"/>
  <c r="D41" i="17"/>
  <c r="I41" i="8"/>
  <c r="E42" i="8"/>
  <c r="E41" i="42"/>
  <c r="E41" i="39"/>
  <c r="B42" i="41"/>
  <c r="E42" i="41" s="1"/>
  <c r="H41" i="41"/>
  <c r="F41" i="41"/>
  <c r="G41" i="41" s="1"/>
  <c r="C41" i="41"/>
  <c r="D41" i="41"/>
  <c r="H41" i="18"/>
  <c r="F41" i="18"/>
  <c r="G41" i="18" s="1"/>
  <c r="B42" i="18"/>
  <c r="E42" i="18" s="1"/>
  <c r="C41" i="18"/>
  <c r="D41" i="18"/>
  <c r="E41" i="40"/>
  <c r="O38" i="26"/>
  <c r="P38" i="26" s="1"/>
  <c r="Q38" i="26" s="1"/>
  <c r="J40" i="42" l="1"/>
  <c r="K40" i="42" s="1"/>
  <c r="L40" i="42" s="1"/>
  <c r="M40" i="42" s="1"/>
  <c r="J40" i="17"/>
  <c r="K40" i="17" s="1"/>
  <c r="L40" i="17" s="1"/>
  <c r="M40" i="17" s="1"/>
  <c r="J42" i="9"/>
  <c r="K42" i="9" s="1"/>
  <c r="L42" i="9" s="1"/>
  <c r="M42" i="9" s="1"/>
  <c r="M40" i="18"/>
  <c r="K42" i="4"/>
  <c r="L42" i="4" s="1"/>
  <c r="M42" i="4" s="1"/>
  <c r="K40" i="41"/>
  <c r="L40" i="41" s="1"/>
  <c r="M40" i="41" s="1"/>
  <c r="J40" i="39"/>
  <c r="K40" i="39" s="1"/>
  <c r="L40" i="39" s="1"/>
  <c r="M40" i="39" s="1"/>
  <c r="J40" i="40"/>
  <c r="K40" i="40" s="1"/>
  <c r="L40" i="40" s="1"/>
  <c r="M40" i="40" s="1"/>
  <c r="J41" i="8"/>
  <c r="K41" i="8" s="1"/>
  <c r="L41" i="8" s="1"/>
  <c r="M41" i="8" s="1"/>
  <c r="K40" i="19"/>
  <c r="L40" i="19" s="1"/>
  <c r="M40" i="19" s="1"/>
  <c r="G41" i="39"/>
  <c r="G41" i="40"/>
  <c r="J43" i="26"/>
  <c r="G43" i="26"/>
  <c r="H44" i="26"/>
  <c r="I44" i="26" s="1"/>
  <c r="D44" i="26"/>
  <c r="B45" i="26"/>
  <c r="E45" i="26" s="1"/>
  <c r="C44" i="26"/>
  <c r="F44" i="26"/>
  <c r="E44" i="26"/>
  <c r="C43" i="25"/>
  <c r="F43" i="25"/>
  <c r="B44" i="25"/>
  <c r="E44" i="25" s="1"/>
  <c r="H43" i="25"/>
  <c r="I43" i="25" s="1"/>
  <c r="D43" i="25"/>
  <c r="O42" i="25"/>
  <c r="P42" i="25" s="1"/>
  <c r="Q42" i="25" s="1"/>
  <c r="E43" i="25"/>
  <c r="I41" i="19"/>
  <c r="J41" i="19" s="1"/>
  <c r="K41" i="19" s="1"/>
  <c r="L41" i="19" s="1"/>
  <c r="I41" i="42"/>
  <c r="I41" i="18"/>
  <c r="J41" i="18" s="1"/>
  <c r="K41" i="18" s="1"/>
  <c r="L41" i="18" s="1"/>
  <c r="M41" i="18" s="1"/>
  <c r="I41" i="39"/>
  <c r="G43" i="4"/>
  <c r="G43" i="9"/>
  <c r="G42" i="8"/>
  <c r="G41" i="42"/>
  <c r="I41" i="17"/>
  <c r="J41" i="17" s="1"/>
  <c r="I43" i="9"/>
  <c r="J43" i="9" s="1"/>
  <c r="I41" i="40"/>
  <c r="I43" i="4"/>
  <c r="H42" i="40"/>
  <c r="F42" i="40"/>
  <c r="B43" i="40"/>
  <c r="D42" i="40"/>
  <c r="C42" i="40"/>
  <c r="F42" i="39"/>
  <c r="B43" i="39"/>
  <c r="E43" i="39" s="1"/>
  <c r="H42" i="39"/>
  <c r="D42" i="39"/>
  <c r="C42" i="39"/>
  <c r="B45" i="9"/>
  <c r="H44" i="9"/>
  <c r="F44" i="9"/>
  <c r="C44" i="9"/>
  <c r="D44" i="9"/>
  <c r="B45" i="4"/>
  <c r="H44" i="4"/>
  <c r="F44" i="4"/>
  <c r="D44" i="4"/>
  <c r="C44" i="4"/>
  <c r="H42" i="17"/>
  <c r="F42" i="17"/>
  <c r="B43" i="17"/>
  <c r="E43" i="17" s="1"/>
  <c r="D42" i="17"/>
  <c r="C42" i="17"/>
  <c r="I42" i="8"/>
  <c r="H43" i="8"/>
  <c r="F43" i="8"/>
  <c r="B44" i="8"/>
  <c r="E44" i="8" s="1"/>
  <c r="D43" i="8"/>
  <c r="C43" i="8"/>
  <c r="I41" i="41"/>
  <c r="J41" i="41" s="1"/>
  <c r="K41" i="41" s="1"/>
  <c r="L41" i="41" s="1"/>
  <c r="H42" i="41"/>
  <c r="F42" i="41"/>
  <c r="G42" i="41" s="1"/>
  <c r="B43" i="41"/>
  <c r="E43" i="41" s="1"/>
  <c r="C42" i="41"/>
  <c r="D42" i="41"/>
  <c r="E42" i="17"/>
  <c r="B43" i="19"/>
  <c r="E43" i="19" s="1"/>
  <c r="H42" i="19"/>
  <c r="F42" i="19"/>
  <c r="G42" i="19" s="1"/>
  <c r="C42" i="19"/>
  <c r="D42" i="19"/>
  <c r="B43" i="42"/>
  <c r="E43" i="42" s="1"/>
  <c r="H42" i="42"/>
  <c r="F42" i="42"/>
  <c r="G42" i="42" s="1"/>
  <c r="C42" i="42"/>
  <c r="D42" i="42"/>
  <c r="E42" i="40"/>
  <c r="E42" i="39"/>
  <c r="E44" i="9"/>
  <c r="F42" i="18"/>
  <c r="G42" i="18" s="1"/>
  <c r="B43" i="18"/>
  <c r="E43" i="18" s="1"/>
  <c r="H42" i="18"/>
  <c r="D42" i="18"/>
  <c r="C42" i="18"/>
  <c r="E43" i="8"/>
  <c r="E44" i="4"/>
  <c r="O39" i="26"/>
  <c r="P39" i="26" s="1"/>
  <c r="Q39" i="26" s="1"/>
  <c r="K41" i="17" l="1"/>
  <c r="L41" i="17" s="1"/>
  <c r="M41" i="17" s="1"/>
  <c r="K43" i="9"/>
  <c r="L43" i="9" s="1"/>
  <c r="M43" i="9" s="1"/>
  <c r="M41" i="41"/>
  <c r="G42" i="39"/>
  <c r="J41" i="40"/>
  <c r="K41" i="40" s="1"/>
  <c r="L41" i="40" s="1"/>
  <c r="M41" i="40" s="1"/>
  <c r="J41" i="42"/>
  <c r="K41" i="42" s="1"/>
  <c r="L41" i="42" s="1"/>
  <c r="M41" i="42" s="1"/>
  <c r="J41" i="39"/>
  <c r="K41" i="39" s="1"/>
  <c r="L41" i="39" s="1"/>
  <c r="M41" i="39" s="1"/>
  <c r="J42" i="8"/>
  <c r="K42" i="8" s="1"/>
  <c r="L42" i="8" s="1"/>
  <c r="M42" i="8" s="1"/>
  <c r="G43" i="8"/>
  <c r="M41" i="19"/>
  <c r="J43" i="4"/>
  <c r="K43" i="4" s="1"/>
  <c r="L43" i="4" s="1"/>
  <c r="M43" i="4" s="1"/>
  <c r="G42" i="40"/>
  <c r="I43" i="8"/>
  <c r="J43" i="8" s="1"/>
  <c r="I42" i="40"/>
  <c r="I42" i="41"/>
  <c r="J42" i="41" s="1"/>
  <c r="K42" i="41" s="1"/>
  <c r="L42" i="41" s="1"/>
  <c r="M42" i="41" s="1"/>
  <c r="G45" i="26"/>
  <c r="G44" i="26"/>
  <c r="J44" i="26"/>
  <c r="H45" i="26"/>
  <c r="I45" i="26" s="1"/>
  <c r="D45" i="26"/>
  <c r="B46" i="26"/>
  <c r="C45" i="26"/>
  <c r="F45" i="26"/>
  <c r="J45" i="26" s="1"/>
  <c r="G44" i="25"/>
  <c r="H44" i="25"/>
  <c r="I44" i="25" s="1"/>
  <c r="D44" i="25"/>
  <c r="C44" i="25"/>
  <c r="F44" i="25"/>
  <c r="J44" i="25" s="1"/>
  <c r="B45" i="25"/>
  <c r="G43" i="25"/>
  <c r="J43" i="25"/>
  <c r="O43" i="25" s="1"/>
  <c r="P43" i="25" s="1"/>
  <c r="Q43" i="25" s="1"/>
  <c r="I42" i="42"/>
  <c r="J42" i="42" s="1"/>
  <c r="I42" i="39"/>
  <c r="J42" i="39" s="1"/>
  <c r="I44" i="9"/>
  <c r="G44" i="4"/>
  <c r="I44" i="4"/>
  <c r="G44" i="9"/>
  <c r="G42" i="17"/>
  <c r="I42" i="18"/>
  <c r="J42" i="18" s="1"/>
  <c r="K42" i="18" s="1"/>
  <c r="L42" i="18" s="1"/>
  <c r="M42" i="18" s="1"/>
  <c r="B46" i="4"/>
  <c r="E46" i="4" s="1"/>
  <c r="H45" i="4"/>
  <c r="F45" i="4"/>
  <c r="D45" i="4"/>
  <c r="C45" i="4"/>
  <c r="F43" i="40"/>
  <c r="B44" i="40"/>
  <c r="H43" i="40"/>
  <c r="D43" i="40"/>
  <c r="C43" i="40"/>
  <c r="I42" i="19"/>
  <c r="J42" i="19" s="1"/>
  <c r="K42" i="19" s="1"/>
  <c r="L42" i="19" s="1"/>
  <c r="M42" i="19" s="1"/>
  <c r="H43" i="19"/>
  <c r="F43" i="19"/>
  <c r="G43" i="19" s="1"/>
  <c r="B44" i="19"/>
  <c r="C43" i="19"/>
  <c r="D43" i="19"/>
  <c r="F43" i="41"/>
  <c r="G43" i="41" s="1"/>
  <c r="B44" i="41"/>
  <c r="H43" i="41"/>
  <c r="C43" i="41"/>
  <c r="D43" i="41"/>
  <c r="I42" i="17"/>
  <c r="E45" i="4"/>
  <c r="H44" i="8"/>
  <c r="F44" i="8"/>
  <c r="G44" i="8" s="1"/>
  <c r="B45" i="8"/>
  <c r="D44" i="8"/>
  <c r="C44" i="8"/>
  <c r="B46" i="9"/>
  <c r="E46" i="9" s="1"/>
  <c r="H45" i="9"/>
  <c r="F45" i="9"/>
  <c r="C45" i="9"/>
  <c r="D45" i="9"/>
  <c r="E43" i="40"/>
  <c r="F43" i="18"/>
  <c r="G43" i="18" s="1"/>
  <c r="B44" i="18"/>
  <c r="H43" i="18"/>
  <c r="D43" i="18"/>
  <c r="C43" i="18"/>
  <c r="F43" i="42"/>
  <c r="G43" i="42" s="1"/>
  <c r="B44" i="42"/>
  <c r="H43" i="42"/>
  <c r="D43" i="42"/>
  <c r="C43" i="42"/>
  <c r="F43" i="17"/>
  <c r="G43" i="17" s="1"/>
  <c r="B44" i="17"/>
  <c r="E44" i="17" s="1"/>
  <c r="H43" i="17"/>
  <c r="C43" i="17"/>
  <c r="D43" i="17"/>
  <c r="E45" i="9"/>
  <c r="F43" i="39"/>
  <c r="G43" i="39" s="1"/>
  <c r="B44" i="39"/>
  <c r="H43" i="39"/>
  <c r="D43" i="39"/>
  <c r="C43" i="39"/>
  <c r="O40" i="26"/>
  <c r="P40" i="26" s="1"/>
  <c r="Q40" i="26" s="1"/>
  <c r="K42" i="42" l="1"/>
  <c r="L42" i="42" s="1"/>
  <c r="M42" i="42" s="1"/>
  <c r="K42" i="39"/>
  <c r="L42" i="39" s="1"/>
  <c r="M42" i="39" s="1"/>
  <c r="K43" i="8"/>
  <c r="L43" i="8" s="1"/>
  <c r="M43" i="8" s="1"/>
  <c r="J42" i="17"/>
  <c r="K42" i="17" s="1"/>
  <c r="L42" i="17" s="1"/>
  <c r="M42" i="17" s="1"/>
  <c r="J42" i="40"/>
  <c r="K42" i="40" s="1"/>
  <c r="L42" i="40" s="1"/>
  <c r="M42" i="40" s="1"/>
  <c r="J44" i="9"/>
  <c r="K44" i="9" s="1"/>
  <c r="L44" i="9" s="1"/>
  <c r="M44" i="9" s="1"/>
  <c r="J44" i="4"/>
  <c r="K44" i="4" s="1"/>
  <c r="L44" i="4" s="1"/>
  <c r="M44" i="4" s="1"/>
  <c r="B47" i="26"/>
  <c r="E47" i="26" s="1"/>
  <c r="C46" i="26"/>
  <c r="F46" i="26"/>
  <c r="H46" i="26"/>
  <c r="I46" i="26" s="1"/>
  <c r="D46" i="26"/>
  <c r="E46" i="26"/>
  <c r="O44" i="25"/>
  <c r="P44" i="25" s="1"/>
  <c r="Q44" i="25" s="1"/>
  <c r="B46" i="25"/>
  <c r="E46" i="25" s="1"/>
  <c r="H45" i="25"/>
  <c r="I45" i="25" s="1"/>
  <c r="D45" i="25"/>
  <c r="C45" i="25"/>
  <c r="F45" i="25"/>
  <c r="E45" i="25"/>
  <c r="G43" i="40"/>
  <c r="I43" i="18"/>
  <c r="J43" i="18" s="1"/>
  <c r="K43" i="18" s="1"/>
  <c r="L43" i="18" s="1"/>
  <c r="M43" i="18" s="1"/>
  <c r="G45" i="4"/>
  <c r="I45" i="9"/>
  <c r="G45" i="9"/>
  <c r="I45" i="4"/>
  <c r="I43" i="19"/>
  <c r="J43" i="19" s="1"/>
  <c r="K43" i="19" s="1"/>
  <c r="L43" i="19" s="1"/>
  <c r="M43" i="19" s="1"/>
  <c r="I43" i="40"/>
  <c r="I43" i="39"/>
  <c r="J43" i="39" s="1"/>
  <c r="K43" i="39" s="1"/>
  <c r="L43" i="39" s="1"/>
  <c r="I43" i="17"/>
  <c r="J43" i="17" s="1"/>
  <c r="I44" i="8"/>
  <c r="J44" i="8" s="1"/>
  <c r="K44" i="8" s="1"/>
  <c r="L44" i="8" s="1"/>
  <c r="B45" i="39"/>
  <c r="H44" i="39"/>
  <c r="F44" i="39"/>
  <c r="D44" i="39"/>
  <c r="C44" i="39"/>
  <c r="B45" i="18"/>
  <c r="H44" i="18"/>
  <c r="F44" i="18"/>
  <c r="D44" i="18"/>
  <c r="C44" i="18"/>
  <c r="F44" i="41"/>
  <c r="B45" i="41"/>
  <c r="H44" i="41"/>
  <c r="D44" i="41"/>
  <c r="C44" i="41"/>
  <c r="F44" i="40"/>
  <c r="B45" i="40"/>
  <c r="H44" i="40"/>
  <c r="D44" i="40"/>
  <c r="C44" i="40"/>
  <c r="F45" i="8"/>
  <c r="B46" i="8"/>
  <c r="E46" i="8" s="1"/>
  <c r="H45" i="8"/>
  <c r="C45" i="8"/>
  <c r="D45" i="8"/>
  <c r="H44" i="19"/>
  <c r="F44" i="19"/>
  <c r="B45" i="19"/>
  <c r="E45" i="19" s="1"/>
  <c r="C44" i="19"/>
  <c r="D44" i="19"/>
  <c r="B45" i="42"/>
  <c r="E45" i="42" s="1"/>
  <c r="H44" i="42"/>
  <c r="F44" i="42"/>
  <c r="D44" i="42"/>
  <c r="C44" i="42"/>
  <c r="E44" i="39"/>
  <c r="I43" i="42"/>
  <c r="J43" i="42" s="1"/>
  <c r="K43" i="42" s="1"/>
  <c r="L43" i="42" s="1"/>
  <c r="E44" i="18"/>
  <c r="H46" i="9"/>
  <c r="F46" i="9"/>
  <c r="G46" i="9" s="1"/>
  <c r="B47" i="9"/>
  <c r="C46" i="9"/>
  <c r="D46" i="9"/>
  <c r="E45" i="8"/>
  <c r="I43" i="41"/>
  <c r="J43" i="41" s="1"/>
  <c r="K43" i="41" s="1"/>
  <c r="L43" i="41" s="1"/>
  <c r="M43" i="41" s="1"/>
  <c r="E44" i="41"/>
  <c r="E44" i="40"/>
  <c r="H46" i="4"/>
  <c r="F46" i="4"/>
  <c r="G46" i="4" s="1"/>
  <c r="B47" i="4"/>
  <c r="D46" i="4"/>
  <c r="C46" i="4"/>
  <c r="F44" i="17"/>
  <c r="G44" i="17" s="1"/>
  <c r="B45" i="17"/>
  <c r="H44" i="17"/>
  <c r="C44" i="17"/>
  <c r="D44" i="17"/>
  <c r="E44" i="42"/>
  <c r="E44" i="19"/>
  <c r="O41" i="26"/>
  <c r="P41" i="26" s="1"/>
  <c r="Q41" i="26" s="1"/>
  <c r="J45" i="9" l="1"/>
  <c r="K45" i="9" s="1"/>
  <c r="L45" i="9" s="1"/>
  <c r="M45" i="9" s="1"/>
  <c r="J45" i="4"/>
  <c r="K45" i="4" s="1"/>
  <c r="L45" i="4" s="1"/>
  <c r="M45" i="4" s="1"/>
  <c r="M43" i="42"/>
  <c r="M44" i="8"/>
  <c r="M43" i="39"/>
  <c r="K43" i="17"/>
  <c r="L43" i="17" s="1"/>
  <c r="M43" i="17" s="1"/>
  <c r="G44" i="19"/>
  <c r="I46" i="9"/>
  <c r="J46" i="9" s="1"/>
  <c r="J43" i="40"/>
  <c r="K43" i="40" s="1"/>
  <c r="L43" i="40" s="1"/>
  <c r="M43" i="40" s="1"/>
  <c r="G44" i="40"/>
  <c r="G44" i="42"/>
  <c r="G44" i="18"/>
  <c r="G46" i="26"/>
  <c r="J46" i="26"/>
  <c r="G47" i="26"/>
  <c r="F47" i="26"/>
  <c r="J47" i="26" s="1"/>
  <c r="H47" i="26"/>
  <c r="I47" i="26" s="1"/>
  <c r="D47" i="26"/>
  <c r="B48" i="26"/>
  <c r="C47" i="26"/>
  <c r="G46" i="25"/>
  <c r="F46" i="25"/>
  <c r="J46" i="25" s="1"/>
  <c r="B47" i="25"/>
  <c r="E47" i="25" s="1"/>
  <c r="H46" i="25"/>
  <c r="I46" i="25" s="1"/>
  <c r="D46" i="25"/>
  <c r="C46" i="25"/>
  <c r="G45" i="25"/>
  <c r="J45" i="25"/>
  <c r="O45" i="25" s="1"/>
  <c r="P45" i="25" s="1"/>
  <c r="Q45" i="25" s="1"/>
  <c r="I44" i="41"/>
  <c r="I46" i="4"/>
  <c r="J46" i="4" s="1"/>
  <c r="G45" i="8"/>
  <c r="G44" i="41"/>
  <c r="G44" i="39"/>
  <c r="I45" i="8"/>
  <c r="I44" i="40"/>
  <c r="J44" i="40" s="1"/>
  <c r="I44" i="42"/>
  <c r="J44" i="42" s="1"/>
  <c r="K44" i="42" s="1"/>
  <c r="L44" i="42" s="1"/>
  <c r="M44" i="42" s="1"/>
  <c r="F47" i="9"/>
  <c r="B48" i="9"/>
  <c r="H47" i="9"/>
  <c r="D47" i="9"/>
  <c r="C47" i="9"/>
  <c r="F46" i="8"/>
  <c r="G46" i="8" s="1"/>
  <c r="B47" i="8"/>
  <c r="E47" i="8" s="1"/>
  <c r="H46" i="8"/>
  <c r="C46" i="8"/>
  <c r="D46" i="8"/>
  <c r="F45" i="40"/>
  <c r="B46" i="40"/>
  <c r="H45" i="40"/>
  <c r="D45" i="40"/>
  <c r="C45" i="40"/>
  <c r="F47" i="4"/>
  <c r="B48" i="4"/>
  <c r="E48" i="4" s="1"/>
  <c r="H47" i="4"/>
  <c r="D47" i="4"/>
  <c r="C47" i="4"/>
  <c r="B46" i="42"/>
  <c r="E46" i="42" s="1"/>
  <c r="F45" i="42"/>
  <c r="G45" i="42" s="1"/>
  <c r="H45" i="42"/>
  <c r="D45" i="42"/>
  <c r="C45" i="42"/>
  <c r="F45" i="19"/>
  <c r="G45" i="19" s="1"/>
  <c r="B46" i="19"/>
  <c r="H45" i="19"/>
  <c r="D45" i="19"/>
  <c r="C45" i="19"/>
  <c r="E45" i="40"/>
  <c r="F45" i="17"/>
  <c r="B46" i="17"/>
  <c r="H45" i="17"/>
  <c r="D45" i="17"/>
  <c r="C45" i="17"/>
  <c r="E47" i="9"/>
  <c r="F45" i="41"/>
  <c r="B46" i="41"/>
  <c r="E46" i="41" s="1"/>
  <c r="H45" i="41"/>
  <c r="C45" i="41"/>
  <c r="D45" i="41"/>
  <c r="B46" i="18"/>
  <c r="E46" i="18" s="1"/>
  <c r="H45" i="18"/>
  <c r="F45" i="18"/>
  <c r="C45" i="18"/>
  <c r="D45" i="18"/>
  <c r="B46" i="39"/>
  <c r="E46" i="39" s="1"/>
  <c r="H45" i="39"/>
  <c r="F45" i="39"/>
  <c r="D45" i="39"/>
  <c r="C45" i="39"/>
  <c r="E47" i="4"/>
  <c r="I44" i="17"/>
  <c r="J44" i="17" s="1"/>
  <c r="K44" i="17" s="1"/>
  <c r="L44" i="17" s="1"/>
  <c r="E45" i="17"/>
  <c r="I44" i="19"/>
  <c r="J44" i="19" s="1"/>
  <c r="K44" i="19" s="1"/>
  <c r="L44" i="19" s="1"/>
  <c r="M44" i="19" s="1"/>
  <c r="E45" i="41"/>
  <c r="I44" i="18"/>
  <c r="J44" i="18" s="1"/>
  <c r="K44" i="18" s="1"/>
  <c r="L44" i="18" s="1"/>
  <c r="M44" i="18" s="1"/>
  <c r="E45" i="18"/>
  <c r="I44" i="39"/>
  <c r="E45" i="39"/>
  <c r="O42" i="26"/>
  <c r="P42" i="26" s="1"/>
  <c r="Q42" i="26" s="1"/>
  <c r="K46" i="9" l="1"/>
  <c r="L46" i="9" s="1"/>
  <c r="M46" i="9" s="1"/>
  <c r="K46" i="4"/>
  <c r="L46" i="4" s="1"/>
  <c r="M46" i="4" s="1"/>
  <c r="J45" i="8"/>
  <c r="K45" i="8" s="1"/>
  <c r="L45" i="8" s="1"/>
  <c r="M45" i="8" s="1"/>
  <c r="G45" i="40"/>
  <c r="M44" i="17"/>
  <c r="K44" i="40"/>
  <c r="L44" i="40" s="1"/>
  <c r="M44" i="40" s="1"/>
  <c r="I45" i="17"/>
  <c r="G45" i="17"/>
  <c r="G45" i="18"/>
  <c r="I45" i="39"/>
  <c r="H48" i="26"/>
  <c r="I48" i="26" s="1"/>
  <c r="D48" i="26"/>
  <c r="B49" i="26"/>
  <c r="C48" i="26"/>
  <c r="F48" i="26"/>
  <c r="E48" i="26"/>
  <c r="O46" i="25"/>
  <c r="P46" i="25" s="1"/>
  <c r="Q46" i="25" s="1"/>
  <c r="G47" i="25"/>
  <c r="C47" i="25"/>
  <c r="F47" i="25"/>
  <c r="J47" i="25" s="1"/>
  <c r="B48" i="25"/>
  <c r="E48" i="25" s="1"/>
  <c r="H47" i="25"/>
  <c r="I47" i="25" s="1"/>
  <c r="D47" i="25"/>
  <c r="I45" i="42"/>
  <c r="J45" i="42" s="1"/>
  <c r="K45" i="42" s="1"/>
  <c r="L45" i="42" s="1"/>
  <c r="M45" i="42" s="1"/>
  <c r="J44" i="41"/>
  <c r="K44" i="41" s="1"/>
  <c r="L44" i="41" s="1"/>
  <c r="M44" i="41" s="1"/>
  <c r="J44" i="39"/>
  <c r="K44" i="39" s="1"/>
  <c r="L44" i="39" s="1"/>
  <c r="M44" i="39" s="1"/>
  <c r="G45" i="41"/>
  <c r="I45" i="18"/>
  <c r="G47" i="4"/>
  <c r="G47" i="9"/>
  <c r="G45" i="39"/>
  <c r="I45" i="19"/>
  <c r="J45" i="19" s="1"/>
  <c r="K45" i="19" s="1"/>
  <c r="L45" i="19" s="1"/>
  <c r="M45" i="19" s="1"/>
  <c r="I47" i="9"/>
  <c r="J47" i="9" s="1"/>
  <c r="K47" i="9" s="1"/>
  <c r="L47" i="9" s="1"/>
  <c r="I45" i="40"/>
  <c r="H46" i="39"/>
  <c r="F46" i="39"/>
  <c r="G46" i="39" s="1"/>
  <c r="B47" i="39"/>
  <c r="C46" i="39"/>
  <c r="D46" i="39"/>
  <c r="B47" i="41"/>
  <c r="H46" i="41"/>
  <c r="F46" i="41"/>
  <c r="G46" i="41" s="1"/>
  <c r="D46" i="41"/>
  <c r="C46" i="41"/>
  <c r="I45" i="41"/>
  <c r="I47" i="4"/>
  <c r="J47" i="4" s="1"/>
  <c r="K47" i="4" s="1"/>
  <c r="L47" i="4" s="1"/>
  <c r="I46" i="8"/>
  <c r="J46" i="8" s="1"/>
  <c r="B47" i="17"/>
  <c r="E47" i="17" s="1"/>
  <c r="H46" i="17"/>
  <c r="F46" i="17"/>
  <c r="D46" i="17"/>
  <c r="C46" i="17"/>
  <c r="F46" i="19"/>
  <c r="B47" i="19"/>
  <c r="E47" i="19" s="1"/>
  <c r="H46" i="19"/>
  <c r="D46" i="19"/>
  <c r="C46" i="19"/>
  <c r="H46" i="42"/>
  <c r="F46" i="42"/>
  <c r="G46" i="42" s="1"/>
  <c r="B47" i="42"/>
  <c r="E47" i="42" s="1"/>
  <c r="D46" i="42"/>
  <c r="C46" i="42"/>
  <c r="B47" i="40"/>
  <c r="E47" i="40" s="1"/>
  <c r="H46" i="40"/>
  <c r="F46" i="40"/>
  <c r="D46" i="40"/>
  <c r="C46" i="40"/>
  <c r="F48" i="9"/>
  <c r="B49" i="9"/>
  <c r="E49" i="9" s="1"/>
  <c r="H48" i="9"/>
  <c r="C48" i="9"/>
  <c r="D48" i="9"/>
  <c r="F48" i="4"/>
  <c r="G48" i="4" s="1"/>
  <c r="B49" i="4"/>
  <c r="H48" i="4"/>
  <c r="C48" i="4"/>
  <c r="D48" i="4"/>
  <c r="H46" i="18"/>
  <c r="F46" i="18"/>
  <c r="G46" i="18" s="1"/>
  <c r="B47" i="18"/>
  <c r="E47" i="18" s="1"/>
  <c r="D46" i="18"/>
  <c r="C46" i="18"/>
  <c r="E46" i="17"/>
  <c r="E46" i="19"/>
  <c r="E46" i="40"/>
  <c r="B48" i="8"/>
  <c r="E48" i="8" s="1"/>
  <c r="H47" i="8"/>
  <c r="F47" i="8"/>
  <c r="G47" i="8" s="1"/>
  <c r="D47" i="8"/>
  <c r="C47" i="8"/>
  <c r="E48" i="9"/>
  <c r="O43" i="26"/>
  <c r="P43" i="26" s="1"/>
  <c r="Q43" i="26" s="1"/>
  <c r="M47" i="9" l="1"/>
  <c r="J45" i="41"/>
  <c r="K45" i="41" s="1"/>
  <c r="L45" i="41" s="1"/>
  <c r="M45" i="41" s="1"/>
  <c r="J45" i="18"/>
  <c r="K45" i="18" s="1"/>
  <c r="L45" i="18" s="1"/>
  <c r="M45" i="18" s="1"/>
  <c r="J45" i="40"/>
  <c r="K45" i="40" s="1"/>
  <c r="L45" i="40" s="1"/>
  <c r="M45" i="40" s="1"/>
  <c r="M47" i="4"/>
  <c r="K46" i="8"/>
  <c r="L46" i="8" s="1"/>
  <c r="M46" i="8" s="1"/>
  <c r="J45" i="17"/>
  <c r="K45" i="17" s="1"/>
  <c r="L45" i="17" s="1"/>
  <c r="M45" i="17" s="1"/>
  <c r="J45" i="39"/>
  <c r="K45" i="39" s="1"/>
  <c r="L45" i="39" s="1"/>
  <c r="M45" i="39" s="1"/>
  <c r="G48" i="26"/>
  <c r="J48" i="26"/>
  <c r="H49" i="26"/>
  <c r="I49" i="26" s="1"/>
  <c r="D49" i="26"/>
  <c r="B50" i="26"/>
  <c r="E50" i="26" s="1"/>
  <c r="C49" i="26"/>
  <c r="F49" i="26"/>
  <c r="E49" i="26"/>
  <c r="G48" i="25"/>
  <c r="O47" i="25"/>
  <c r="P47" i="25" s="1"/>
  <c r="Q47" i="25" s="1"/>
  <c r="H48" i="25"/>
  <c r="I48" i="25" s="1"/>
  <c r="D48" i="25"/>
  <c r="C48" i="25"/>
  <c r="F48" i="25"/>
  <c r="J48" i="25" s="1"/>
  <c r="B49" i="25"/>
  <c r="G46" i="17"/>
  <c r="G46" i="40"/>
  <c r="I46" i="42"/>
  <c r="J46" i="42" s="1"/>
  <c r="K46" i="42" s="1"/>
  <c r="L46" i="42" s="1"/>
  <c r="M46" i="42" s="1"/>
  <c r="G48" i="9"/>
  <c r="G46" i="19"/>
  <c r="I46" i="18"/>
  <c r="J46" i="18" s="1"/>
  <c r="I48" i="9"/>
  <c r="I46" i="41"/>
  <c r="J46" i="41" s="1"/>
  <c r="I47" i="8"/>
  <c r="J47" i="8" s="1"/>
  <c r="K47" i="8" s="1"/>
  <c r="L47" i="8" s="1"/>
  <c r="H48" i="8"/>
  <c r="F48" i="8"/>
  <c r="G48" i="8" s="1"/>
  <c r="B49" i="8"/>
  <c r="E49" i="8" s="1"/>
  <c r="D48" i="8"/>
  <c r="C48" i="8"/>
  <c r="I48" i="4"/>
  <c r="J48" i="4" s="1"/>
  <c r="K48" i="4" s="1"/>
  <c r="L48" i="4" s="1"/>
  <c r="M48" i="4" s="1"/>
  <c r="B50" i="4"/>
  <c r="E50" i="4" s="1"/>
  <c r="H49" i="4"/>
  <c r="F49" i="4"/>
  <c r="D49" i="4"/>
  <c r="C49" i="4"/>
  <c r="B50" i="9"/>
  <c r="E50" i="9" s="1"/>
  <c r="H49" i="9"/>
  <c r="F49" i="9"/>
  <c r="G49" i="9" s="1"/>
  <c r="D49" i="9"/>
  <c r="C49" i="9"/>
  <c r="I46" i="40"/>
  <c r="H47" i="40"/>
  <c r="F47" i="40"/>
  <c r="G47" i="40" s="1"/>
  <c r="B48" i="40"/>
  <c r="E48" i="40" s="1"/>
  <c r="D47" i="40"/>
  <c r="C47" i="40"/>
  <c r="I46" i="19"/>
  <c r="F47" i="39"/>
  <c r="B48" i="39"/>
  <c r="E48" i="39" s="1"/>
  <c r="H47" i="39"/>
  <c r="C47" i="39"/>
  <c r="D47" i="39"/>
  <c r="H47" i="41"/>
  <c r="F47" i="41"/>
  <c r="B48" i="41"/>
  <c r="E48" i="41" s="1"/>
  <c r="C47" i="41"/>
  <c r="D47" i="41"/>
  <c r="F47" i="18"/>
  <c r="G47" i="18" s="1"/>
  <c r="B48" i="18"/>
  <c r="E48" i="18" s="1"/>
  <c r="H47" i="18"/>
  <c r="D47" i="18"/>
  <c r="C47" i="18"/>
  <c r="E49" i="4"/>
  <c r="B48" i="19"/>
  <c r="E48" i="19" s="1"/>
  <c r="H47" i="19"/>
  <c r="F47" i="19"/>
  <c r="G47" i="19" s="1"/>
  <c r="C47" i="19"/>
  <c r="D47" i="19"/>
  <c r="I46" i="17"/>
  <c r="H47" i="17"/>
  <c r="F47" i="17"/>
  <c r="G47" i="17" s="1"/>
  <c r="B48" i="17"/>
  <c r="E48" i="17" s="1"/>
  <c r="D47" i="17"/>
  <c r="C47" i="17"/>
  <c r="I46" i="39"/>
  <c r="J46" i="39" s="1"/>
  <c r="E47" i="39"/>
  <c r="F47" i="42"/>
  <c r="G47" i="42" s="1"/>
  <c r="B48" i="42"/>
  <c r="E48" i="42" s="1"/>
  <c r="H47" i="42"/>
  <c r="D47" i="42"/>
  <c r="C47" i="42"/>
  <c r="E47" i="41"/>
  <c r="O44" i="26"/>
  <c r="P44" i="26" s="1"/>
  <c r="Q44" i="26" s="1"/>
  <c r="K46" i="18" l="1"/>
  <c r="L46" i="18" s="1"/>
  <c r="M46" i="18" s="1"/>
  <c r="K46" i="41"/>
  <c r="L46" i="41" s="1"/>
  <c r="M46" i="41" s="1"/>
  <c r="J46" i="17"/>
  <c r="K46" i="17" s="1"/>
  <c r="L46" i="17" s="1"/>
  <c r="M46" i="17" s="1"/>
  <c r="K46" i="39"/>
  <c r="L46" i="39" s="1"/>
  <c r="M46" i="39" s="1"/>
  <c r="M47" i="8"/>
  <c r="J46" i="40"/>
  <c r="K46" i="40" s="1"/>
  <c r="L46" i="40" s="1"/>
  <c r="M46" i="40" s="1"/>
  <c r="J46" i="19"/>
  <c r="K46" i="19" s="1"/>
  <c r="L46" i="19" s="1"/>
  <c r="M46" i="19" s="1"/>
  <c r="G47" i="39"/>
  <c r="I47" i="41"/>
  <c r="J47" i="41" s="1"/>
  <c r="K47" i="41" s="1"/>
  <c r="L47" i="41" s="1"/>
  <c r="J48" i="9"/>
  <c r="K48" i="9" s="1"/>
  <c r="L48" i="9" s="1"/>
  <c r="M48" i="9" s="1"/>
  <c r="I47" i="39"/>
  <c r="J47" i="39" s="1"/>
  <c r="K47" i="39" s="1"/>
  <c r="L47" i="39" s="1"/>
  <c r="G50" i="26"/>
  <c r="G49" i="26"/>
  <c r="J49" i="26"/>
  <c r="B51" i="26"/>
  <c r="E51" i="26" s="1"/>
  <c r="C50" i="26"/>
  <c r="F50" i="26"/>
  <c r="J50" i="26" s="1"/>
  <c r="H50" i="26"/>
  <c r="I50" i="26" s="1"/>
  <c r="D50" i="26"/>
  <c r="O48" i="25"/>
  <c r="P48" i="25" s="1"/>
  <c r="Q48" i="25" s="1"/>
  <c r="B50" i="25"/>
  <c r="E50" i="25" s="1"/>
  <c r="H49" i="25"/>
  <c r="I49" i="25" s="1"/>
  <c r="D49" i="25"/>
  <c r="C49" i="25"/>
  <c r="F49" i="25"/>
  <c r="E49" i="25"/>
  <c r="I47" i="40"/>
  <c r="J47" i="40" s="1"/>
  <c r="I47" i="19"/>
  <c r="J47" i="19" s="1"/>
  <c r="I48" i="8"/>
  <c r="J48" i="8" s="1"/>
  <c r="K48" i="8" s="1"/>
  <c r="L48" i="8" s="1"/>
  <c r="M48" i="8" s="1"/>
  <c r="G49" i="4"/>
  <c r="G47" i="41"/>
  <c r="I49" i="4"/>
  <c r="J49" i="4" s="1"/>
  <c r="K49" i="4" s="1"/>
  <c r="L49" i="4" s="1"/>
  <c r="M49" i="4" s="1"/>
  <c r="I47" i="17"/>
  <c r="J47" i="17" s="1"/>
  <c r="I47" i="18"/>
  <c r="J47" i="18" s="1"/>
  <c r="K47" i="18" s="1"/>
  <c r="L47" i="18" s="1"/>
  <c r="I49" i="9"/>
  <c r="J49" i="9" s="1"/>
  <c r="I47" i="42"/>
  <c r="J47" i="42" s="1"/>
  <c r="K47" i="42" s="1"/>
  <c r="L47" i="42" s="1"/>
  <c r="M47" i="42" s="1"/>
  <c r="H48" i="19"/>
  <c r="F48" i="19"/>
  <c r="G48" i="19" s="1"/>
  <c r="B49" i="19"/>
  <c r="D48" i="19"/>
  <c r="C48" i="19"/>
  <c r="F48" i="18"/>
  <c r="G48" i="18" s="1"/>
  <c r="B49" i="18"/>
  <c r="E49" i="18" s="1"/>
  <c r="H48" i="18"/>
  <c r="D48" i="18"/>
  <c r="C48" i="18"/>
  <c r="F48" i="40"/>
  <c r="G48" i="40" s="1"/>
  <c r="B49" i="40"/>
  <c r="E49" i="40" s="1"/>
  <c r="H48" i="40"/>
  <c r="D48" i="40"/>
  <c r="C48" i="40"/>
  <c r="F48" i="17"/>
  <c r="G48" i="17" s="1"/>
  <c r="B49" i="17"/>
  <c r="H48" i="17"/>
  <c r="C48" i="17"/>
  <c r="D48" i="17"/>
  <c r="F48" i="42"/>
  <c r="G48" i="42" s="1"/>
  <c r="B49" i="42"/>
  <c r="E49" i="42" s="1"/>
  <c r="H48" i="42"/>
  <c r="D48" i="42"/>
  <c r="C48" i="42"/>
  <c r="F48" i="41"/>
  <c r="G48" i="41" s="1"/>
  <c r="B49" i="41"/>
  <c r="H48" i="41"/>
  <c r="C48" i="41"/>
  <c r="D48" i="41"/>
  <c r="F48" i="39"/>
  <c r="G48" i="39" s="1"/>
  <c r="B49" i="39"/>
  <c r="H48" i="39"/>
  <c r="C48" i="39"/>
  <c r="D48" i="39"/>
  <c r="H50" i="9"/>
  <c r="F50" i="9"/>
  <c r="G50" i="9" s="1"/>
  <c r="B51" i="9"/>
  <c r="E51" i="9" s="1"/>
  <c r="D50" i="9"/>
  <c r="C50" i="9"/>
  <c r="H50" i="4"/>
  <c r="F50" i="4"/>
  <c r="G50" i="4" s="1"/>
  <c r="B51" i="4"/>
  <c r="D50" i="4"/>
  <c r="C50" i="4"/>
  <c r="F49" i="8"/>
  <c r="G49" i="8" s="1"/>
  <c r="B50" i="8"/>
  <c r="E50" i="8" s="1"/>
  <c r="H49" i="8"/>
  <c r="D49" i="8"/>
  <c r="C49" i="8"/>
  <c r="O45" i="26"/>
  <c r="P45" i="26" s="1"/>
  <c r="Q45" i="26" s="1"/>
  <c r="M47" i="18" l="1"/>
  <c r="M47" i="41"/>
  <c r="K47" i="17"/>
  <c r="L47" i="17" s="1"/>
  <c r="M47" i="17" s="1"/>
  <c r="M47" i="39"/>
  <c r="K47" i="40"/>
  <c r="L47" i="40" s="1"/>
  <c r="M47" i="40" s="1"/>
  <c r="K47" i="19"/>
  <c r="L47" i="19" s="1"/>
  <c r="M47" i="19" s="1"/>
  <c r="K49" i="9"/>
  <c r="L49" i="9" s="1"/>
  <c r="M49" i="9" s="1"/>
  <c r="G51" i="26"/>
  <c r="F51" i="26"/>
  <c r="J51" i="26" s="1"/>
  <c r="H51" i="26"/>
  <c r="I51" i="26" s="1"/>
  <c r="D51" i="26"/>
  <c r="B52" i="26"/>
  <c r="C51" i="26"/>
  <c r="G50" i="25"/>
  <c r="F50" i="25"/>
  <c r="J50" i="25" s="1"/>
  <c r="B51" i="25"/>
  <c r="E51" i="25" s="1"/>
  <c r="H50" i="25"/>
  <c r="I50" i="25" s="1"/>
  <c r="D50" i="25"/>
  <c r="C50" i="25"/>
  <c r="G49" i="25"/>
  <c r="J49" i="25"/>
  <c r="O49" i="25" s="1"/>
  <c r="P49" i="25" s="1"/>
  <c r="Q49" i="25" s="1"/>
  <c r="I48" i="19"/>
  <c r="J48" i="19" s="1"/>
  <c r="K48" i="19" s="1"/>
  <c r="L48" i="19" s="1"/>
  <c r="I48" i="42"/>
  <c r="J48" i="42" s="1"/>
  <c r="K48" i="42" s="1"/>
  <c r="L48" i="42" s="1"/>
  <c r="M48" i="42" s="1"/>
  <c r="I49" i="8"/>
  <c r="J49" i="8" s="1"/>
  <c r="K49" i="8" s="1"/>
  <c r="L49" i="8" s="1"/>
  <c r="M49" i="8" s="1"/>
  <c r="I50" i="9"/>
  <c r="J50" i="9" s="1"/>
  <c r="K50" i="9" s="1"/>
  <c r="L50" i="9" s="1"/>
  <c r="I48" i="18"/>
  <c r="J48" i="18" s="1"/>
  <c r="K48" i="18" s="1"/>
  <c r="L48" i="18" s="1"/>
  <c r="M48" i="18" s="1"/>
  <c r="F51" i="4"/>
  <c r="B52" i="4"/>
  <c r="E52" i="4" s="1"/>
  <c r="H51" i="4"/>
  <c r="C51" i="4"/>
  <c r="D51" i="4"/>
  <c r="B50" i="39"/>
  <c r="E50" i="39" s="1"/>
  <c r="H49" i="39"/>
  <c r="F49" i="39"/>
  <c r="D49" i="39"/>
  <c r="C49" i="39"/>
  <c r="F49" i="41"/>
  <c r="B50" i="41"/>
  <c r="E50" i="41" s="1"/>
  <c r="H49" i="41"/>
  <c r="C49" i="41"/>
  <c r="D49" i="41"/>
  <c r="F49" i="17"/>
  <c r="B50" i="17"/>
  <c r="H49" i="17"/>
  <c r="D49" i="17"/>
  <c r="C49" i="17"/>
  <c r="I48" i="40"/>
  <c r="J48" i="40" s="1"/>
  <c r="K48" i="40" s="1"/>
  <c r="L48" i="40" s="1"/>
  <c r="F49" i="19"/>
  <c r="B50" i="19"/>
  <c r="E50" i="19" s="1"/>
  <c r="H49" i="19"/>
  <c r="C49" i="19"/>
  <c r="D49" i="19"/>
  <c r="F50" i="8"/>
  <c r="G50" i="8" s="1"/>
  <c r="B51" i="8"/>
  <c r="E51" i="8" s="1"/>
  <c r="H50" i="8"/>
  <c r="D50" i="8"/>
  <c r="C50" i="8"/>
  <c r="I48" i="39"/>
  <c r="J48" i="39" s="1"/>
  <c r="K48" i="39" s="1"/>
  <c r="L48" i="39" s="1"/>
  <c r="M48" i="39" s="1"/>
  <c r="I48" i="41"/>
  <c r="J48" i="41" s="1"/>
  <c r="K48" i="41" s="1"/>
  <c r="L48" i="41" s="1"/>
  <c r="M48" i="41" s="1"/>
  <c r="B50" i="42"/>
  <c r="F49" i="42"/>
  <c r="G49" i="42" s="1"/>
  <c r="H49" i="42"/>
  <c r="C49" i="42"/>
  <c r="D49" i="42"/>
  <c r="I48" i="17"/>
  <c r="J48" i="17" s="1"/>
  <c r="K48" i="17" s="1"/>
  <c r="L48" i="17" s="1"/>
  <c r="I50" i="4"/>
  <c r="J50" i="4" s="1"/>
  <c r="K50" i="4" s="1"/>
  <c r="L50" i="4" s="1"/>
  <c r="M50" i="4" s="1"/>
  <c r="E51" i="4"/>
  <c r="E49" i="39"/>
  <c r="E49" i="41"/>
  <c r="E49" i="17"/>
  <c r="F49" i="40"/>
  <c r="G49" i="40" s="1"/>
  <c r="B50" i="40"/>
  <c r="E50" i="40" s="1"/>
  <c r="H49" i="40"/>
  <c r="C49" i="40"/>
  <c r="D49" i="40"/>
  <c r="E49" i="19"/>
  <c r="F51" i="9"/>
  <c r="G51" i="9" s="1"/>
  <c r="B52" i="9"/>
  <c r="E52" i="9" s="1"/>
  <c r="H51" i="9"/>
  <c r="D51" i="9"/>
  <c r="C51" i="9"/>
  <c r="B50" i="18"/>
  <c r="H49" i="18"/>
  <c r="F49" i="18"/>
  <c r="G49" i="18" s="1"/>
  <c r="D49" i="18"/>
  <c r="C49" i="18"/>
  <c r="O46" i="26"/>
  <c r="P46" i="26" s="1"/>
  <c r="Q46" i="26" s="1"/>
  <c r="M48" i="17" l="1"/>
  <c r="M48" i="19"/>
  <c r="M48" i="40"/>
  <c r="G49" i="17"/>
  <c r="G49" i="19"/>
  <c r="G49" i="41"/>
  <c r="M50" i="9"/>
  <c r="H52" i="26"/>
  <c r="I52" i="26" s="1"/>
  <c r="D52" i="26"/>
  <c r="B53" i="26"/>
  <c r="C52" i="26"/>
  <c r="F52" i="26"/>
  <c r="E52" i="26"/>
  <c r="O50" i="25"/>
  <c r="P50" i="25" s="1"/>
  <c r="Q50" i="25" s="1"/>
  <c r="G51" i="25"/>
  <c r="C51" i="25"/>
  <c r="F51" i="25"/>
  <c r="J51" i="25" s="1"/>
  <c r="B52" i="25"/>
  <c r="E52" i="25" s="1"/>
  <c r="H51" i="25"/>
  <c r="I51" i="25" s="1"/>
  <c r="D51" i="25"/>
  <c r="G49" i="39"/>
  <c r="I49" i="42"/>
  <c r="J49" i="42" s="1"/>
  <c r="K49" i="42" s="1"/>
  <c r="L49" i="42" s="1"/>
  <c r="M49" i="42" s="1"/>
  <c r="G51" i="4"/>
  <c r="I49" i="40"/>
  <c r="J49" i="40" s="1"/>
  <c r="K49" i="40" s="1"/>
  <c r="L49" i="40" s="1"/>
  <c r="M49" i="40" s="1"/>
  <c r="I49" i="39"/>
  <c r="J49" i="39" s="1"/>
  <c r="K49" i="39" s="1"/>
  <c r="L49" i="39" s="1"/>
  <c r="M49" i="39" s="1"/>
  <c r="I51" i="9"/>
  <c r="J51" i="9" s="1"/>
  <c r="K51" i="9" s="1"/>
  <c r="L51" i="9" s="1"/>
  <c r="M51" i="9" s="1"/>
  <c r="I50" i="8"/>
  <c r="J50" i="8" s="1"/>
  <c r="K50" i="8" s="1"/>
  <c r="L50" i="8" s="1"/>
  <c r="M50" i="8" s="1"/>
  <c r="I49" i="18"/>
  <c r="J49" i="18" s="1"/>
  <c r="K49" i="18" s="1"/>
  <c r="L49" i="18" s="1"/>
  <c r="M49" i="18" s="1"/>
  <c r="H50" i="18"/>
  <c r="F50" i="18"/>
  <c r="B51" i="18"/>
  <c r="D50" i="18"/>
  <c r="C50" i="18"/>
  <c r="H50" i="42"/>
  <c r="F50" i="42"/>
  <c r="B51" i="42"/>
  <c r="E51" i="42" s="1"/>
  <c r="C50" i="42"/>
  <c r="D50" i="42"/>
  <c r="B51" i="17"/>
  <c r="H50" i="17"/>
  <c r="F50" i="17"/>
  <c r="D50" i="17"/>
  <c r="C50" i="17"/>
  <c r="I49" i="41"/>
  <c r="J49" i="41" s="1"/>
  <c r="K49" i="41" s="1"/>
  <c r="L49" i="41" s="1"/>
  <c r="M49" i="41" s="1"/>
  <c r="I51" i="4"/>
  <c r="E50" i="18"/>
  <c r="F50" i="19"/>
  <c r="G50" i="19" s="1"/>
  <c r="B51" i="19"/>
  <c r="H50" i="19"/>
  <c r="D50" i="19"/>
  <c r="C50" i="19"/>
  <c r="B51" i="40"/>
  <c r="H50" i="40"/>
  <c r="F50" i="40"/>
  <c r="G50" i="40" s="1"/>
  <c r="D50" i="40"/>
  <c r="C50" i="40"/>
  <c r="E50" i="42"/>
  <c r="I49" i="19"/>
  <c r="J49" i="19" s="1"/>
  <c r="K49" i="19" s="1"/>
  <c r="L49" i="19" s="1"/>
  <c r="M49" i="19" s="1"/>
  <c r="I49" i="17"/>
  <c r="J49" i="17" s="1"/>
  <c r="K49" i="17" s="1"/>
  <c r="L49" i="17" s="1"/>
  <c r="M49" i="17" s="1"/>
  <c r="E50" i="17"/>
  <c r="F52" i="9"/>
  <c r="G52" i="9" s="1"/>
  <c r="B53" i="9"/>
  <c r="E53" i="9" s="1"/>
  <c r="H52" i="9"/>
  <c r="C52" i="9"/>
  <c r="D52" i="9"/>
  <c r="B52" i="8"/>
  <c r="H51" i="8"/>
  <c r="F51" i="8"/>
  <c r="G51" i="8" s="1"/>
  <c r="D51" i="8"/>
  <c r="C51" i="8"/>
  <c r="B51" i="41"/>
  <c r="E51" i="41" s="1"/>
  <c r="H50" i="41"/>
  <c r="F50" i="41"/>
  <c r="G50" i="41" s="1"/>
  <c r="C50" i="41"/>
  <c r="D50" i="41"/>
  <c r="H50" i="39"/>
  <c r="F50" i="39"/>
  <c r="G50" i="39" s="1"/>
  <c r="B51" i="39"/>
  <c r="D50" i="39"/>
  <c r="C50" i="39"/>
  <c r="F52" i="4"/>
  <c r="G52" i="4" s="1"/>
  <c r="B53" i="4"/>
  <c r="E53" i="4" s="1"/>
  <c r="H52" i="4"/>
  <c r="C52" i="4"/>
  <c r="D52" i="4"/>
  <c r="O47" i="26"/>
  <c r="P47" i="26" s="1"/>
  <c r="Q47" i="26" s="1"/>
  <c r="G50" i="18" l="1"/>
  <c r="G50" i="17"/>
  <c r="I50" i="42"/>
  <c r="I50" i="39"/>
  <c r="J50" i="39" s="1"/>
  <c r="K50" i="39" s="1"/>
  <c r="L50" i="39" s="1"/>
  <c r="M50" i="39" s="1"/>
  <c r="J51" i="4"/>
  <c r="K51" i="4" s="1"/>
  <c r="L51" i="4" s="1"/>
  <c r="M51" i="4" s="1"/>
  <c r="G52" i="26"/>
  <c r="J52" i="26"/>
  <c r="H53" i="26"/>
  <c r="I53" i="26" s="1"/>
  <c r="D53" i="26"/>
  <c r="B54" i="26"/>
  <c r="E54" i="26" s="1"/>
  <c r="C53" i="26"/>
  <c r="F53" i="26"/>
  <c r="E53" i="26"/>
  <c r="G52" i="25"/>
  <c r="H52" i="25"/>
  <c r="I52" i="25" s="1"/>
  <c r="D52" i="25"/>
  <c r="C52" i="25"/>
  <c r="F52" i="25"/>
  <c r="J52" i="25" s="1"/>
  <c r="B53" i="25"/>
  <c r="E53" i="25" s="1"/>
  <c r="O51" i="25"/>
  <c r="P51" i="25" s="1"/>
  <c r="Q51" i="25" s="1"/>
  <c r="I50" i="41"/>
  <c r="J50" i="41" s="1"/>
  <c r="K50" i="41" s="1"/>
  <c r="L50" i="41" s="1"/>
  <c r="M50" i="41" s="1"/>
  <c r="G50" i="42"/>
  <c r="I51" i="8"/>
  <c r="J51" i="8" s="1"/>
  <c r="K51" i="8" s="1"/>
  <c r="L51" i="8" s="1"/>
  <c r="M51" i="8" s="1"/>
  <c r="I52" i="4"/>
  <c r="J52" i="4" s="1"/>
  <c r="I50" i="18"/>
  <c r="I52" i="9"/>
  <c r="J52" i="9" s="1"/>
  <c r="K52" i="9" s="1"/>
  <c r="L52" i="9" s="1"/>
  <c r="M52" i="9" s="1"/>
  <c r="F51" i="39"/>
  <c r="B52" i="39"/>
  <c r="E52" i="39" s="1"/>
  <c r="H51" i="39"/>
  <c r="D51" i="39"/>
  <c r="C51" i="39"/>
  <c r="I50" i="40"/>
  <c r="J50" i="40" s="1"/>
  <c r="K50" i="40" s="1"/>
  <c r="L50" i="40" s="1"/>
  <c r="M50" i="40" s="1"/>
  <c r="H51" i="40"/>
  <c r="F51" i="40"/>
  <c r="B52" i="40"/>
  <c r="E52" i="40" s="1"/>
  <c r="D51" i="40"/>
  <c r="C51" i="40"/>
  <c r="B52" i="19"/>
  <c r="E52" i="19" s="1"/>
  <c r="H51" i="19"/>
  <c r="F51" i="19"/>
  <c r="C51" i="19"/>
  <c r="D51" i="19"/>
  <c r="I50" i="17"/>
  <c r="H51" i="17"/>
  <c r="F51" i="17"/>
  <c r="B52" i="17"/>
  <c r="C51" i="17"/>
  <c r="D51" i="17"/>
  <c r="H52" i="8"/>
  <c r="F52" i="8"/>
  <c r="B53" i="8"/>
  <c r="E53" i="8" s="1"/>
  <c r="C52" i="8"/>
  <c r="D52" i="8"/>
  <c r="F51" i="18"/>
  <c r="B52" i="18"/>
  <c r="E52" i="18" s="1"/>
  <c r="H51" i="18"/>
  <c r="D51" i="18"/>
  <c r="C51" i="18"/>
  <c r="E51" i="39"/>
  <c r="H51" i="41"/>
  <c r="F51" i="41"/>
  <c r="G51" i="41" s="1"/>
  <c r="B52" i="41"/>
  <c r="E52" i="41" s="1"/>
  <c r="C51" i="41"/>
  <c r="D51" i="41"/>
  <c r="E51" i="40"/>
  <c r="I50" i="19"/>
  <c r="J50" i="19" s="1"/>
  <c r="K50" i="19" s="1"/>
  <c r="L50" i="19" s="1"/>
  <c r="M50" i="19" s="1"/>
  <c r="E51" i="19"/>
  <c r="E51" i="17"/>
  <c r="B54" i="4"/>
  <c r="E54" i="4" s="1"/>
  <c r="H53" i="4"/>
  <c r="F53" i="4"/>
  <c r="G53" i="4" s="1"/>
  <c r="C53" i="4"/>
  <c r="D53" i="4"/>
  <c r="E52" i="8"/>
  <c r="B54" i="9"/>
  <c r="H53" i="9"/>
  <c r="F53" i="9"/>
  <c r="G53" i="9" s="1"/>
  <c r="C53" i="9"/>
  <c r="D53" i="9"/>
  <c r="H51" i="42"/>
  <c r="F51" i="42"/>
  <c r="G51" i="42" s="1"/>
  <c r="B52" i="42"/>
  <c r="E52" i="42" s="1"/>
  <c r="D51" i="42"/>
  <c r="C51" i="42"/>
  <c r="E51" i="18"/>
  <c r="O48" i="26"/>
  <c r="P48" i="26" s="1"/>
  <c r="Q48" i="26" s="1"/>
  <c r="J50" i="18" l="1"/>
  <c r="K50" i="18" s="1"/>
  <c r="L50" i="18" s="1"/>
  <c r="M50" i="18" s="1"/>
  <c r="J50" i="17"/>
  <c r="K50" i="17" s="1"/>
  <c r="L50" i="17" s="1"/>
  <c r="M50" i="17" s="1"/>
  <c r="J50" i="42"/>
  <c r="K50" i="42" s="1"/>
  <c r="L50" i="42" s="1"/>
  <c r="M50" i="42" s="1"/>
  <c r="G51" i="18"/>
  <c r="G51" i="17"/>
  <c r="G51" i="39"/>
  <c r="G51" i="19"/>
  <c r="K52" i="4"/>
  <c r="L52" i="4" s="1"/>
  <c r="M52" i="4" s="1"/>
  <c r="G54" i="26"/>
  <c r="G53" i="26"/>
  <c r="J53" i="26"/>
  <c r="B55" i="26"/>
  <c r="E55" i="26" s="1"/>
  <c r="C54" i="26"/>
  <c r="F54" i="26"/>
  <c r="J54" i="26" s="1"/>
  <c r="H54" i="26"/>
  <c r="I54" i="26" s="1"/>
  <c r="D54" i="26"/>
  <c r="O52" i="25"/>
  <c r="P52" i="25" s="1"/>
  <c r="Q52" i="25" s="1"/>
  <c r="B54" i="25"/>
  <c r="E54" i="25" s="1"/>
  <c r="H53" i="25"/>
  <c r="I53" i="25" s="1"/>
  <c r="D53" i="25"/>
  <c r="C53" i="25"/>
  <c r="F53" i="25"/>
  <c r="J53" i="25" s="1"/>
  <c r="G53" i="25"/>
  <c r="I51" i="40"/>
  <c r="I51" i="19"/>
  <c r="I51" i="42"/>
  <c r="J51" i="42" s="1"/>
  <c r="I51" i="39"/>
  <c r="J51" i="39" s="1"/>
  <c r="K51" i="39" s="1"/>
  <c r="L51" i="39" s="1"/>
  <c r="M51" i="39" s="1"/>
  <c r="I51" i="17"/>
  <c r="I53" i="4"/>
  <c r="J53" i="4" s="1"/>
  <c r="K53" i="4" s="1"/>
  <c r="L53" i="4" s="1"/>
  <c r="G52" i="8"/>
  <c r="I53" i="9"/>
  <c r="J53" i="9" s="1"/>
  <c r="K53" i="9" s="1"/>
  <c r="L53" i="9" s="1"/>
  <c r="M53" i="9" s="1"/>
  <c r="I51" i="18"/>
  <c r="G51" i="40"/>
  <c r="F52" i="41"/>
  <c r="G52" i="41" s="1"/>
  <c r="B53" i="41"/>
  <c r="E53" i="41" s="1"/>
  <c r="H52" i="41"/>
  <c r="C52" i="41"/>
  <c r="D52" i="41"/>
  <c r="I52" i="8"/>
  <c r="J52" i="8" s="1"/>
  <c r="K52" i="8" s="1"/>
  <c r="L52" i="8" s="1"/>
  <c r="M52" i="8" s="1"/>
  <c r="F52" i="18"/>
  <c r="G52" i="18" s="1"/>
  <c r="B53" i="18"/>
  <c r="E53" i="18" s="1"/>
  <c r="H52" i="18"/>
  <c r="C52" i="18"/>
  <c r="D52" i="18"/>
  <c r="F52" i="17"/>
  <c r="B53" i="17"/>
  <c r="E53" i="17" s="1"/>
  <c r="H52" i="17"/>
  <c r="D52" i="17"/>
  <c r="C52" i="17"/>
  <c r="H54" i="9"/>
  <c r="F54" i="9"/>
  <c r="B55" i="9"/>
  <c r="E55" i="9" s="1"/>
  <c r="D54" i="9"/>
  <c r="C54" i="9"/>
  <c r="F52" i="42"/>
  <c r="G52" i="42" s="1"/>
  <c r="H52" i="42"/>
  <c r="B53" i="42"/>
  <c r="E53" i="42" s="1"/>
  <c r="D52" i="42"/>
  <c r="C52" i="42"/>
  <c r="I51" i="41"/>
  <c r="J51" i="41" s="1"/>
  <c r="K51" i="41" s="1"/>
  <c r="L51" i="41" s="1"/>
  <c r="M51" i="41" s="1"/>
  <c r="F53" i="8"/>
  <c r="G53" i="8" s="1"/>
  <c r="B54" i="8"/>
  <c r="E54" i="8" s="1"/>
  <c r="H53" i="8"/>
  <c r="C53" i="8"/>
  <c r="D53" i="8"/>
  <c r="F52" i="40"/>
  <c r="G52" i="40" s="1"/>
  <c r="B53" i="40"/>
  <c r="E53" i="40" s="1"/>
  <c r="H52" i="40"/>
  <c r="C52" i="40"/>
  <c r="D52" i="40"/>
  <c r="E54" i="9"/>
  <c r="H54" i="4"/>
  <c r="F54" i="4"/>
  <c r="G54" i="4" s="1"/>
  <c r="B55" i="4"/>
  <c r="E55" i="4" s="1"/>
  <c r="D54" i="4"/>
  <c r="C54" i="4"/>
  <c r="E52" i="17"/>
  <c r="H52" i="19"/>
  <c r="F52" i="19"/>
  <c r="G52" i="19" s="1"/>
  <c r="B53" i="19"/>
  <c r="E53" i="19" s="1"/>
  <c r="D52" i="19"/>
  <c r="C52" i="19"/>
  <c r="F52" i="39"/>
  <c r="G52" i="39" s="1"/>
  <c r="B53" i="39"/>
  <c r="E53" i="39" s="1"/>
  <c r="H52" i="39"/>
  <c r="D52" i="39"/>
  <c r="C52" i="39"/>
  <c r="O49" i="26"/>
  <c r="P49" i="26" s="1"/>
  <c r="Q49" i="26" s="1"/>
  <c r="K51" i="42" l="1"/>
  <c r="L51" i="42" s="1"/>
  <c r="M51" i="42" s="1"/>
  <c r="J51" i="19"/>
  <c r="K51" i="19" s="1"/>
  <c r="L51" i="19" s="1"/>
  <c r="M51" i="19" s="1"/>
  <c r="J51" i="18"/>
  <c r="K51" i="18" s="1"/>
  <c r="L51" i="18" s="1"/>
  <c r="M51" i="18" s="1"/>
  <c r="J51" i="17"/>
  <c r="K51" i="17" s="1"/>
  <c r="L51" i="17" s="1"/>
  <c r="M51" i="17" s="1"/>
  <c r="J51" i="40"/>
  <c r="K51" i="40" s="1"/>
  <c r="L51" i="40" s="1"/>
  <c r="M51" i="40" s="1"/>
  <c r="M53" i="4"/>
  <c r="G55" i="26"/>
  <c r="F55" i="26"/>
  <c r="J55" i="26" s="1"/>
  <c r="H55" i="26"/>
  <c r="I55" i="26" s="1"/>
  <c r="D55" i="26"/>
  <c r="B56" i="26"/>
  <c r="C55" i="26"/>
  <c r="G54" i="25"/>
  <c r="O53" i="25"/>
  <c r="P53" i="25" s="1"/>
  <c r="Q53" i="25" s="1"/>
  <c r="F54" i="25"/>
  <c r="J54" i="25" s="1"/>
  <c r="B55" i="25"/>
  <c r="E55" i="25" s="1"/>
  <c r="H54" i="25"/>
  <c r="I54" i="25" s="1"/>
  <c r="D54" i="25"/>
  <c r="C54" i="25"/>
  <c r="G52" i="17"/>
  <c r="I52" i="41"/>
  <c r="J52" i="41" s="1"/>
  <c r="K52" i="41" s="1"/>
  <c r="L52" i="41" s="1"/>
  <c r="M52" i="41" s="1"/>
  <c r="G54" i="9"/>
  <c r="I52" i="19"/>
  <c r="J52" i="19" s="1"/>
  <c r="I54" i="9"/>
  <c r="J54" i="9" s="1"/>
  <c r="K54" i="9" s="1"/>
  <c r="L54" i="9" s="1"/>
  <c r="M54" i="9" s="1"/>
  <c r="I53" i="8"/>
  <c r="J53" i="8" s="1"/>
  <c r="K53" i="8" s="1"/>
  <c r="L53" i="8" s="1"/>
  <c r="M53" i="8" s="1"/>
  <c r="I54" i="4"/>
  <c r="J54" i="4" s="1"/>
  <c r="K54" i="4" s="1"/>
  <c r="L54" i="4" s="1"/>
  <c r="M54" i="4" s="1"/>
  <c r="B54" i="39"/>
  <c r="H53" i="39"/>
  <c r="F53" i="39"/>
  <c r="G53" i="39" s="1"/>
  <c r="C53" i="39"/>
  <c r="D53" i="39"/>
  <c r="I52" i="40"/>
  <c r="J52" i="40" s="1"/>
  <c r="I52" i="42"/>
  <c r="J52" i="42" s="1"/>
  <c r="K52" i="42" s="1"/>
  <c r="L52" i="42" s="1"/>
  <c r="F53" i="17"/>
  <c r="G53" i="17" s="1"/>
  <c r="B54" i="17"/>
  <c r="E54" i="17" s="1"/>
  <c r="H53" i="17"/>
  <c r="C53" i="17"/>
  <c r="D53" i="17"/>
  <c r="I52" i="18"/>
  <c r="J52" i="18" s="1"/>
  <c r="F53" i="19"/>
  <c r="G53" i="19" s="1"/>
  <c r="B54" i="19"/>
  <c r="E54" i="19" s="1"/>
  <c r="H53" i="19"/>
  <c r="D53" i="19"/>
  <c r="C53" i="19"/>
  <c r="F55" i="4"/>
  <c r="G55" i="4" s="1"/>
  <c r="B56" i="4"/>
  <c r="E56" i="4" s="1"/>
  <c r="H55" i="4"/>
  <c r="D55" i="4"/>
  <c r="C55" i="4"/>
  <c r="B54" i="42"/>
  <c r="E54" i="42" s="1"/>
  <c r="H53" i="42"/>
  <c r="F53" i="42"/>
  <c r="G53" i="42" s="1"/>
  <c r="D53" i="42"/>
  <c r="C53" i="42"/>
  <c r="I52" i="39"/>
  <c r="J52" i="39" s="1"/>
  <c r="K52" i="39" s="1"/>
  <c r="L52" i="39" s="1"/>
  <c r="M52" i="39" s="1"/>
  <c r="F54" i="8"/>
  <c r="G54" i="8" s="1"/>
  <c r="B55" i="8"/>
  <c r="E55" i="8" s="1"/>
  <c r="H54" i="8"/>
  <c r="C54" i="8"/>
  <c r="D54" i="8"/>
  <c r="I52" i="17"/>
  <c r="F53" i="41"/>
  <c r="G53" i="41" s="1"/>
  <c r="B54" i="41"/>
  <c r="E54" i="41" s="1"/>
  <c r="H53" i="41"/>
  <c r="C53" i="41"/>
  <c r="D53" i="41"/>
  <c r="F53" i="40"/>
  <c r="G53" i="40" s="1"/>
  <c r="B54" i="40"/>
  <c r="E54" i="40" s="1"/>
  <c r="H53" i="40"/>
  <c r="C53" i="40"/>
  <c r="D53" i="40"/>
  <c r="F55" i="9"/>
  <c r="G55" i="9" s="1"/>
  <c r="B56" i="9"/>
  <c r="E56" i="9" s="1"/>
  <c r="H55" i="9"/>
  <c r="D55" i="9"/>
  <c r="C55" i="9"/>
  <c r="B54" i="18"/>
  <c r="E54" i="18" s="1"/>
  <c r="H53" i="18"/>
  <c r="F53" i="18"/>
  <c r="G53" i="18" s="1"/>
  <c r="D53" i="18"/>
  <c r="C53" i="18"/>
  <c r="O50" i="26"/>
  <c r="P50" i="26" s="1"/>
  <c r="Q50" i="26" s="1"/>
  <c r="M52" i="42" l="1"/>
  <c r="K52" i="18"/>
  <c r="L52" i="18" s="1"/>
  <c r="M52" i="18" s="1"/>
  <c r="K52" i="19"/>
  <c r="L52" i="19" s="1"/>
  <c r="M52" i="19" s="1"/>
  <c r="J52" i="17"/>
  <c r="K52" i="17" s="1"/>
  <c r="L52" i="17" s="1"/>
  <c r="M52" i="17" s="1"/>
  <c r="K52" i="40"/>
  <c r="L52" i="40" s="1"/>
  <c r="M52" i="40" s="1"/>
  <c r="H56" i="26"/>
  <c r="I56" i="26" s="1"/>
  <c r="D56" i="26"/>
  <c r="B57" i="26"/>
  <c r="C56" i="26"/>
  <c r="F56" i="26"/>
  <c r="E56" i="26"/>
  <c r="G55" i="25"/>
  <c r="O54" i="25"/>
  <c r="P54" i="25" s="1"/>
  <c r="Q54" i="25" s="1"/>
  <c r="C55" i="25"/>
  <c r="F55" i="25"/>
  <c r="J55" i="25" s="1"/>
  <c r="B56" i="25"/>
  <c r="E56" i="25" s="1"/>
  <c r="H55" i="25"/>
  <c r="I55" i="25" s="1"/>
  <c r="D55" i="25"/>
  <c r="I53" i="40"/>
  <c r="J53" i="40" s="1"/>
  <c r="K53" i="40" s="1"/>
  <c r="L53" i="40" s="1"/>
  <c r="I54" i="8"/>
  <c r="J54" i="8" s="1"/>
  <c r="K54" i="8" s="1"/>
  <c r="L54" i="8" s="1"/>
  <c r="M54" i="8" s="1"/>
  <c r="I55" i="9"/>
  <c r="J55" i="9" s="1"/>
  <c r="K55" i="9" s="1"/>
  <c r="L55" i="9" s="1"/>
  <c r="M55" i="9" s="1"/>
  <c r="I53" i="42"/>
  <c r="J53" i="42" s="1"/>
  <c r="K53" i="42" s="1"/>
  <c r="L53" i="42" s="1"/>
  <c r="M53" i="42" s="1"/>
  <c r="I53" i="39"/>
  <c r="J53" i="39" s="1"/>
  <c r="K53" i="39" s="1"/>
  <c r="L53" i="39" s="1"/>
  <c r="M53" i="39" s="1"/>
  <c r="I53" i="18"/>
  <c r="J53" i="18" s="1"/>
  <c r="K53" i="18" s="1"/>
  <c r="L53" i="18" s="1"/>
  <c r="H54" i="18"/>
  <c r="F54" i="18"/>
  <c r="G54" i="18" s="1"/>
  <c r="B55" i="18"/>
  <c r="D54" i="18"/>
  <c r="C54" i="18"/>
  <c r="F56" i="9"/>
  <c r="B57" i="9"/>
  <c r="E57" i="9" s="1"/>
  <c r="H56" i="9"/>
  <c r="D56" i="9"/>
  <c r="C56" i="9"/>
  <c r="B55" i="41"/>
  <c r="H54" i="41"/>
  <c r="F54" i="41"/>
  <c r="G54" i="41" s="1"/>
  <c r="D54" i="41"/>
  <c r="C54" i="41"/>
  <c r="F54" i="19"/>
  <c r="G54" i="19" s="1"/>
  <c r="B55" i="19"/>
  <c r="H54" i="19"/>
  <c r="C54" i="19"/>
  <c r="D54" i="19"/>
  <c r="I53" i="17"/>
  <c r="J53" i="17" s="1"/>
  <c r="I53" i="41"/>
  <c r="J53" i="41" s="1"/>
  <c r="K53" i="41" s="1"/>
  <c r="L53" i="41" s="1"/>
  <c r="M53" i="41" s="1"/>
  <c r="B56" i="8"/>
  <c r="H55" i="8"/>
  <c r="F55" i="8"/>
  <c r="G55" i="8" s="1"/>
  <c r="D55" i="8"/>
  <c r="C55" i="8"/>
  <c r="I55" i="4"/>
  <c r="J55" i="4" s="1"/>
  <c r="K55" i="4" s="1"/>
  <c r="L55" i="4" s="1"/>
  <c r="M55" i="4" s="1"/>
  <c r="H54" i="39"/>
  <c r="F54" i="39"/>
  <c r="B55" i="39"/>
  <c r="D54" i="39"/>
  <c r="C54" i="39"/>
  <c r="B55" i="40"/>
  <c r="H54" i="40"/>
  <c r="F54" i="40"/>
  <c r="G54" i="40" s="1"/>
  <c r="C54" i="40"/>
  <c r="D54" i="40"/>
  <c r="I53" i="19"/>
  <c r="J53" i="19" s="1"/>
  <c r="K53" i="19" s="1"/>
  <c r="L53" i="19" s="1"/>
  <c r="H54" i="42"/>
  <c r="B55" i="42"/>
  <c r="E55" i="42" s="1"/>
  <c r="F54" i="42"/>
  <c r="G54" i="42" s="1"/>
  <c r="C54" i="42"/>
  <c r="D54" i="42"/>
  <c r="F56" i="4"/>
  <c r="B57" i="4"/>
  <c r="E57" i="4" s="1"/>
  <c r="H56" i="4"/>
  <c r="C56" i="4"/>
  <c r="D56" i="4"/>
  <c r="B55" i="17"/>
  <c r="E55" i="17" s="1"/>
  <c r="H54" i="17"/>
  <c r="F54" i="17"/>
  <c r="G54" i="17" s="1"/>
  <c r="D54" i="17"/>
  <c r="C54" i="17"/>
  <c r="E54" i="39"/>
  <c r="O51" i="26"/>
  <c r="P51" i="26" s="1"/>
  <c r="Q51" i="26" s="1"/>
  <c r="M53" i="18" l="1"/>
  <c r="M53" i="19"/>
  <c r="K53" i="17"/>
  <c r="L53" i="17" s="1"/>
  <c r="M53" i="17" s="1"/>
  <c r="G54" i="39"/>
  <c r="M53" i="40"/>
  <c r="G56" i="9"/>
  <c r="G56" i="26"/>
  <c r="J56" i="26"/>
  <c r="H57" i="26"/>
  <c r="I57" i="26" s="1"/>
  <c r="D57" i="26"/>
  <c r="B58" i="26"/>
  <c r="E58" i="26" s="1"/>
  <c r="C57" i="26"/>
  <c r="F57" i="26"/>
  <c r="E57" i="26"/>
  <c r="O55" i="25"/>
  <c r="P55" i="25" s="1"/>
  <c r="Q55" i="25" s="1"/>
  <c r="G56" i="25"/>
  <c r="H56" i="25"/>
  <c r="I56" i="25" s="1"/>
  <c r="D56" i="25"/>
  <c r="C56" i="25"/>
  <c r="F56" i="25"/>
  <c r="J56" i="25" s="1"/>
  <c r="B57" i="25"/>
  <c r="E57" i="25" s="1"/>
  <c r="I54" i="18"/>
  <c r="J54" i="18" s="1"/>
  <c r="K54" i="18" s="1"/>
  <c r="L54" i="18" s="1"/>
  <c r="M54" i="18" s="1"/>
  <c r="I54" i="40"/>
  <c r="J54" i="40" s="1"/>
  <c r="K54" i="40" s="1"/>
  <c r="L54" i="40" s="1"/>
  <c r="M54" i="40" s="1"/>
  <c r="G56" i="4"/>
  <c r="I56" i="4"/>
  <c r="I55" i="8"/>
  <c r="J55" i="8" s="1"/>
  <c r="K55" i="8" s="1"/>
  <c r="L55" i="8" s="1"/>
  <c r="M55" i="8" s="1"/>
  <c r="I54" i="19"/>
  <c r="J54" i="19" s="1"/>
  <c r="K54" i="19" s="1"/>
  <c r="L54" i="19" s="1"/>
  <c r="M54" i="19" s="1"/>
  <c r="I54" i="41"/>
  <c r="J54" i="41" s="1"/>
  <c r="K54" i="41" s="1"/>
  <c r="L54" i="41" s="1"/>
  <c r="M54" i="41" s="1"/>
  <c r="I56" i="9"/>
  <c r="I54" i="39"/>
  <c r="J54" i="39" s="1"/>
  <c r="K54" i="39" s="1"/>
  <c r="L54" i="39" s="1"/>
  <c r="M54" i="39" s="1"/>
  <c r="H55" i="40"/>
  <c r="F55" i="40"/>
  <c r="B56" i="40"/>
  <c r="E56" i="40" s="1"/>
  <c r="C55" i="40"/>
  <c r="D55" i="40"/>
  <c r="F55" i="39"/>
  <c r="B56" i="39"/>
  <c r="E56" i="39" s="1"/>
  <c r="H55" i="39"/>
  <c r="D55" i="39"/>
  <c r="C55" i="39"/>
  <c r="B57" i="8"/>
  <c r="H56" i="8"/>
  <c r="F56" i="8"/>
  <c r="D56" i="8"/>
  <c r="C56" i="8"/>
  <c r="B56" i="19"/>
  <c r="E56" i="19" s="1"/>
  <c r="H55" i="19"/>
  <c r="F55" i="19"/>
  <c r="D55" i="19"/>
  <c r="C55" i="19"/>
  <c r="H55" i="41"/>
  <c r="F55" i="41"/>
  <c r="B56" i="41"/>
  <c r="E56" i="41" s="1"/>
  <c r="C55" i="41"/>
  <c r="D55" i="41"/>
  <c r="F57" i="9"/>
  <c r="G57" i="9" s="1"/>
  <c r="B58" i="9"/>
  <c r="H57" i="9"/>
  <c r="C57" i="9"/>
  <c r="D57" i="9"/>
  <c r="F55" i="18"/>
  <c r="B56" i="18"/>
  <c r="E56" i="18" s="1"/>
  <c r="H55" i="18"/>
  <c r="D55" i="18"/>
  <c r="C55" i="18"/>
  <c r="I54" i="17"/>
  <c r="J54" i="17" s="1"/>
  <c r="K54" i="17" s="1"/>
  <c r="L54" i="17" s="1"/>
  <c r="H55" i="17"/>
  <c r="F55" i="17"/>
  <c r="G55" i="17" s="1"/>
  <c r="B56" i="17"/>
  <c r="E56" i="17" s="1"/>
  <c r="D55" i="17"/>
  <c r="C55" i="17"/>
  <c r="I54" i="42"/>
  <c r="J54" i="42" s="1"/>
  <c r="K54" i="42" s="1"/>
  <c r="L54" i="42" s="1"/>
  <c r="M54" i="42" s="1"/>
  <c r="B56" i="42"/>
  <c r="H55" i="42"/>
  <c r="F55" i="42"/>
  <c r="G55" i="42" s="1"/>
  <c r="C55" i="42"/>
  <c r="D55" i="42"/>
  <c r="E55" i="40"/>
  <c r="E55" i="39"/>
  <c r="E56" i="8"/>
  <c r="E55" i="19"/>
  <c r="E55" i="41"/>
  <c r="F57" i="4"/>
  <c r="G57" i="4" s="1"/>
  <c r="B58" i="4"/>
  <c r="H57" i="4"/>
  <c r="C57" i="4"/>
  <c r="D57" i="4"/>
  <c r="E55" i="18"/>
  <c r="O52" i="26"/>
  <c r="P52" i="26" s="1"/>
  <c r="Q52" i="26" s="1"/>
  <c r="M54" i="17" l="1"/>
  <c r="J56" i="4"/>
  <c r="K56" i="4" s="1"/>
  <c r="L56" i="4" s="1"/>
  <c r="M56" i="4" s="1"/>
  <c r="J56" i="9"/>
  <c r="K56" i="9" s="1"/>
  <c r="L56" i="9" s="1"/>
  <c r="M56" i="9" s="1"/>
  <c r="G56" i="8"/>
  <c r="G55" i="18"/>
  <c r="G55" i="39"/>
  <c r="G55" i="40"/>
  <c r="G55" i="19"/>
  <c r="G58" i="26"/>
  <c r="G57" i="26"/>
  <c r="J57" i="26"/>
  <c r="B59" i="26"/>
  <c r="E59" i="26" s="1"/>
  <c r="C58" i="26"/>
  <c r="F58" i="26"/>
  <c r="J58" i="26" s="1"/>
  <c r="H58" i="26"/>
  <c r="I58" i="26" s="1"/>
  <c r="D58" i="26"/>
  <c r="O56" i="25"/>
  <c r="P56" i="25" s="1"/>
  <c r="Q56" i="25" s="1"/>
  <c r="B58" i="25"/>
  <c r="E58" i="25" s="1"/>
  <c r="H57" i="25"/>
  <c r="I57" i="25" s="1"/>
  <c r="D57" i="25"/>
  <c r="C57" i="25"/>
  <c r="F57" i="25"/>
  <c r="J57" i="25" s="1"/>
  <c r="G57" i="25"/>
  <c r="I55" i="41"/>
  <c r="J55" i="41" s="1"/>
  <c r="K55" i="41" s="1"/>
  <c r="L55" i="41" s="1"/>
  <c r="M55" i="41" s="1"/>
  <c r="I55" i="40"/>
  <c r="I55" i="19"/>
  <c r="I55" i="42"/>
  <c r="J55" i="42" s="1"/>
  <c r="K55" i="42" s="1"/>
  <c r="L55" i="42" s="1"/>
  <c r="M55" i="42" s="1"/>
  <c r="G55" i="41"/>
  <c r="I56" i="8"/>
  <c r="I55" i="17"/>
  <c r="J55" i="17" s="1"/>
  <c r="K55" i="17" s="1"/>
  <c r="L55" i="17" s="1"/>
  <c r="M55" i="17" s="1"/>
  <c r="I55" i="18"/>
  <c r="F56" i="42"/>
  <c r="B57" i="42"/>
  <c r="H56" i="42"/>
  <c r="D56" i="42"/>
  <c r="C56" i="42"/>
  <c r="B59" i="4"/>
  <c r="H58" i="4"/>
  <c r="F58" i="4"/>
  <c r="D58" i="4"/>
  <c r="C58" i="4"/>
  <c r="E56" i="42"/>
  <c r="B59" i="9"/>
  <c r="H58" i="9"/>
  <c r="F58" i="9"/>
  <c r="D58" i="9"/>
  <c r="C58" i="9"/>
  <c r="I55" i="39"/>
  <c r="I57" i="4"/>
  <c r="J57" i="4" s="1"/>
  <c r="H56" i="41"/>
  <c r="F56" i="41"/>
  <c r="G56" i="41" s="1"/>
  <c r="B57" i="41"/>
  <c r="E57" i="41" s="1"/>
  <c r="C56" i="41"/>
  <c r="D56" i="41"/>
  <c r="H57" i="8"/>
  <c r="F57" i="8"/>
  <c r="B58" i="8"/>
  <c r="C57" i="8"/>
  <c r="D57" i="8"/>
  <c r="F56" i="18"/>
  <c r="G56" i="18" s="1"/>
  <c r="B57" i="18"/>
  <c r="H56" i="18"/>
  <c r="D56" i="18"/>
  <c r="C56" i="18"/>
  <c r="E58" i="4"/>
  <c r="I57" i="9"/>
  <c r="J57" i="9" s="1"/>
  <c r="E58" i="9"/>
  <c r="E57" i="8"/>
  <c r="F56" i="39"/>
  <c r="G56" i="39" s="1"/>
  <c r="B57" i="39"/>
  <c r="H56" i="39"/>
  <c r="C56" i="39"/>
  <c r="D56" i="39"/>
  <c r="H56" i="17"/>
  <c r="F56" i="17"/>
  <c r="G56" i="17" s="1"/>
  <c r="B57" i="17"/>
  <c r="D56" i="17"/>
  <c r="C56" i="17"/>
  <c r="B57" i="19"/>
  <c r="H56" i="19"/>
  <c r="F56" i="19"/>
  <c r="C56" i="19"/>
  <c r="D56" i="19"/>
  <c r="H56" i="40"/>
  <c r="F56" i="40"/>
  <c r="B57" i="40"/>
  <c r="C56" i="40"/>
  <c r="D56" i="40"/>
  <c r="O53" i="26"/>
  <c r="P53" i="26" s="1"/>
  <c r="Q53" i="26" s="1"/>
  <c r="K57" i="9" l="1"/>
  <c r="L57" i="9" s="1"/>
  <c r="M57" i="9" s="1"/>
  <c r="K57" i="4"/>
  <c r="L57" i="4" s="1"/>
  <c r="M57" i="4" s="1"/>
  <c r="J55" i="18"/>
  <c r="K55" i="18" s="1"/>
  <c r="L55" i="18" s="1"/>
  <c r="M55" i="18" s="1"/>
  <c r="J55" i="39"/>
  <c r="K55" i="39" s="1"/>
  <c r="L55" i="39" s="1"/>
  <c r="M55" i="39" s="1"/>
  <c r="J55" i="40"/>
  <c r="K55" i="40" s="1"/>
  <c r="L55" i="40" s="1"/>
  <c r="M55" i="40" s="1"/>
  <c r="J55" i="19"/>
  <c r="K55" i="19" s="1"/>
  <c r="L55" i="19" s="1"/>
  <c r="M55" i="19" s="1"/>
  <c r="J56" i="8"/>
  <c r="K56" i="8" s="1"/>
  <c r="L56" i="8" s="1"/>
  <c r="M56" i="8" s="1"/>
  <c r="G56" i="42"/>
  <c r="G59" i="26"/>
  <c r="F59" i="26"/>
  <c r="J59" i="26" s="1"/>
  <c r="H59" i="26"/>
  <c r="I59" i="26" s="1"/>
  <c r="D59" i="26"/>
  <c r="B60" i="26"/>
  <c r="C59" i="26"/>
  <c r="O57" i="25"/>
  <c r="P57" i="25" s="1"/>
  <c r="Q57" i="25" s="1"/>
  <c r="G58" i="25"/>
  <c r="F58" i="25"/>
  <c r="J58" i="25" s="1"/>
  <c r="B59" i="25"/>
  <c r="E59" i="25" s="1"/>
  <c r="H58" i="25"/>
  <c r="I58" i="25" s="1"/>
  <c r="D58" i="25"/>
  <c r="C58" i="25"/>
  <c r="I56" i="39"/>
  <c r="J56" i="39" s="1"/>
  <c r="I56" i="40"/>
  <c r="I56" i="41"/>
  <c r="J56" i="41" s="1"/>
  <c r="K56" i="41" s="1"/>
  <c r="L56" i="41" s="1"/>
  <c r="M56" i="41" s="1"/>
  <c r="G56" i="40"/>
  <c r="I56" i="42"/>
  <c r="G56" i="19"/>
  <c r="I58" i="4"/>
  <c r="G58" i="9"/>
  <c r="G57" i="8"/>
  <c r="G58" i="4"/>
  <c r="I57" i="8"/>
  <c r="I58" i="9"/>
  <c r="F57" i="39"/>
  <c r="B58" i="39"/>
  <c r="H57" i="39"/>
  <c r="C57" i="39"/>
  <c r="D57" i="39"/>
  <c r="H59" i="9"/>
  <c r="F59" i="9"/>
  <c r="B60" i="9"/>
  <c r="E60" i="9" s="1"/>
  <c r="D59" i="9"/>
  <c r="C59" i="9"/>
  <c r="H59" i="4"/>
  <c r="F59" i="4"/>
  <c r="B60" i="4"/>
  <c r="E60" i="4" s="1"/>
  <c r="D59" i="4"/>
  <c r="C59" i="4"/>
  <c r="F57" i="42"/>
  <c r="B58" i="42"/>
  <c r="E58" i="42" s="1"/>
  <c r="H57" i="42"/>
  <c r="D57" i="42"/>
  <c r="C57" i="42"/>
  <c r="F57" i="40"/>
  <c r="B58" i="40"/>
  <c r="E58" i="40" s="1"/>
  <c r="H57" i="40"/>
  <c r="C57" i="40"/>
  <c r="D57" i="40"/>
  <c r="F57" i="18"/>
  <c r="B58" i="18"/>
  <c r="E58" i="18" s="1"/>
  <c r="H57" i="18"/>
  <c r="D57" i="18"/>
  <c r="C57" i="18"/>
  <c r="F58" i="8"/>
  <c r="B59" i="8"/>
  <c r="E59" i="8" s="1"/>
  <c r="H58" i="8"/>
  <c r="C58" i="8"/>
  <c r="D58" i="8"/>
  <c r="E57" i="42"/>
  <c r="F57" i="17"/>
  <c r="B58" i="17"/>
  <c r="E58" i="17" s="1"/>
  <c r="H57" i="17"/>
  <c r="C57" i="17"/>
  <c r="D57" i="17"/>
  <c r="E57" i="40"/>
  <c r="H57" i="19"/>
  <c r="F57" i="19"/>
  <c r="B58" i="19"/>
  <c r="D57" i="19"/>
  <c r="C57" i="19"/>
  <c r="E57" i="17"/>
  <c r="I56" i="18"/>
  <c r="J56" i="18" s="1"/>
  <c r="E57" i="18"/>
  <c r="E59" i="9"/>
  <c r="E59" i="4"/>
  <c r="E57" i="39"/>
  <c r="I56" i="19"/>
  <c r="E57" i="19"/>
  <c r="I56" i="17"/>
  <c r="J56" i="17" s="1"/>
  <c r="K56" i="17" s="1"/>
  <c r="L56" i="17" s="1"/>
  <c r="M56" i="17" s="1"/>
  <c r="E58" i="8"/>
  <c r="F57" i="41"/>
  <c r="G57" i="41" s="1"/>
  <c r="B58" i="41"/>
  <c r="E58" i="41" s="1"/>
  <c r="H57" i="41"/>
  <c r="C57" i="41"/>
  <c r="D57" i="41"/>
  <c r="O54" i="26"/>
  <c r="P54" i="26" s="1"/>
  <c r="Q54" i="26" s="1"/>
  <c r="K56" i="39" l="1"/>
  <c r="L56" i="39" s="1"/>
  <c r="M56" i="39" s="1"/>
  <c r="J58" i="4"/>
  <c r="K58" i="4" s="1"/>
  <c r="L58" i="4" s="1"/>
  <c r="M58" i="4" s="1"/>
  <c r="J58" i="9"/>
  <c r="K58" i="9" s="1"/>
  <c r="L58" i="9" s="1"/>
  <c r="M58" i="9" s="1"/>
  <c r="K56" i="18"/>
  <c r="L56" i="18" s="1"/>
  <c r="M56" i="18" s="1"/>
  <c r="J56" i="40"/>
  <c r="K56" i="40" s="1"/>
  <c r="L56" i="40" s="1"/>
  <c r="M56" i="40" s="1"/>
  <c r="J56" i="19"/>
  <c r="K56" i="19" s="1"/>
  <c r="L56" i="19" s="1"/>
  <c r="M56" i="19" s="1"/>
  <c r="J56" i="42"/>
  <c r="K56" i="42" s="1"/>
  <c r="L56" i="42" s="1"/>
  <c r="M56" i="42" s="1"/>
  <c r="J57" i="8"/>
  <c r="K57" i="8" s="1"/>
  <c r="L57" i="8" s="1"/>
  <c r="M57" i="8" s="1"/>
  <c r="G57" i="18"/>
  <c r="G57" i="42"/>
  <c r="I57" i="19"/>
  <c r="I57" i="40"/>
  <c r="H60" i="26"/>
  <c r="I60" i="26" s="1"/>
  <c r="D60" i="26"/>
  <c r="B61" i="26"/>
  <c r="C60" i="26"/>
  <c r="F60" i="26"/>
  <c r="E60" i="26"/>
  <c r="O58" i="25"/>
  <c r="P58" i="25" s="1"/>
  <c r="Q58" i="25" s="1"/>
  <c r="G59" i="25"/>
  <c r="C59" i="25"/>
  <c r="F59" i="25"/>
  <c r="J59" i="25" s="1"/>
  <c r="B60" i="25"/>
  <c r="E60" i="25" s="1"/>
  <c r="H59" i="25"/>
  <c r="I59" i="25" s="1"/>
  <c r="D59" i="25"/>
  <c r="G57" i="17"/>
  <c r="G57" i="39"/>
  <c r="G57" i="40"/>
  <c r="G59" i="4"/>
  <c r="G59" i="9"/>
  <c r="G58" i="8"/>
  <c r="I59" i="4"/>
  <c r="I57" i="17"/>
  <c r="I57" i="18"/>
  <c r="I57" i="39"/>
  <c r="J57" i="39" s="1"/>
  <c r="K57" i="39" s="1"/>
  <c r="L57" i="39" s="1"/>
  <c r="I57" i="41"/>
  <c r="J57" i="41" s="1"/>
  <c r="K57" i="41" s="1"/>
  <c r="L57" i="41" s="1"/>
  <c r="M57" i="41" s="1"/>
  <c r="G57" i="19"/>
  <c r="I58" i="8"/>
  <c r="I57" i="42"/>
  <c r="J57" i="42" s="1"/>
  <c r="F58" i="19"/>
  <c r="B59" i="19"/>
  <c r="E59" i="19" s="1"/>
  <c r="H58" i="19"/>
  <c r="C58" i="19"/>
  <c r="D58" i="19"/>
  <c r="F58" i="41"/>
  <c r="G58" i="41" s="1"/>
  <c r="B59" i="41"/>
  <c r="E59" i="41" s="1"/>
  <c r="H58" i="41"/>
  <c r="D58" i="41"/>
  <c r="C58" i="41"/>
  <c r="E58" i="19"/>
  <c r="F58" i="40"/>
  <c r="G58" i="40" s="1"/>
  <c r="B59" i="40"/>
  <c r="E59" i="40" s="1"/>
  <c r="H58" i="40"/>
  <c r="D58" i="40"/>
  <c r="C58" i="40"/>
  <c r="I59" i="9"/>
  <c r="B59" i="39"/>
  <c r="E59" i="39" s="1"/>
  <c r="H58" i="39"/>
  <c r="F58" i="39"/>
  <c r="C58" i="39"/>
  <c r="D58" i="39"/>
  <c r="F58" i="17"/>
  <c r="G58" i="17" s="1"/>
  <c r="B59" i="17"/>
  <c r="H58" i="17"/>
  <c r="C58" i="17"/>
  <c r="D58" i="17"/>
  <c r="F59" i="8"/>
  <c r="G59" i="8" s="1"/>
  <c r="B60" i="8"/>
  <c r="E60" i="8" s="1"/>
  <c r="H59" i="8"/>
  <c r="D59" i="8"/>
  <c r="C59" i="8"/>
  <c r="B59" i="18"/>
  <c r="E59" i="18" s="1"/>
  <c r="H58" i="18"/>
  <c r="F58" i="18"/>
  <c r="G58" i="18" s="1"/>
  <c r="D58" i="18"/>
  <c r="C58" i="18"/>
  <c r="B59" i="42"/>
  <c r="E59" i="42" s="1"/>
  <c r="F58" i="42"/>
  <c r="G58" i="42" s="1"/>
  <c r="H58" i="42"/>
  <c r="C58" i="42"/>
  <c r="D58" i="42"/>
  <c r="F60" i="9"/>
  <c r="G60" i="9" s="1"/>
  <c r="B61" i="9"/>
  <c r="E61" i="9" s="1"/>
  <c r="H60" i="9"/>
  <c r="C60" i="9"/>
  <c r="D60" i="9"/>
  <c r="F60" i="4"/>
  <c r="G60" i="4" s="1"/>
  <c r="B61" i="4"/>
  <c r="H60" i="4"/>
  <c r="D60" i="4"/>
  <c r="C60" i="4"/>
  <c r="E58" i="39"/>
  <c r="O55" i="26"/>
  <c r="P55" i="26" s="1"/>
  <c r="Q55" i="26" s="1"/>
  <c r="K57" i="42" l="1"/>
  <c r="L57" i="42" s="1"/>
  <c r="M57" i="42" s="1"/>
  <c r="M57" i="39"/>
  <c r="J57" i="18"/>
  <c r="K57" i="18" s="1"/>
  <c r="L57" i="18" s="1"/>
  <c r="M57" i="18" s="1"/>
  <c r="J58" i="8"/>
  <c r="K58" i="8" s="1"/>
  <c r="L58" i="8" s="1"/>
  <c r="M58" i="8" s="1"/>
  <c r="J57" i="40"/>
  <c r="K57" i="40" s="1"/>
  <c r="L57" i="40" s="1"/>
  <c r="M57" i="40" s="1"/>
  <c r="J57" i="19"/>
  <c r="K57" i="19" s="1"/>
  <c r="L57" i="19" s="1"/>
  <c r="M57" i="19" s="1"/>
  <c r="J57" i="17"/>
  <c r="K57" i="17" s="1"/>
  <c r="L57" i="17" s="1"/>
  <c r="M57" i="17" s="1"/>
  <c r="J59" i="9"/>
  <c r="K59" i="9" s="1"/>
  <c r="L59" i="9" s="1"/>
  <c r="M59" i="9" s="1"/>
  <c r="J59" i="4"/>
  <c r="K59" i="4" s="1"/>
  <c r="L59" i="4" s="1"/>
  <c r="M59" i="4" s="1"/>
  <c r="G58" i="39"/>
  <c r="I58" i="42"/>
  <c r="J58" i="42" s="1"/>
  <c r="K58" i="42" s="1"/>
  <c r="L58" i="42" s="1"/>
  <c r="I58" i="17"/>
  <c r="J58" i="17" s="1"/>
  <c r="G60" i="26"/>
  <c r="J60" i="26"/>
  <c r="H61" i="26"/>
  <c r="I61" i="26" s="1"/>
  <c r="D61" i="26"/>
  <c r="B62" i="26"/>
  <c r="C61" i="26"/>
  <c r="E62" i="26"/>
  <c r="F61" i="26"/>
  <c r="E61" i="26"/>
  <c r="G60" i="25"/>
  <c r="H60" i="25"/>
  <c r="I60" i="25" s="1"/>
  <c r="D60" i="25"/>
  <c r="C60" i="25"/>
  <c r="F60" i="25"/>
  <c r="J60" i="25" s="1"/>
  <c r="B61" i="25"/>
  <c r="O59" i="25"/>
  <c r="P59" i="25" s="1"/>
  <c r="Q59" i="25" s="1"/>
  <c r="G58" i="19"/>
  <c r="I58" i="18"/>
  <c r="J58" i="18" s="1"/>
  <c r="I58" i="39"/>
  <c r="J58" i="39" s="1"/>
  <c r="K58" i="39" s="1"/>
  <c r="L58" i="39" s="1"/>
  <c r="M58" i="39" s="1"/>
  <c r="I60" i="4"/>
  <c r="J60" i="4" s="1"/>
  <c r="I60" i="9"/>
  <c r="J60" i="9" s="1"/>
  <c r="F61" i="4"/>
  <c r="B62" i="4"/>
  <c r="H61" i="4"/>
  <c r="D61" i="4"/>
  <c r="C61" i="4"/>
  <c r="F61" i="9"/>
  <c r="G61" i="9" s="1"/>
  <c r="B62" i="9"/>
  <c r="E62" i="9" s="1"/>
  <c r="H61" i="9"/>
  <c r="D61" i="9"/>
  <c r="C61" i="9"/>
  <c r="H59" i="42"/>
  <c r="F59" i="42"/>
  <c r="G59" i="42" s="1"/>
  <c r="B60" i="42"/>
  <c r="D59" i="42"/>
  <c r="C59" i="42"/>
  <c r="I59" i="8"/>
  <c r="J59" i="8" s="1"/>
  <c r="B60" i="41"/>
  <c r="E60" i="41" s="1"/>
  <c r="H59" i="41"/>
  <c r="F59" i="41"/>
  <c r="G59" i="41" s="1"/>
  <c r="D59" i="41"/>
  <c r="C59" i="41"/>
  <c r="I58" i="19"/>
  <c r="J58" i="19" s="1"/>
  <c r="E61" i="4"/>
  <c r="B60" i="17"/>
  <c r="E60" i="17" s="1"/>
  <c r="H59" i="17"/>
  <c r="F59" i="17"/>
  <c r="C59" i="17"/>
  <c r="D59" i="17"/>
  <c r="H59" i="39"/>
  <c r="F59" i="39"/>
  <c r="G59" i="39" s="1"/>
  <c r="B60" i="39"/>
  <c r="C59" i="39"/>
  <c r="D59" i="39"/>
  <c r="I58" i="41"/>
  <c r="J58" i="41" s="1"/>
  <c r="K58" i="41" s="1"/>
  <c r="L58" i="41" s="1"/>
  <c r="M58" i="41" s="1"/>
  <c r="B60" i="40"/>
  <c r="H59" i="40"/>
  <c r="F59" i="40"/>
  <c r="G59" i="40" s="1"/>
  <c r="D59" i="40"/>
  <c r="C59" i="40"/>
  <c r="F59" i="19"/>
  <c r="G59" i="19" s="1"/>
  <c r="B60" i="19"/>
  <c r="E60" i="19" s="1"/>
  <c r="H59" i="19"/>
  <c r="C59" i="19"/>
  <c r="D59" i="19"/>
  <c r="H59" i="18"/>
  <c r="F59" i="18"/>
  <c r="G59" i="18" s="1"/>
  <c r="B60" i="18"/>
  <c r="D59" i="18"/>
  <c r="C59" i="18"/>
  <c r="B61" i="8"/>
  <c r="H60" i="8"/>
  <c r="F60" i="8"/>
  <c r="G60" i="8" s="1"/>
  <c r="C60" i="8"/>
  <c r="D60" i="8"/>
  <c r="E59" i="17"/>
  <c r="I58" i="40"/>
  <c r="J58" i="40" s="1"/>
  <c r="O56" i="26"/>
  <c r="P56" i="26" s="1"/>
  <c r="Q56" i="26" s="1"/>
  <c r="M58" i="42" l="1"/>
  <c r="K58" i="40"/>
  <c r="L58" i="40" s="1"/>
  <c r="M58" i="40" s="1"/>
  <c r="K59" i="8"/>
  <c r="L59" i="8" s="1"/>
  <c r="M59" i="8" s="1"/>
  <c r="K58" i="18"/>
  <c r="L58" i="18" s="1"/>
  <c r="M58" i="18" s="1"/>
  <c r="K58" i="19"/>
  <c r="L58" i="19" s="1"/>
  <c r="M58" i="19" s="1"/>
  <c r="K58" i="17"/>
  <c r="L58" i="17" s="1"/>
  <c r="M58" i="17" s="1"/>
  <c r="K60" i="9"/>
  <c r="L60" i="9" s="1"/>
  <c r="M60" i="9" s="1"/>
  <c r="K60" i="4"/>
  <c r="L60" i="4" s="1"/>
  <c r="M60" i="4" s="1"/>
  <c r="I59" i="42"/>
  <c r="J59" i="42" s="1"/>
  <c r="K59" i="42" s="1"/>
  <c r="L59" i="42" s="1"/>
  <c r="M59" i="42" s="1"/>
  <c r="I59" i="18"/>
  <c r="J59" i="18" s="1"/>
  <c r="K59" i="18" s="1"/>
  <c r="L59" i="18" s="1"/>
  <c r="G62" i="26"/>
  <c r="G61" i="26"/>
  <c r="J61" i="26"/>
  <c r="B63" i="26"/>
  <c r="E63" i="26" s="1"/>
  <c r="C62" i="26"/>
  <c r="F62" i="26"/>
  <c r="J62" i="26" s="1"/>
  <c r="H62" i="26"/>
  <c r="I62" i="26" s="1"/>
  <c r="D62" i="26"/>
  <c r="B62" i="25"/>
  <c r="E62" i="25" s="1"/>
  <c r="H61" i="25"/>
  <c r="I61" i="25" s="1"/>
  <c r="D61" i="25"/>
  <c r="C61" i="25"/>
  <c r="F61" i="25"/>
  <c r="I59" i="41"/>
  <c r="J59" i="41" s="1"/>
  <c r="K59" i="41" s="1"/>
  <c r="L59" i="41" s="1"/>
  <c r="M59" i="41" s="1"/>
  <c r="E61" i="25"/>
  <c r="O60" i="25"/>
  <c r="P60" i="25" s="1"/>
  <c r="Q60" i="25" s="1"/>
  <c r="I59" i="40"/>
  <c r="J59" i="40" s="1"/>
  <c r="K59" i="40" s="1"/>
  <c r="L59" i="40" s="1"/>
  <c r="I61" i="9"/>
  <c r="J61" i="9" s="1"/>
  <c r="K61" i="9" s="1"/>
  <c r="L61" i="9" s="1"/>
  <c r="I61" i="4"/>
  <c r="I59" i="39"/>
  <c r="J59" i="39" s="1"/>
  <c r="K59" i="39" s="1"/>
  <c r="L59" i="39" s="1"/>
  <c r="M59" i="39" s="1"/>
  <c r="G61" i="4"/>
  <c r="G59" i="17"/>
  <c r="I59" i="19"/>
  <c r="J59" i="19" s="1"/>
  <c r="K59" i="19" s="1"/>
  <c r="L59" i="19" s="1"/>
  <c r="I59" i="17"/>
  <c r="F60" i="18"/>
  <c r="B61" i="18"/>
  <c r="E61" i="18" s="1"/>
  <c r="H60" i="18"/>
  <c r="D60" i="18"/>
  <c r="C60" i="18"/>
  <c r="H61" i="8"/>
  <c r="F61" i="8"/>
  <c r="B62" i="8"/>
  <c r="C61" i="8"/>
  <c r="D61" i="8"/>
  <c r="E60" i="18"/>
  <c r="E61" i="8"/>
  <c r="B61" i="19"/>
  <c r="E61" i="19" s="1"/>
  <c r="H60" i="19"/>
  <c r="F60" i="19"/>
  <c r="G60" i="19" s="1"/>
  <c r="C60" i="19"/>
  <c r="D60" i="19"/>
  <c r="H60" i="41"/>
  <c r="F60" i="41"/>
  <c r="G60" i="41" s="1"/>
  <c r="B61" i="41"/>
  <c r="E61" i="41" s="1"/>
  <c r="D60" i="41"/>
  <c r="C60" i="41"/>
  <c r="B63" i="9"/>
  <c r="E63" i="9" s="1"/>
  <c r="H62" i="9"/>
  <c r="F62" i="9"/>
  <c r="G62" i="9" s="1"/>
  <c r="C62" i="9"/>
  <c r="D62" i="9"/>
  <c r="H60" i="40"/>
  <c r="F60" i="40"/>
  <c r="B61" i="40"/>
  <c r="E61" i="40" s="1"/>
  <c r="D60" i="40"/>
  <c r="C60" i="40"/>
  <c r="F60" i="39"/>
  <c r="B61" i="39"/>
  <c r="H60" i="39"/>
  <c r="C60" i="39"/>
  <c r="D60" i="39"/>
  <c r="F60" i="42"/>
  <c r="B61" i="42"/>
  <c r="H60" i="42"/>
  <c r="C60" i="42"/>
  <c r="D60" i="42"/>
  <c r="B63" i="4"/>
  <c r="H62" i="4"/>
  <c r="F62" i="4"/>
  <c r="D62" i="4"/>
  <c r="C62" i="4"/>
  <c r="I60" i="8"/>
  <c r="J60" i="8" s="1"/>
  <c r="K60" i="8" s="1"/>
  <c r="L60" i="8" s="1"/>
  <c r="E60" i="42"/>
  <c r="E60" i="40"/>
  <c r="E60" i="39"/>
  <c r="H60" i="17"/>
  <c r="F60" i="17"/>
  <c r="G60" i="17" s="1"/>
  <c r="B61" i="17"/>
  <c r="C60" i="17"/>
  <c r="D60" i="17"/>
  <c r="E62" i="4"/>
  <c r="O57" i="26"/>
  <c r="P57" i="26" s="1"/>
  <c r="Q57" i="26" s="1"/>
  <c r="M59" i="19" l="1"/>
  <c r="M59" i="40"/>
  <c r="M60" i="8"/>
  <c r="M59" i="18"/>
  <c r="M61" i="9"/>
  <c r="J59" i="17"/>
  <c r="K59" i="17" s="1"/>
  <c r="L59" i="17" s="1"/>
  <c r="M59" i="17" s="1"/>
  <c r="J61" i="4"/>
  <c r="K61" i="4" s="1"/>
  <c r="L61" i="4" s="1"/>
  <c r="M61" i="4" s="1"/>
  <c r="I60" i="41"/>
  <c r="J60" i="41" s="1"/>
  <c r="K60" i="41" s="1"/>
  <c r="L60" i="41" s="1"/>
  <c r="M60" i="41" s="1"/>
  <c r="G60" i="39"/>
  <c r="G60" i="40"/>
  <c r="G63" i="26"/>
  <c r="F63" i="26"/>
  <c r="J63" i="26" s="1"/>
  <c r="H63" i="26"/>
  <c r="I63" i="26" s="1"/>
  <c r="D63" i="26"/>
  <c r="B64" i="26"/>
  <c r="C63" i="26"/>
  <c r="G62" i="25"/>
  <c r="G61" i="25"/>
  <c r="J61" i="25"/>
  <c r="O61" i="25" s="1"/>
  <c r="P61" i="25" s="1"/>
  <c r="Q61" i="25" s="1"/>
  <c r="F62" i="25"/>
  <c r="J62" i="25" s="1"/>
  <c r="B63" i="25"/>
  <c r="H62" i="25"/>
  <c r="I62" i="25" s="1"/>
  <c r="D62" i="25"/>
  <c r="C62" i="25"/>
  <c r="G60" i="18"/>
  <c r="I60" i="42"/>
  <c r="G62" i="4"/>
  <c r="G61" i="8"/>
  <c r="I60" i="17"/>
  <c r="J60" i="17" s="1"/>
  <c r="I60" i="40"/>
  <c r="I62" i="9"/>
  <c r="J62" i="9" s="1"/>
  <c r="K62" i="9" s="1"/>
  <c r="L62" i="9" s="1"/>
  <c r="M62" i="9" s="1"/>
  <c r="I61" i="8"/>
  <c r="I60" i="18"/>
  <c r="B64" i="4"/>
  <c r="H63" i="4"/>
  <c r="F63" i="4"/>
  <c r="D63" i="4"/>
  <c r="C63" i="4"/>
  <c r="F61" i="39"/>
  <c r="B62" i="39"/>
  <c r="H61" i="39"/>
  <c r="D61" i="39"/>
  <c r="C61" i="39"/>
  <c r="F62" i="8"/>
  <c r="B63" i="8"/>
  <c r="H62" i="8"/>
  <c r="C62" i="8"/>
  <c r="D62" i="8"/>
  <c r="F61" i="17"/>
  <c r="B62" i="17"/>
  <c r="H61" i="17"/>
  <c r="C61" i="17"/>
  <c r="D61" i="17"/>
  <c r="I62" i="4"/>
  <c r="F61" i="42"/>
  <c r="B62" i="42"/>
  <c r="E62" i="42" s="1"/>
  <c r="H61" i="42"/>
  <c r="D61" i="42"/>
  <c r="C61" i="42"/>
  <c r="F61" i="40"/>
  <c r="G61" i="40" s="1"/>
  <c r="B62" i="40"/>
  <c r="E62" i="40" s="1"/>
  <c r="H61" i="40"/>
  <c r="C61" i="40"/>
  <c r="D61" i="40"/>
  <c r="E61" i="17"/>
  <c r="G60" i="42"/>
  <c r="E63" i="4"/>
  <c r="E61" i="42"/>
  <c r="I60" i="39"/>
  <c r="J60" i="39" s="1"/>
  <c r="K60" i="39" s="1"/>
  <c r="L60" i="39" s="1"/>
  <c r="M60" i="39" s="1"/>
  <c r="E61" i="39"/>
  <c r="F61" i="41"/>
  <c r="G61" i="41" s="1"/>
  <c r="B62" i="41"/>
  <c r="E62" i="41" s="1"/>
  <c r="H61" i="41"/>
  <c r="C61" i="41"/>
  <c r="D61" i="41"/>
  <c r="I60" i="19"/>
  <c r="J60" i="19" s="1"/>
  <c r="K60" i="19" s="1"/>
  <c r="L60" i="19" s="1"/>
  <c r="M60" i="19" s="1"/>
  <c r="H61" i="19"/>
  <c r="F61" i="19"/>
  <c r="G61" i="19" s="1"/>
  <c r="B62" i="19"/>
  <c r="C61" i="19"/>
  <c r="D61" i="19"/>
  <c r="E62" i="8"/>
  <c r="B64" i="9"/>
  <c r="E64" i="9" s="1"/>
  <c r="H63" i="9"/>
  <c r="F63" i="9"/>
  <c r="G63" i="9" s="1"/>
  <c r="D63" i="9"/>
  <c r="C63" i="9"/>
  <c r="F61" i="18"/>
  <c r="G61" i="18" s="1"/>
  <c r="B62" i="18"/>
  <c r="H61" i="18"/>
  <c r="C61" i="18"/>
  <c r="D61" i="18"/>
  <c r="O58" i="26"/>
  <c r="P58" i="26" s="1"/>
  <c r="Q58" i="26" s="1"/>
  <c r="J60" i="40" l="1"/>
  <c r="K60" i="40" s="1"/>
  <c r="L60" i="40" s="1"/>
  <c r="M60" i="40" s="1"/>
  <c r="K60" i="17"/>
  <c r="L60" i="17" s="1"/>
  <c r="M60" i="17" s="1"/>
  <c r="J60" i="18"/>
  <c r="K60" i="18" s="1"/>
  <c r="L60" i="18" s="1"/>
  <c r="M60" i="18" s="1"/>
  <c r="J60" i="42"/>
  <c r="K60" i="42" s="1"/>
  <c r="L60" i="42" s="1"/>
  <c r="M60" i="42" s="1"/>
  <c r="J61" i="8"/>
  <c r="K61" i="8" s="1"/>
  <c r="L61" i="8" s="1"/>
  <c r="M61" i="8" s="1"/>
  <c r="J62" i="4"/>
  <c r="K62" i="4" s="1"/>
  <c r="L62" i="4" s="1"/>
  <c r="M62" i="4" s="1"/>
  <c r="G61" i="17"/>
  <c r="G61" i="39"/>
  <c r="B65" i="26"/>
  <c r="E65" i="26" s="1"/>
  <c r="F64" i="26"/>
  <c r="D64" i="26"/>
  <c r="C64" i="26"/>
  <c r="H64" i="26"/>
  <c r="I64" i="26" s="1"/>
  <c r="E64" i="26"/>
  <c r="O62" i="25"/>
  <c r="P62" i="25" s="1"/>
  <c r="Q62" i="25" s="1"/>
  <c r="C63" i="25"/>
  <c r="F63" i="25"/>
  <c r="B64" i="25"/>
  <c r="E64" i="25" s="1"/>
  <c r="H63" i="25"/>
  <c r="I63" i="25" s="1"/>
  <c r="D63" i="25"/>
  <c r="E63" i="25"/>
  <c r="G61" i="42"/>
  <c r="I61" i="18"/>
  <c r="J61" i="18" s="1"/>
  <c r="I61" i="19"/>
  <c r="J61" i="19" s="1"/>
  <c r="K61" i="19" s="1"/>
  <c r="L61" i="19" s="1"/>
  <c r="M61" i="19" s="1"/>
  <c r="I63" i="4"/>
  <c r="G63" i="4"/>
  <c r="I62" i="8"/>
  <c r="G62" i="8"/>
  <c r="I63" i="9"/>
  <c r="J63" i="9" s="1"/>
  <c r="K63" i="9" s="1"/>
  <c r="L63" i="9" s="1"/>
  <c r="M63" i="9" s="1"/>
  <c r="I61" i="42"/>
  <c r="I61" i="17"/>
  <c r="I61" i="39"/>
  <c r="B63" i="18"/>
  <c r="E63" i="18" s="1"/>
  <c r="H62" i="18"/>
  <c r="F62" i="18"/>
  <c r="D62" i="18"/>
  <c r="C62" i="18"/>
  <c r="F62" i="19"/>
  <c r="B63" i="19"/>
  <c r="E63" i="19" s="1"/>
  <c r="H62" i="19"/>
  <c r="D62" i="19"/>
  <c r="C62" i="19"/>
  <c r="F62" i="41"/>
  <c r="G62" i="41" s="1"/>
  <c r="B63" i="41"/>
  <c r="E63" i="41" s="1"/>
  <c r="H62" i="41"/>
  <c r="D62" i="41"/>
  <c r="C62" i="41"/>
  <c r="I61" i="40"/>
  <c r="J61" i="40" s="1"/>
  <c r="B63" i="42"/>
  <c r="E63" i="42" s="1"/>
  <c r="F62" i="42"/>
  <c r="G62" i="42" s="1"/>
  <c r="H62" i="42"/>
  <c r="D62" i="42"/>
  <c r="C62" i="42"/>
  <c r="F62" i="17"/>
  <c r="B63" i="17"/>
  <c r="E63" i="17" s="1"/>
  <c r="H62" i="17"/>
  <c r="D62" i="17"/>
  <c r="C62" i="17"/>
  <c r="F63" i="8"/>
  <c r="B64" i="8"/>
  <c r="E64" i="8" s="1"/>
  <c r="H63" i="8"/>
  <c r="D63" i="8"/>
  <c r="C63" i="8"/>
  <c r="B63" i="39"/>
  <c r="E63" i="39" s="1"/>
  <c r="H62" i="39"/>
  <c r="F62" i="39"/>
  <c r="C62" i="39"/>
  <c r="D62" i="39"/>
  <c r="H64" i="4"/>
  <c r="F64" i="4"/>
  <c r="B65" i="4"/>
  <c r="E65" i="4" s="1"/>
  <c r="C64" i="4"/>
  <c r="D64" i="4"/>
  <c r="H64" i="9"/>
  <c r="F64" i="9"/>
  <c r="G64" i="9" s="1"/>
  <c r="B65" i="9"/>
  <c r="C64" i="9"/>
  <c r="D64" i="9"/>
  <c r="E62" i="19"/>
  <c r="I61" i="41"/>
  <c r="J61" i="41" s="1"/>
  <c r="K61" i="41" s="1"/>
  <c r="L61" i="41" s="1"/>
  <c r="M61" i="41" s="1"/>
  <c r="F62" i="40"/>
  <c r="G62" i="40" s="1"/>
  <c r="B63" i="40"/>
  <c r="E63" i="40" s="1"/>
  <c r="H62" i="40"/>
  <c r="C62" i="40"/>
  <c r="D62" i="40"/>
  <c r="E64" i="4"/>
  <c r="E62" i="18"/>
  <c r="E62" i="17"/>
  <c r="E63" i="8"/>
  <c r="E62" i="39"/>
  <c r="O59" i="26"/>
  <c r="P59" i="26" s="1"/>
  <c r="Q59" i="26" s="1"/>
  <c r="K61" i="40" l="1"/>
  <c r="L61" i="40" s="1"/>
  <c r="M61" i="40" s="1"/>
  <c r="J61" i="17"/>
  <c r="K61" i="17" s="1"/>
  <c r="L61" i="17" s="1"/>
  <c r="M61" i="17" s="1"/>
  <c r="K61" i="18"/>
  <c r="L61" i="18" s="1"/>
  <c r="M61" i="18" s="1"/>
  <c r="J61" i="39"/>
  <c r="K61" i="39" s="1"/>
  <c r="L61" i="39" s="1"/>
  <c r="M61" i="39" s="1"/>
  <c r="J61" i="42"/>
  <c r="K61" i="42" s="1"/>
  <c r="L61" i="42" s="1"/>
  <c r="M61" i="42" s="1"/>
  <c r="J62" i="8"/>
  <c r="K62" i="8" s="1"/>
  <c r="L62" i="8" s="1"/>
  <c r="M62" i="8" s="1"/>
  <c r="J63" i="4"/>
  <c r="K63" i="4" s="1"/>
  <c r="L63" i="4" s="1"/>
  <c r="M63" i="4" s="1"/>
  <c r="G62" i="18"/>
  <c r="G62" i="17"/>
  <c r="G62" i="39"/>
  <c r="G65" i="26"/>
  <c r="G64" i="26"/>
  <c r="J64" i="26"/>
  <c r="F65" i="26"/>
  <c r="J65" i="26" s="1"/>
  <c r="D65" i="26"/>
  <c r="B66" i="26"/>
  <c r="C65" i="26"/>
  <c r="H65" i="26"/>
  <c r="I65" i="26" s="1"/>
  <c r="G64" i="25"/>
  <c r="G63" i="25"/>
  <c r="J63" i="25"/>
  <c r="O63" i="25" s="1"/>
  <c r="P63" i="25" s="1"/>
  <c r="Q63" i="25" s="1"/>
  <c r="H64" i="25"/>
  <c r="I64" i="25" s="1"/>
  <c r="D64" i="25"/>
  <c r="C64" i="25"/>
  <c r="F64" i="25"/>
  <c r="J64" i="25" s="1"/>
  <c r="B65" i="25"/>
  <c r="G62" i="19"/>
  <c r="I62" i="39"/>
  <c r="I62" i="18"/>
  <c r="I62" i="41"/>
  <c r="J62" i="41" s="1"/>
  <c r="K62" i="41" s="1"/>
  <c r="L62" i="41" s="1"/>
  <c r="M62" i="41" s="1"/>
  <c r="G63" i="8"/>
  <c r="G64" i="4"/>
  <c r="I63" i="8"/>
  <c r="I64" i="4"/>
  <c r="I62" i="42"/>
  <c r="J62" i="42" s="1"/>
  <c r="I64" i="9"/>
  <c r="J64" i="9" s="1"/>
  <c r="K64" i="9" s="1"/>
  <c r="L64" i="9" s="1"/>
  <c r="M64" i="9" s="1"/>
  <c r="I62" i="19"/>
  <c r="I62" i="40"/>
  <c r="J62" i="40" s="1"/>
  <c r="K62" i="40" s="1"/>
  <c r="L62" i="40" s="1"/>
  <c r="F65" i="9"/>
  <c r="B66" i="9"/>
  <c r="H65" i="9"/>
  <c r="C65" i="9"/>
  <c r="D65" i="9"/>
  <c r="F65" i="4"/>
  <c r="G65" i="4" s="1"/>
  <c r="B66" i="4"/>
  <c r="E66" i="4" s="1"/>
  <c r="H65" i="4"/>
  <c r="D65" i="4"/>
  <c r="C65" i="4"/>
  <c r="I62" i="17"/>
  <c r="B64" i="41"/>
  <c r="H63" i="41"/>
  <c r="F63" i="41"/>
  <c r="G63" i="41" s="1"/>
  <c r="C63" i="41"/>
  <c r="D63" i="41"/>
  <c r="H63" i="39"/>
  <c r="F63" i="39"/>
  <c r="G63" i="39" s="1"/>
  <c r="B64" i="39"/>
  <c r="C63" i="39"/>
  <c r="D63" i="39"/>
  <c r="B65" i="8"/>
  <c r="E65" i="8" s="1"/>
  <c r="H64" i="8"/>
  <c r="F64" i="8"/>
  <c r="G64" i="8" s="1"/>
  <c r="D64" i="8"/>
  <c r="C64" i="8"/>
  <c r="B64" i="40"/>
  <c r="E64" i="40" s="1"/>
  <c r="H63" i="40"/>
  <c r="F63" i="40"/>
  <c r="G63" i="40" s="1"/>
  <c r="D63" i="40"/>
  <c r="C63" i="40"/>
  <c r="E65" i="9"/>
  <c r="F63" i="19"/>
  <c r="G63" i="19" s="1"/>
  <c r="B64" i="19"/>
  <c r="H63" i="19"/>
  <c r="C63" i="19"/>
  <c r="D63" i="19"/>
  <c r="H63" i="18"/>
  <c r="F63" i="18"/>
  <c r="G63" i="18" s="1"/>
  <c r="B64" i="18"/>
  <c r="E64" i="18" s="1"/>
  <c r="D63" i="18"/>
  <c r="C63" i="18"/>
  <c r="B64" i="17"/>
  <c r="E64" i="17" s="1"/>
  <c r="H63" i="17"/>
  <c r="F63" i="17"/>
  <c r="G63" i="17" s="1"/>
  <c r="D63" i="17"/>
  <c r="C63" i="17"/>
  <c r="H63" i="42"/>
  <c r="F63" i="42"/>
  <c r="G63" i="42" s="1"/>
  <c r="B64" i="42"/>
  <c r="E64" i="42" s="1"/>
  <c r="C63" i="42"/>
  <c r="D63" i="42"/>
  <c r="O60" i="26"/>
  <c r="P60" i="26" s="1"/>
  <c r="Q60" i="26" s="1"/>
  <c r="M62" i="40" l="1"/>
  <c r="K62" i="42"/>
  <c r="L62" i="42" s="1"/>
  <c r="M62" i="42" s="1"/>
  <c r="J62" i="18"/>
  <c r="K62" i="18" s="1"/>
  <c r="L62" i="18" s="1"/>
  <c r="M62" i="18" s="1"/>
  <c r="J62" i="19"/>
  <c r="K62" i="19" s="1"/>
  <c r="L62" i="19" s="1"/>
  <c r="M62" i="19" s="1"/>
  <c r="J62" i="17"/>
  <c r="K62" i="17" s="1"/>
  <c r="L62" i="17" s="1"/>
  <c r="M62" i="17" s="1"/>
  <c r="J62" i="39"/>
  <c r="K62" i="39" s="1"/>
  <c r="L62" i="39" s="1"/>
  <c r="M62" i="39" s="1"/>
  <c r="J63" i="8"/>
  <c r="K63" i="8" s="1"/>
  <c r="L63" i="8" s="1"/>
  <c r="M63" i="8" s="1"/>
  <c r="J64" i="4"/>
  <c r="K64" i="4" s="1"/>
  <c r="L64" i="4" s="1"/>
  <c r="M64" i="4" s="1"/>
  <c r="H66" i="26"/>
  <c r="I66" i="26" s="1"/>
  <c r="D66" i="26"/>
  <c r="B67" i="26"/>
  <c r="E67" i="26" s="1"/>
  <c r="C66" i="26"/>
  <c r="F66" i="26"/>
  <c r="I63" i="17"/>
  <c r="J63" i="17" s="1"/>
  <c r="E66" i="26"/>
  <c r="O64" i="25"/>
  <c r="P64" i="25" s="1"/>
  <c r="Q64" i="25" s="1"/>
  <c r="B66" i="25"/>
  <c r="E66" i="25" s="1"/>
  <c r="H65" i="25"/>
  <c r="I65" i="25" s="1"/>
  <c r="D65" i="25"/>
  <c r="C65" i="25"/>
  <c r="F65" i="25"/>
  <c r="I63" i="40"/>
  <c r="J63" i="40" s="1"/>
  <c r="K63" i="40" s="1"/>
  <c r="L63" i="40" s="1"/>
  <c r="M63" i="40" s="1"/>
  <c r="E65" i="25"/>
  <c r="I63" i="39"/>
  <c r="J63" i="39" s="1"/>
  <c r="G65" i="9"/>
  <c r="I63" i="42"/>
  <c r="J63" i="42" s="1"/>
  <c r="K63" i="42" s="1"/>
  <c r="L63" i="42" s="1"/>
  <c r="I64" i="8"/>
  <c r="J64" i="8" s="1"/>
  <c r="I63" i="19"/>
  <c r="J63" i="19" s="1"/>
  <c r="I63" i="41"/>
  <c r="J63" i="41" s="1"/>
  <c r="K63" i="41" s="1"/>
  <c r="L63" i="41" s="1"/>
  <c r="M63" i="41" s="1"/>
  <c r="H64" i="17"/>
  <c r="F64" i="17"/>
  <c r="G64" i="17" s="1"/>
  <c r="B65" i="17"/>
  <c r="E65" i="17" s="1"/>
  <c r="C64" i="17"/>
  <c r="D64" i="17"/>
  <c r="I63" i="18"/>
  <c r="J63" i="18" s="1"/>
  <c r="H64" i="40"/>
  <c r="F64" i="40"/>
  <c r="G64" i="40" s="1"/>
  <c r="B65" i="40"/>
  <c r="E65" i="40" s="1"/>
  <c r="C64" i="40"/>
  <c r="D64" i="40"/>
  <c r="B65" i="19"/>
  <c r="E65" i="19" s="1"/>
  <c r="H64" i="19"/>
  <c r="F64" i="19"/>
  <c r="D64" i="19"/>
  <c r="C64" i="19"/>
  <c r="F64" i="39"/>
  <c r="B65" i="39"/>
  <c r="E65" i="39" s="1"/>
  <c r="H64" i="39"/>
  <c r="C64" i="39"/>
  <c r="D64" i="39"/>
  <c r="H64" i="41"/>
  <c r="F64" i="41"/>
  <c r="B65" i="41"/>
  <c r="E65" i="41" s="1"/>
  <c r="D64" i="41"/>
  <c r="C64" i="41"/>
  <c r="F66" i="9"/>
  <c r="B67" i="9"/>
  <c r="E67" i="9" s="1"/>
  <c r="H66" i="9"/>
  <c r="D66" i="9"/>
  <c r="C66" i="9"/>
  <c r="F64" i="18"/>
  <c r="G64" i="18" s="1"/>
  <c r="B65" i="18"/>
  <c r="E65" i="18" s="1"/>
  <c r="H64" i="18"/>
  <c r="D64" i="18"/>
  <c r="C64" i="18"/>
  <c r="H65" i="8"/>
  <c r="F65" i="8"/>
  <c r="G65" i="8" s="1"/>
  <c r="B66" i="8"/>
  <c r="E66" i="8" s="1"/>
  <c r="D65" i="8"/>
  <c r="C65" i="8"/>
  <c r="F66" i="4"/>
  <c r="G66" i="4" s="1"/>
  <c r="B67" i="4"/>
  <c r="E67" i="4" s="1"/>
  <c r="H66" i="4"/>
  <c r="D66" i="4"/>
  <c r="C66" i="4"/>
  <c r="H64" i="42"/>
  <c r="F64" i="42"/>
  <c r="G64" i="42" s="1"/>
  <c r="B65" i="42"/>
  <c r="E65" i="42" s="1"/>
  <c r="D64" i="42"/>
  <c r="C64" i="42"/>
  <c r="E64" i="19"/>
  <c r="E64" i="39"/>
  <c r="E64" i="41"/>
  <c r="I65" i="4"/>
  <c r="J65" i="4" s="1"/>
  <c r="I65" i="9"/>
  <c r="E66" i="9"/>
  <c r="O61" i="26"/>
  <c r="P61" i="26" s="1"/>
  <c r="Q61" i="26" s="1"/>
  <c r="K63" i="18" l="1"/>
  <c r="L63" i="18" s="1"/>
  <c r="M63" i="18" s="1"/>
  <c r="K63" i="19"/>
  <c r="L63" i="19" s="1"/>
  <c r="M63" i="19" s="1"/>
  <c r="M63" i="42"/>
  <c r="K63" i="39"/>
  <c r="L63" i="39" s="1"/>
  <c r="M63" i="39" s="1"/>
  <c r="K63" i="17"/>
  <c r="L63" i="17" s="1"/>
  <c r="M63" i="17" s="1"/>
  <c r="K64" i="8"/>
  <c r="L64" i="8" s="1"/>
  <c r="M64" i="8" s="1"/>
  <c r="K65" i="4"/>
  <c r="L65" i="4" s="1"/>
  <c r="M65" i="4" s="1"/>
  <c r="J65" i="9"/>
  <c r="K65" i="9" s="1"/>
  <c r="L65" i="9" s="1"/>
  <c r="M65" i="9" s="1"/>
  <c r="I64" i="42"/>
  <c r="J64" i="42" s="1"/>
  <c r="K64" i="42" s="1"/>
  <c r="L64" i="42" s="1"/>
  <c r="M64" i="42" s="1"/>
  <c r="G64" i="39"/>
  <c r="H67" i="26"/>
  <c r="I67" i="26" s="1"/>
  <c r="D67" i="26"/>
  <c r="B68" i="26"/>
  <c r="C67" i="26"/>
  <c r="F67" i="26"/>
  <c r="J67" i="26" s="1"/>
  <c r="J66" i="26"/>
  <c r="G66" i="26"/>
  <c r="G67" i="26"/>
  <c r="G66" i="25"/>
  <c r="F66" i="25"/>
  <c r="J66" i="25" s="1"/>
  <c r="B67" i="25"/>
  <c r="E67" i="25" s="1"/>
  <c r="H66" i="25"/>
  <c r="I66" i="25" s="1"/>
  <c r="D66" i="25"/>
  <c r="C66" i="25"/>
  <c r="G65" i="25"/>
  <c r="J65" i="25"/>
  <c r="O65" i="25" s="1"/>
  <c r="P65" i="25" s="1"/>
  <c r="Q65" i="25" s="1"/>
  <c r="I64" i="17"/>
  <c r="J64" i="17" s="1"/>
  <c r="K64" i="17" s="1"/>
  <c r="L64" i="17" s="1"/>
  <c r="I64" i="40"/>
  <c r="J64" i="40" s="1"/>
  <c r="K64" i="40" s="1"/>
  <c r="L64" i="40" s="1"/>
  <c r="M64" i="40" s="1"/>
  <c r="I64" i="19"/>
  <c r="I66" i="4"/>
  <c r="J66" i="4" s="1"/>
  <c r="K66" i="4" s="1"/>
  <c r="L66" i="4" s="1"/>
  <c r="I66" i="9"/>
  <c r="I64" i="41"/>
  <c r="G64" i="41"/>
  <c r="G64" i="19"/>
  <c r="G66" i="9"/>
  <c r="F66" i="8"/>
  <c r="G66" i="8" s="1"/>
  <c r="B67" i="8"/>
  <c r="H66" i="8"/>
  <c r="D66" i="8"/>
  <c r="C66" i="8"/>
  <c r="F65" i="18"/>
  <c r="G65" i="18" s="1"/>
  <c r="B66" i="18"/>
  <c r="E66" i="18" s="1"/>
  <c r="H65" i="18"/>
  <c r="D65" i="18"/>
  <c r="C65" i="18"/>
  <c r="F65" i="42"/>
  <c r="G65" i="42" s="1"/>
  <c r="H65" i="42"/>
  <c r="B66" i="42"/>
  <c r="E66" i="42" s="1"/>
  <c r="C65" i="42"/>
  <c r="D65" i="42"/>
  <c r="B68" i="4"/>
  <c r="E68" i="4" s="1"/>
  <c r="H67" i="4"/>
  <c r="F67" i="4"/>
  <c r="G67" i="4" s="1"/>
  <c r="D67" i="4"/>
  <c r="C67" i="4"/>
  <c r="I64" i="18"/>
  <c r="J64" i="18" s="1"/>
  <c r="K64" i="18" s="1"/>
  <c r="L64" i="18" s="1"/>
  <c r="F65" i="41"/>
  <c r="G65" i="41" s="1"/>
  <c r="B66" i="41"/>
  <c r="E66" i="41" s="1"/>
  <c r="H65" i="41"/>
  <c r="D65" i="41"/>
  <c r="C65" i="41"/>
  <c r="I64" i="39"/>
  <c r="I65" i="8"/>
  <c r="J65" i="8" s="1"/>
  <c r="K65" i="8" s="1"/>
  <c r="L65" i="8" s="1"/>
  <c r="B68" i="9"/>
  <c r="E68" i="9" s="1"/>
  <c r="H67" i="9"/>
  <c r="F67" i="9"/>
  <c r="G67" i="9" s="1"/>
  <c r="D67" i="9"/>
  <c r="C67" i="9"/>
  <c r="F65" i="40"/>
  <c r="G65" i="40" s="1"/>
  <c r="B66" i="40"/>
  <c r="E66" i="40" s="1"/>
  <c r="H65" i="40"/>
  <c r="D65" i="40"/>
  <c r="C65" i="40"/>
  <c r="F65" i="39"/>
  <c r="G65" i="39" s="1"/>
  <c r="B66" i="39"/>
  <c r="H65" i="39"/>
  <c r="C65" i="39"/>
  <c r="D65" i="39"/>
  <c r="H65" i="19"/>
  <c r="F65" i="19"/>
  <c r="G65" i="19" s="1"/>
  <c r="B66" i="19"/>
  <c r="E66" i="19" s="1"/>
  <c r="D65" i="19"/>
  <c r="C65" i="19"/>
  <c r="F65" i="17"/>
  <c r="G65" i="17" s="1"/>
  <c r="B66" i="17"/>
  <c r="H65" i="17"/>
  <c r="D65" i="17"/>
  <c r="C65" i="17"/>
  <c r="O62" i="26"/>
  <c r="P62" i="26" s="1"/>
  <c r="Q62" i="26" s="1"/>
  <c r="M64" i="18" l="1"/>
  <c r="M66" i="4"/>
  <c r="M64" i="17"/>
  <c r="M65" i="8"/>
  <c r="J64" i="39"/>
  <c r="K64" i="39" s="1"/>
  <c r="L64" i="39" s="1"/>
  <c r="M64" i="39" s="1"/>
  <c r="J64" i="19"/>
  <c r="K64" i="19" s="1"/>
  <c r="L64" i="19" s="1"/>
  <c r="M64" i="19" s="1"/>
  <c r="J64" i="41"/>
  <c r="K64" i="41" s="1"/>
  <c r="L64" i="41" s="1"/>
  <c r="M64" i="41" s="1"/>
  <c r="J66" i="9"/>
  <c r="K66" i="9" s="1"/>
  <c r="L66" i="9" s="1"/>
  <c r="M66" i="9" s="1"/>
  <c r="B69" i="26"/>
  <c r="E69" i="26" s="1"/>
  <c r="C68" i="26"/>
  <c r="F68" i="26"/>
  <c r="H68" i="26"/>
  <c r="I68" i="26" s="1"/>
  <c r="D68" i="26"/>
  <c r="I65" i="41"/>
  <c r="J65" i="41" s="1"/>
  <c r="E68" i="26"/>
  <c r="C67" i="25"/>
  <c r="F67" i="25"/>
  <c r="J67" i="25" s="1"/>
  <c r="B68" i="25"/>
  <c r="E68" i="25" s="1"/>
  <c r="H67" i="25"/>
  <c r="I67" i="25" s="1"/>
  <c r="D67" i="25"/>
  <c r="O66" i="25"/>
  <c r="P66" i="25" s="1"/>
  <c r="Q66" i="25" s="1"/>
  <c r="G67" i="25"/>
  <c r="I67" i="9"/>
  <c r="J67" i="9" s="1"/>
  <c r="I65" i="19"/>
  <c r="J65" i="19" s="1"/>
  <c r="I66" i="8"/>
  <c r="J66" i="8" s="1"/>
  <c r="K66" i="8" s="1"/>
  <c r="L66" i="8" s="1"/>
  <c r="M66" i="8" s="1"/>
  <c r="I67" i="4"/>
  <c r="J67" i="4" s="1"/>
  <c r="K67" i="4" s="1"/>
  <c r="L67" i="4" s="1"/>
  <c r="M67" i="4" s="1"/>
  <c r="F66" i="17"/>
  <c r="B67" i="17"/>
  <c r="H66" i="17"/>
  <c r="D66" i="17"/>
  <c r="C66" i="17"/>
  <c r="F66" i="19"/>
  <c r="G66" i="19" s="1"/>
  <c r="B67" i="19"/>
  <c r="E67" i="19" s="1"/>
  <c r="H66" i="19"/>
  <c r="D66" i="19"/>
  <c r="C66" i="19"/>
  <c r="I65" i="40"/>
  <c r="J65" i="40" s="1"/>
  <c r="K65" i="40" s="1"/>
  <c r="L65" i="40" s="1"/>
  <c r="M65" i="40" s="1"/>
  <c r="H68" i="9"/>
  <c r="F68" i="9"/>
  <c r="G68" i="9" s="1"/>
  <c r="B69" i="9"/>
  <c r="D68" i="9"/>
  <c r="C68" i="9"/>
  <c r="F66" i="41"/>
  <c r="G66" i="41" s="1"/>
  <c r="B67" i="41"/>
  <c r="H66" i="41"/>
  <c r="C66" i="41"/>
  <c r="D66" i="41"/>
  <c r="I65" i="42"/>
  <c r="J65" i="42" s="1"/>
  <c r="K65" i="42" s="1"/>
  <c r="L65" i="42" s="1"/>
  <c r="M65" i="42" s="1"/>
  <c r="F67" i="8"/>
  <c r="B68" i="8"/>
  <c r="H67" i="8"/>
  <c r="D67" i="8"/>
  <c r="C67" i="8"/>
  <c r="B67" i="39"/>
  <c r="H66" i="39"/>
  <c r="F66" i="39"/>
  <c r="D66" i="39"/>
  <c r="C66" i="39"/>
  <c r="I65" i="17"/>
  <c r="J65" i="17" s="1"/>
  <c r="K65" i="17" s="1"/>
  <c r="L65" i="17" s="1"/>
  <c r="M65" i="17" s="1"/>
  <c r="E66" i="17"/>
  <c r="I65" i="39"/>
  <c r="J65" i="39" s="1"/>
  <c r="E66" i="39"/>
  <c r="B67" i="42"/>
  <c r="H66" i="42"/>
  <c r="F66" i="42"/>
  <c r="G66" i="42" s="1"/>
  <c r="C66" i="42"/>
  <c r="D66" i="42"/>
  <c r="H68" i="4"/>
  <c r="F68" i="4"/>
  <c r="G68" i="4" s="1"/>
  <c r="B69" i="4"/>
  <c r="E69" i="4" s="1"/>
  <c r="D68" i="4"/>
  <c r="C68" i="4"/>
  <c r="B67" i="18"/>
  <c r="H66" i="18"/>
  <c r="F66" i="18"/>
  <c r="G66" i="18" s="1"/>
  <c r="D66" i="18"/>
  <c r="C66" i="18"/>
  <c r="E67" i="8"/>
  <c r="F66" i="40"/>
  <c r="G66" i="40" s="1"/>
  <c r="B67" i="40"/>
  <c r="E67" i="40" s="1"/>
  <c r="H66" i="40"/>
  <c r="C66" i="40"/>
  <c r="D66" i="40"/>
  <c r="I65" i="18"/>
  <c r="J65" i="18" s="1"/>
  <c r="K65" i="18" s="1"/>
  <c r="L65" i="18" s="1"/>
  <c r="M65" i="18" s="1"/>
  <c r="O63" i="26"/>
  <c r="P63" i="26" s="1"/>
  <c r="Q63" i="26" s="1"/>
  <c r="K65" i="39" l="1"/>
  <c r="L65" i="39" s="1"/>
  <c r="M65" i="39" s="1"/>
  <c r="K65" i="19"/>
  <c r="L65" i="19" s="1"/>
  <c r="M65" i="19" s="1"/>
  <c r="K65" i="41"/>
  <c r="L65" i="41" s="1"/>
  <c r="M65" i="41" s="1"/>
  <c r="K67" i="9"/>
  <c r="L67" i="9" s="1"/>
  <c r="M67" i="9" s="1"/>
  <c r="G66" i="17"/>
  <c r="G68" i="26"/>
  <c r="J68" i="26"/>
  <c r="J69" i="26"/>
  <c r="G69" i="26"/>
  <c r="F69" i="26"/>
  <c r="H69" i="26"/>
  <c r="I69" i="26" s="1"/>
  <c r="D69" i="26"/>
  <c r="B70" i="26"/>
  <c r="C69" i="26"/>
  <c r="G68" i="25"/>
  <c r="O67" i="25"/>
  <c r="P67" i="25" s="1"/>
  <c r="Q67" i="25" s="1"/>
  <c r="H68" i="25"/>
  <c r="I68" i="25" s="1"/>
  <c r="D68" i="25"/>
  <c r="C68" i="25"/>
  <c r="F68" i="25"/>
  <c r="J68" i="25" s="1"/>
  <c r="B69" i="25"/>
  <c r="I66" i="18"/>
  <c r="J66" i="18" s="1"/>
  <c r="K66" i="18" s="1"/>
  <c r="L66" i="18" s="1"/>
  <c r="M66" i="18" s="1"/>
  <c r="I66" i="42"/>
  <c r="J66" i="42" s="1"/>
  <c r="K66" i="42" s="1"/>
  <c r="L66" i="42" s="1"/>
  <c r="M66" i="42" s="1"/>
  <c r="G67" i="8"/>
  <c r="I66" i="40"/>
  <c r="J66" i="40" s="1"/>
  <c r="K66" i="40" s="1"/>
  <c r="L66" i="40" s="1"/>
  <c r="M66" i="40" s="1"/>
  <c r="I66" i="17"/>
  <c r="I66" i="39"/>
  <c r="H67" i="18"/>
  <c r="F67" i="18"/>
  <c r="B68" i="18"/>
  <c r="E68" i="18" s="1"/>
  <c r="D67" i="18"/>
  <c r="C67" i="18"/>
  <c r="I68" i="4"/>
  <c r="J68" i="4" s="1"/>
  <c r="K68" i="4" s="1"/>
  <c r="L68" i="4" s="1"/>
  <c r="M68" i="4" s="1"/>
  <c r="H67" i="39"/>
  <c r="F67" i="39"/>
  <c r="B68" i="39"/>
  <c r="E68" i="39" s="1"/>
  <c r="D67" i="39"/>
  <c r="C67" i="39"/>
  <c r="F69" i="9"/>
  <c r="B70" i="9"/>
  <c r="E70" i="9" s="1"/>
  <c r="H69" i="9"/>
  <c r="D69" i="9"/>
  <c r="C69" i="9"/>
  <c r="B68" i="17"/>
  <c r="E68" i="17" s="1"/>
  <c r="H67" i="17"/>
  <c r="F67" i="17"/>
  <c r="D67" i="17"/>
  <c r="C67" i="17"/>
  <c r="H67" i="42"/>
  <c r="B68" i="42"/>
  <c r="E68" i="42" s="1"/>
  <c r="F67" i="42"/>
  <c r="D67" i="42"/>
  <c r="C67" i="42"/>
  <c r="B69" i="8"/>
  <c r="E69" i="8" s="1"/>
  <c r="H68" i="8"/>
  <c r="F68" i="8"/>
  <c r="C68" i="8"/>
  <c r="D68" i="8"/>
  <c r="B68" i="41"/>
  <c r="E68" i="41" s="1"/>
  <c r="H67" i="41"/>
  <c r="F67" i="41"/>
  <c r="C67" i="41"/>
  <c r="D67" i="41"/>
  <c r="E67" i="18"/>
  <c r="F69" i="4"/>
  <c r="G69" i="4" s="1"/>
  <c r="B70" i="4"/>
  <c r="E70" i="4" s="1"/>
  <c r="H69" i="4"/>
  <c r="C69" i="4"/>
  <c r="D69" i="4"/>
  <c r="E67" i="42"/>
  <c r="E67" i="39"/>
  <c r="I67" i="8"/>
  <c r="I68" i="9"/>
  <c r="J68" i="9" s="1"/>
  <c r="K68" i="9" s="1"/>
  <c r="L68" i="9" s="1"/>
  <c r="E69" i="9"/>
  <c r="F67" i="19"/>
  <c r="G67" i="19" s="1"/>
  <c r="B68" i="19"/>
  <c r="E68" i="19" s="1"/>
  <c r="H67" i="19"/>
  <c r="C67" i="19"/>
  <c r="D67" i="19"/>
  <c r="E67" i="17"/>
  <c r="B68" i="40"/>
  <c r="E68" i="40" s="1"/>
  <c r="H67" i="40"/>
  <c r="F67" i="40"/>
  <c r="G67" i="40" s="1"/>
  <c r="D67" i="40"/>
  <c r="C67" i="40"/>
  <c r="G66" i="39"/>
  <c r="E68" i="8"/>
  <c r="I66" i="41"/>
  <c r="J66" i="41" s="1"/>
  <c r="K66" i="41" s="1"/>
  <c r="L66" i="41" s="1"/>
  <c r="E67" i="41"/>
  <c r="I66" i="19"/>
  <c r="J66" i="19" s="1"/>
  <c r="K66" i="19" s="1"/>
  <c r="L66" i="19" s="1"/>
  <c r="O64" i="26"/>
  <c r="P64" i="26" s="1"/>
  <c r="Q64" i="26" s="1"/>
  <c r="M66" i="19" l="1"/>
  <c r="J67" i="8"/>
  <c r="K67" i="8" s="1"/>
  <c r="L67" i="8" s="1"/>
  <c r="M67" i="8" s="1"/>
  <c r="M66" i="41"/>
  <c r="M68" i="9"/>
  <c r="J66" i="17"/>
  <c r="K66" i="17" s="1"/>
  <c r="L66" i="17" s="1"/>
  <c r="M66" i="17" s="1"/>
  <c r="J66" i="39"/>
  <c r="K66" i="39" s="1"/>
  <c r="L66" i="39" s="1"/>
  <c r="M66" i="39" s="1"/>
  <c r="G67" i="41"/>
  <c r="I67" i="39"/>
  <c r="G67" i="18"/>
  <c r="G67" i="17"/>
  <c r="H70" i="26"/>
  <c r="I70" i="26" s="1"/>
  <c r="D70" i="26"/>
  <c r="F70" i="26"/>
  <c r="B71" i="26"/>
  <c r="E71" i="26" s="1"/>
  <c r="C70" i="26"/>
  <c r="E70" i="26"/>
  <c r="O68" i="25"/>
  <c r="P68" i="25" s="1"/>
  <c r="Q68" i="25" s="1"/>
  <c r="B70" i="25"/>
  <c r="E70" i="25" s="1"/>
  <c r="H69" i="25"/>
  <c r="I69" i="25" s="1"/>
  <c r="D69" i="25"/>
  <c r="C69" i="25"/>
  <c r="F69" i="25"/>
  <c r="G67" i="39"/>
  <c r="E69" i="25"/>
  <c r="I67" i="17"/>
  <c r="I67" i="40"/>
  <c r="J67" i="40" s="1"/>
  <c r="K67" i="40" s="1"/>
  <c r="L67" i="40" s="1"/>
  <c r="M67" i="40" s="1"/>
  <c r="G67" i="42"/>
  <c r="I69" i="9"/>
  <c r="G68" i="8"/>
  <c r="I68" i="8"/>
  <c r="I69" i="4"/>
  <c r="J69" i="4" s="1"/>
  <c r="K69" i="4" s="1"/>
  <c r="L69" i="4" s="1"/>
  <c r="M69" i="4" s="1"/>
  <c r="I67" i="41"/>
  <c r="H68" i="40"/>
  <c r="F68" i="40"/>
  <c r="G68" i="40" s="1"/>
  <c r="B69" i="40"/>
  <c r="C68" i="40"/>
  <c r="D68" i="40"/>
  <c r="I67" i="19"/>
  <c r="J67" i="19" s="1"/>
  <c r="K67" i="19" s="1"/>
  <c r="L67" i="19" s="1"/>
  <c r="M67" i="19" s="1"/>
  <c r="G69" i="9"/>
  <c r="I67" i="18"/>
  <c r="H68" i="41"/>
  <c r="F68" i="41"/>
  <c r="G68" i="41" s="1"/>
  <c r="B69" i="41"/>
  <c r="C68" i="41"/>
  <c r="D68" i="41"/>
  <c r="B69" i="19"/>
  <c r="E69" i="19" s="1"/>
  <c r="H68" i="19"/>
  <c r="F68" i="19"/>
  <c r="G68" i="19" s="1"/>
  <c r="D68" i="19"/>
  <c r="C68" i="19"/>
  <c r="I67" i="42"/>
  <c r="J67" i="42" s="1"/>
  <c r="K67" i="42" s="1"/>
  <c r="L67" i="42" s="1"/>
  <c r="M67" i="42" s="1"/>
  <c r="B69" i="42"/>
  <c r="E69" i="42" s="1"/>
  <c r="H68" i="42"/>
  <c r="F68" i="42"/>
  <c r="G68" i="42" s="1"/>
  <c r="D68" i="42"/>
  <c r="C68" i="42"/>
  <c r="H68" i="17"/>
  <c r="F68" i="17"/>
  <c r="G68" i="17" s="1"/>
  <c r="B69" i="17"/>
  <c r="D68" i="17"/>
  <c r="C68" i="17"/>
  <c r="F70" i="9"/>
  <c r="G70" i="9" s="1"/>
  <c r="B71" i="9"/>
  <c r="H70" i="9"/>
  <c r="D70" i="9"/>
  <c r="C70" i="9"/>
  <c r="F68" i="18"/>
  <c r="G68" i="18" s="1"/>
  <c r="B69" i="18"/>
  <c r="E69" i="18" s="1"/>
  <c r="H68" i="18"/>
  <c r="C68" i="18"/>
  <c r="D68" i="18"/>
  <c r="F70" i="4"/>
  <c r="G70" i="4" s="1"/>
  <c r="B71" i="4"/>
  <c r="E71" i="4" s="1"/>
  <c r="H70" i="4"/>
  <c r="D70" i="4"/>
  <c r="C70" i="4"/>
  <c r="H69" i="8"/>
  <c r="F69" i="8"/>
  <c r="G69" i="8" s="1"/>
  <c r="B70" i="8"/>
  <c r="E70" i="8" s="1"/>
  <c r="C69" i="8"/>
  <c r="D69" i="8"/>
  <c r="F68" i="39"/>
  <c r="G68" i="39" s="1"/>
  <c r="B69" i="39"/>
  <c r="H68" i="39"/>
  <c r="D68" i="39"/>
  <c r="C68" i="39"/>
  <c r="O65" i="26"/>
  <c r="P65" i="26" s="1"/>
  <c r="Q65" i="26" s="1"/>
  <c r="J67" i="41" l="1"/>
  <c r="K67" i="41" s="1"/>
  <c r="L67" i="41" s="1"/>
  <c r="M67" i="41" s="1"/>
  <c r="J67" i="18"/>
  <c r="K67" i="18" s="1"/>
  <c r="L67" i="18" s="1"/>
  <c r="M67" i="18" s="1"/>
  <c r="J67" i="17"/>
  <c r="K67" i="17" s="1"/>
  <c r="L67" i="17" s="1"/>
  <c r="M67" i="17" s="1"/>
  <c r="J67" i="39"/>
  <c r="K67" i="39" s="1"/>
  <c r="L67" i="39" s="1"/>
  <c r="M67" i="39" s="1"/>
  <c r="J68" i="8"/>
  <c r="K68" i="8" s="1"/>
  <c r="L68" i="8" s="1"/>
  <c r="M68" i="8" s="1"/>
  <c r="J69" i="9"/>
  <c r="K69" i="9" s="1"/>
  <c r="L69" i="9" s="1"/>
  <c r="M69" i="9" s="1"/>
  <c r="I68" i="17"/>
  <c r="J68" i="17" s="1"/>
  <c r="I68" i="39"/>
  <c r="J68" i="39" s="1"/>
  <c r="G71" i="26"/>
  <c r="G70" i="26"/>
  <c r="J70" i="26"/>
  <c r="H71" i="26"/>
  <c r="I71" i="26" s="1"/>
  <c r="D71" i="26"/>
  <c r="B72" i="26"/>
  <c r="C71" i="26"/>
  <c r="F71" i="26"/>
  <c r="J71" i="26" s="1"/>
  <c r="G70" i="25"/>
  <c r="F70" i="25"/>
  <c r="J70" i="25" s="1"/>
  <c r="B71" i="25"/>
  <c r="E71" i="25" s="1"/>
  <c r="H70" i="25"/>
  <c r="I70" i="25" s="1"/>
  <c r="D70" i="25"/>
  <c r="C70" i="25"/>
  <c r="G69" i="25"/>
  <c r="J69" i="25"/>
  <c r="O69" i="25" s="1"/>
  <c r="P69" i="25" s="1"/>
  <c r="Q69" i="25" s="1"/>
  <c r="I68" i="42"/>
  <c r="J68" i="42" s="1"/>
  <c r="K68" i="42" s="1"/>
  <c r="L68" i="42" s="1"/>
  <c r="M68" i="42" s="1"/>
  <c r="I68" i="19"/>
  <c r="J68" i="19" s="1"/>
  <c r="K68" i="19" s="1"/>
  <c r="L68" i="19" s="1"/>
  <c r="M68" i="19" s="1"/>
  <c r="I68" i="41"/>
  <c r="J68" i="41" s="1"/>
  <c r="I69" i="8"/>
  <c r="J69" i="8" s="1"/>
  <c r="I70" i="4"/>
  <c r="J70" i="4" s="1"/>
  <c r="K70" i="4" s="1"/>
  <c r="L70" i="4" s="1"/>
  <c r="M70" i="4" s="1"/>
  <c r="I68" i="40"/>
  <c r="J68" i="40" s="1"/>
  <c r="K68" i="40" s="1"/>
  <c r="L68" i="40" s="1"/>
  <c r="M68" i="40" s="1"/>
  <c r="I68" i="18"/>
  <c r="J68" i="18" s="1"/>
  <c r="B72" i="9"/>
  <c r="H71" i="9"/>
  <c r="F71" i="9"/>
  <c r="D71" i="9"/>
  <c r="C71" i="9"/>
  <c r="F69" i="41"/>
  <c r="B70" i="41"/>
  <c r="E70" i="41" s="1"/>
  <c r="H69" i="41"/>
  <c r="C69" i="41"/>
  <c r="D69" i="41"/>
  <c r="F69" i="40"/>
  <c r="B70" i="40"/>
  <c r="E70" i="40" s="1"/>
  <c r="H69" i="40"/>
  <c r="D69" i="40"/>
  <c r="C69" i="40"/>
  <c r="F70" i="8"/>
  <c r="G70" i="8" s="1"/>
  <c r="B71" i="8"/>
  <c r="E71" i="8" s="1"/>
  <c r="H70" i="8"/>
  <c r="C70" i="8"/>
  <c r="D70" i="8"/>
  <c r="H69" i="19"/>
  <c r="F69" i="19"/>
  <c r="G69" i="19" s="1"/>
  <c r="B70" i="19"/>
  <c r="E70" i="19" s="1"/>
  <c r="D69" i="19"/>
  <c r="C69" i="19"/>
  <c r="F69" i="39"/>
  <c r="B70" i="39"/>
  <c r="H69" i="39"/>
  <c r="D69" i="39"/>
  <c r="C69" i="39"/>
  <c r="E69" i="39"/>
  <c r="I70" i="9"/>
  <c r="J70" i="9" s="1"/>
  <c r="F69" i="17"/>
  <c r="B70" i="17"/>
  <c r="H69" i="17"/>
  <c r="C69" i="17"/>
  <c r="D69" i="17"/>
  <c r="F69" i="18"/>
  <c r="G69" i="18" s="1"/>
  <c r="B70" i="18"/>
  <c r="H69" i="18"/>
  <c r="C69" i="18"/>
  <c r="D69" i="18"/>
  <c r="E71" i="9"/>
  <c r="F69" i="42"/>
  <c r="G69" i="42" s="1"/>
  <c r="B70" i="42"/>
  <c r="H69" i="42"/>
  <c r="D69" i="42"/>
  <c r="C69" i="42"/>
  <c r="E69" i="41"/>
  <c r="E69" i="40"/>
  <c r="B72" i="4"/>
  <c r="E72" i="4" s="1"/>
  <c r="H71" i="4"/>
  <c r="F71" i="4"/>
  <c r="G71" i="4" s="1"/>
  <c r="D71" i="4"/>
  <c r="C71" i="4"/>
  <c r="E69" i="17"/>
  <c r="O66" i="26"/>
  <c r="P66" i="26" s="1"/>
  <c r="Q66" i="26" s="1"/>
  <c r="K68" i="41" l="1"/>
  <c r="L68" i="41" s="1"/>
  <c r="M68" i="41" s="1"/>
  <c r="K68" i="17"/>
  <c r="L68" i="17" s="1"/>
  <c r="M68" i="17" s="1"/>
  <c r="K68" i="39"/>
  <c r="L68" i="39" s="1"/>
  <c r="M68" i="39" s="1"/>
  <c r="K68" i="18"/>
  <c r="L68" i="18" s="1"/>
  <c r="M68" i="18" s="1"/>
  <c r="K69" i="8"/>
  <c r="L69" i="8" s="1"/>
  <c r="M69" i="8" s="1"/>
  <c r="K70" i="9"/>
  <c r="L70" i="9" s="1"/>
  <c r="M70" i="9" s="1"/>
  <c r="I69" i="19"/>
  <c r="J69" i="19" s="1"/>
  <c r="K69" i="19" s="1"/>
  <c r="L69" i="19" s="1"/>
  <c r="M69" i="19" s="1"/>
  <c r="G69" i="40"/>
  <c r="G69" i="17"/>
  <c r="B73" i="26"/>
  <c r="E73" i="26" s="1"/>
  <c r="C72" i="26"/>
  <c r="F72" i="26"/>
  <c r="D72" i="26"/>
  <c r="H72" i="26"/>
  <c r="I72" i="26" s="1"/>
  <c r="E72" i="26"/>
  <c r="O70" i="25"/>
  <c r="P70" i="25" s="1"/>
  <c r="Q70" i="25" s="1"/>
  <c r="G71" i="25"/>
  <c r="C71" i="25"/>
  <c r="F71" i="25"/>
  <c r="J71" i="25" s="1"/>
  <c r="B72" i="25"/>
  <c r="H71" i="25"/>
  <c r="I71" i="25" s="1"/>
  <c r="D71" i="25"/>
  <c r="G69" i="41"/>
  <c r="I69" i="41"/>
  <c r="I71" i="9"/>
  <c r="G71" i="9"/>
  <c r="I70" i="8"/>
  <c r="J70" i="8" s="1"/>
  <c r="K70" i="8" s="1"/>
  <c r="L70" i="8" s="1"/>
  <c r="I71" i="4"/>
  <c r="J71" i="4" s="1"/>
  <c r="K71" i="4" s="1"/>
  <c r="L71" i="4" s="1"/>
  <c r="M71" i="4" s="1"/>
  <c r="I69" i="40"/>
  <c r="I69" i="18"/>
  <c r="J69" i="18" s="1"/>
  <c r="K69" i="18" s="1"/>
  <c r="L69" i="18" s="1"/>
  <c r="B71" i="18"/>
  <c r="E71" i="18" s="1"/>
  <c r="H70" i="18"/>
  <c r="F70" i="18"/>
  <c r="D70" i="18"/>
  <c r="C70" i="18"/>
  <c r="B71" i="42"/>
  <c r="H70" i="42"/>
  <c r="F70" i="42"/>
  <c r="D70" i="42"/>
  <c r="C70" i="42"/>
  <c r="F70" i="17"/>
  <c r="B71" i="17"/>
  <c r="H70" i="17"/>
  <c r="D70" i="17"/>
  <c r="C70" i="17"/>
  <c r="G69" i="39"/>
  <c r="B71" i="39"/>
  <c r="E71" i="39" s="1"/>
  <c r="H70" i="39"/>
  <c r="F70" i="39"/>
  <c r="D70" i="39"/>
  <c r="C70" i="39"/>
  <c r="I69" i="42"/>
  <c r="J69" i="42" s="1"/>
  <c r="K69" i="42" s="1"/>
  <c r="L69" i="42" s="1"/>
  <c r="M69" i="42" s="1"/>
  <c r="E70" i="18"/>
  <c r="F71" i="8"/>
  <c r="G71" i="8" s="1"/>
  <c r="B72" i="8"/>
  <c r="E72" i="8" s="1"/>
  <c r="H71" i="8"/>
  <c r="C71" i="8"/>
  <c r="D71" i="8"/>
  <c r="H72" i="9"/>
  <c r="F72" i="9"/>
  <c r="B73" i="9"/>
  <c r="E73" i="9" s="1"/>
  <c r="D72" i="9"/>
  <c r="C72" i="9"/>
  <c r="I69" i="39"/>
  <c r="E70" i="42"/>
  <c r="I69" i="17"/>
  <c r="E70" i="17"/>
  <c r="E70" i="39"/>
  <c r="H72" i="4"/>
  <c r="F72" i="4"/>
  <c r="G72" i="4" s="1"/>
  <c r="B73" i="4"/>
  <c r="E73" i="4" s="1"/>
  <c r="D72" i="4"/>
  <c r="C72" i="4"/>
  <c r="F70" i="19"/>
  <c r="G70" i="19" s="1"/>
  <c r="B71" i="19"/>
  <c r="E71" i="19" s="1"/>
  <c r="H70" i="19"/>
  <c r="C70" i="19"/>
  <c r="D70" i="19"/>
  <c r="F70" i="40"/>
  <c r="G70" i="40" s="1"/>
  <c r="B71" i="40"/>
  <c r="H70" i="40"/>
  <c r="C70" i="40"/>
  <c r="D70" i="40"/>
  <c r="F70" i="41"/>
  <c r="G70" i="41" s="1"/>
  <c r="B71" i="41"/>
  <c r="E71" i="41" s="1"/>
  <c r="H70" i="41"/>
  <c r="D70" i="41"/>
  <c r="C70" i="41"/>
  <c r="E72" i="9"/>
  <c r="O67" i="26"/>
  <c r="P67" i="26" s="1"/>
  <c r="Q67" i="26" s="1"/>
  <c r="J69" i="17" l="1"/>
  <c r="K69" i="17" s="1"/>
  <c r="L69" i="17" s="1"/>
  <c r="M69" i="17" s="1"/>
  <c r="M69" i="18"/>
  <c r="M70" i="8"/>
  <c r="J69" i="40"/>
  <c r="K69" i="40" s="1"/>
  <c r="L69" i="40" s="1"/>
  <c r="M69" i="40" s="1"/>
  <c r="J69" i="39"/>
  <c r="K69" i="39" s="1"/>
  <c r="L69" i="39" s="1"/>
  <c r="M69" i="39" s="1"/>
  <c r="J69" i="41"/>
  <c r="K69" i="41" s="1"/>
  <c r="L69" i="41" s="1"/>
  <c r="M69" i="41" s="1"/>
  <c r="J71" i="9"/>
  <c r="K71" i="9" s="1"/>
  <c r="L71" i="9" s="1"/>
  <c r="M71" i="9" s="1"/>
  <c r="G70" i="39"/>
  <c r="G70" i="18"/>
  <c r="G70" i="17"/>
  <c r="G72" i="9"/>
  <c r="G72" i="26"/>
  <c r="J72" i="26"/>
  <c r="G73" i="26"/>
  <c r="F73" i="26"/>
  <c r="J73" i="26" s="1"/>
  <c r="D73" i="26"/>
  <c r="B74" i="26"/>
  <c r="C73" i="26"/>
  <c r="H73" i="26"/>
  <c r="I73" i="26" s="1"/>
  <c r="H72" i="25"/>
  <c r="I72" i="25" s="1"/>
  <c r="D72" i="25"/>
  <c r="C72" i="25"/>
  <c r="F72" i="25"/>
  <c r="B73" i="25"/>
  <c r="O71" i="25"/>
  <c r="P71" i="25" s="1"/>
  <c r="Q71" i="25" s="1"/>
  <c r="E72" i="25"/>
  <c r="G70" i="42"/>
  <c r="I70" i="17"/>
  <c r="I70" i="39"/>
  <c r="I70" i="18"/>
  <c r="I70" i="40"/>
  <c r="J70" i="40" s="1"/>
  <c r="I70" i="41"/>
  <c r="J70" i="41" s="1"/>
  <c r="I70" i="19"/>
  <c r="J70" i="19" s="1"/>
  <c r="K70" i="19" s="1"/>
  <c r="L70" i="19" s="1"/>
  <c r="M70" i="19" s="1"/>
  <c r="I72" i="9"/>
  <c r="I71" i="8"/>
  <c r="J71" i="8" s="1"/>
  <c r="K71" i="8" s="1"/>
  <c r="L71" i="8" s="1"/>
  <c r="M71" i="8" s="1"/>
  <c r="B72" i="17"/>
  <c r="H71" i="17"/>
  <c r="F71" i="17"/>
  <c r="D71" i="17"/>
  <c r="C71" i="17"/>
  <c r="H71" i="42"/>
  <c r="B72" i="42"/>
  <c r="F71" i="42"/>
  <c r="C71" i="42"/>
  <c r="D71" i="42"/>
  <c r="B72" i="40"/>
  <c r="H71" i="40"/>
  <c r="F71" i="40"/>
  <c r="C71" i="40"/>
  <c r="D71" i="40"/>
  <c r="I72" i="4"/>
  <c r="J72" i="4" s="1"/>
  <c r="K72" i="4" s="1"/>
  <c r="L72" i="4" s="1"/>
  <c r="M72" i="4" s="1"/>
  <c r="F71" i="19"/>
  <c r="G71" i="19" s="1"/>
  <c r="B72" i="19"/>
  <c r="H71" i="19"/>
  <c r="D71" i="19"/>
  <c r="C71" i="19"/>
  <c r="F73" i="9"/>
  <c r="G73" i="9" s="1"/>
  <c r="B74" i="9"/>
  <c r="H73" i="9"/>
  <c r="C73" i="9"/>
  <c r="D73" i="9"/>
  <c r="B73" i="8"/>
  <c r="H72" i="8"/>
  <c r="F72" i="8"/>
  <c r="G72" i="8" s="1"/>
  <c r="D72" i="8"/>
  <c r="C72" i="8"/>
  <c r="E71" i="17"/>
  <c r="H71" i="18"/>
  <c r="F71" i="18"/>
  <c r="G71" i="18" s="1"/>
  <c r="B72" i="18"/>
  <c r="D71" i="18"/>
  <c r="C71" i="18"/>
  <c r="B72" i="41"/>
  <c r="H71" i="41"/>
  <c r="F71" i="41"/>
  <c r="G71" i="41" s="1"/>
  <c r="C71" i="41"/>
  <c r="D71" i="41"/>
  <c r="E71" i="40"/>
  <c r="F73" i="4"/>
  <c r="G73" i="4" s="1"/>
  <c r="B74" i="4"/>
  <c r="E74" i="4" s="1"/>
  <c r="H73" i="4"/>
  <c r="C73" i="4"/>
  <c r="D73" i="4"/>
  <c r="H71" i="39"/>
  <c r="F71" i="39"/>
  <c r="G71" i="39" s="1"/>
  <c r="B72" i="39"/>
  <c r="E72" i="39" s="1"/>
  <c r="C71" i="39"/>
  <c r="D71" i="39"/>
  <c r="I70" i="42"/>
  <c r="E71" i="42"/>
  <c r="O68" i="26"/>
  <c r="P68" i="26" s="1"/>
  <c r="Q68" i="26" s="1"/>
  <c r="K70" i="40" l="1"/>
  <c r="L70" i="40" s="1"/>
  <c r="M70" i="40" s="1"/>
  <c r="K70" i="41"/>
  <c r="L70" i="41" s="1"/>
  <c r="M70" i="41" s="1"/>
  <c r="J70" i="17"/>
  <c r="K70" i="17" s="1"/>
  <c r="L70" i="17" s="1"/>
  <c r="M70" i="17" s="1"/>
  <c r="J70" i="42"/>
  <c r="K70" i="42" s="1"/>
  <c r="L70" i="42" s="1"/>
  <c r="M70" i="42" s="1"/>
  <c r="J70" i="18"/>
  <c r="K70" i="18" s="1"/>
  <c r="L70" i="18" s="1"/>
  <c r="M70" i="18" s="1"/>
  <c r="J70" i="39"/>
  <c r="K70" i="39" s="1"/>
  <c r="L70" i="39" s="1"/>
  <c r="M70" i="39" s="1"/>
  <c r="J72" i="9"/>
  <c r="K72" i="9" s="1"/>
  <c r="L72" i="9" s="1"/>
  <c r="M72" i="9" s="1"/>
  <c r="G71" i="42"/>
  <c r="I71" i="42"/>
  <c r="I71" i="17"/>
  <c r="H74" i="26"/>
  <c r="I74" i="26" s="1"/>
  <c r="D74" i="26"/>
  <c r="B75" i="26"/>
  <c r="C74" i="26"/>
  <c r="F74" i="26"/>
  <c r="E74" i="26"/>
  <c r="B74" i="25"/>
  <c r="E74" i="25" s="1"/>
  <c r="H73" i="25"/>
  <c r="I73" i="25" s="1"/>
  <c r="D73" i="25"/>
  <c r="C73" i="25"/>
  <c r="F73" i="25"/>
  <c r="G72" i="25"/>
  <c r="J72" i="25"/>
  <c r="O72" i="25" s="1"/>
  <c r="P72" i="25" s="1"/>
  <c r="Q72" i="25" s="1"/>
  <c r="E73" i="25"/>
  <c r="G71" i="40"/>
  <c r="G71" i="17"/>
  <c r="I72" i="8"/>
  <c r="J72" i="8" s="1"/>
  <c r="K72" i="8" s="1"/>
  <c r="L72" i="8" s="1"/>
  <c r="M72" i="8" s="1"/>
  <c r="I71" i="39"/>
  <c r="J71" i="39" s="1"/>
  <c r="I71" i="40"/>
  <c r="I73" i="4"/>
  <c r="J73" i="4" s="1"/>
  <c r="K73" i="4" s="1"/>
  <c r="L73" i="4" s="1"/>
  <c r="M73" i="4" s="1"/>
  <c r="I71" i="41"/>
  <c r="J71" i="41" s="1"/>
  <c r="K71" i="41" s="1"/>
  <c r="L71" i="41" s="1"/>
  <c r="F72" i="18"/>
  <c r="B73" i="18"/>
  <c r="H72" i="18"/>
  <c r="C72" i="18"/>
  <c r="D72" i="18"/>
  <c r="F74" i="9"/>
  <c r="B75" i="9"/>
  <c r="E75" i="9" s="1"/>
  <c r="H74" i="9"/>
  <c r="C74" i="9"/>
  <c r="D74" i="9"/>
  <c r="B73" i="19"/>
  <c r="E73" i="19" s="1"/>
  <c r="H72" i="19"/>
  <c r="F72" i="19"/>
  <c r="C72" i="19"/>
  <c r="D72" i="19"/>
  <c r="H72" i="40"/>
  <c r="F72" i="40"/>
  <c r="B73" i="40"/>
  <c r="E73" i="40" s="1"/>
  <c r="C72" i="40"/>
  <c r="D72" i="40"/>
  <c r="B73" i="42"/>
  <c r="H72" i="42"/>
  <c r="F72" i="42"/>
  <c r="C72" i="42"/>
  <c r="D72" i="42"/>
  <c r="H72" i="17"/>
  <c r="F72" i="17"/>
  <c r="B73" i="17"/>
  <c r="D72" i="17"/>
  <c r="C72" i="17"/>
  <c r="H72" i="41"/>
  <c r="F72" i="41"/>
  <c r="B73" i="41"/>
  <c r="E73" i="41" s="1"/>
  <c r="C72" i="41"/>
  <c r="D72" i="41"/>
  <c r="B74" i="8"/>
  <c r="H73" i="8"/>
  <c r="F73" i="8"/>
  <c r="C73" i="8"/>
  <c r="D73" i="8"/>
  <c r="F72" i="39"/>
  <c r="G72" i="39" s="1"/>
  <c r="B73" i="39"/>
  <c r="H72" i="39"/>
  <c r="C72" i="39"/>
  <c r="D72" i="39"/>
  <c r="I71" i="18"/>
  <c r="J71" i="18" s="1"/>
  <c r="E72" i="18"/>
  <c r="I71" i="19"/>
  <c r="J71" i="19" s="1"/>
  <c r="K71" i="19" s="1"/>
  <c r="L71" i="19" s="1"/>
  <c r="M71" i="19" s="1"/>
  <c r="E72" i="42"/>
  <c r="F74" i="4"/>
  <c r="G74" i="4" s="1"/>
  <c r="B75" i="4"/>
  <c r="E75" i="4" s="1"/>
  <c r="H74" i="4"/>
  <c r="D74" i="4"/>
  <c r="C74" i="4"/>
  <c r="E72" i="41"/>
  <c r="E73" i="8"/>
  <c r="I73" i="9"/>
  <c r="J73" i="9" s="1"/>
  <c r="E74" i="9"/>
  <c r="E72" i="19"/>
  <c r="E72" i="40"/>
  <c r="E72" i="17"/>
  <c r="O69" i="26"/>
  <c r="P69" i="26" s="1"/>
  <c r="Q69" i="26" s="1"/>
  <c r="K71" i="18" l="1"/>
  <c r="L71" i="18" s="1"/>
  <c r="M71" i="18" s="1"/>
  <c r="M71" i="41"/>
  <c r="K71" i="39"/>
  <c r="L71" i="39" s="1"/>
  <c r="M71" i="39" s="1"/>
  <c r="J71" i="40"/>
  <c r="K71" i="40" s="1"/>
  <c r="L71" i="40" s="1"/>
  <c r="M71" i="40" s="1"/>
  <c r="J71" i="17"/>
  <c r="K71" i="17" s="1"/>
  <c r="L71" i="17" s="1"/>
  <c r="M71" i="17" s="1"/>
  <c r="J71" i="42"/>
  <c r="K71" i="42" s="1"/>
  <c r="L71" i="42" s="1"/>
  <c r="M71" i="42" s="1"/>
  <c r="K73" i="9"/>
  <c r="L73" i="9" s="1"/>
  <c r="M73" i="9" s="1"/>
  <c r="I72" i="17"/>
  <c r="G72" i="41"/>
  <c r="G72" i="40"/>
  <c r="G72" i="19"/>
  <c r="J74" i="26"/>
  <c r="G74" i="26"/>
  <c r="H75" i="26"/>
  <c r="I75" i="26" s="1"/>
  <c r="D75" i="26"/>
  <c r="B76" i="26"/>
  <c r="E76" i="26" s="1"/>
  <c r="C75" i="26"/>
  <c r="F75" i="26"/>
  <c r="E75" i="26"/>
  <c r="G74" i="25"/>
  <c r="G73" i="25"/>
  <c r="J73" i="25"/>
  <c r="O73" i="25" s="1"/>
  <c r="P73" i="25" s="1"/>
  <c r="Q73" i="25" s="1"/>
  <c r="F74" i="25"/>
  <c r="J74" i="25" s="1"/>
  <c r="B75" i="25"/>
  <c r="E75" i="25" s="1"/>
  <c r="H74" i="25"/>
  <c r="I74" i="25" s="1"/>
  <c r="D74" i="25"/>
  <c r="C74" i="25"/>
  <c r="G72" i="17"/>
  <c r="G72" i="42"/>
  <c r="G72" i="18"/>
  <c r="G74" i="9"/>
  <c r="G73" i="8"/>
  <c r="I72" i="41"/>
  <c r="I72" i="40"/>
  <c r="I72" i="39"/>
  <c r="J72" i="39" s="1"/>
  <c r="K72" i="39" s="1"/>
  <c r="L72" i="39" s="1"/>
  <c r="I74" i="4"/>
  <c r="J74" i="4" s="1"/>
  <c r="K74" i="4" s="1"/>
  <c r="L74" i="4" s="1"/>
  <c r="M74" i="4" s="1"/>
  <c r="I73" i="8"/>
  <c r="I72" i="19"/>
  <c r="F73" i="39"/>
  <c r="B74" i="39"/>
  <c r="E74" i="39" s="1"/>
  <c r="H73" i="39"/>
  <c r="C73" i="39"/>
  <c r="D73" i="39"/>
  <c r="H74" i="8"/>
  <c r="F74" i="8"/>
  <c r="B75" i="8"/>
  <c r="E75" i="8" s="1"/>
  <c r="D74" i="8"/>
  <c r="C74" i="8"/>
  <c r="F73" i="17"/>
  <c r="B74" i="17"/>
  <c r="E74" i="17" s="1"/>
  <c r="H73" i="17"/>
  <c r="C73" i="17"/>
  <c r="D73" i="17"/>
  <c r="F73" i="42"/>
  <c r="B74" i="42"/>
  <c r="E74" i="42" s="1"/>
  <c r="H73" i="42"/>
  <c r="C73" i="42"/>
  <c r="D73" i="42"/>
  <c r="F73" i="40"/>
  <c r="G73" i="40" s="1"/>
  <c r="B74" i="40"/>
  <c r="E74" i="40" s="1"/>
  <c r="H73" i="40"/>
  <c r="D73" i="40"/>
  <c r="C73" i="40"/>
  <c r="I74" i="9"/>
  <c r="F73" i="18"/>
  <c r="B74" i="18"/>
  <c r="E74" i="18" s="1"/>
  <c r="H73" i="18"/>
  <c r="C73" i="18"/>
  <c r="D73" i="18"/>
  <c r="E74" i="8"/>
  <c r="I72" i="42"/>
  <c r="E73" i="42"/>
  <c r="E73" i="39"/>
  <c r="E73" i="17"/>
  <c r="H73" i="19"/>
  <c r="F73" i="19"/>
  <c r="G73" i="19" s="1"/>
  <c r="B74" i="19"/>
  <c r="E74" i="19" s="1"/>
  <c r="D73" i="19"/>
  <c r="C73" i="19"/>
  <c r="B76" i="9"/>
  <c r="E76" i="9" s="1"/>
  <c r="H75" i="9"/>
  <c r="F75" i="9"/>
  <c r="G75" i="9" s="1"/>
  <c r="D75" i="9"/>
  <c r="C75" i="9"/>
  <c r="I72" i="18"/>
  <c r="E73" i="18"/>
  <c r="B76" i="4"/>
  <c r="E76" i="4" s="1"/>
  <c r="H75" i="4"/>
  <c r="F75" i="4"/>
  <c r="G75" i="4" s="1"/>
  <c r="D75" i="4"/>
  <c r="C75" i="4"/>
  <c r="F73" i="41"/>
  <c r="G73" i="41" s="1"/>
  <c r="B74" i="41"/>
  <c r="E74" i="41" s="1"/>
  <c r="H73" i="41"/>
  <c r="D73" i="41"/>
  <c r="C73" i="41"/>
  <c r="O70" i="26"/>
  <c r="P70" i="26" s="1"/>
  <c r="Q70" i="26" s="1"/>
  <c r="M72" i="39" l="1"/>
  <c r="J72" i="41"/>
  <c r="K72" i="41" s="1"/>
  <c r="L72" i="41" s="1"/>
  <c r="M72" i="41" s="1"/>
  <c r="J72" i="42"/>
  <c r="K72" i="42" s="1"/>
  <c r="L72" i="42" s="1"/>
  <c r="M72" i="42" s="1"/>
  <c r="J72" i="40"/>
  <c r="K72" i="40" s="1"/>
  <c r="L72" i="40" s="1"/>
  <c r="M72" i="40" s="1"/>
  <c r="J72" i="19"/>
  <c r="K72" i="19" s="1"/>
  <c r="L72" i="19" s="1"/>
  <c r="M72" i="19" s="1"/>
  <c r="J72" i="18"/>
  <c r="K72" i="18" s="1"/>
  <c r="L72" i="18" s="1"/>
  <c r="M72" i="18" s="1"/>
  <c r="J72" i="17"/>
  <c r="K72" i="17" s="1"/>
  <c r="L72" i="17" s="1"/>
  <c r="M72" i="17" s="1"/>
  <c r="J73" i="8"/>
  <c r="K73" i="8" s="1"/>
  <c r="L73" i="8" s="1"/>
  <c r="M73" i="8" s="1"/>
  <c r="J74" i="9"/>
  <c r="K74" i="9" s="1"/>
  <c r="L74" i="9" s="1"/>
  <c r="M74" i="9" s="1"/>
  <c r="G73" i="39"/>
  <c r="G73" i="17"/>
  <c r="G73" i="18"/>
  <c r="G73" i="42"/>
  <c r="G76" i="26"/>
  <c r="G75" i="26"/>
  <c r="J75" i="26"/>
  <c r="B77" i="26"/>
  <c r="E77" i="26" s="1"/>
  <c r="C76" i="26"/>
  <c r="F76" i="26"/>
  <c r="J76" i="26" s="1"/>
  <c r="H76" i="26"/>
  <c r="I76" i="26" s="1"/>
  <c r="D76" i="26"/>
  <c r="O74" i="25"/>
  <c r="P74" i="25" s="1"/>
  <c r="Q74" i="25" s="1"/>
  <c r="C75" i="25"/>
  <c r="F75" i="25"/>
  <c r="J75" i="25" s="1"/>
  <c r="B76" i="25"/>
  <c r="E76" i="25" s="1"/>
  <c r="H75" i="25"/>
  <c r="I75" i="25" s="1"/>
  <c r="D75" i="25"/>
  <c r="G75" i="25"/>
  <c r="I73" i="40"/>
  <c r="J73" i="40" s="1"/>
  <c r="I75" i="4"/>
  <c r="J75" i="4" s="1"/>
  <c r="K75" i="4" s="1"/>
  <c r="L75" i="4" s="1"/>
  <c r="M75" i="4" s="1"/>
  <c r="I75" i="9"/>
  <c r="J75" i="9" s="1"/>
  <c r="F74" i="41"/>
  <c r="G74" i="41" s="1"/>
  <c r="B75" i="41"/>
  <c r="E75" i="41" s="1"/>
  <c r="H74" i="41"/>
  <c r="C74" i="41"/>
  <c r="D74" i="41"/>
  <c r="H76" i="4"/>
  <c r="F76" i="4"/>
  <c r="G76" i="4" s="1"/>
  <c r="B77" i="4"/>
  <c r="D76" i="4"/>
  <c r="C76" i="4"/>
  <c r="I73" i="19"/>
  <c r="J73" i="19" s="1"/>
  <c r="G74" i="8"/>
  <c r="B75" i="18"/>
  <c r="E75" i="18" s="1"/>
  <c r="H74" i="18"/>
  <c r="F74" i="18"/>
  <c r="G74" i="18" s="1"/>
  <c r="D74" i="18"/>
  <c r="C74" i="18"/>
  <c r="B75" i="42"/>
  <c r="E75" i="42" s="1"/>
  <c r="F74" i="42"/>
  <c r="G74" i="42" s="1"/>
  <c r="H74" i="42"/>
  <c r="C74" i="42"/>
  <c r="D74" i="42"/>
  <c r="I73" i="17"/>
  <c r="J73" i="17" s="1"/>
  <c r="I74" i="8"/>
  <c r="I73" i="39"/>
  <c r="I73" i="41"/>
  <c r="J73" i="41" s="1"/>
  <c r="F74" i="19"/>
  <c r="G74" i="19" s="1"/>
  <c r="B75" i="19"/>
  <c r="H74" i="19"/>
  <c r="C74" i="19"/>
  <c r="D74" i="19"/>
  <c r="I73" i="18"/>
  <c r="F74" i="40"/>
  <c r="G74" i="40" s="1"/>
  <c r="B75" i="40"/>
  <c r="E75" i="40" s="1"/>
  <c r="H74" i="40"/>
  <c r="D74" i="40"/>
  <c r="C74" i="40"/>
  <c r="I73" i="42"/>
  <c r="F74" i="17"/>
  <c r="G74" i="17" s="1"/>
  <c r="B75" i="17"/>
  <c r="E75" i="17" s="1"/>
  <c r="H74" i="17"/>
  <c r="C74" i="17"/>
  <c r="D74" i="17"/>
  <c r="F75" i="8"/>
  <c r="G75" i="8" s="1"/>
  <c r="B76" i="8"/>
  <c r="E76" i="8" s="1"/>
  <c r="H75" i="8"/>
  <c r="D75" i="8"/>
  <c r="C75" i="8"/>
  <c r="B75" i="39"/>
  <c r="E75" i="39" s="1"/>
  <c r="H74" i="39"/>
  <c r="F74" i="39"/>
  <c r="G74" i="39" s="1"/>
  <c r="C74" i="39"/>
  <c r="D74" i="39"/>
  <c r="H76" i="9"/>
  <c r="F76" i="9"/>
  <c r="G76" i="9" s="1"/>
  <c r="B77" i="9"/>
  <c r="C76" i="9"/>
  <c r="D76" i="9"/>
  <c r="O71" i="26"/>
  <c r="P71" i="26" s="1"/>
  <c r="Q71" i="26" s="1"/>
  <c r="K73" i="17" l="1"/>
  <c r="L73" i="17" s="1"/>
  <c r="M73" i="17" s="1"/>
  <c r="J73" i="18"/>
  <c r="K73" i="18" s="1"/>
  <c r="L73" i="18" s="1"/>
  <c r="M73" i="18" s="1"/>
  <c r="J73" i="42"/>
  <c r="K73" i="42" s="1"/>
  <c r="L73" i="42" s="1"/>
  <c r="M73" i="42" s="1"/>
  <c r="K73" i="41"/>
  <c r="L73" i="41" s="1"/>
  <c r="M73" i="41" s="1"/>
  <c r="K73" i="40"/>
  <c r="L73" i="40" s="1"/>
  <c r="M73" i="40" s="1"/>
  <c r="K73" i="19"/>
  <c r="L73" i="19" s="1"/>
  <c r="M73" i="19" s="1"/>
  <c r="J73" i="39"/>
  <c r="K73" i="39" s="1"/>
  <c r="L73" i="39" s="1"/>
  <c r="M73" i="39" s="1"/>
  <c r="J74" i="8"/>
  <c r="K74" i="8" s="1"/>
  <c r="L74" i="8" s="1"/>
  <c r="M74" i="8" s="1"/>
  <c r="K75" i="9"/>
  <c r="L75" i="9" s="1"/>
  <c r="M75" i="9" s="1"/>
  <c r="G77" i="26"/>
  <c r="F77" i="26"/>
  <c r="J77" i="26" s="1"/>
  <c r="H77" i="26"/>
  <c r="I77" i="26" s="1"/>
  <c r="D77" i="26"/>
  <c r="B78" i="26"/>
  <c r="C77" i="26"/>
  <c r="G76" i="25"/>
  <c r="O75" i="25"/>
  <c r="P75" i="25" s="1"/>
  <c r="Q75" i="25" s="1"/>
  <c r="H76" i="25"/>
  <c r="I76" i="25" s="1"/>
  <c r="D76" i="25"/>
  <c r="C76" i="25"/>
  <c r="F76" i="25"/>
  <c r="J76" i="25" s="1"/>
  <c r="B77" i="25"/>
  <c r="I74" i="42"/>
  <c r="J74" i="42" s="1"/>
  <c r="I74" i="18"/>
  <c r="J74" i="18" s="1"/>
  <c r="I74" i="39"/>
  <c r="J74" i="39" s="1"/>
  <c r="I76" i="9"/>
  <c r="J76" i="9" s="1"/>
  <c r="K76" i="9" s="1"/>
  <c r="L76" i="9" s="1"/>
  <c r="I74" i="40"/>
  <c r="J74" i="40" s="1"/>
  <c r="K74" i="40" s="1"/>
  <c r="L74" i="40" s="1"/>
  <c r="I74" i="41"/>
  <c r="J74" i="41" s="1"/>
  <c r="K74" i="41" s="1"/>
  <c r="L74" i="41" s="1"/>
  <c r="I74" i="17"/>
  <c r="J74" i="17" s="1"/>
  <c r="K74" i="17" s="1"/>
  <c r="L74" i="17" s="1"/>
  <c r="I74" i="19"/>
  <c r="J74" i="19" s="1"/>
  <c r="K74" i="19" s="1"/>
  <c r="L74" i="19" s="1"/>
  <c r="F77" i="9"/>
  <c r="B78" i="9"/>
  <c r="E78" i="9" s="1"/>
  <c r="H77" i="9"/>
  <c r="D77" i="9"/>
  <c r="C77" i="9"/>
  <c r="F77" i="4"/>
  <c r="B78" i="4"/>
  <c r="H77" i="4"/>
  <c r="D77" i="4"/>
  <c r="C77" i="4"/>
  <c r="H75" i="39"/>
  <c r="F75" i="39"/>
  <c r="G75" i="39" s="1"/>
  <c r="B76" i="39"/>
  <c r="E76" i="39" s="1"/>
  <c r="C75" i="39"/>
  <c r="D75" i="39"/>
  <c r="F76" i="8"/>
  <c r="G76" i="8" s="1"/>
  <c r="B77" i="8"/>
  <c r="H76" i="8"/>
  <c r="C76" i="8"/>
  <c r="D76" i="8"/>
  <c r="F75" i="19"/>
  <c r="B76" i="19"/>
  <c r="H75" i="19"/>
  <c r="C75" i="19"/>
  <c r="D75" i="19"/>
  <c r="E77" i="9"/>
  <c r="I75" i="8"/>
  <c r="J75" i="8" s="1"/>
  <c r="I76" i="4"/>
  <c r="J76" i="4" s="1"/>
  <c r="K76" i="4" s="1"/>
  <c r="L76" i="4" s="1"/>
  <c r="M76" i="4" s="1"/>
  <c r="E77" i="4"/>
  <c r="B76" i="17"/>
  <c r="E76" i="17" s="1"/>
  <c r="H75" i="17"/>
  <c r="F75" i="17"/>
  <c r="G75" i="17" s="1"/>
  <c r="C75" i="17"/>
  <c r="D75" i="17"/>
  <c r="B76" i="40"/>
  <c r="H75" i="40"/>
  <c r="F75" i="40"/>
  <c r="G75" i="40" s="1"/>
  <c r="D75" i="40"/>
  <c r="C75" i="40"/>
  <c r="E75" i="19"/>
  <c r="H75" i="42"/>
  <c r="F75" i="42"/>
  <c r="G75" i="42" s="1"/>
  <c r="B76" i="42"/>
  <c r="C75" i="42"/>
  <c r="D75" i="42"/>
  <c r="H75" i="18"/>
  <c r="F75" i="18"/>
  <c r="G75" i="18" s="1"/>
  <c r="B76" i="18"/>
  <c r="E76" i="18" s="1"/>
  <c r="D75" i="18"/>
  <c r="C75" i="18"/>
  <c r="B76" i="41"/>
  <c r="H75" i="41"/>
  <c r="F75" i="41"/>
  <c r="G75" i="41" s="1"/>
  <c r="D75" i="41"/>
  <c r="C75" i="41"/>
  <c r="O72" i="26"/>
  <c r="P72" i="26" s="1"/>
  <c r="Q72" i="26" s="1"/>
  <c r="M74" i="17" l="1"/>
  <c r="K74" i="42"/>
  <c r="L74" i="42" s="1"/>
  <c r="M74" i="42" s="1"/>
  <c r="K74" i="18"/>
  <c r="L74" i="18" s="1"/>
  <c r="M74" i="18" s="1"/>
  <c r="M74" i="41"/>
  <c r="M74" i="19"/>
  <c r="M74" i="40"/>
  <c r="K74" i="39"/>
  <c r="L74" i="39" s="1"/>
  <c r="M74" i="39" s="1"/>
  <c r="K75" i="8"/>
  <c r="L75" i="8" s="1"/>
  <c r="M75" i="8" s="1"/>
  <c r="M76" i="9"/>
  <c r="I75" i="18"/>
  <c r="J75" i="18" s="1"/>
  <c r="K75" i="18" s="1"/>
  <c r="L75" i="18" s="1"/>
  <c r="G77" i="9"/>
  <c r="H78" i="26"/>
  <c r="I78" i="26" s="1"/>
  <c r="D78" i="26"/>
  <c r="F78" i="26"/>
  <c r="B79" i="26"/>
  <c r="E79" i="26" s="1"/>
  <c r="C78" i="26"/>
  <c r="E78" i="26"/>
  <c r="O76" i="25"/>
  <c r="P76" i="25" s="1"/>
  <c r="Q76" i="25" s="1"/>
  <c r="B78" i="25"/>
  <c r="E78" i="25" s="1"/>
  <c r="H77" i="25"/>
  <c r="I77" i="25" s="1"/>
  <c r="D77" i="25"/>
  <c r="C77" i="25"/>
  <c r="F77" i="25"/>
  <c r="E77" i="25"/>
  <c r="I75" i="39"/>
  <c r="J75" i="39" s="1"/>
  <c r="K75" i="39" s="1"/>
  <c r="L75" i="39" s="1"/>
  <c r="G75" i="19"/>
  <c r="G77" i="4"/>
  <c r="I75" i="42"/>
  <c r="J75" i="42" s="1"/>
  <c r="K75" i="42" s="1"/>
  <c r="L75" i="42" s="1"/>
  <c r="I77" i="9"/>
  <c r="I75" i="41"/>
  <c r="J75" i="41" s="1"/>
  <c r="K75" i="41" s="1"/>
  <c r="L75" i="41" s="1"/>
  <c r="M75" i="41" s="1"/>
  <c r="I75" i="40"/>
  <c r="J75" i="40" s="1"/>
  <c r="K75" i="40" s="1"/>
  <c r="L75" i="40" s="1"/>
  <c r="M75" i="40" s="1"/>
  <c r="H76" i="40"/>
  <c r="F76" i="40"/>
  <c r="B77" i="40"/>
  <c r="D76" i="40"/>
  <c r="C76" i="40"/>
  <c r="B77" i="19"/>
  <c r="H76" i="19"/>
  <c r="F76" i="19"/>
  <c r="C76" i="19"/>
  <c r="D76" i="19"/>
  <c r="F78" i="4"/>
  <c r="B79" i="4"/>
  <c r="H78" i="4"/>
  <c r="D78" i="4"/>
  <c r="C78" i="4"/>
  <c r="H76" i="41"/>
  <c r="F76" i="41"/>
  <c r="B77" i="41"/>
  <c r="D76" i="41"/>
  <c r="C76" i="41"/>
  <c r="B78" i="8"/>
  <c r="H77" i="8"/>
  <c r="F77" i="8"/>
  <c r="C77" i="8"/>
  <c r="D77" i="8"/>
  <c r="I77" i="4"/>
  <c r="F76" i="42"/>
  <c r="B77" i="42"/>
  <c r="E77" i="42" s="1"/>
  <c r="H76" i="42"/>
  <c r="C76" i="42"/>
  <c r="D76" i="42"/>
  <c r="E76" i="41"/>
  <c r="E76" i="42"/>
  <c r="E76" i="40"/>
  <c r="I75" i="17"/>
  <c r="J75" i="17" s="1"/>
  <c r="K75" i="17" s="1"/>
  <c r="L75" i="17" s="1"/>
  <c r="M75" i="17" s="1"/>
  <c r="H76" i="17"/>
  <c r="F76" i="17"/>
  <c r="G76" i="17" s="1"/>
  <c r="B77" i="17"/>
  <c r="E77" i="17" s="1"/>
  <c r="C76" i="17"/>
  <c r="D76" i="17"/>
  <c r="I75" i="19"/>
  <c r="E76" i="19"/>
  <c r="F76" i="39"/>
  <c r="G76" i="39" s="1"/>
  <c r="B77" i="39"/>
  <c r="E77" i="39" s="1"/>
  <c r="H76" i="39"/>
  <c r="C76" i="39"/>
  <c r="D76" i="39"/>
  <c r="E78" i="4"/>
  <c r="F76" i="18"/>
  <c r="G76" i="18" s="1"/>
  <c r="B77" i="18"/>
  <c r="E77" i="18" s="1"/>
  <c r="H76" i="18"/>
  <c r="D76" i="18"/>
  <c r="C76" i="18"/>
  <c r="I76" i="8"/>
  <c r="J76" i="8" s="1"/>
  <c r="K76" i="8" s="1"/>
  <c r="L76" i="8" s="1"/>
  <c r="E77" i="8"/>
  <c r="F78" i="9"/>
  <c r="G78" i="9" s="1"/>
  <c r="B79" i="9"/>
  <c r="E79" i="9" s="1"/>
  <c r="H78" i="9"/>
  <c r="C78" i="9"/>
  <c r="D78" i="9"/>
  <c r="O73" i="26"/>
  <c r="P73" i="26" s="1"/>
  <c r="Q73" i="26" s="1"/>
  <c r="M75" i="42" l="1"/>
  <c r="M75" i="18"/>
  <c r="J77" i="4"/>
  <c r="K77" i="4" s="1"/>
  <c r="L77" i="4" s="1"/>
  <c r="M77" i="4" s="1"/>
  <c r="M75" i="39"/>
  <c r="M76" i="8"/>
  <c r="J75" i="19"/>
  <c r="K75" i="19" s="1"/>
  <c r="L75" i="19" s="1"/>
  <c r="M75" i="19" s="1"/>
  <c r="I76" i="40"/>
  <c r="J77" i="9"/>
  <c r="K77" i="9" s="1"/>
  <c r="L77" i="9" s="1"/>
  <c r="M77" i="9" s="1"/>
  <c r="I76" i="41"/>
  <c r="G76" i="41"/>
  <c r="G78" i="4"/>
  <c r="G76" i="19"/>
  <c r="G79" i="26"/>
  <c r="G78" i="26"/>
  <c r="J78" i="26"/>
  <c r="H79" i="26"/>
  <c r="I79" i="26" s="1"/>
  <c r="D79" i="26"/>
  <c r="B80" i="26"/>
  <c r="C79" i="26"/>
  <c r="F79" i="26"/>
  <c r="J79" i="26" s="1"/>
  <c r="G78" i="25"/>
  <c r="F78" i="25"/>
  <c r="J78" i="25" s="1"/>
  <c r="B79" i="25"/>
  <c r="E79" i="25" s="1"/>
  <c r="H78" i="25"/>
  <c r="I78" i="25" s="1"/>
  <c r="D78" i="25"/>
  <c r="C78" i="25"/>
  <c r="G77" i="25"/>
  <c r="J77" i="25"/>
  <c r="O77" i="25" s="1"/>
  <c r="P77" i="25" s="1"/>
  <c r="Q77" i="25" s="1"/>
  <c r="I76" i="17"/>
  <c r="J76" i="17" s="1"/>
  <c r="K76" i="17" s="1"/>
  <c r="L76" i="17" s="1"/>
  <c r="M76" i="17" s="1"/>
  <c r="G76" i="40"/>
  <c r="I76" i="42"/>
  <c r="G77" i="8"/>
  <c r="I77" i="8"/>
  <c r="I76" i="39"/>
  <c r="J76" i="39" s="1"/>
  <c r="K76" i="39" s="1"/>
  <c r="L76" i="39" s="1"/>
  <c r="M76" i="39" s="1"/>
  <c r="I78" i="4"/>
  <c r="I76" i="19"/>
  <c r="I78" i="9"/>
  <c r="J78" i="9" s="1"/>
  <c r="B80" i="9"/>
  <c r="H79" i="9"/>
  <c r="F79" i="9"/>
  <c r="G79" i="9" s="1"/>
  <c r="D79" i="9"/>
  <c r="C79" i="9"/>
  <c r="I76" i="18"/>
  <c r="J76" i="18" s="1"/>
  <c r="K76" i="18" s="1"/>
  <c r="L76" i="18" s="1"/>
  <c r="M76" i="18" s="1"/>
  <c r="F77" i="39"/>
  <c r="G77" i="39" s="1"/>
  <c r="B78" i="39"/>
  <c r="E78" i="39" s="1"/>
  <c r="H77" i="39"/>
  <c r="D77" i="39"/>
  <c r="C77" i="39"/>
  <c r="F77" i="17"/>
  <c r="G77" i="17" s="1"/>
  <c r="B78" i="17"/>
  <c r="E78" i="17" s="1"/>
  <c r="H77" i="17"/>
  <c r="C77" i="17"/>
  <c r="D77" i="17"/>
  <c r="H78" i="8"/>
  <c r="F78" i="8"/>
  <c r="B79" i="8"/>
  <c r="C78" i="8"/>
  <c r="D78" i="8"/>
  <c r="F77" i="41"/>
  <c r="B78" i="41"/>
  <c r="E78" i="41" s="1"/>
  <c r="H77" i="41"/>
  <c r="C77" i="41"/>
  <c r="D77" i="41"/>
  <c r="B80" i="4"/>
  <c r="E80" i="4" s="1"/>
  <c r="H79" i="4"/>
  <c r="F79" i="4"/>
  <c r="D79" i="4"/>
  <c r="C79" i="4"/>
  <c r="H77" i="19"/>
  <c r="F77" i="19"/>
  <c r="B78" i="19"/>
  <c r="E78" i="19" s="1"/>
  <c r="C77" i="19"/>
  <c r="D77" i="19"/>
  <c r="F77" i="40"/>
  <c r="B78" i="40"/>
  <c r="H77" i="40"/>
  <c r="C77" i="40"/>
  <c r="D77" i="40"/>
  <c r="G76" i="42"/>
  <c r="F77" i="18"/>
  <c r="G77" i="18" s="1"/>
  <c r="B78" i="18"/>
  <c r="H77" i="18"/>
  <c r="C77" i="18"/>
  <c r="D77" i="18"/>
  <c r="F77" i="42"/>
  <c r="G77" i="42" s="1"/>
  <c r="B78" i="42"/>
  <c r="H77" i="42"/>
  <c r="D77" i="42"/>
  <c r="C77" i="42"/>
  <c r="E78" i="8"/>
  <c r="E77" i="41"/>
  <c r="E79" i="4"/>
  <c r="E77" i="19"/>
  <c r="E77" i="40"/>
  <c r="O74" i="26"/>
  <c r="P74" i="26" s="1"/>
  <c r="Q74" i="26" s="1"/>
  <c r="J76" i="40" l="1"/>
  <c r="K76" i="40" s="1"/>
  <c r="L76" i="40" s="1"/>
  <c r="M76" i="40" s="1"/>
  <c r="J78" i="4"/>
  <c r="K78" i="4" s="1"/>
  <c r="L78" i="4" s="1"/>
  <c r="M78" i="4" s="1"/>
  <c r="J76" i="19"/>
  <c r="K76" i="19" s="1"/>
  <c r="L76" i="19" s="1"/>
  <c r="M76" i="19" s="1"/>
  <c r="K78" i="9"/>
  <c r="L78" i="9" s="1"/>
  <c r="M78" i="9" s="1"/>
  <c r="J76" i="41"/>
  <c r="K76" i="41" s="1"/>
  <c r="L76" i="41" s="1"/>
  <c r="M76" i="41" s="1"/>
  <c r="J76" i="42"/>
  <c r="K76" i="42" s="1"/>
  <c r="L76" i="42" s="1"/>
  <c r="M76" i="42" s="1"/>
  <c r="J77" i="8"/>
  <c r="K77" i="8" s="1"/>
  <c r="L77" i="8" s="1"/>
  <c r="M77" i="8" s="1"/>
  <c r="G77" i="41"/>
  <c r="B81" i="26"/>
  <c r="C80" i="26"/>
  <c r="E81" i="26"/>
  <c r="F80" i="26"/>
  <c r="D80" i="26"/>
  <c r="H80" i="26"/>
  <c r="I80" i="26" s="1"/>
  <c r="E80" i="26"/>
  <c r="O78" i="25"/>
  <c r="P78" i="25" s="1"/>
  <c r="Q78" i="25" s="1"/>
  <c r="G79" i="25"/>
  <c r="C79" i="25"/>
  <c r="F79" i="25"/>
  <c r="J79" i="25" s="1"/>
  <c r="B80" i="25"/>
  <c r="E80" i="25" s="1"/>
  <c r="H79" i="25"/>
  <c r="I79" i="25" s="1"/>
  <c r="D79" i="25"/>
  <c r="I77" i="19"/>
  <c r="I77" i="17"/>
  <c r="J77" i="17" s="1"/>
  <c r="K77" i="17" s="1"/>
  <c r="L77" i="17" s="1"/>
  <c r="M77" i="17" s="1"/>
  <c r="G77" i="19"/>
  <c r="G77" i="40"/>
  <c r="G78" i="8"/>
  <c r="G79" i="4"/>
  <c r="I79" i="9"/>
  <c r="J79" i="9" s="1"/>
  <c r="K79" i="9" s="1"/>
  <c r="L79" i="9" s="1"/>
  <c r="I79" i="4"/>
  <c r="I78" i="8"/>
  <c r="I77" i="41"/>
  <c r="I77" i="39"/>
  <c r="J77" i="39" s="1"/>
  <c r="K77" i="39" s="1"/>
  <c r="L77" i="39" s="1"/>
  <c r="M77" i="39" s="1"/>
  <c r="F78" i="40"/>
  <c r="B79" i="40"/>
  <c r="H78" i="40"/>
  <c r="C78" i="40"/>
  <c r="D78" i="40"/>
  <c r="F79" i="8"/>
  <c r="B80" i="8"/>
  <c r="H79" i="8"/>
  <c r="D79" i="8"/>
  <c r="C79" i="8"/>
  <c r="H80" i="9"/>
  <c r="F80" i="9"/>
  <c r="B81" i="9"/>
  <c r="C80" i="9"/>
  <c r="D80" i="9"/>
  <c r="B79" i="42"/>
  <c r="E79" i="42" s="1"/>
  <c r="F78" i="42"/>
  <c r="H78" i="42"/>
  <c r="D78" i="42"/>
  <c r="C78" i="42"/>
  <c r="I77" i="42"/>
  <c r="J77" i="42" s="1"/>
  <c r="F78" i="19"/>
  <c r="G78" i="19" s="1"/>
  <c r="B79" i="19"/>
  <c r="H78" i="19"/>
  <c r="D78" i="19"/>
  <c r="C78" i="19"/>
  <c r="F78" i="17"/>
  <c r="G78" i="17" s="1"/>
  <c r="B79" i="17"/>
  <c r="H78" i="17"/>
  <c r="D78" i="17"/>
  <c r="C78" i="17"/>
  <c r="B79" i="18"/>
  <c r="H78" i="18"/>
  <c r="F78" i="18"/>
  <c r="D78" i="18"/>
  <c r="C78" i="18"/>
  <c r="E78" i="42"/>
  <c r="I77" i="18"/>
  <c r="J77" i="18" s="1"/>
  <c r="K77" i="18" s="1"/>
  <c r="L77" i="18" s="1"/>
  <c r="M77" i="18" s="1"/>
  <c r="E78" i="18"/>
  <c r="I77" i="40"/>
  <c r="E78" i="40"/>
  <c r="E79" i="8"/>
  <c r="E80" i="9"/>
  <c r="H80" i="4"/>
  <c r="F80" i="4"/>
  <c r="G80" i="4" s="1"/>
  <c r="B81" i="4"/>
  <c r="E81" i="4" s="1"/>
  <c r="C80" i="4"/>
  <c r="D80" i="4"/>
  <c r="F78" i="41"/>
  <c r="G78" i="41" s="1"/>
  <c r="B79" i="41"/>
  <c r="E79" i="41" s="1"/>
  <c r="H78" i="41"/>
  <c r="C78" i="41"/>
  <c r="D78" i="41"/>
  <c r="B79" i="39"/>
  <c r="E79" i="39" s="1"/>
  <c r="H78" i="39"/>
  <c r="F78" i="39"/>
  <c r="G78" i="39" s="1"/>
  <c r="C78" i="39"/>
  <c r="D78" i="39"/>
  <c r="O75" i="26"/>
  <c r="P75" i="26" s="1"/>
  <c r="Q75" i="26" s="1"/>
  <c r="J77" i="41" l="1"/>
  <c r="K77" i="41" s="1"/>
  <c r="L77" i="41" s="1"/>
  <c r="M77" i="41" s="1"/>
  <c r="K77" i="42"/>
  <c r="L77" i="42" s="1"/>
  <c r="M77" i="42" s="1"/>
  <c r="M79" i="9"/>
  <c r="J77" i="19"/>
  <c r="K77" i="19" s="1"/>
  <c r="L77" i="19" s="1"/>
  <c r="M77" i="19" s="1"/>
  <c r="J77" i="40"/>
  <c r="K77" i="40" s="1"/>
  <c r="L77" i="40" s="1"/>
  <c r="M77" i="40" s="1"/>
  <c r="J78" i="8"/>
  <c r="K78" i="8" s="1"/>
  <c r="L78" i="8" s="1"/>
  <c r="M78" i="8" s="1"/>
  <c r="G79" i="8"/>
  <c r="G80" i="9"/>
  <c r="J79" i="4"/>
  <c r="K79" i="4" s="1"/>
  <c r="L79" i="4" s="1"/>
  <c r="M79" i="4" s="1"/>
  <c r="G78" i="18"/>
  <c r="I78" i="42"/>
  <c r="G78" i="40"/>
  <c r="G78" i="42"/>
  <c r="G80" i="26"/>
  <c r="J80" i="26"/>
  <c r="G81" i="26"/>
  <c r="F81" i="26"/>
  <c r="J81" i="26" s="1"/>
  <c r="D81" i="26"/>
  <c r="B82" i="26"/>
  <c r="C81" i="26"/>
  <c r="H81" i="26"/>
  <c r="I81" i="26" s="1"/>
  <c r="G80" i="25"/>
  <c r="H80" i="25"/>
  <c r="I80" i="25" s="1"/>
  <c r="D80" i="25"/>
  <c r="C80" i="25"/>
  <c r="F80" i="25"/>
  <c r="J80" i="25" s="1"/>
  <c r="B81" i="25"/>
  <c r="E81" i="25" s="1"/>
  <c r="O79" i="25"/>
  <c r="P79" i="25" s="1"/>
  <c r="Q79" i="25" s="1"/>
  <c r="I78" i="18"/>
  <c r="I80" i="4"/>
  <c r="J80" i="4" s="1"/>
  <c r="I78" i="41"/>
  <c r="J78" i="41" s="1"/>
  <c r="I78" i="19"/>
  <c r="J78" i="19" s="1"/>
  <c r="I80" i="9"/>
  <c r="I78" i="40"/>
  <c r="B80" i="17"/>
  <c r="H79" i="17"/>
  <c r="F79" i="17"/>
  <c r="D79" i="17"/>
  <c r="C79" i="17"/>
  <c r="F81" i="9"/>
  <c r="B82" i="9"/>
  <c r="H81" i="9"/>
  <c r="C81" i="9"/>
  <c r="D81" i="9"/>
  <c r="F80" i="8"/>
  <c r="B81" i="8"/>
  <c r="E81" i="8" s="1"/>
  <c r="H80" i="8"/>
  <c r="D80" i="8"/>
  <c r="C80" i="8"/>
  <c r="H79" i="18"/>
  <c r="F79" i="18"/>
  <c r="B80" i="18"/>
  <c r="D79" i="18"/>
  <c r="C79" i="18"/>
  <c r="F79" i="19"/>
  <c r="B80" i="19"/>
  <c r="E80" i="19" s="1"/>
  <c r="H79" i="19"/>
  <c r="C79" i="19"/>
  <c r="D79" i="19"/>
  <c r="B80" i="40"/>
  <c r="E80" i="40" s="1"/>
  <c r="H79" i="40"/>
  <c r="F79" i="40"/>
  <c r="D79" i="40"/>
  <c r="C79" i="40"/>
  <c r="B80" i="41"/>
  <c r="H79" i="41"/>
  <c r="F79" i="41"/>
  <c r="G79" i="41" s="1"/>
  <c r="D79" i="41"/>
  <c r="C79" i="41"/>
  <c r="I78" i="17"/>
  <c r="J78" i="17" s="1"/>
  <c r="K78" i="17" s="1"/>
  <c r="L78" i="17" s="1"/>
  <c r="M78" i="17" s="1"/>
  <c r="H79" i="42"/>
  <c r="F79" i="42"/>
  <c r="G79" i="42" s="1"/>
  <c r="B80" i="42"/>
  <c r="C79" i="42"/>
  <c r="D79" i="42"/>
  <c r="I79" i="8"/>
  <c r="E79" i="40"/>
  <c r="E79" i="18"/>
  <c r="E79" i="19"/>
  <c r="I78" i="39"/>
  <c r="J78" i="39" s="1"/>
  <c r="K78" i="39" s="1"/>
  <c r="L78" i="39" s="1"/>
  <c r="M78" i="39" s="1"/>
  <c r="H79" i="39"/>
  <c r="F79" i="39"/>
  <c r="G79" i="39" s="1"/>
  <c r="B80" i="39"/>
  <c r="E80" i="39" s="1"/>
  <c r="C79" i="39"/>
  <c r="D79" i="39"/>
  <c r="F81" i="4"/>
  <c r="G81" i="4" s="1"/>
  <c r="B82" i="4"/>
  <c r="H81" i="4"/>
  <c r="D81" i="4"/>
  <c r="C81" i="4"/>
  <c r="E79" i="17"/>
  <c r="E81" i="9"/>
  <c r="E80" i="8"/>
  <c r="O76" i="26"/>
  <c r="P76" i="26" s="1"/>
  <c r="Q76" i="26" s="1"/>
  <c r="K78" i="41" l="1"/>
  <c r="L78" i="41" s="1"/>
  <c r="M78" i="41" s="1"/>
  <c r="J80" i="9"/>
  <c r="K80" i="9" s="1"/>
  <c r="L80" i="9" s="1"/>
  <c r="M80" i="9" s="1"/>
  <c r="K78" i="19"/>
  <c r="L78" i="19" s="1"/>
  <c r="M78" i="19" s="1"/>
  <c r="J78" i="18"/>
  <c r="K78" i="18" s="1"/>
  <c r="L78" i="18" s="1"/>
  <c r="M78" i="18" s="1"/>
  <c r="J78" i="40"/>
  <c r="K78" i="40" s="1"/>
  <c r="L78" i="40" s="1"/>
  <c r="M78" i="40" s="1"/>
  <c r="J78" i="42"/>
  <c r="K78" i="42" s="1"/>
  <c r="L78" i="42" s="1"/>
  <c r="M78" i="42" s="1"/>
  <c r="J79" i="8"/>
  <c r="K79" i="8" s="1"/>
  <c r="L79" i="8" s="1"/>
  <c r="M79" i="8" s="1"/>
  <c r="K80" i="4"/>
  <c r="L80" i="4" s="1"/>
  <c r="M80" i="4" s="1"/>
  <c r="G81" i="9"/>
  <c r="I79" i="18"/>
  <c r="G79" i="40"/>
  <c r="G79" i="18"/>
  <c r="I79" i="40"/>
  <c r="G79" i="17"/>
  <c r="H82" i="26"/>
  <c r="I82" i="26" s="1"/>
  <c r="D82" i="26"/>
  <c r="B83" i="26"/>
  <c r="C82" i="26"/>
  <c r="F82" i="26"/>
  <c r="E82" i="26"/>
  <c r="O80" i="25"/>
  <c r="P80" i="25" s="1"/>
  <c r="Q80" i="25" s="1"/>
  <c r="B82" i="25"/>
  <c r="E82" i="25" s="1"/>
  <c r="H81" i="25"/>
  <c r="I81" i="25" s="1"/>
  <c r="D81" i="25"/>
  <c r="C81" i="25"/>
  <c r="F81" i="25"/>
  <c r="J81" i="25" s="1"/>
  <c r="G81" i="25"/>
  <c r="I79" i="39"/>
  <c r="J79" i="39" s="1"/>
  <c r="K79" i="39" s="1"/>
  <c r="L79" i="39" s="1"/>
  <c r="M79" i="39" s="1"/>
  <c r="I79" i="17"/>
  <c r="I80" i="8"/>
  <c r="I79" i="42"/>
  <c r="J79" i="42" s="1"/>
  <c r="I79" i="41"/>
  <c r="J79" i="41" s="1"/>
  <c r="K79" i="41" s="1"/>
  <c r="L79" i="41" s="1"/>
  <c r="F80" i="41"/>
  <c r="H80" i="41"/>
  <c r="B81" i="41"/>
  <c r="E81" i="41" s="1"/>
  <c r="D80" i="41"/>
  <c r="C80" i="41"/>
  <c r="F80" i="18"/>
  <c r="B81" i="18"/>
  <c r="H80" i="18"/>
  <c r="C80" i="18"/>
  <c r="D80" i="18"/>
  <c r="H80" i="17"/>
  <c r="F80" i="17"/>
  <c r="B81" i="17"/>
  <c r="E81" i="17" s="1"/>
  <c r="C80" i="17"/>
  <c r="D80" i="17"/>
  <c r="I81" i="4"/>
  <c r="J81" i="4" s="1"/>
  <c r="K81" i="4" s="1"/>
  <c r="L81" i="4" s="1"/>
  <c r="F80" i="39"/>
  <c r="G80" i="39" s="1"/>
  <c r="B81" i="39"/>
  <c r="H80" i="39"/>
  <c r="D80" i="39"/>
  <c r="C80" i="39"/>
  <c r="I79" i="19"/>
  <c r="F82" i="9"/>
  <c r="B83" i="9"/>
  <c r="E83" i="9" s="1"/>
  <c r="H82" i="9"/>
  <c r="D82" i="9"/>
  <c r="C82" i="9"/>
  <c r="F82" i="4"/>
  <c r="B83" i="4"/>
  <c r="H82" i="4"/>
  <c r="D82" i="4"/>
  <c r="C82" i="4"/>
  <c r="H80" i="42"/>
  <c r="F80" i="42"/>
  <c r="B81" i="42"/>
  <c r="E81" i="42" s="1"/>
  <c r="D80" i="42"/>
  <c r="C80" i="42"/>
  <c r="E80" i="41"/>
  <c r="H80" i="40"/>
  <c r="F80" i="40"/>
  <c r="G80" i="40" s="1"/>
  <c r="B81" i="40"/>
  <c r="C80" i="40"/>
  <c r="D80" i="40"/>
  <c r="E80" i="18"/>
  <c r="E80" i="17"/>
  <c r="E82" i="4"/>
  <c r="G79" i="19"/>
  <c r="G80" i="8"/>
  <c r="E80" i="42"/>
  <c r="B81" i="19"/>
  <c r="H80" i="19"/>
  <c r="F80" i="19"/>
  <c r="G80" i="19" s="1"/>
  <c r="D80" i="19"/>
  <c r="C80" i="19"/>
  <c r="B82" i="8"/>
  <c r="E82" i="8" s="1"/>
  <c r="H81" i="8"/>
  <c r="F81" i="8"/>
  <c r="G81" i="8" s="1"/>
  <c r="D81" i="8"/>
  <c r="C81" i="8"/>
  <c r="I81" i="9"/>
  <c r="E82" i="9"/>
  <c r="O77" i="26"/>
  <c r="P77" i="26" s="1"/>
  <c r="Q77" i="26" s="1"/>
  <c r="M79" i="41" l="1"/>
  <c r="J79" i="18"/>
  <c r="K79" i="18" s="1"/>
  <c r="L79" i="18" s="1"/>
  <c r="M79" i="18" s="1"/>
  <c r="J80" i="8"/>
  <c r="K80" i="8" s="1"/>
  <c r="L80" i="8" s="1"/>
  <c r="M80" i="8" s="1"/>
  <c r="J81" i="9"/>
  <c r="K81" i="9" s="1"/>
  <c r="L81" i="9" s="1"/>
  <c r="M81" i="9" s="1"/>
  <c r="K79" i="42"/>
  <c r="L79" i="42" s="1"/>
  <c r="M79" i="42" s="1"/>
  <c r="M81" i="4"/>
  <c r="I80" i="42"/>
  <c r="J79" i="17"/>
  <c r="K79" i="17" s="1"/>
  <c r="L79" i="17" s="1"/>
  <c r="M79" i="17" s="1"/>
  <c r="J79" i="40"/>
  <c r="K79" i="40" s="1"/>
  <c r="L79" i="40" s="1"/>
  <c r="M79" i="40" s="1"/>
  <c r="J79" i="19"/>
  <c r="K79" i="19" s="1"/>
  <c r="L79" i="19" s="1"/>
  <c r="M79" i="19" s="1"/>
  <c r="G80" i="18"/>
  <c r="I80" i="41"/>
  <c r="G80" i="17"/>
  <c r="J82" i="26"/>
  <c r="G82" i="26"/>
  <c r="H83" i="26"/>
  <c r="I83" i="26" s="1"/>
  <c r="D83" i="26"/>
  <c r="B84" i="26"/>
  <c r="E84" i="26" s="1"/>
  <c r="C83" i="26"/>
  <c r="F83" i="26"/>
  <c r="E83" i="26"/>
  <c r="G82" i="25"/>
  <c r="O81" i="25"/>
  <c r="P81" i="25" s="1"/>
  <c r="Q81" i="25" s="1"/>
  <c r="F82" i="25"/>
  <c r="J82" i="25" s="1"/>
  <c r="B83" i="25"/>
  <c r="E83" i="25" s="1"/>
  <c r="H82" i="25"/>
  <c r="I82" i="25" s="1"/>
  <c r="D82" i="25"/>
  <c r="C82" i="25"/>
  <c r="I80" i="17"/>
  <c r="J80" i="17" s="1"/>
  <c r="G82" i="9"/>
  <c r="I81" i="8"/>
  <c r="J81" i="8" s="1"/>
  <c r="G82" i="4"/>
  <c r="I82" i="4"/>
  <c r="I82" i="9"/>
  <c r="G80" i="42"/>
  <c r="I80" i="19"/>
  <c r="J80" i="19" s="1"/>
  <c r="I80" i="40"/>
  <c r="J80" i="40" s="1"/>
  <c r="B84" i="4"/>
  <c r="H83" i="4"/>
  <c r="F83" i="4"/>
  <c r="C83" i="4"/>
  <c r="D83" i="4"/>
  <c r="H81" i="19"/>
  <c r="F81" i="19"/>
  <c r="B82" i="19"/>
  <c r="C81" i="19"/>
  <c r="D81" i="19"/>
  <c r="F81" i="40"/>
  <c r="B82" i="40"/>
  <c r="E82" i="40" s="1"/>
  <c r="H81" i="40"/>
  <c r="D81" i="40"/>
  <c r="C81" i="40"/>
  <c r="G80" i="41"/>
  <c r="F81" i="39"/>
  <c r="B82" i="39"/>
  <c r="H81" i="39"/>
  <c r="D81" i="39"/>
  <c r="C81" i="39"/>
  <c r="F81" i="18"/>
  <c r="B82" i="18"/>
  <c r="H81" i="18"/>
  <c r="C81" i="18"/>
  <c r="D81" i="18"/>
  <c r="E83" i="4"/>
  <c r="I80" i="39"/>
  <c r="J80" i="39" s="1"/>
  <c r="K80" i="39" s="1"/>
  <c r="L80" i="39" s="1"/>
  <c r="M80" i="39" s="1"/>
  <c r="F81" i="17"/>
  <c r="G81" i="17" s="1"/>
  <c r="B82" i="17"/>
  <c r="E82" i="17" s="1"/>
  <c r="H81" i="17"/>
  <c r="D81" i="17"/>
  <c r="C81" i="17"/>
  <c r="B82" i="41"/>
  <c r="F81" i="41"/>
  <c r="G81" i="41" s="1"/>
  <c r="H81" i="41"/>
  <c r="D81" i="41"/>
  <c r="C81" i="41"/>
  <c r="F81" i="42"/>
  <c r="G81" i="42" s="1"/>
  <c r="H81" i="42"/>
  <c r="B82" i="42"/>
  <c r="E82" i="42" s="1"/>
  <c r="D81" i="42"/>
  <c r="C81" i="42"/>
  <c r="H82" i="8"/>
  <c r="F82" i="8"/>
  <c r="G82" i="8" s="1"/>
  <c r="B83" i="8"/>
  <c r="E83" i="8" s="1"/>
  <c r="D82" i="8"/>
  <c r="C82" i="8"/>
  <c r="E81" i="19"/>
  <c r="E81" i="40"/>
  <c r="B84" i="9"/>
  <c r="E84" i="9" s="1"/>
  <c r="H83" i="9"/>
  <c r="F83" i="9"/>
  <c r="G83" i="9" s="1"/>
  <c r="D83" i="9"/>
  <c r="C83" i="9"/>
  <c r="E81" i="39"/>
  <c r="I80" i="18"/>
  <c r="J80" i="18" s="1"/>
  <c r="E81" i="18"/>
  <c r="O78" i="26"/>
  <c r="P78" i="26" s="1"/>
  <c r="Q78" i="26" s="1"/>
  <c r="K80" i="18" l="1"/>
  <c r="L80" i="18" s="1"/>
  <c r="M80" i="18" s="1"/>
  <c r="K81" i="8"/>
  <c r="L81" i="8" s="1"/>
  <c r="M81" i="8" s="1"/>
  <c r="J80" i="42"/>
  <c r="K80" i="42" s="1"/>
  <c r="L80" i="42" s="1"/>
  <c r="M80" i="42" s="1"/>
  <c r="J80" i="41"/>
  <c r="K80" i="41" s="1"/>
  <c r="L80" i="41" s="1"/>
  <c r="M80" i="41" s="1"/>
  <c r="J82" i="9"/>
  <c r="K82" i="9" s="1"/>
  <c r="L82" i="9" s="1"/>
  <c r="M82" i="9" s="1"/>
  <c r="J82" i="4"/>
  <c r="K82" i="4" s="1"/>
  <c r="L82" i="4" s="1"/>
  <c r="M82" i="4" s="1"/>
  <c r="K80" i="40"/>
  <c r="L80" i="40" s="1"/>
  <c r="M80" i="40" s="1"/>
  <c r="K80" i="17"/>
  <c r="L80" i="17" s="1"/>
  <c r="M80" i="17" s="1"/>
  <c r="G81" i="40"/>
  <c r="G81" i="39"/>
  <c r="G81" i="18"/>
  <c r="K80" i="19"/>
  <c r="L80" i="19" s="1"/>
  <c r="M80" i="19" s="1"/>
  <c r="G81" i="19"/>
  <c r="I81" i="18"/>
  <c r="G84" i="26"/>
  <c r="G83" i="26"/>
  <c r="J83" i="26"/>
  <c r="B85" i="26"/>
  <c r="E85" i="26" s="1"/>
  <c r="C84" i="26"/>
  <c r="F84" i="26"/>
  <c r="J84" i="26" s="1"/>
  <c r="H84" i="26"/>
  <c r="I84" i="26" s="1"/>
  <c r="D84" i="26"/>
  <c r="G83" i="25"/>
  <c r="O82" i="25"/>
  <c r="P82" i="25" s="1"/>
  <c r="Q82" i="25" s="1"/>
  <c r="C83" i="25"/>
  <c r="F83" i="25"/>
  <c r="J83" i="25" s="1"/>
  <c r="B84" i="25"/>
  <c r="E84" i="25" s="1"/>
  <c r="H83" i="25"/>
  <c r="I83" i="25" s="1"/>
  <c r="D83" i="25"/>
  <c r="I81" i="40"/>
  <c r="I81" i="17"/>
  <c r="J81" i="17" s="1"/>
  <c r="K81" i="17" s="1"/>
  <c r="L81" i="17" s="1"/>
  <c r="G83" i="4"/>
  <c r="I83" i="9"/>
  <c r="J83" i="9" s="1"/>
  <c r="I81" i="19"/>
  <c r="B83" i="41"/>
  <c r="H82" i="41"/>
  <c r="F82" i="41"/>
  <c r="C82" i="41"/>
  <c r="D82" i="41"/>
  <c r="B83" i="18"/>
  <c r="E83" i="18" s="1"/>
  <c r="H82" i="18"/>
  <c r="F82" i="18"/>
  <c r="D82" i="18"/>
  <c r="C82" i="18"/>
  <c r="F82" i="19"/>
  <c r="B83" i="19"/>
  <c r="E83" i="19" s="1"/>
  <c r="H82" i="19"/>
  <c r="D82" i="19"/>
  <c r="C82" i="19"/>
  <c r="I81" i="42"/>
  <c r="J81" i="42" s="1"/>
  <c r="B83" i="39"/>
  <c r="E83" i="39" s="1"/>
  <c r="H82" i="39"/>
  <c r="F82" i="39"/>
  <c r="D82" i="39"/>
  <c r="C82" i="39"/>
  <c r="I83" i="4"/>
  <c r="H84" i="4"/>
  <c r="F84" i="4"/>
  <c r="B85" i="4"/>
  <c r="E85" i="4" s="1"/>
  <c r="D84" i="4"/>
  <c r="C84" i="4"/>
  <c r="H84" i="9"/>
  <c r="F84" i="9"/>
  <c r="G84" i="9" s="1"/>
  <c r="B85" i="9"/>
  <c r="E85" i="9" s="1"/>
  <c r="D84" i="9"/>
  <c r="C84" i="9"/>
  <c r="I82" i="8"/>
  <c r="J82" i="8" s="1"/>
  <c r="K82" i="8" s="1"/>
  <c r="L82" i="8" s="1"/>
  <c r="E82" i="41"/>
  <c r="E82" i="18"/>
  <c r="I81" i="39"/>
  <c r="E82" i="19"/>
  <c r="F83" i="8"/>
  <c r="G83" i="8" s="1"/>
  <c r="B84" i="8"/>
  <c r="E84" i="8" s="1"/>
  <c r="H83" i="8"/>
  <c r="D83" i="8"/>
  <c r="C83" i="8"/>
  <c r="F82" i="17"/>
  <c r="G82" i="17" s="1"/>
  <c r="B83" i="17"/>
  <c r="E83" i="17" s="1"/>
  <c r="H82" i="17"/>
  <c r="D82" i="17"/>
  <c r="C82" i="17"/>
  <c r="B83" i="42"/>
  <c r="E83" i="42" s="1"/>
  <c r="H82" i="42"/>
  <c r="F82" i="42"/>
  <c r="G82" i="42" s="1"/>
  <c r="D82" i="42"/>
  <c r="C82" i="42"/>
  <c r="I81" i="41"/>
  <c r="J81" i="41" s="1"/>
  <c r="E82" i="39"/>
  <c r="F82" i="40"/>
  <c r="G82" i="40" s="1"/>
  <c r="B83" i="40"/>
  <c r="H82" i="40"/>
  <c r="D82" i="40"/>
  <c r="C82" i="40"/>
  <c r="E84" i="4"/>
  <c r="O79" i="26"/>
  <c r="P79" i="26" s="1"/>
  <c r="Q79" i="26" s="1"/>
  <c r="J81" i="39" l="1"/>
  <c r="K81" i="39" s="1"/>
  <c r="L81" i="39" s="1"/>
  <c r="M81" i="39" s="1"/>
  <c r="M82" i="8"/>
  <c r="K81" i="42"/>
  <c r="L81" i="42" s="1"/>
  <c r="M81" i="42" s="1"/>
  <c r="K81" i="41"/>
  <c r="L81" i="41" s="1"/>
  <c r="M81" i="41" s="1"/>
  <c r="J81" i="19"/>
  <c r="K81" i="19" s="1"/>
  <c r="L81" i="19" s="1"/>
  <c r="M81" i="19" s="1"/>
  <c r="J81" i="40"/>
  <c r="K81" i="40" s="1"/>
  <c r="L81" i="40" s="1"/>
  <c r="M81" i="40" s="1"/>
  <c r="J81" i="18"/>
  <c r="K81" i="18" s="1"/>
  <c r="L81" i="18" s="1"/>
  <c r="M81" i="18" s="1"/>
  <c r="K83" i="9"/>
  <c r="L83" i="9" s="1"/>
  <c r="M83" i="9" s="1"/>
  <c r="J83" i="4"/>
  <c r="K83" i="4" s="1"/>
  <c r="L83" i="4" s="1"/>
  <c r="M83" i="4" s="1"/>
  <c r="M81" i="17"/>
  <c r="I82" i="42"/>
  <c r="J82" i="42" s="1"/>
  <c r="K82" i="42" s="1"/>
  <c r="L82" i="42" s="1"/>
  <c r="G85" i="26"/>
  <c r="F85" i="26"/>
  <c r="J85" i="26" s="1"/>
  <c r="H85" i="26"/>
  <c r="I85" i="26" s="1"/>
  <c r="D85" i="26"/>
  <c r="B86" i="26"/>
  <c r="C85" i="26"/>
  <c r="G84" i="25"/>
  <c r="O83" i="25"/>
  <c r="P83" i="25" s="1"/>
  <c r="Q83" i="25" s="1"/>
  <c r="H84" i="25"/>
  <c r="I84" i="25" s="1"/>
  <c r="D84" i="25"/>
  <c r="C84" i="25"/>
  <c r="F84" i="25"/>
  <c r="J84" i="25" s="1"/>
  <c r="B85" i="25"/>
  <c r="I82" i="18"/>
  <c r="G82" i="39"/>
  <c r="G82" i="41"/>
  <c r="I82" i="39"/>
  <c r="G84" i="4"/>
  <c r="I82" i="19"/>
  <c r="I82" i="17"/>
  <c r="J82" i="17" s="1"/>
  <c r="K82" i="17" s="1"/>
  <c r="L82" i="17" s="1"/>
  <c r="M82" i="17" s="1"/>
  <c r="I84" i="4"/>
  <c r="I82" i="40"/>
  <c r="J82" i="40" s="1"/>
  <c r="I83" i="8"/>
  <c r="J83" i="8" s="1"/>
  <c r="K83" i="8" s="1"/>
  <c r="L83" i="8" s="1"/>
  <c r="M83" i="8" s="1"/>
  <c r="G82" i="18"/>
  <c r="F85" i="9"/>
  <c r="G85" i="9" s="1"/>
  <c r="B86" i="9"/>
  <c r="E86" i="9" s="1"/>
  <c r="H85" i="9"/>
  <c r="C85" i="9"/>
  <c r="D85" i="9"/>
  <c r="I82" i="41"/>
  <c r="H83" i="41"/>
  <c r="B84" i="41"/>
  <c r="F83" i="41"/>
  <c r="C83" i="41"/>
  <c r="D83" i="41"/>
  <c r="H83" i="42"/>
  <c r="B84" i="42"/>
  <c r="E84" i="42" s="1"/>
  <c r="F83" i="42"/>
  <c r="G83" i="42" s="1"/>
  <c r="C83" i="42"/>
  <c r="D83" i="42"/>
  <c r="B84" i="17"/>
  <c r="H83" i="17"/>
  <c r="F83" i="17"/>
  <c r="G83" i="17" s="1"/>
  <c r="D83" i="17"/>
  <c r="C83" i="17"/>
  <c r="F85" i="4"/>
  <c r="G85" i="4" s="1"/>
  <c r="B86" i="4"/>
  <c r="E86" i="4" s="1"/>
  <c r="H85" i="4"/>
  <c r="C85" i="4"/>
  <c r="D85" i="4"/>
  <c r="H83" i="39"/>
  <c r="F83" i="39"/>
  <c r="G83" i="39" s="1"/>
  <c r="B84" i="39"/>
  <c r="E84" i="39" s="1"/>
  <c r="D83" i="39"/>
  <c r="C83" i="39"/>
  <c r="E83" i="41"/>
  <c r="B84" i="40"/>
  <c r="E84" i="40" s="1"/>
  <c r="H83" i="40"/>
  <c r="F83" i="40"/>
  <c r="C83" i="40"/>
  <c r="D83" i="40"/>
  <c r="F84" i="8"/>
  <c r="G84" i="8" s="1"/>
  <c r="B85" i="8"/>
  <c r="E85" i="8" s="1"/>
  <c r="H84" i="8"/>
  <c r="D84" i="8"/>
  <c r="C84" i="8"/>
  <c r="E83" i="40"/>
  <c r="G82" i="19"/>
  <c r="I84" i="9"/>
  <c r="J84" i="9" s="1"/>
  <c r="K84" i="9" s="1"/>
  <c r="L84" i="9" s="1"/>
  <c r="F83" i="19"/>
  <c r="G83" i="19" s="1"/>
  <c r="B84" i="19"/>
  <c r="H83" i="19"/>
  <c r="C83" i="19"/>
  <c r="D83" i="19"/>
  <c r="H83" i="18"/>
  <c r="F83" i="18"/>
  <c r="G83" i="18" s="1"/>
  <c r="B84" i="18"/>
  <c r="E84" i="18" s="1"/>
  <c r="D83" i="18"/>
  <c r="C83" i="18"/>
  <c r="O80" i="26"/>
  <c r="P80" i="26" s="1"/>
  <c r="Q80" i="26" s="1"/>
  <c r="M82" i="42" l="1"/>
  <c r="K82" i="40"/>
  <c r="L82" i="40" s="1"/>
  <c r="M82" i="40" s="1"/>
  <c r="M84" i="9"/>
  <c r="J82" i="41"/>
  <c r="K82" i="41" s="1"/>
  <c r="L82" i="41" s="1"/>
  <c r="M82" i="41" s="1"/>
  <c r="J82" i="18"/>
  <c r="K82" i="18" s="1"/>
  <c r="L82" i="18" s="1"/>
  <c r="M82" i="18" s="1"/>
  <c r="J82" i="19"/>
  <c r="K82" i="19" s="1"/>
  <c r="L82" i="19" s="1"/>
  <c r="M82" i="19" s="1"/>
  <c r="J82" i="39"/>
  <c r="K82" i="39" s="1"/>
  <c r="L82" i="39" s="1"/>
  <c r="M82" i="39" s="1"/>
  <c r="J84" i="4"/>
  <c r="K84" i="4" s="1"/>
  <c r="L84" i="4" s="1"/>
  <c r="M84" i="4" s="1"/>
  <c r="G83" i="41"/>
  <c r="H86" i="26"/>
  <c r="I86" i="26" s="1"/>
  <c r="D86" i="26"/>
  <c r="F86" i="26"/>
  <c r="B87" i="26"/>
  <c r="E87" i="26" s="1"/>
  <c r="C86" i="26"/>
  <c r="E86" i="26"/>
  <c r="O84" i="25"/>
  <c r="P84" i="25" s="1"/>
  <c r="Q84" i="25" s="1"/>
  <c r="B86" i="25"/>
  <c r="E86" i="25" s="1"/>
  <c r="H85" i="25"/>
  <c r="I85" i="25" s="1"/>
  <c r="D85" i="25"/>
  <c r="C85" i="25"/>
  <c r="F85" i="25"/>
  <c r="E85" i="25"/>
  <c r="I83" i="19"/>
  <c r="J83" i="19" s="1"/>
  <c r="I83" i="41"/>
  <c r="I83" i="40"/>
  <c r="I83" i="17"/>
  <c r="J83" i="17" s="1"/>
  <c r="K83" i="17" s="1"/>
  <c r="L83" i="17" s="1"/>
  <c r="M83" i="17" s="1"/>
  <c r="I83" i="42"/>
  <c r="J83" i="42" s="1"/>
  <c r="K83" i="42" s="1"/>
  <c r="L83" i="42" s="1"/>
  <c r="M83" i="42" s="1"/>
  <c r="G83" i="40"/>
  <c r="I84" i="8"/>
  <c r="J84" i="8" s="1"/>
  <c r="K84" i="8" s="1"/>
  <c r="L84" i="8" s="1"/>
  <c r="M84" i="8" s="1"/>
  <c r="I85" i="4"/>
  <c r="J85" i="4" s="1"/>
  <c r="I85" i="9"/>
  <c r="J85" i="9" s="1"/>
  <c r="K85" i="9" s="1"/>
  <c r="L85" i="9" s="1"/>
  <c r="M85" i="9" s="1"/>
  <c r="B85" i="41"/>
  <c r="F84" i="41"/>
  <c r="H84" i="41"/>
  <c r="C84" i="41"/>
  <c r="D84" i="41"/>
  <c r="F84" i="18"/>
  <c r="G84" i="18" s="1"/>
  <c r="B85" i="18"/>
  <c r="E85" i="18" s="1"/>
  <c r="H84" i="18"/>
  <c r="C84" i="18"/>
  <c r="D84" i="18"/>
  <c r="I83" i="39"/>
  <c r="J83" i="39" s="1"/>
  <c r="H84" i="17"/>
  <c r="F84" i="17"/>
  <c r="B85" i="17"/>
  <c r="D84" i="17"/>
  <c r="C84" i="17"/>
  <c r="F86" i="4"/>
  <c r="G86" i="4" s="1"/>
  <c r="B87" i="4"/>
  <c r="E87" i="4" s="1"/>
  <c r="H86" i="4"/>
  <c r="D86" i="4"/>
  <c r="C86" i="4"/>
  <c r="B85" i="42"/>
  <c r="H84" i="42"/>
  <c r="F84" i="42"/>
  <c r="G84" i="42" s="1"/>
  <c r="D84" i="42"/>
  <c r="C84" i="42"/>
  <c r="E84" i="41"/>
  <c r="F86" i="9"/>
  <c r="G86" i="9" s="1"/>
  <c r="B87" i="9"/>
  <c r="E87" i="9" s="1"/>
  <c r="H86" i="9"/>
  <c r="D86" i="9"/>
  <c r="C86" i="9"/>
  <c r="B85" i="19"/>
  <c r="E85" i="19" s="1"/>
  <c r="H84" i="19"/>
  <c r="F84" i="19"/>
  <c r="D84" i="19"/>
  <c r="C84" i="19"/>
  <c r="H84" i="40"/>
  <c r="F84" i="40"/>
  <c r="G84" i="40" s="1"/>
  <c r="B85" i="40"/>
  <c r="E85" i="40" s="1"/>
  <c r="D84" i="40"/>
  <c r="C84" i="40"/>
  <c r="E84" i="19"/>
  <c r="I83" i="18"/>
  <c r="J83" i="18" s="1"/>
  <c r="B86" i="8"/>
  <c r="E86" i="8" s="1"/>
  <c r="H85" i="8"/>
  <c r="F85" i="8"/>
  <c r="G85" i="8" s="1"/>
  <c r="C85" i="8"/>
  <c r="D85" i="8"/>
  <c r="F84" i="39"/>
  <c r="G84" i="39" s="1"/>
  <c r="B85" i="39"/>
  <c r="E85" i="39" s="1"/>
  <c r="H84" i="39"/>
  <c r="C84" i="39"/>
  <c r="D84" i="39"/>
  <c r="E84" i="17"/>
  <c r="O81" i="26"/>
  <c r="P81" i="26" s="1"/>
  <c r="Q81" i="26" s="1"/>
  <c r="K83" i="18" l="1"/>
  <c r="L83" i="18" s="1"/>
  <c r="M83" i="18" s="1"/>
  <c r="K83" i="19"/>
  <c r="L83" i="19" s="1"/>
  <c r="M83" i="19" s="1"/>
  <c r="K83" i="39"/>
  <c r="L83" i="39" s="1"/>
  <c r="M83" i="39" s="1"/>
  <c r="J83" i="41"/>
  <c r="K83" i="41" s="1"/>
  <c r="L83" i="41" s="1"/>
  <c r="M83" i="41" s="1"/>
  <c r="J83" i="40"/>
  <c r="K83" i="40" s="1"/>
  <c r="L83" i="40" s="1"/>
  <c r="M83" i="40" s="1"/>
  <c r="G84" i="17"/>
  <c r="K85" i="4"/>
  <c r="L85" i="4" s="1"/>
  <c r="M85" i="4" s="1"/>
  <c r="I84" i="40"/>
  <c r="J84" i="40" s="1"/>
  <c r="I84" i="41"/>
  <c r="G86" i="26"/>
  <c r="J86" i="26"/>
  <c r="G87" i="26"/>
  <c r="H87" i="26"/>
  <c r="I87" i="26" s="1"/>
  <c r="D87" i="26"/>
  <c r="B88" i="26"/>
  <c r="C87" i="26"/>
  <c r="F87" i="26"/>
  <c r="J87" i="26" s="1"/>
  <c r="G86" i="25"/>
  <c r="F86" i="25"/>
  <c r="J86" i="25" s="1"/>
  <c r="B87" i="25"/>
  <c r="E87" i="25" s="1"/>
  <c r="H86" i="25"/>
  <c r="I86" i="25" s="1"/>
  <c r="D86" i="25"/>
  <c r="C86" i="25"/>
  <c r="G85" i="25"/>
  <c r="J85" i="25"/>
  <c r="O85" i="25" s="1"/>
  <c r="P85" i="25" s="1"/>
  <c r="Q85" i="25" s="1"/>
  <c r="I84" i="19"/>
  <c r="G84" i="19"/>
  <c r="I84" i="39"/>
  <c r="J84" i="39" s="1"/>
  <c r="K84" i="39" s="1"/>
  <c r="L84" i="39" s="1"/>
  <c r="I84" i="42"/>
  <c r="J84" i="42" s="1"/>
  <c r="K84" i="42" s="1"/>
  <c r="L84" i="42" s="1"/>
  <c r="M84" i="42" s="1"/>
  <c r="I86" i="9"/>
  <c r="J86" i="9" s="1"/>
  <c r="K86" i="9" s="1"/>
  <c r="L86" i="9" s="1"/>
  <c r="M86" i="9" s="1"/>
  <c r="I84" i="18"/>
  <c r="J84" i="18" s="1"/>
  <c r="K84" i="18" s="1"/>
  <c r="L84" i="18" s="1"/>
  <c r="I86" i="4"/>
  <c r="J86" i="4" s="1"/>
  <c r="K86" i="4" s="1"/>
  <c r="L86" i="4" s="1"/>
  <c r="F85" i="42"/>
  <c r="B86" i="42"/>
  <c r="E86" i="42" s="1"/>
  <c r="H85" i="42"/>
  <c r="D85" i="42"/>
  <c r="C85" i="42"/>
  <c r="F85" i="17"/>
  <c r="B86" i="17"/>
  <c r="E86" i="17" s="1"/>
  <c r="H85" i="17"/>
  <c r="C85" i="17"/>
  <c r="D85" i="17"/>
  <c r="F85" i="41"/>
  <c r="B86" i="41"/>
  <c r="E86" i="41" s="1"/>
  <c r="H85" i="41"/>
  <c r="C85" i="41"/>
  <c r="D85" i="41"/>
  <c r="F85" i="39"/>
  <c r="G85" i="39" s="1"/>
  <c r="B86" i="39"/>
  <c r="H85" i="39"/>
  <c r="C85" i="39"/>
  <c r="D85" i="39"/>
  <c r="I85" i="8"/>
  <c r="J85" i="8" s="1"/>
  <c r="K85" i="8" s="1"/>
  <c r="L85" i="8" s="1"/>
  <c r="M85" i="8" s="1"/>
  <c r="F85" i="40"/>
  <c r="G85" i="40" s="1"/>
  <c r="B86" i="40"/>
  <c r="E86" i="40" s="1"/>
  <c r="H85" i="40"/>
  <c r="C85" i="40"/>
  <c r="D85" i="40"/>
  <c r="H85" i="19"/>
  <c r="F85" i="19"/>
  <c r="G85" i="19" s="1"/>
  <c r="B86" i="19"/>
  <c r="E86" i="19" s="1"/>
  <c r="D85" i="19"/>
  <c r="C85" i="19"/>
  <c r="B88" i="9"/>
  <c r="E88" i="9" s="1"/>
  <c r="H87" i="9"/>
  <c r="F87" i="9"/>
  <c r="G87" i="9" s="1"/>
  <c r="D87" i="9"/>
  <c r="C87" i="9"/>
  <c r="F85" i="18"/>
  <c r="G85" i="18" s="1"/>
  <c r="B86" i="18"/>
  <c r="E86" i="18" s="1"/>
  <c r="H85" i="18"/>
  <c r="C85" i="18"/>
  <c r="D85" i="18"/>
  <c r="H86" i="8"/>
  <c r="F86" i="8"/>
  <c r="G86" i="8" s="1"/>
  <c r="B87" i="8"/>
  <c r="E87" i="8" s="1"/>
  <c r="C86" i="8"/>
  <c r="D86" i="8"/>
  <c r="G84" i="41"/>
  <c r="E85" i="42"/>
  <c r="B88" i="4"/>
  <c r="H87" i="4"/>
  <c r="F87" i="4"/>
  <c r="G87" i="4" s="1"/>
  <c r="D87" i="4"/>
  <c r="C87" i="4"/>
  <c r="I84" i="17"/>
  <c r="E85" i="17"/>
  <c r="E85" i="41"/>
  <c r="O82" i="26"/>
  <c r="P82" i="26" s="1"/>
  <c r="Q82" i="26" s="1"/>
  <c r="M84" i="39" l="1"/>
  <c r="M84" i="18"/>
  <c r="K84" i="40"/>
  <c r="L84" i="40" s="1"/>
  <c r="M84" i="40" s="1"/>
  <c r="J84" i="17"/>
  <c r="K84" i="17" s="1"/>
  <c r="L84" i="17" s="1"/>
  <c r="M84" i="17" s="1"/>
  <c r="M86" i="4"/>
  <c r="G85" i="41"/>
  <c r="J84" i="41"/>
  <c r="K84" i="41" s="1"/>
  <c r="L84" i="41" s="1"/>
  <c r="M84" i="41" s="1"/>
  <c r="J84" i="19"/>
  <c r="K84" i="19" s="1"/>
  <c r="L84" i="19" s="1"/>
  <c r="M84" i="19" s="1"/>
  <c r="G85" i="17"/>
  <c r="I85" i="17"/>
  <c r="B89" i="26"/>
  <c r="E89" i="26" s="1"/>
  <c r="C88" i="26"/>
  <c r="F88" i="26"/>
  <c r="D88" i="26"/>
  <c r="H88" i="26"/>
  <c r="I88" i="26" s="1"/>
  <c r="E88" i="26"/>
  <c r="O86" i="25"/>
  <c r="P86" i="25" s="1"/>
  <c r="Q86" i="25" s="1"/>
  <c r="G87" i="25"/>
  <c r="C87" i="25"/>
  <c r="F87" i="25"/>
  <c r="J87" i="25" s="1"/>
  <c r="B88" i="25"/>
  <c r="E88" i="25" s="1"/>
  <c r="H87" i="25"/>
  <c r="I87" i="25" s="1"/>
  <c r="D87" i="25"/>
  <c r="G85" i="42"/>
  <c r="I87" i="4"/>
  <c r="J87" i="4" s="1"/>
  <c r="K87" i="4" s="1"/>
  <c r="L87" i="4" s="1"/>
  <c r="M87" i="4" s="1"/>
  <c r="I87" i="9"/>
  <c r="J87" i="9" s="1"/>
  <c r="K87" i="9" s="1"/>
  <c r="L87" i="9" s="1"/>
  <c r="M87" i="9" s="1"/>
  <c r="I86" i="8"/>
  <c r="J86" i="8" s="1"/>
  <c r="K86" i="8" s="1"/>
  <c r="L86" i="8" s="1"/>
  <c r="M86" i="8" s="1"/>
  <c r="I85" i="40"/>
  <c r="J85" i="40" s="1"/>
  <c r="K85" i="40" s="1"/>
  <c r="L85" i="40" s="1"/>
  <c r="I85" i="39"/>
  <c r="J85" i="39" s="1"/>
  <c r="K85" i="39" s="1"/>
  <c r="L85" i="39" s="1"/>
  <c r="M85" i="39" s="1"/>
  <c r="H88" i="4"/>
  <c r="F88" i="4"/>
  <c r="B89" i="4"/>
  <c r="E89" i="4" s="1"/>
  <c r="C88" i="4"/>
  <c r="D88" i="4"/>
  <c r="B87" i="39"/>
  <c r="H86" i="39"/>
  <c r="F86" i="39"/>
  <c r="D86" i="39"/>
  <c r="C86" i="39"/>
  <c r="B87" i="18"/>
  <c r="H86" i="18"/>
  <c r="F86" i="18"/>
  <c r="G86" i="18" s="1"/>
  <c r="D86" i="18"/>
  <c r="C86" i="18"/>
  <c r="F86" i="19"/>
  <c r="G86" i="19" s="1"/>
  <c r="B87" i="19"/>
  <c r="E87" i="19" s="1"/>
  <c r="H86" i="19"/>
  <c r="C86" i="19"/>
  <c r="D86" i="19"/>
  <c r="I85" i="41"/>
  <c r="B87" i="42"/>
  <c r="E87" i="42" s="1"/>
  <c r="H86" i="42"/>
  <c r="F86" i="42"/>
  <c r="G86" i="42" s="1"/>
  <c r="C86" i="42"/>
  <c r="D86" i="42"/>
  <c r="E86" i="39"/>
  <c r="F86" i="17"/>
  <c r="G86" i="17" s="1"/>
  <c r="B87" i="17"/>
  <c r="H86" i="17"/>
  <c r="D86" i="17"/>
  <c r="C86" i="17"/>
  <c r="I85" i="42"/>
  <c r="E88" i="4"/>
  <c r="H88" i="9"/>
  <c r="F88" i="9"/>
  <c r="G88" i="9" s="1"/>
  <c r="B89" i="9"/>
  <c r="E89" i="9" s="1"/>
  <c r="D88" i="9"/>
  <c r="C88" i="9"/>
  <c r="F86" i="40"/>
  <c r="G86" i="40" s="1"/>
  <c r="B87" i="40"/>
  <c r="E87" i="40" s="1"/>
  <c r="H86" i="40"/>
  <c r="C86" i="40"/>
  <c r="D86" i="40"/>
  <c r="F87" i="8"/>
  <c r="G87" i="8" s="1"/>
  <c r="B88" i="8"/>
  <c r="H87" i="8"/>
  <c r="D87" i="8"/>
  <c r="C87" i="8"/>
  <c r="I85" i="18"/>
  <c r="J85" i="18" s="1"/>
  <c r="K85" i="18" s="1"/>
  <c r="L85" i="18" s="1"/>
  <c r="M85" i="18" s="1"/>
  <c r="I85" i="19"/>
  <c r="J85" i="19" s="1"/>
  <c r="B87" i="41"/>
  <c r="E87" i="41" s="1"/>
  <c r="H86" i="41"/>
  <c r="F86" i="41"/>
  <c r="G86" i="41" s="1"/>
  <c r="C86" i="41"/>
  <c r="D86" i="41"/>
  <c r="O83" i="26"/>
  <c r="P83" i="26" s="1"/>
  <c r="Q83" i="26" s="1"/>
  <c r="J85" i="41" l="1"/>
  <c r="M85" i="40"/>
  <c r="J85" i="17"/>
  <c r="K85" i="17" s="1"/>
  <c r="L85" i="17" s="1"/>
  <c r="M85" i="17" s="1"/>
  <c r="J85" i="42"/>
  <c r="K85" i="42" s="1"/>
  <c r="L85" i="42" s="1"/>
  <c r="M85" i="42" s="1"/>
  <c r="K85" i="19"/>
  <c r="L85" i="19" s="1"/>
  <c r="M85" i="19" s="1"/>
  <c r="K85" i="41"/>
  <c r="L85" i="41" s="1"/>
  <c r="M85" i="41" s="1"/>
  <c r="G89" i="26"/>
  <c r="G88" i="26"/>
  <c r="J88" i="26"/>
  <c r="F89" i="26"/>
  <c r="J89" i="26" s="1"/>
  <c r="D89" i="26"/>
  <c r="B90" i="26"/>
  <c r="C89" i="26"/>
  <c r="H89" i="26"/>
  <c r="I89" i="26" s="1"/>
  <c r="G88" i="25"/>
  <c r="H88" i="25"/>
  <c r="I88" i="25" s="1"/>
  <c r="D88" i="25"/>
  <c r="C88" i="25"/>
  <c r="F88" i="25"/>
  <c r="J88" i="25" s="1"/>
  <c r="B89" i="25"/>
  <c r="E89" i="25" s="1"/>
  <c r="O87" i="25"/>
  <c r="P87" i="25" s="1"/>
  <c r="Q87" i="25" s="1"/>
  <c r="G88" i="4"/>
  <c r="I88" i="4"/>
  <c r="I86" i="41"/>
  <c r="J86" i="41" s="1"/>
  <c r="K86" i="41" s="1"/>
  <c r="L86" i="41" s="1"/>
  <c r="I86" i="40"/>
  <c r="J86" i="40" s="1"/>
  <c r="K86" i="40" s="1"/>
  <c r="L86" i="40" s="1"/>
  <c r="M86" i="40" s="1"/>
  <c r="I86" i="19"/>
  <c r="J86" i="19" s="1"/>
  <c r="K86" i="19" s="1"/>
  <c r="L86" i="19" s="1"/>
  <c r="I86" i="18"/>
  <c r="J86" i="18" s="1"/>
  <c r="K86" i="18" s="1"/>
  <c r="L86" i="18" s="1"/>
  <c r="M86" i="18" s="1"/>
  <c r="I86" i="39"/>
  <c r="I88" i="9"/>
  <c r="J88" i="9" s="1"/>
  <c r="K88" i="9" s="1"/>
  <c r="L88" i="9" s="1"/>
  <c r="M88" i="9" s="1"/>
  <c r="I86" i="17"/>
  <c r="J86" i="17" s="1"/>
  <c r="H87" i="41"/>
  <c r="F87" i="41"/>
  <c r="G87" i="41" s="1"/>
  <c r="B88" i="41"/>
  <c r="E88" i="41" s="1"/>
  <c r="C87" i="41"/>
  <c r="D87" i="41"/>
  <c r="B88" i="17"/>
  <c r="E88" i="17" s="1"/>
  <c r="H87" i="17"/>
  <c r="F87" i="17"/>
  <c r="D87" i="17"/>
  <c r="C87" i="17"/>
  <c r="H87" i="18"/>
  <c r="F87" i="18"/>
  <c r="B88" i="18"/>
  <c r="E88" i="18" s="1"/>
  <c r="D87" i="18"/>
  <c r="C87" i="18"/>
  <c r="H87" i="39"/>
  <c r="F87" i="39"/>
  <c r="B88" i="39"/>
  <c r="E88" i="39" s="1"/>
  <c r="C87" i="39"/>
  <c r="D87" i="39"/>
  <c r="I87" i="8"/>
  <c r="J87" i="8" s="1"/>
  <c r="K87" i="8" s="1"/>
  <c r="L87" i="8" s="1"/>
  <c r="M87" i="8" s="1"/>
  <c r="B88" i="40"/>
  <c r="E88" i="40" s="1"/>
  <c r="H87" i="40"/>
  <c r="F87" i="40"/>
  <c r="G87" i="40" s="1"/>
  <c r="C87" i="40"/>
  <c r="D87" i="40"/>
  <c r="E87" i="17"/>
  <c r="E87" i="18"/>
  <c r="E87" i="39"/>
  <c r="F89" i="4"/>
  <c r="G89" i="4" s="1"/>
  <c r="B90" i="4"/>
  <c r="E90" i="4" s="1"/>
  <c r="H89" i="4"/>
  <c r="C89" i="4"/>
  <c r="D89" i="4"/>
  <c r="F88" i="8"/>
  <c r="B89" i="8"/>
  <c r="E89" i="8" s="1"/>
  <c r="H88" i="8"/>
  <c r="D88" i="8"/>
  <c r="C88" i="8"/>
  <c r="E88" i="8"/>
  <c r="F89" i="9"/>
  <c r="G89" i="9" s="1"/>
  <c r="B90" i="9"/>
  <c r="E90" i="9" s="1"/>
  <c r="H89" i="9"/>
  <c r="C89" i="9"/>
  <c r="D89" i="9"/>
  <c r="G86" i="39"/>
  <c r="I86" i="42"/>
  <c r="J86" i="42" s="1"/>
  <c r="H87" i="42"/>
  <c r="B88" i="42"/>
  <c r="F87" i="42"/>
  <c r="G87" i="42" s="1"/>
  <c r="C87" i="42"/>
  <c r="D87" i="42"/>
  <c r="F87" i="19"/>
  <c r="G87" i="19" s="1"/>
  <c r="B88" i="19"/>
  <c r="H87" i="19"/>
  <c r="C87" i="19"/>
  <c r="D87" i="19"/>
  <c r="O84" i="26"/>
  <c r="P84" i="26" s="1"/>
  <c r="Q84" i="26" s="1"/>
  <c r="K86" i="42" l="1"/>
  <c r="L86" i="42" s="1"/>
  <c r="M86" i="42" s="1"/>
  <c r="K86" i="17"/>
  <c r="L86" i="17" s="1"/>
  <c r="M86" i="17" s="1"/>
  <c r="G87" i="18"/>
  <c r="J86" i="39"/>
  <c r="K86" i="39" s="1"/>
  <c r="L86" i="39" s="1"/>
  <c r="M86" i="39" s="1"/>
  <c r="J88" i="4"/>
  <c r="K88" i="4" s="1"/>
  <c r="L88" i="4" s="1"/>
  <c r="M88" i="4" s="1"/>
  <c r="M86" i="19"/>
  <c r="G87" i="39"/>
  <c r="M86" i="41"/>
  <c r="H90" i="26"/>
  <c r="I90" i="26" s="1"/>
  <c r="D90" i="26"/>
  <c r="B91" i="26"/>
  <c r="C90" i="26"/>
  <c r="F90" i="26"/>
  <c r="E90" i="26"/>
  <c r="O88" i="25"/>
  <c r="P88" i="25" s="1"/>
  <c r="Q88" i="25" s="1"/>
  <c r="B90" i="25"/>
  <c r="E90" i="25" s="1"/>
  <c r="H89" i="25"/>
  <c r="I89" i="25" s="1"/>
  <c r="D89" i="25"/>
  <c r="C89" i="25"/>
  <c r="F89" i="25"/>
  <c r="J89" i="25" s="1"/>
  <c r="G89" i="25"/>
  <c r="I87" i="17"/>
  <c r="G87" i="17"/>
  <c r="I87" i="18"/>
  <c r="G88" i="8"/>
  <c r="I87" i="39"/>
  <c r="I87" i="42"/>
  <c r="J87" i="42" s="1"/>
  <c r="K87" i="42" s="1"/>
  <c r="L87" i="42" s="1"/>
  <c r="I89" i="4"/>
  <c r="J89" i="4" s="1"/>
  <c r="I87" i="41"/>
  <c r="J87" i="41" s="1"/>
  <c r="K87" i="41" s="1"/>
  <c r="L87" i="41" s="1"/>
  <c r="M87" i="41" s="1"/>
  <c r="B89" i="42"/>
  <c r="E89" i="42" s="1"/>
  <c r="H88" i="42"/>
  <c r="F88" i="42"/>
  <c r="C88" i="42"/>
  <c r="D88" i="42"/>
  <c r="F90" i="9"/>
  <c r="G90" i="9" s="1"/>
  <c r="B91" i="9"/>
  <c r="E91" i="9" s="1"/>
  <c r="H90" i="9"/>
  <c r="C90" i="9"/>
  <c r="D90" i="9"/>
  <c r="I88" i="8"/>
  <c r="F88" i="39"/>
  <c r="G88" i="39" s="1"/>
  <c r="B89" i="39"/>
  <c r="E89" i="39" s="1"/>
  <c r="H88" i="39"/>
  <c r="C88" i="39"/>
  <c r="D88" i="39"/>
  <c r="B89" i="19"/>
  <c r="E89" i="19" s="1"/>
  <c r="H88" i="19"/>
  <c r="F88" i="19"/>
  <c r="D88" i="19"/>
  <c r="C88" i="19"/>
  <c r="I87" i="19"/>
  <c r="J87" i="19" s="1"/>
  <c r="K87" i="19" s="1"/>
  <c r="L87" i="19" s="1"/>
  <c r="M87" i="19" s="1"/>
  <c r="E88" i="19"/>
  <c r="E88" i="42"/>
  <c r="F90" i="4"/>
  <c r="G90" i="4" s="1"/>
  <c r="B91" i="4"/>
  <c r="H90" i="4"/>
  <c r="D90" i="4"/>
  <c r="C90" i="4"/>
  <c r="I87" i="40"/>
  <c r="J87" i="40" s="1"/>
  <c r="K87" i="40" s="1"/>
  <c r="L87" i="40" s="1"/>
  <c r="M87" i="40" s="1"/>
  <c r="H88" i="40"/>
  <c r="F88" i="40"/>
  <c r="G88" i="40" s="1"/>
  <c r="B89" i="40"/>
  <c r="E89" i="40" s="1"/>
  <c r="D88" i="40"/>
  <c r="C88" i="40"/>
  <c r="I89" i="9"/>
  <c r="J89" i="9" s="1"/>
  <c r="K89" i="9" s="1"/>
  <c r="L89" i="9" s="1"/>
  <c r="M89" i="9" s="1"/>
  <c r="F88" i="18"/>
  <c r="G88" i="18" s="1"/>
  <c r="B89" i="18"/>
  <c r="H88" i="18"/>
  <c r="D88" i="18"/>
  <c r="C88" i="18"/>
  <c r="B90" i="8"/>
  <c r="E90" i="8" s="1"/>
  <c r="H89" i="8"/>
  <c r="F89" i="8"/>
  <c r="G89" i="8" s="1"/>
  <c r="C89" i="8"/>
  <c r="D89" i="8"/>
  <c r="H88" i="17"/>
  <c r="F88" i="17"/>
  <c r="G88" i="17" s="1"/>
  <c r="B89" i="17"/>
  <c r="E89" i="17" s="1"/>
  <c r="D88" i="17"/>
  <c r="C88" i="17"/>
  <c r="H88" i="41"/>
  <c r="B89" i="41"/>
  <c r="F88" i="41"/>
  <c r="G88" i="41" s="1"/>
  <c r="D88" i="41"/>
  <c r="C88" i="41"/>
  <c r="O85" i="26"/>
  <c r="P85" i="26" s="1"/>
  <c r="Q85" i="26" s="1"/>
  <c r="J87" i="18" l="1"/>
  <c r="K87" i="18" s="1"/>
  <c r="L87" i="18" s="1"/>
  <c r="M87" i="18" s="1"/>
  <c r="M87" i="42"/>
  <c r="J87" i="39"/>
  <c r="K87" i="39" s="1"/>
  <c r="L87" i="39" s="1"/>
  <c r="M87" i="39" s="1"/>
  <c r="J88" i="8"/>
  <c r="K88" i="8" s="1"/>
  <c r="L88" i="8" s="1"/>
  <c r="M88" i="8" s="1"/>
  <c r="K89" i="4"/>
  <c r="L89" i="4" s="1"/>
  <c r="M89" i="4" s="1"/>
  <c r="J87" i="17"/>
  <c r="K87" i="17" s="1"/>
  <c r="L87" i="17" s="1"/>
  <c r="M87" i="17" s="1"/>
  <c r="G88" i="42"/>
  <c r="B92" i="26"/>
  <c r="E92" i="26" s="1"/>
  <c r="D91" i="26"/>
  <c r="C91" i="26"/>
  <c r="H91" i="26"/>
  <c r="I91" i="26" s="1"/>
  <c r="F91" i="26"/>
  <c r="J90" i="26"/>
  <c r="G90" i="26"/>
  <c r="E91" i="26"/>
  <c r="G90" i="25"/>
  <c r="O89" i="25"/>
  <c r="P89" i="25" s="1"/>
  <c r="Q89" i="25" s="1"/>
  <c r="F90" i="25"/>
  <c r="J90" i="25" s="1"/>
  <c r="B91" i="25"/>
  <c r="E91" i="25" s="1"/>
  <c r="H90" i="25"/>
  <c r="I90" i="25" s="1"/>
  <c r="D90" i="25"/>
  <c r="C90" i="25"/>
  <c r="G88" i="19"/>
  <c r="I88" i="41"/>
  <c r="J88" i="41" s="1"/>
  <c r="K88" i="41" s="1"/>
  <c r="L88" i="41" s="1"/>
  <c r="M88" i="41" s="1"/>
  <c r="I88" i="17"/>
  <c r="J88" i="17" s="1"/>
  <c r="I88" i="19"/>
  <c r="I90" i="9"/>
  <c r="J90" i="9" s="1"/>
  <c r="K90" i="9" s="1"/>
  <c r="L90" i="9" s="1"/>
  <c r="M90" i="9" s="1"/>
  <c r="I88" i="39"/>
  <c r="J88" i="39" s="1"/>
  <c r="I88" i="42"/>
  <c r="I88" i="40"/>
  <c r="J88" i="40" s="1"/>
  <c r="K88" i="40" s="1"/>
  <c r="L88" i="40" s="1"/>
  <c r="M88" i="40" s="1"/>
  <c r="F89" i="41"/>
  <c r="H89" i="41"/>
  <c r="B90" i="41"/>
  <c r="E90" i="41" s="1"/>
  <c r="D89" i="41"/>
  <c r="C89" i="41"/>
  <c r="F89" i="18"/>
  <c r="B90" i="18"/>
  <c r="E90" i="18" s="1"/>
  <c r="H89" i="18"/>
  <c r="C89" i="18"/>
  <c r="D89" i="18"/>
  <c r="B92" i="4"/>
  <c r="H91" i="4"/>
  <c r="F91" i="4"/>
  <c r="D91" i="4"/>
  <c r="C91" i="4"/>
  <c r="F89" i="17"/>
  <c r="G89" i="17" s="1"/>
  <c r="B90" i="17"/>
  <c r="H89" i="17"/>
  <c r="C89" i="17"/>
  <c r="D89" i="17"/>
  <c r="I88" i="18"/>
  <c r="J88" i="18" s="1"/>
  <c r="I90" i="4"/>
  <c r="J90" i="4" s="1"/>
  <c r="K90" i="4" s="1"/>
  <c r="L90" i="4" s="1"/>
  <c r="F89" i="40"/>
  <c r="G89" i="40" s="1"/>
  <c r="B90" i="40"/>
  <c r="H89" i="40"/>
  <c r="D89" i="40"/>
  <c r="C89" i="40"/>
  <c r="E89" i="41"/>
  <c r="I89" i="8"/>
  <c r="J89" i="8" s="1"/>
  <c r="H90" i="8"/>
  <c r="F90" i="8"/>
  <c r="G90" i="8" s="1"/>
  <c r="B91" i="8"/>
  <c r="E91" i="8" s="1"/>
  <c r="C90" i="8"/>
  <c r="D90" i="8"/>
  <c r="E89" i="18"/>
  <c r="E91" i="4"/>
  <c r="H89" i="19"/>
  <c r="F89" i="19"/>
  <c r="G89" i="19" s="1"/>
  <c r="B90" i="19"/>
  <c r="D89" i="19"/>
  <c r="C89" i="19"/>
  <c r="F89" i="42"/>
  <c r="G89" i="42" s="1"/>
  <c r="B90" i="42"/>
  <c r="H89" i="42"/>
  <c r="D89" i="42"/>
  <c r="C89" i="42"/>
  <c r="F89" i="39"/>
  <c r="G89" i="39" s="1"/>
  <c r="B90" i="39"/>
  <c r="E90" i="39" s="1"/>
  <c r="H89" i="39"/>
  <c r="C89" i="39"/>
  <c r="D89" i="39"/>
  <c r="B92" i="9"/>
  <c r="E92" i="9" s="1"/>
  <c r="H91" i="9"/>
  <c r="F91" i="9"/>
  <c r="G91" i="9" s="1"/>
  <c r="D91" i="9"/>
  <c r="C91" i="9"/>
  <c r="O86" i="26"/>
  <c r="P86" i="26" s="1"/>
  <c r="Q86" i="26" s="1"/>
  <c r="K88" i="18" l="1"/>
  <c r="L88" i="18" s="1"/>
  <c r="M88" i="18" s="1"/>
  <c r="K88" i="39"/>
  <c r="L88" i="39" s="1"/>
  <c r="M88" i="39" s="1"/>
  <c r="M90" i="4"/>
  <c r="K89" i="8"/>
  <c r="L89" i="8" s="1"/>
  <c r="M89" i="8" s="1"/>
  <c r="J88" i="42"/>
  <c r="K88" i="42" s="1"/>
  <c r="L88" i="42" s="1"/>
  <c r="M88" i="42" s="1"/>
  <c r="J88" i="19"/>
  <c r="K88" i="19" s="1"/>
  <c r="L88" i="19" s="1"/>
  <c r="M88" i="19" s="1"/>
  <c r="K88" i="17"/>
  <c r="L88" i="17" s="1"/>
  <c r="M88" i="17" s="1"/>
  <c r="G92" i="26"/>
  <c r="G89" i="18"/>
  <c r="G91" i="26"/>
  <c r="J91" i="26"/>
  <c r="F92" i="26"/>
  <c r="J92" i="26" s="1"/>
  <c r="H92" i="26"/>
  <c r="I92" i="26" s="1"/>
  <c r="D92" i="26"/>
  <c r="B93" i="26"/>
  <c r="C92" i="26"/>
  <c r="G91" i="25"/>
  <c r="O90" i="25"/>
  <c r="P90" i="25" s="1"/>
  <c r="Q90" i="25" s="1"/>
  <c r="C91" i="25"/>
  <c r="F91" i="25"/>
  <c r="J91" i="25" s="1"/>
  <c r="B92" i="25"/>
  <c r="E92" i="25" s="1"/>
  <c r="H91" i="25"/>
  <c r="I91" i="25" s="1"/>
  <c r="D91" i="25"/>
  <c r="I89" i="19"/>
  <c r="J89" i="19" s="1"/>
  <c r="I89" i="39"/>
  <c r="J89" i="39" s="1"/>
  <c r="K89" i="39" s="1"/>
  <c r="L89" i="39" s="1"/>
  <c r="G89" i="41"/>
  <c r="I91" i="9"/>
  <c r="J91" i="9" s="1"/>
  <c r="K91" i="9" s="1"/>
  <c r="L91" i="9" s="1"/>
  <c r="M91" i="9" s="1"/>
  <c r="I90" i="8"/>
  <c r="J90" i="8" s="1"/>
  <c r="K90" i="8" s="1"/>
  <c r="L90" i="8" s="1"/>
  <c r="G91" i="4"/>
  <c r="I91" i="4"/>
  <c r="B91" i="42"/>
  <c r="F90" i="42"/>
  <c r="H90" i="42"/>
  <c r="C90" i="42"/>
  <c r="D90" i="42"/>
  <c r="F90" i="40"/>
  <c r="B91" i="40"/>
  <c r="H90" i="40"/>
  <c r="C90" i="40"/>
  <c r="D90" i="40"/>
  <c r="F90" i="17"/>
  <c r="B91" i="17"/>
  <c r="E91" i="17" s="1"/>
  <c r="H90" i="17"/>
  <c r="D90" i="17"/>
  <c r="C90" i="17"/>
  <c r="B93" i="4"/>
  <c r="E93" i="4" s="1"/>
  <c r="H92" i="4"/>
  <c r="F92" i="4"/>
  <c r="D92" i="4"/>
  <c r="C92" i="4"/>
  <c r="I89" i="18"/>
  <c r="B91" i="41"/>
  <c r="E91" i="41" s="1"/>
  <c r="F90" i="41"/>
  <c r="G90" i="41" s="1"/>
  <c r="H90" i="41"/>
  <c r="D90" i="41"/>
  <c r="C90" i="41"/>
  <c r="B91" i="39"/>
  <c r="H90" i="39"/>
  <c r="F90" i="39"/>
  <c r="G90" i="39" s="1"/>
  <c r="C90" i="39"/>
  <c r="D90" i="39"/>
  <c r="I89" i="42"/>
  <c r="J89" i="42" s="1"/>
  <c r="F90" i="19"/>
  <c r="B91" i="19"/>
  <c r="H90" i="19"/>
  <c r="C90" i="19"/>
  <c r="D90" i="19"/>
  <c r="B93" i="9"/>
  <c r="H92" i="9"/>
  <c r="F92" i="9"/>
  <c r="G92" i="9" s="1"/>
  <c r="C92" i="9"/>
  <c r="D92" i="9"/>
  <c r="E90" i="19"/>
  <c r="I89" i="40"/>
  <c r="J89" i="40" s="1"/>
  <c r="K89" i="40" s="1"/>
  <c r="L89" i="40" s="1"/>
  <c r="M89" i="40" s="1"/>
  <c r="E90" i="42"/>
  <c r="E90" i="40"/>
  <c r="I89" i="17"/>
  <c r="J89" i="17" s="1"/>
  <c r="K89" i="17" s="1"/>
  <c r="L89" i="17" s="1"/>
  <c r="E90" i="17"/>
  <c r="E92" i="4"/>
  <c r="B91" i="18"/>
  <c r="E91" i="18" s="1"/>
  <c r="H90" i="18"/>
  <c r="F90" i="18"/>
  <c r="G90" i="18" s="1"/>
  <c r="D90" i="18"/>
  <c r="C90" i="18"/>
  <c r="I89" i="41"/>
  <c r="F91" i="8"/>
  <c r="G91" i="8" s="1"/>
  <c r="B92" i="8"/>
  <c r="E92" i="8" s="1"/>
  <c r="H91" i="8"/>
  <c r="D91" i="8"/>
  <c r="C91" i="8"/>
  <c r="O87" i="26"/>
  <c r="P87" i="26" s="1"/>
  <c r="Q87" i="26" s="1"/>
  <c r="G90" i="40" l="1"/>
  <c r="M89" i="39"/>
  <c r="M90" i="8"/>
  <c r="K89" i="42"/>
  <c r="L89" i="42" s="1"/>
  <c r="M89" i="42" s="1"/>
  <c r="K89" i="19"/>
  <c r="L89" i="19" s="1"/>
  <c r="M89" i="19" s="1"/>
  <c r="J89" i="18"/>
  <c r="K89" i="18" s="1"/>
  <c r="L89" i="18" s="1"/>
  <c r="M89" i="18" s="1"/>
  <c r="J89" i="41"/>
  <c r="K89" i="41" s="1"/>
  <c r="L89" i="41" s="1"/>
  <c r="M89" i="41" s="1"/>
  <c r="M89" i="17"/>
  <c r="G90" i="17"/>
  <c r="J91" i="4"/>
  <c r="K91" i="4" s="1"/>
  <c r="L91" i="4" s="1"/>
  <c r="M91" i="4" s="1"/>
  <c r="G90" i="42"/>
  <c r="B94" i="26"/>
  <c r="E94" i="26" s="1"/>
  <c r="C93" i="26"/>
  <c r="H93" i="26"/>
  <c r="I93" i="26" s="1"/>
  <c r="F93" i="26"/>
  <c r="D93" i="26"/>
  <c r="E93" i="26"/>
  <c r="O91" i="25"/>
  <c r="P91" i="25" s="1"/>
  <c r="Q91" i="25" s="1"/>
  <c r="G92" i="25"/>
  <c r="H92" i="25"/>
  <c r="I92" i="25" s="1"/>
  <c r="D92" i="25"/>
  <c r="C92" i="25"/>
  <c r="F92" i="25"/>
  <c r="J92" i="25" s="1"/>
  <c r="B93" i="25"/>
  <c r="E93" i="25" s="1"/>
  <c r="I90" i="17"/>
  <c r="G90" i="19"/>
  <c r="I90" i="18"/>
  <c r="J90" i="18" s="1"/>
  <c r="I90" i="39"/>
  <c r="J90" i="39" s="1"/>
  <c r="K90" i="39" s="1"/>
  <c r="L90" i="39" s="1"/>
  <c r="M90" i="39" s="1"/>
  <c r="I90" i="41"/>
  <c r="J90" i="41" s="1"/>
  <c r="G92" i="4"/>
  <c r="I91" i="8"/>
  <c r="J91" i="8" s="1"/>
  <c r="K91" i="8" s="1"/>
  <c r="L91" i="8" s="1"/>
  <c r="M91" i="8" s="1"/>
  <c r="I92" i="9"/>
  <c r="J92" i="9" s="1"/>
  <c r="K92" i="9" s="1"/>
  <c r="L92" i="9" s="1"/>
  <c r="M92" i="9" s="1"/>
  <c r="I90" i="42"/>
  <c r="H91" i="39"/>
  <c r="F91" i="39"/>
  <c r="B92" i="39"/>
  <c r="E92" i="39" s="1"/>
  <c r="C91" i="39"/>
  <c r="D91" i="39"/>
  <c r="B92" i="40"/>
  <c r="H91" i="40"/>
  <c r="F91" i="40"/>
  <c r="C91" i="40"/>
  <c r="D91" i="40"/>
  <c r="H91" i="42"/>
  <c r="F91" i="42"/>
  <c r="B92" i="42"/>
  <c r="E92" i="42" s="1"/>
  <c r="C91" i="42"/>
  <c r="D91" i="42"/>
  <c r="H93" i="9"/>
  <c r="F93" i="9"/>
  <c r="B94" i="9"/>
  <c r="D93" i="9"/>
  <c r="C93" i="9"/>
  <c r="F91" i="19"/>
  <c r="B92" i="19"/>
  <c r="E92" i="19" s="1"/>
  <c r="H91" i="19"/>
  <c r="D91" i="19"/>
  <c r="C91" i="19"/>
  <c r="E93" i="9"/>
  <c r="E91" i="39"/>
  <c r="I92" i="4"/>
  <c r="H93" i="4"/>
  <c r="F93" i="4"/>
  <c r="G93" i="4" s="1"/>
  <c r="B94" i="4"/>
  <c r="E94" i="4" s="1"/>
  <c r="D93" i="4"/>
  <c r="C93" i="4"/>
  <c r="B92" i="17"/>
  <c r="E92" i="17" s="1"/>
  <c r="H91" i="17"/>
  <c r="F91" i="17"/>
  <c r="G91" i="17" s="1"/>
  <c r="C91" i="17"/>
  <c r="D91" i="17"/>
  <c r="I90" i="40"/>
  <c r="E91" i="40"/>
  <c r="E91" i="42"/>
  <c r="F92" i="8"/>
  <c r="G92" i="8" s="1"/>
  <c r="B93" i="8"/>
  <c r="E93" i="8" s="1"/>
  <c r="H92" i="8"/>
  <c r="C92" i="8"/>
  <c r="D92" i="8"/>
  <c r="H91" i="18"/>
  <c r="F91" i="18"/>
  <c r="G91" i="18" s="1"/>
  <c r="B92" i="18"/>
  <c r="E92" i="18" s="1"/>
  <c r="D91" i="18"/>
  <c r="C91" i="18"/>
  <c r="I90" i="19"/>
  <c r="E91" i="19"/>
  <c r="H91" i="41"/>
  <c r="F91" i="41"/>
  <c r="G91" i="41" s="1"/>
  <c r="B92" i="41"/>
  <c r="E92" i="41" s="1"/>
  <c r="D91" i="41"/>
  <c r="C91" i="41"/>
  <c r="O88" i="26"/>
  <c r="P88" i="26" s="1"/>
  <c r="Q88" i="26" s="1"/>
  <c r="J90" i="17" l="1"/>
  <c r="K90" i="17" s="1"/>
  <c r="L90" i="17" s="1"/>
  <c r="M90" i="17" s="1"/>
  <c r="J90" i="40"/>
  <c r="K90" i="40" s="1"/>
  <c r="L90" i="40" s="1"/>
  <c r="M90" i="40" s="1"/>
  <c r="K90" i="18"/>
  <c r="L90" i="18" s="1"/>
  <c r="M90" i="18" s="1"/>
  <c r="K90" i="41"/>
  <c r="L90" i="41" s="1"/>
  <c r="M90" i="41" s="1"/>
  <c r="J90" i="19"/>
  <c r="K90" i="19" s="1"/>
  <c r="L90" i="19" s="1"/>
  <c r="M90" i="19" s="1"/>
  <c r="J90" i="42"/>
  <c r="K90" i="42" s="1"/>
  <c r="L90" i="42" s="1"/>
  <c r="M90" i="42" s="1"/>
  <c r="G93" i="9"/>
  <c r="G91" i="39"/>
  <c r="G91" i="19"/>
  <c r="I91" i="18"/>
  <c r="J91" i="18" s="1"/>
  <c r="K91" i="18" s="1"/>
  <c r="L91" i="18" s="1"/>
  <c r="G94" i="26"/>
  <c r="G93" i="26"/>
  <c r="J93" i="26"/>
  <c r="H94" i="26"/>
  <c r="I94" i="26" s="1"/>
  <c r="D94" i="26"/>
  <c r="F94" i="26"/>
  <c r="J94" i="26" s="1"/>
  <c r="C94" i="26"/>
  <c r="B95" i="26"/>
  <c r="E95" i="26" s="1"/>
  <c r="O92" i="25"/>
  <c r="P92" i="25" s="1"/>
  <c r="Q92" i="25" s="1"/>
  <c r="G91" i="42"/>
  <c r="B94" i="25"/>
  <c r="E94" i="25" s="1"/>
  <c r="H93" i="25"/>
  <c r="I93" i="25" s="1"/>
  <c r="D93" i="25"/>
  <c r="C93" i="25"/>
  <c r="F93" i="25"/>
  <c r="J93" i="25" s="1"/>
  <c r="G93" i="25"/>
  <c r="I91" i="39"/>
  <c r="I91" i="42"/>
  <c r="J92" i="4"/>
  <c r="K92" i="4" s="1"/>
  <c r="L92" i="4" s="1"/>
  <c r="M92" i="4" s="1"/>
  <c r="G91" i="40"/>
  <c r="I93" i="4"/>
  <c r="J93" i="4" s="1"/>
  <c r="I93" i="9"/>
  <c r="I91" i="40"/>
  <c r="I91" i="19"/>
  <c r="I92" i="8"/>
  <c r="J92" i="8" s="1"/>
  <c r="K92" i="8" s="1"/>
  <c r="L92" i="8" s="1"/>
  <c r="M92" i="8" s="1"/>
  <c r="I91" i="17"/>
  <c r="J91" i="17" s="1"/>
  <c r="B93" i="17"/>
  <c r="E93" i="17" s="1"/>
  <c r="H92" i="17"/>
  <c r="F92" i="17"/>
  <c r="G92" i="17" s="1"/>
  <c r="C92" i="17"/>
  <c r="D92" i="17"/>
  <c r="B93" i="19"/>
  <c r="H92" i="19"/>
  <c r="F92" i="19"/>
  <c r="G92" i="19" s="1"/>
  <c r="C92" i="19"/>
  <c r="D92" i="19"/>
  <c r="H92" i="41"/>
  <c r="F92" i="41"/>
  <c r="G92" i="41" s="1"/>
  <c r="B93" i="41"/>
  <c r="C92" i="41"/>
  <c r="D92" i="41"/>
  <c r="H92" i="18"/>
  <c r="F92" i="18"/>
  <c r="G92" i="18" s="1"/>
  <c r="B93" i="18"/>
  <c r="E93" i="18" s="1"/>
  <c r="D92" i="18"/>
  <c r="C92" i="18"/>
  <c r="F94" i="9"/>
  <c r="B95" i="9"/>
  <c r="H94" i="9"/>
  <c r="C94" i="9"/>
  <c r="D94" i="9"/>
  <c r="B93" i="40"/>
  <c r="E93" i="40" s="1"/>
  <c r="H92" i="40"/>
  <c r="F92" i="40"/>
  <c r="D92" i="40"/>
  <c r="C92" i="40"/>
  <c r="I91" i="41"/>
  <c r="J91" i="41" s="1"/>
  <c r="K91" i="41" s="1"/>
  <c r="L91" i="41" s="1"/>
  <c r="F93" i="8"/>
  <c r="G93" i="8" s="1"/>
  <c r="B94" i="8"/>
  <c r="E94" i="8" s="1"/>
  <c r="H93" i="8"/>
  <c r="D93" i="8"/>
  <c r="C93" i="8"/>
  <c r="H92" i="39"/>
  <c r="F92" i="39"/>
  <c r="G92" i="39" s="1"/>
  <c r="B93" i="39"/>
  <c r="E93" i="39" s="1"/>
  <c r="D92" i="39"/>
  <c r="C92" i="39"/>
  <c r="F94" i="4"/>
  <c r="G94" i="4" s="1"/>
  <c r="B95" i="4"/>
  <c r="E95" i="4" s="1"/>
  <c r="H94" i="4"/>
  <c r="D94" i="4"/>
  <c r="C94" i="4"/>
  <c r="E94" i="9"/>
  <c r="H92" i="42"/>
  <c r="F92" i="42"/>
  <c r="G92" i="42" s="1"/>
  <c r="B93" i="42"/>
  <c r="C92" i="42"/>
  <c r="D92" i="42"/>
  <c r="E92" i="40"/>
  <c r="O89" i="26"/>
  <c r="P89" i="26" s="1"/>
  <c r="Q89" i="26" s="1"/>
  <c r="K91" i="17" l="1"/>
  <c r="L91" i="17" s="1"/>
  <c r="M91" i="17" s="1"/>
  <c r="J93" i="9"/>
  <c r="K93" i="9" s="1"/>
  <c r="L93" i="9" s="1"/>
  <c r="M93" i="9" s="1"/>
  <c r="M91" i="41"/>
  <c r="M91" i="18"/>
  <c r="J91" i="42"/>
  <c r="K91" i="42" s="1"/>
  <c r="L91" i="42" s="1"/>
  <c r="M91" i="42" s="1"/>
  <c r="J91" i="19"/>
  <c r="K91" i="19" s="1"/>
  <c r="L91" i="19" s="1"/>
  <c r="M91" i="19" s="1"/>
  <c r="J91" i="40"/>
  <c r="K91" i="40" s="1"/>
  <c r="L91" i="40" s="1"/>
  <c r="M91" i="40" s="1"/>
  <c r="J91" i="39"/>
  <c r="K91" i="39" s="1"/>
  <c r="L91" i="39" s="1"/>
  <c r="M91" i="39" s="1"/>
  <c r="I92" i="42"/>
  <c r="J92" i="42" s="1"/>
  <c r="G95" i="26"/>
  <c r="B96" i="26"/>
  <c r="C95" i="26"/>
  <c r="H95" i="26"/>
  <c r="I95" i="26" s="1"/>
  <c r="F95" i="26"/>
  <c r="J95" i="26" s="1"/>
  <c r="D95" i="26"/>
  <c r="O93" i="25"/>
  <c r="P93" i="25" s="1"/>
  <c r="Q93" i="25" s="1"/>
  <c r="G94" i="25"/>
  <c r="F94" i="25"/>
  <c r="J94" i="25" s="1"/>
  <c r="B95" i="25"/>
  <c r="E95" i="25" s="1"/>
  <c r="H94" i="25"/>
  <c r="I94" i="25" s="1"/>
  <c r="D94" i="25"/>
  <c r="C94" i="25"/>
  <c r="I92" i="18"/>
  <c r="J92" i="18" s="1"/>
  <c r="K92" i="18" s="1"/>
  <c r="L92" i="18" s="1"/>
  <c r="M92" i="18" s="1"/>
  <c r="I92" i="17"/>
  <c r="J92" i="17" s="1"/>
  <c r="K92" i="17" s="1"/>
  <c r="L92" i="17" s="1"/>
  <c r="G92" i="40"/>
  <c r="K93" i="4"/>
  <c r="L93" i="4" s="1"/>
  <c r="M93" i="4" s="1"/>
  <c r="G94" i="9"/>
  <c r="I92" i="40"/>
  <c r="I92" i="19"/>
  <c r="J92" i="19" s="1"/>
  <c r="I92" i="39"/>
  <c r="J92" i="39" s="1"/>
  <c r="I94" i="4"/>
  <c r="J94" i="4" s="1"/>
  <c r="K94" i="4" s="1"/>
  <c r="L94" i="4" s="1"/>
  <c r="I93" i="8"/>
  <c r="J93" i="8" s="1"/>
  <c r="K93" i="8" s="1"/>
  <c r="L93" i="8" s="1"/>
  <c r="M93" i="8" s="1"/>
  <c r="F95" i="9"/>
  <c r="B96" i="9"/>
  <c r="H95" i="9"/>
  <c r="D95" i="9"/>
  <c r="C95" i="9"/>
  <c r="H93" i="41"/>
  <c r="B94" i="41"/>
  <c r="E94" i="41" s="1"/>
  <c r="F93" i="41"/>
  <c r="D93" i="41"/>
  <c r="C93" i="41"/>
  <c r="H93" i="42"/>
  <c r="F93" i="42"/>
  <c r="B94" i="42"/>
  <c r="E94" i="42" s="1"/>
  <c r="D93" i="42"/>
  <c r="C93" i="42"/>
  <c r="F95" i="4"/>
  <c r="G95" i="4" s="1"/>
  <c r="B96" i="4"/>
  <c r="E96" i="4" s="1"/>
  <c r="H95" i="4"/>
  <c r="D95" i="4"/>
  <c r="C95" i="4"/>
  <c r="I94" i="9"/>
  <c r="E93" i="41"/>
  <c r="B94" i="19"/>
  <c r="H93" i="19"/>
  <c r="F93" i="19"/>
  <c r="C93" i="19"/>
  <c r="D93" i="19"/>
  <c r="E93" i="42"/>
  <c r="E95" i="9"/>
  <c r="F93" i="18"/>
  <c r="G93" i="18" s="1"/>
  <c r="B94" i="18"/>
  <c r="E94" i="18" s="1"/>
  <c r="H93" i="18"/>
  <c r="C93" i="18"/>
  <c r="D93" i="18"/>
  <c r="I92" i="41"/>
  <c r="J92" i="41" s="1"/>
  <c r="K92" i="41" s="1"/>
  <c r="L92" i="41" s="1"/>
  <c r="M92" i="41" s="1"/>
  <c r="E93" i="19"/>
  <c r="F93" i="39"/>
  <c r="G93" i="39" s="1"/>
  <c r="B94" i="39"/>
  <c r="E94" i="39" s="1"/>
  <c r="H93" i="39"/>
  <c r="C93" i="39"/>
  <c r="D93" i="39"/>
  <c r="B95" i="8"/>
  <c r="H94" i="8"/>
  <c r="F94" i="8"/>
  <c r="G94" i="8" s="1"/>
  <c r="C94" i="8"/>
  <c r="D94" i="8"/>
  <c r="H93" i="40"/>
  <c r="F93" i="40"/>
  <c r="G93" i="40" s="1"/>
  <c r="B94" i="40"/>
  <c r="E94" i="40" s="1"/>
  <c r="C93" i="40"/>
  <c r="D93" i="40"/>
  <c r="H93" i="17"/>
  <c r="F93" i="17"/>
  <c r="G93" i="17" s="1"/>
  <c r="B94" i="17"/>
  <c r="E94" i="17" s="1"/>
  <c r="C93" i="17"/>
  <c r="D93" i="17"/>
  <c r="O90" i="26"/>
  <c r="P90" i="26" s="1"/>
  <c r="Q90" i="26" s="1"/>
  <c r="M92" i="17" l="1"/>
  <c r="J94" i="9"/>
  <c r="K94" i="9" s="1"/>
  <c r="L94" i="9" s="1"/>
  <c r="M94" i="9" s="1"/>
  <c r="K92" i="42"/>
  <c r="L92" i="42" s="1"/>
  <c r="M92" i="42" s="1"/>
  <c r="K92" i="19"/>
  <c r="L92" i="19" s="1"/>
  <c r="M92" i="19" s="1"/>
  <c r="K92" i="39"/>
  <c r="L92" i="39" s="1"/>
  <c r="M92" i="39" s="1"/>
  <c r="M94" i="4"/>
  <c r="F96" i="26"/>
  <c r="H96" i="26"/>
  <c r="I96" i="26" s="1"/>
  <c r="D96" i="26"/>
  <c r="C96" i="26"/>
  <c r="B97" i="26"/>
  <c r="E96" i="26"/>
  <c r="O94" i="25"/>
  <c r="P94" i="25" s="1"/>
  <c r="Q94" i="25" s="1"/>
  <c r="G95" i="25"/>
  <c r="C95" i="25"/>
  <c r="F95" i="25"/>
  <c r="J95" i="25" s="1"/>
  <c r="B96" i="25"/>
  <c r="E96" i="25" s="1"/>
  <c r="H95" i="25"/>
  <c r="I95" i="25" s="1"/>
  <c r="D95" i="25"/>
  <c r="I93" i="42"/>
  <c r="G93" i="42"/>
  <c r="G93" i="41"/>
  <c r="J92" i="40"/>
  <c r="K92" i="40" s="1"/>
  <c r="L92" i="40" s="1"/>
  <c r="M92" i="40" s="1"/>
  <c r="I95" i="9"/>
  <c r="J95" i="9" s="1"/>
  <c r="G95" i="9"/>
  <c r="G93" i="19"/>
  <c r="I93" i="19"/>
  <c r="I95" i="4"/>
  <c r="J95" i="4" s="1"/>
  <c r="K95" i="4" s="1"/>
  <c r="L95" i="4" s="1"/>
  <c r="M95" i="4" s="1"/>
  <c r="I93" i="41"/>
  <c r="I94" i="8"/>
  <c r="J94" i="8" s="1"/>
  <c r="K94" i="8" s="1"/>
  <c r="L94" i="8" s="1"/>
  <c r="M94" i="8" s="1"/>
  <c r="I93" i="39"/>
  <c r="J93" i="39" s="1"/>
  <c r="K93" i="39" s="1"/>
  <c r="L93" i="39" s="1"/>
  <c r="I93" i="17"/>
  <c r="J93" i="17" s="1"/>
  <c r="K93" i="17" s="1"/>
  <c r="L93" i="17" s="1"/>
  <c r="M93" i="17" s="1"/>
  <c r="F94" i="17"/>
  <c r="G94" i="17" s="1"/>
  <c r="B95" i="17"/>
  <c r="H94" i="17"/>
  <c r="D94" i="17"/>
  <c r="C94" i="17"/>
  <c r="F94" i="40"/>
  <c r="G94" i="40" s="1"/>
  <c r="B95" i="40"/>
  <c r="H94" i="40"/>
  <c r="C94" i="40"/>
  <c r="D94" i="40"/>
  <c r="F94" i="42"/>
  <c r="G94" i="42" s="1"/>
  <c r="B95" i="42"/>
  <c r="E95" i="42" s="1"/>
  <c r="H94" i="42"/>
  <c r="D94" i="42"/>
  <c r="C94" i="42"/>
  <c r="H95" i="8"/>
  <c r="F95" i="8"/>
  <c r="B96" i="8"/>
  <c r="D95" i="8"/>
  <c r="C95" i="8"/>
  <c r="H94" i="19"/>
  <c r="F94" i="19"/>
  <c r="B95" i="19"/>
  <c r="D94" i="19"/>
  <c r="C94" i="19"/>
  <c r="B97" i="9"/>
  <c r="H96" i="9"/>
  <c r="F96" i="9"/>
  <c r="D96" i="9"/>
  <c r="C96" i="9"/>
  <c r="F94" i="39"/>
  <c r="G94" i="39" s="1"/>
  <c r="B95" i="39"/>
  <c r="H94" i="39"/>
  <c r="C94" i="39"/>
  <c r="D94" i="39"/>
  <c r="I93" i="40"/>
  <c r="J93" i="40" s="1"/>
  <c r="F94" i="18"/>
  <c r="G94" i="18" s="1"/>
  <c r="B95" i="18"/>
  <c r="H94" i="18"/>
  <c r="D94" i="18"/>
  <c r="C94" i="18"/>
  <c r="E95" i="8"/>
  <c r="I93" i="18"/>
  <c r="J93" i="18" s="1"/>
  <c r="K93" i="18" s="1"/>
  <c r="L93" i="18" s="1"/>
  <c r="M93" i="18" s="1"/>
  <c r="E94" i="19"/>
  <c r="B97" i="4"/>
  <c r="E97" i="4" s="1"/>
  <c r="H96" i="4"/>
  <c r="F96" i="4"/>
  <c r="G96" i="4" s="1"/>
  <c r="D96" i="4"/>
  <c r="C96" i="4"/>
  <c r="F94" i="41"/>
  <c r="G94" i="41" s="1"/>
  <c r="H94" i="41"/>
  <c r="B95" i="41"/>
  <c r="C94" i="41"/>
  <c r="D94" i="41"/>
  <c r="E96" i="9"/>
  <c r="O91" i="26"/>
  <c r="P91" i="26" s="1"/>
  <c r="Q91" i="26" s="1"/>
  <c r="K95" i="9" l="1"/>
  <c r="L95" i="9" s="1"/>
  <c r="M95" i="9" s="1"/>
  <c r="J93" i="41"/>
  <c r="K93" i="41" s="1"/>
  <c r="L93" i="41" s="1"/>
  <c r="M93" i="41" s="1"/>
  <c r="J93" i="42"/>
  <c r="K93" i="42" s="1"/>
  <c r="L93" i="42" s="1"/>
  <c r="M93" i="42" s="1"/>
  <c r="J93" i="19"/>
  <c r="K93" i="19" s="1"/>
  <c r="L93" i="19" s="1"/>
  <c r="M93" i="19" s="1"/>
  <c r="M93" i="39"/>
  <c r="K93" i="40"/>
  <c r="L93" i="40" s="1"/>
  <c r="M93" i="40" s="1"/>
  <c r="G94" i="19"/>
  <c r="J96" i="26"/>
  <c r="G96" i="26"/>
  <c r="H97" i="26"/>
  <c r="I97" i="26" s="1"/>
  <c r="D97" i="26"/>
  <c r="B98" i="26"/>
  <c r="E98" i="26" s="1"/>
  <c r="C97" i="26"/>
  <c r="F97" i="26"/>
  <c r="E97" i="26"/>
  <c r="G96" i="25"/>
  <c r="H96" i="25"/>
  <c r="I96" i="25" s="1"/>
  <c r="D96" i="25"/>
  <c r="C96" i="25"/>
  <c r="F96" i="25"/>
  <c r="J96" i="25" s="1"/>
  <c r="B97" i="25"/>
  <c r="E97" i="25" s="1"/>
  <c r="O95" i="25"/>
  <c r="P95" i="25" s="1"/>
  <c r="Q95" i="25" s="1"/>
  <c r="I94" i="39"/>
  <c r="J94" i="39" s="1"/>
  <c r="K94" i="39" s="1"/>
  <c r="L94" i="39" s="1"/>
  <c r="M94" i="39" s="1"/>
  <c r="I94" i="19"/>
  <c r="G96" i="9"/>
  <c r="G95" i="8"/>
  <c r="I96" i="9"/>
  <c r="I95" i="8"/>
  <c r="J95" i="8" s="1"/>
  <c r="K95" i="8" s="1"/>
  <c r="L95" i="8" s="1"/>
  <c r="M95" i="8" s="1"/>
  <c r="B96" i="18"/>
  <c r="E96" i="18" s="1"/>
  <c r="H95" i="18"/>
  <c r="F95" i="18"/>
  <c r="D95" i="18"/>
  <c r="C95" i="18"/>
  <c r="B96" i="39"/>
  <c r="E96" i="39" s="1"/>
  <c r="H95" i="39"/>
  <c r="F95" i="39"/>
  <c r="C95" i="39"/>
  <c r="D95" i="39"/>
  <c r="H97" i="9"/>
  <c r="F97" i="9"/>
  <c r="B98" i="9"/>
  <c r="E98" i="9" s="1"/>
  <c r="C97" i="9"/>
  <c r="D97" i="9"/>
  <c r="I94" i="42"/>
  <c r="J94" i="42" s="1"/>
  <c r="F95" i="17"/>
  <c r="B96" i="17"/>
  <c r="H95" i="17"/>
  <c r="D95" i="17"/>
  <c r="C95" i="17"/>
  <c r="B96" i="41"/>
  <c r="E96" i="41" s="1"/>
  <c r="H95" i="41"/>
  <c r="F95" i="41"/>
  <c r="D95" i="41"/>
  <c r="C95" i="41"/>
  <c r="F95" i="19"/>
  <c r="B96" i="19"/>
  <c r="H95" i="19"/>
  <c r="C95" i="19"/>
  <c r="D95" i="19"/>
  <c r="F96" i="8"/>
  <c r="B97" i="8"/>
  <c r="E97" i="8" s="1"/>
  <c r="H96" i="8"/>
  <c r="C96" i="8"/>
  <c r="D96" i="8"/>
  <c r="F95" i="40"/>
  <c r="B96" i="40"/>
  <c r="E96" i="40" s="1"/>
  <c r="H95" i="40"/>
  <c r="D95" i="40"/>
  <c r="C95" i="40"/>
  <c r="I94" i="41"/>
  <c r="J94" i="41" s="1"/>
  <c r="I96" i="4"/>
  <c r="J96" i="4" s="1"/>
  <c r="K96" i="4" s="1"/>
  <c r="L96" i="4" s="1"/>
  <c r="M96" i="4" s="1"/>
  <c r="H97" i="4"/>
  <c r="F97" i="4"/>
  <c r="G97" i="4" s="1"/>
  <c r="B98" i="4"/>
  <c r="E98" i="4" s="1"/>
  <c r="D97" i="4"/>
  <c r="C97" i="4"/>
  <c r="I94" i="18"/>
  <c r="J94" i="18" s="1"/>
  <c r="K94" i="18" s="1"/>
  <c r="L94" i="18" s="1"/>
  <c r="M94" i="18" s="1"/>
  <c r="E95" i="18"/>
  <c r="E95" i="39"/>
  <c r="E97" i="9"/>
  <c r="B96" i="42"/>
  <c r="E96" i="42" s="1"/>
  <c r="H95" i="42"/>
  <c r="F95" i="42"/>
  <c r="G95" i="42" s="1"/>
  <c r="D95" i="42"/>
  <c r="C95" i="42"/>
  <c r="I94" i="40"/>
  <c r="J94" i="40" s="1"/>
  <c r="K94" i="40" s="1"/>
  <c r="L94" i="40" s="1"/>
  <c r="I94" i="17"/>
  <c r="J94" i="17" s="1"/>
  <c r="K94" i="17" s="1"/>
  <c r="L94" i="17" s="1"/>
  <c r="M94" i="17" s="1"/>
  <c r="E95" i="17"/>
  <c r="E95" i="41"/>
  <c r="E95" i="19"/>
  <c r="E96" i="8"/>
  <c r="E95" i="40"/>
  <c r="O92" i="26"/>
  <c r="P92" i="26" s="1"/>
  <c r="Q92" i="26" s="1"/>
  <c r="K94" i="41" l="1"/>
  <c r="L94" i="41" s="1"/>
  <c r="M94" i="41" s="1"/>
  <c r="K94" i="42"/>
  <c r="L94" i="42" s="1"/>
  <c r="M94" i="42" s="1"/>
  <c r="J94" i="19"/>
  <c r="K94" i="19" s="1"/>
  <c r="L94" i="19" s="1"/>
  <c r="M94" i="19" s="1"/>
  <c r="M94" i="40"/>
  <c r="G95" i="39"/>
  <c r="G95" i="17"/>
  <c r="J96" i="9"/>
  <c r="K96" i="9" s="1"/>
  <c r="L96" i="9" s="1"/>
  <c r="M96" i="9" s="1"/>
  <c r="G95" i="19"/>
  <c r="G98" i="26"/>
  <c r="G97" i="26"/>
  <c r="J97" i="26"/>
  <c r="H98" i="26"/>
  <c r="I98" i="26" s="1"/>
  <c r="D98" i="26"/>
  <c r="B99" i="26"/>
  <c r="C98" i="26"/>
  <c r="F98" i="26"/>
  <c r="J98" i="26" s="1"/>
  <c r="B98" i="25"/>
  <c r="E98" i="25" s="1"/>
  <c r="H97" i="25"/>
  <c r="I97" i="25" s="1"/>
  <c r="D97" i="25"/>
  <c r="C97" i="25"/>
  <c r="F97" i="25"/>
  <c r="J97" i="25" s="1"/>
  <c r="G97" i="25"/>
  <c r="O96" i="25"/>
  <c r="P96" i="25" s="1"/>
  <c r="Q96" i="25" s="1"/>
  <c r="G97" i="9"/>
  <c r="G96" i="8"/>
  <c r="I97" i="4"/>
  <c r="J97" i="4" s="1"/>
  <c r="K97" i="4" s="1"/>
  <c r="L97" i="4" s="1"/>
  <c r="M97" i="4" s="1"/>
  <c r="G95" i="40"/>
  <c r="I95" i="39"/>
  <c r="J95" i="39" s="1"/>
  <c r="K95" i="39" s="1"/>
  <c r="L95" i="39" s="1"/>
  <c r="M95" i="39" s="1"/>
  <c r="G95" i="18"/>
  <c r="G95" i="41"/>
  <c r="I95" i="41"/>
  <c r="J95" i="41" s="1"/>
  <c r="K95" i="41" s="1"/>
  <c r="L95" i="41" s="1"/>
  <c r="I96" i="8"/>
  <c r="I95" i="19"/>
  <c r="J95" i="19" s="1"/>
  <c r="I95" i="17"/>
  <c r="J95" i="17" s="1"/>
  <c r="K95" i="17" s="1"/>
  <c r="L95" i="17" s="1"/>
  <c r="M95" i="17" s="1"/>
  <c r="F98" i="4"/>
  <c r="G98" i="4" s="1"/>
  <c r="B99" i="4"/>
  <c r="H98" i="4"/>
  <c r="D98" i="4"/>
  <c r="C98" i="4"/>
  <c r="I95" i="40"/>
  <c r="J95" i="40" s="1"/>
  <c r="K95" i="40" s="1"/>
  <c r="L95" i="40" s="1"/>
  <c r="M95" i="40" s="1"/>
  <c r="F97" i="8"/>
  <c r="G97" i="8" s="1"/>
  <c r="B98" i="8"/>
  <c r="H97" i="8"/>
  <c r="D97" i="8"/>
  <c r="C97" i="8"/>
  <c r="I97" i="9"/>
  <c r="H96" i="39"/>
  <c r="F96" i="39"/>
  <c r="G96" i="39" s="1"/>
  <c r="B97" i="39"/>
  <c r="D96" i="39"/>
  <c r="C96" i="39"/>
  <c r="F96" i="19"/>
  <c r="B97" i="19"/>
  <c r="E97" i="19" s="1"/>
  <c r="H96" i="19"/>
  <c r="D96" i="19"/>
  <c r="C96" i="19"/>
  <c r="H96" i="41"/>
  <c r="B97" i="41"/>
  <c r="F96" i="41"/>
  <c r="G96" i="41" s="1"/>
  <c r="D96" i="41"/>
  <c r="C96" i="41"/>
  <c r="B97" i="17"/>
  <c r="E97" i="17" s="1"/>
  <c r="H96" i="17"/>
  <c r="F96" i="17"/>
  <c r="C96" i="17"/>
  <c r="D96" i="17"/>
  <c r="B97" i="40"/>
  <c r="E97" i="40" s="1"/>
  <c r="H96" i="40"/>
  <c r="F96" i="40"/>
  <c r="G96" i="40" s="1"/>
  <c r="C96" i="40"/>
  <c r="D96" i="40"/>
  <c r="F98" i="9"/>
  <c r="G98" i="9" s="1"/>
  <c r="B99" i="9"/>
  <c r="E99" i="9" s="1"/>
  <c r="H98" i="9"/>
  <c r="D98" i="9"/>
  <c r="C98" i="9"/>
  <c r="I95" i="18"/>
  <c r="J95" i="18" s="1"/>
  <c r="K95" i="18" s="1"/>
  <c r="L95" i="18" s="1"/>
  <c r="M95" i="18" s="1"/>
  <c r="H96" i="18"/>
  <c r="F96" i="18"/>
  <c r="G96" i="18" s="1"/>
  <c r="B97" i="18"/>
  <c r="E97" i="18" s="1"/>
  <c r="C96" i="18"/>
  <c r="D96" i="18"/>
  <c r="I95" i="42"/>
  <c r="J95" i="42" s="1"/>
  <c r="K95" i="42" s="1"/>
  <c r="L95" i="42" s="1"/>
  <c r="H96" i="42"/>
  <c r="F96" i="42"/>
  <c r="G96" i="42" s="1"/>
  <c r="B97" i="42"/>
  <c r="E97" i="42" s="1"/>
  <c r="C96" i="42"/>
  <c r="D96" i="42"/>
  <c r="E96" i="19"/>
  <c r="E96" i="17"/>
  <c r="O93" i="26"/>
  <c r="P93" i="26" s="1"/>
  <c r="Q93" i="26" s="1"/>
  <c r="M95" i="42" l="1"/>
  <c r="M95" i="41"/>
  <c r="K95" i="19"/>
  <c r="L95" i="19" s="1"/>
  <c r="M95" i="19" s="1"/>
  <c r="J97" i="9"/>
  <c r="K97" i="9" s="1"/>
  <c r="L97" i="9" s="1"/>
  <c r="M97" i="9" s="1"/>
  <c r="J96" i="8"/>
  <c r="K96" i="8" s="1"/>
  <c r="L96" i="8" s="1"/>
  <c r="M96" i="8" s="1"/>
  <c r="I96" i="42"/>
  <c r="J96" i="42" s="1"/>
  <c r="K96" i="42" s="1"/>
  <c r="L96" i="42" s="1"/>
  <c r="M96" i="42" s="1"/>
  <c r="I96" i="40"/>
  <c r="J96" i="40" s="1"/>
  <c r="K96" i="40" s="1"/>
  <c r="L96" i="40" s="1"/>
  <c r="M96" i="40" s="1"/>
  <c r="I96" i="17"/>
  <c r="G96" i="17"/>
  <c r="B100" i="26"/>
  <c r="E100" i="26" s="1"/>
  <c r="C99" i="26"/>
  <c r="F99" i="26"/>
  <c r="H99" i="26"/>
  <c r="I99" i="26" s="1"/>
  <c r="D99" i="26"/>
  <c r="E99" i="26"/>
  <c r="G98" i="25"/>
  <c r="O97" i="25"/>
  <c r="P97" i="25" s="1"/>
  <c r="Q97" i="25" s="1"/>
  <c r="F98" i="25"/>
  <c r="J98" i="25" s="1"/>
  <c r="B99" i="25"/>
  <c r="E99" i="25" s="1"/>
  <c r="H98" i="25"/>
  <c r="I98" i="25" s="1"/>
  <c r="D98" i="25"/>
  <c r="C98" i="25"/>
  <c r="I96" i="41"/>
  <c r="J96" i="41" s="1"/>
  <c r="K96" i="41" s="1"/>
  <c r="L96" i="41" s="1"/>
  <c r="M96" i="41" s="1"/>
  <c r="I96" i="39"/>
  <c r="J96" i="39" s="1"/>
  <c r="K96" i="39" s="1"/>
  <c r="L96" i="39" s="1"/>
  <c r="M96" i="39" s="1"/>
  <c r="I98" i="9"/>
  <c r="J98" i="9" s="1"/>
  <c r="G96" i="19"/>
  <c r="I96" i="18"/>
  <c r="J96" i="18" s="1"/>
  <c r="K96" i="18" s="1"/>
  <c r="L96" i="18" s="1"/>
  <c r="M96" i="18" s="1"/>
  <c r="I96" i="19"/>
  <c r="B98" i="41"/>
  <c r="E98" i="41" s="1"/>
  <c r="F97" i="41"/>
  <c r="H97" i="41"/>
  <c r="D97" i="41"/>
  <c r="C97" i="41"/>
  <c r="F97" i="39"/>
  <c r="B98" i="39"/>
  <c r="H97" i="39"/>
  <c r="C97" i="39"/>
  <c r="D97" i="39"/>
  <c r="F99" i="4"/>
  <c r="B100" i="4"/>
  <c r="E100" i="4" s="1"/>
  <c r="H99" i="4"/>
  <c r="C99" i="4"/>
  <c r="D99" i="4"/>
  <c r="B99" i="8"/>
  <c r="E99" i="8" s="1"/>
  <c r="H98" i="8"/>
  <c r="F98" i="8"/>
  <c r="C98" i="8"/>
  <c r="D98" i="8"/>
  <c r="F97" i="18"/>
  <c r="G97" i="18" s="1"/>
  <c r="B98" i="18"/>
  <c r="E98" i="18" s="1"/>
  <c r="H97" i="18"/>
  <c r="D97" i="18"/>
  <c r="C97" i="18"/>
  <c r="H97" i="40"/>
  <c r="F97" i="40"/>
  <c r="G97" i="40" s="1"/>
  <c r="B98" i="40"/>
  <c r="C97" i="40"/>
  <c r="D97" i="40"/>
  <c r="E97" i="41"/>
  <c r="B98" i="19"/>
  <c r="E98" i="19" s="1"/>
  <c r="H97" i="19"/>
  <c r="F97" i="19"/>
  <c r="G97" i="19" s="1"/>
  <c r="C97" i="19"/>
  <c r="D97" i="19"/>
  <c r="E97" i="39"/>
  <c r="I98" i="4"/>
  <c r="J98" i="4" s="1"/>
  <c r="K98" i="4" s="1"/>
  <c r="L98" i="4" s="1"/>
  <c r="M98" i="4" s="1"/>
  <c r="E99" i="4"/>
  <c r="H97" i="42"/>
  <c r="B98" i="42"/>
  <c r="E98" i="42" s="1"/>
  <c r="F97" i="42"/>
  <c r="G97" i="42" s="1"/>
  <c r="D97" i="42"/>
  <c r="C97" i="42"/>
  <c r="F99" i="9"/>
  <c r="G99" i="9" s="1"/>
  <c r="B100" i="9"/>
  <c r="H99" i="9"/>
  <c r="D99" i="9"/>
  <c r="C99" i="9"/>
  <c r="H97" i="17"/>
  <c r="F97" i="17"/>
  <c r="G97" i="17" s="1"/>
  <c r="B98" i="17"/>
  <c r="E98" i="17" s="1"/>
  <c r="C97" i="17"/>
  <c r="D97" i="17"/>
  <c r="I97" i="8"/>
  <c r="J97" i="8" s="1"/>
  <c r="E98" i="8"/>
  <c r="O94" i="26"/>
  <c r="P94" i="26" s="1"/>
  <c r="Q94" i="26" s="1"/>
  <c r="K98" i="9" l="1"/>
  <c r="L98" i="9" s="1"/>
  <c r="M98" i="9" s="1"/>
  <c r="J96" i="17"/>
  <c r="K96" i="17" s="1"/>
  <c r="L96" i="17" s="1"/>
  <c r="M96" i="17" s="1"/>
  <c r="K97" i="8"/>
  <c r="L97" i="8" s="1"/>
  <c r="M97" i="8" s="1"/>
  <c r="J96" i="19"/>
  <c r="K96" i="19" s="1"/>
  <c r="L96" i="19" s="1"/>
  <c r="M96" i="19" s="1"/>
  <c r="I97" i="40"/>
  <c r="J97" i="40" s="1"/>
  <c r="K97" i="40" s="1"/>
  <c r="L97" i="40" s="1"/>
  <c r="M97" i="40" s="1"/>
  <c r="G99" i="26"/>
  <c r="J99" i="26"/>
  <c r="G100" i="26"/>
  <c r="F100" i="26"/>
  <c r="J100" i="26" s="1"/>
  <c r="H100" i="26"/>
  <c r="I100" i="26" s="1"/>
  <c r="D100" i="26"/>
  <c r="B101" i="26"/>
  <c r="C100" i="26"/>
  <c r="G99" i="25"/>
  <c r="O98" i="25"/>
  <c r="P98" i="25" s="1"/>
  <c r="Q98" i="25" s="1"/>
  <c r="C99" i="25"/>
  <c r="F99" i="25"/>
  <c r="J99" i="25" s="1"/>
  <c r="B100" i="25"/>
  <c r="E100" i="25" s="1"/>
  <c r="H99" i="25"/>
  <c r="I99" i="25" s="1"/>
  <c r="D99" i="25"/>
  <c r="I97" i="39"/>
  <c r="I97" i="42"/>
  <c r="J97" i="42" s="1"/>
  <c r="K97" i="42" s="1"/>
  <c r="L97" i="42" s="1"/>
  <c r="M97" i="42" s="1"/>
  <c r="G97" i="39"/>
  <c r="G98" i="8"/>
  <c r="I99" i="9"/>
  <c r="J99" i="9" s="1"/>
  <c r="K99" i="9" s="1"/>
  <c r="L99" i="9" s="1"/>
  <c r="G97" i="41"/>
  <c r="G99" i="4"/>
  <c r="I97" i="41"/>
  <c r="J97" i="41" s="1"/>
  <c r="K97" i="41" s="1"/>
  <c r="L97" i="41" s="1"/>
  <c r="M97" i="41" s="1"/>
  <c r="I97" i="19"/>
  <c r="J97" i="19" s="1"/>
  <c r="I98" i="8"/>
  <c r="F98" i="40"/>
  <c r="B99" i="40"/>
  <c r="E99" i="40" s="1"/>
  <c r="H98" i="40"/>
  <c r="C98" i="40"/>
  <c r="D98" i="40"/>
  <c r="F98" i="17"/>
  <c r="G98" i="17" s="1"/>
  <c r="B99" i="17"/>
  <c r="E99" i="17" s="1"/>
  <c r="H98" i="17"/>
  <c r="C98" i="17"/>
  <c r="D98" i="17"/>
  <c r="I97" i="18"/>
  <c r="J97" i="18" s="1"/>
  <c r="K97" i="18" s="1"/>
  <c r="L97" i="18" s="1"/>
  <c r="M97" i="18" s="1"/>
  <c r="I99" i="4"/>
  <c r="B101" i="9"/>
  <c r="E101" i="9" s="1"/>
  <c r="H100" i="9"/>
  <c r="F100" i="9"/>
  <c r="D100" i="9"/>
  <c r="C100" i="9"/>
  <c r="E98" i="40"/>
  <c r="F98" i="39"/>
  <c r="B99" i="39"/>
  <c r="H98" i="39"/>
  <c r="D98" i="39"/>
  <c r="C98" i="39"/>
  <c r="I97" i="17"/>
  <c r="J97" i="17" s="1"/>
  <c r="F98" i="42"/>
  <c r="G98" i="42" s="1"/>
  <c r="H98" i="42"/>
  <c r="B99" i="42"/>
  <c r="E99" i="42" s="1"/>
  <c r="D98" i="42"/>
  <c r="C98" i="42"/>
  <c r="H98" i="19"/>
  <c r="F98" i="19"/>
  <c r="G98" i="19" s="1"/>
  <c r="B99" i="19"/>
  <c r="E99" i="19" s="1"/>
  <c r="D98" i="19"/>
  <c r="C98" i="19"/>
  <c r="F98" i="18"/>
  <c r="G98" i="18" s="1"/>
  <c r="B99" i="18"/>
  <c r="E99" i="18" s="1"/>
  <c r="H98" i="18"/>
  <c r="D98" i="18"/>
  <c r="C98" i="18"/>
  <c r="H99" i="8"/>
  <c r="F99" i="8"/>
  <c r="G99" i="8" s="1"/>
  <c r="B100" i="8"/>
  <c r="E100" i="8" s="1"/>
  <c r="C99" i="8"/>
  <c r="D99" i="8"/>
  <c r="E100" i="9"/>
  <c r="B101" i="4"/>
  <c r="E101" i="4" s="1"/>
  <c r="H100" i="4"/>
  <c r="F100" i="4"/>
  <c r="G100" i="4" s="1"/>
  <c r="D100" i="4"/>
  <c r="C100" i="4"/>
  <c r="E98" i="39"/>
  <c r="F98" i="41"/>
  <c r="G98" i="41" s="1"/>
  <c r="B99" i="41"/>
  <c r="E99" i="41" s="1"/>
  <c r="H98" i="41"/>
  <c r="C98" i="41"/>
  <c r="D98" i="41"/>
  <c r="O95" i="26"/>
  <c r="P95" i="26" s="1"/>
  <c r="Q95" i="26" s="1"/>
  <c r="J98" i="8" l="1"/>
  <c r="K98" i="8" s="1"/>
  <c r="L98" i="8" s="1"/>
  <c r="M98" i="8" s="1"/>
  <c r="M99" i="9"/>
  <c r="K97" i="17"/>
  <c r="L97" i="17" s="1"/>
  <c r="M97" i="17" s="1"/>
  <c r="J97" i="39"/>
  <c r="K97" i="39" s="1"/>
  <c r="L97" i="39" s="1"/>
  <c r="M97" i="39" s="1"/>
  <c r="K97" i="19"/>
  <c r="L97" i="19" s="1"/>
  <c r="M97" i="19" s="1"/>
  <c r="J99" i="4"/>
  <c r="K99" i="4" s="1"/>
  <c r="L99" i="4" s="1"/>
  <c r="M99" i="4" s="1"/>
  <c r="H101" i="26"/>
  <c r="I101" i="26" s="1"/>
  <c r="D101" i="26"/>
  <c r="B102" i="26"/>
  <c r="C101" i="26"/>
  <c r="F101" i="26"/>
  <c r="E101" i="26"/>
  <c r="G100" i="25"/>
  <c r="O99" i="25"/>
  <c r="P99" i="25" s="1"/>
  <c r="Q99" i="25" s="1"/>
  <c r="H100" i="25"/>
  <c r="I100" i="25" s="1"/>
  <c r="D100" i="25"/>
  <c r="C100" i="25"/>
  <c r="F100" i="25"/>
  <c r="J100" i="25" s="1"/>
  <c r="B101" i="25"/>
  <c r="G98" i="40"/>
  <c r="G100" i="9"/>
  <c r="I98" i="17"/>
  <c r="J98" i="17" s="1"/>
  <c r="K98" i="17" s="1"/>
  <c r="L98" i="17" s="1"/>
  <c r="I98" i="41"/>
  <c r="J98" i="41" s="1"/>
  <c r="K98" i="41" s="1"/>
  <c r="L98" i="41" s="1"/>
  <c r="M98" i="41" s="1"/>
  <c r="I98" i="18"/>
  <c r="J98" i="18" s="1"/>
  <c r="K98" i="18" s="1"/>
  <c r="L98" i="18" s="1"/>
  <c r="M98" i="18" s="1"/>
  <c r="I98" i="39"/>
  <c r="I98" i="19"/>
  <c r="J98" i="19" s="1"/>
  <c r="K98" i="19" s="1"/>
  <c r="L98" i="19" s="1"/>
  <c r="G98" i="39"/>
  <c r="I99" i="8"/>
  <c r="J99" i="8" s="1"/>
  <c r="B100" i="42"/>
  <c r="H99" i="42"/>
  <c r="F99" i="42"/>
  <c r="G99" i="42" s="1"/>
  <c r="D99" i="42"/>
  <c r="C99" i="42"/>
  <c r="I98" i="40"/>
  <c r="B100" i="18"/>
  <c r="H99" i="18"/>
  <c r="F99" i="18"/>
  <c r="G99" i="18" s="1"/>
  <c r="D99" i="18"/>
  <c r="C99" i="18"/>
  <c r="B100" i="39"/>
  <c r="E100" i="39" s="1"/>
  <c r="H99" i="39"/>
  <c r="F99" i="39"/>
  <c r="D99" i="39"/>
  <c r="C99" i="39"/>
  <c r="F99" i="17"/>
  <c r="G99" i="17" s="1"/>
  <c r="B100" i="17"/>
  <c r="E100" i="17" s="1"/>
  <c r="H99" i="17"/>
  <c r="C99" i="17"/>
  <c r="D99" i="17"/>
  <c r="I100" i="4"/>
  <c r="J100" i="4" s="1"/>
  <c r="H101" i="4"/>
  <c r="F101" i="4"/>
  <c r="G101" i="4" s="1"/>
  <c r="B102" i="4"/>
  <c r="E102" i="4" s="1"/>
  <c r="C101" i="4"/>
  <c r="D101" i="4"/>
  <c r="F100" i="8"/>
  <c r="G100" i="8" s="1"/>
  <c r="B101" i="8"/>
  <c r="E101" i="8" s="1"/>
  <c r="H100" i="8"/>
  <c r="C100" i="8"/>
  <c r="D100" i="8"/>
  <c r="F99" i="19"/>
  <c r="G99" i="19" s="1"/>
  <c r="B100" i="19"/>
  <c r="E100" i="19" s="1"/>
  <c r="H99" i="19"/>
  <c r="C99" i="19"/>
  <c r="D99" i="19"/>
  <c r="B100" i="41"/>
  <c r="E100" i="41" s="1"/>
  <c r="H99" i="41"/>
  <c r="F99" i="41"/>
  <c r="G99" i="41" s="1"/>
  <c r="C99" i="41"/>
  <c r="D99" i="41"/>
  <c r="I98" i="42"/>
  <c r="J98" i="42" s="1"/>
  <c r="K98" i="42" s="1"/>
  <c r="L98" i="42" s="1"/>
  <c r="M98" i="42" s="1"/>
  <c r="E99" i="39"/>
  <c r="I100" i="9"/>
  <c r="J100" i="9" s="1"/>
  <c r="K100" i="9" s="1"/>
  <c r="L100" i="9" s="1"/>
  <c r="M100" i="9" s="1"/>
  <c r="H101" i="9"/>
  <c r="F101" i="9"/>
  <c r="G101" i="9" s="1"/>
  <c r="B102" i="9"/>
  <c r="E102" i="9" s="1"/>
  <c r="C101" i="9"/>
  <c r="D101" i="9"/>
  <c r="F99" i="40"/>
  <c r="G99" i="40" s="1"/>
  <c r="B100" i="40"/>
  <c r="E100" i="40" s="1"/>
  <c r="H99" i="40"/>
  <c r="C99" i="40"/>
  <c r="D99" i="40"/>
  <c r="O96" i="26"/>
  <c r="P96" i="26" s="1"/>
  <c r="Q96" i="26" s="1"/>
  <c r="K99" i="8" l="1"/>
  <c r="L99" i="8" s="1"/>
  <c r="M99" i="8" s="1"/>
  <c r="J98" i="40"/>
  <c r="K98" i="40" s="1"/>
  <c r="L98" i="40" s="1"/>
  <c r="M98" i="40" s="1"/>
  <c r="J98" i="39"/>
  <c r="K98" i="39" s="1"/>
  <c r="L98" i="39" s="1"/>
  <c r="M98" i="39" s="1"/>
  <c r="M98" i="17"/>
  <c r="K100" i="4"/>
  <c r="L100" i="4" s="1"/>
  <c r="M100" i="4" s="1"/>
  <c r="M98" i="19"/>
  <c r="G99" i="39"/>
  <c r="G101" i="26"/>
  <c r="J101" i="26"/>
  <c r="H102" i="26"/>
  <c r="I102" i="26" s="1"/>
  <c r="D102" i="26"/>
  <c r="B103" i="26"/>
  <c r="E103" i="26" s="1"/>
  <c r="C102" i="26"/>
  <c r="F102" i="26"/>
  <c r="E102" i="26"/>
  <c r="O100" i="25"/>
  <c r="P100" i="25" s="1"/>
  <c r="Q100" i="25" s="1"/>
  <c r="B102" i="25"/>
  <c r="E102" i="25" s="1"/>
  <c r="H101" i="25"/>
  <c r="I101" i="25" s="1"/>
  <c r="D101" i="25"/>
  <c r="C101" i="25"/>
  <c r="F101" i="25"/>
  <c r="E101" i="25"/>
  <c r="I99" i="42"/>
  <c r="J99" i="42" s="1"/>
  <c r="K99" i="42" s="1"/>
  <c r="L99" i="42" s="1"/>
  <c r="M99" i="42" s="1"/>
  <c r="I99" i="39"/>
  <c r="I99" i="41"/>
  <c r="J99" i="41" s="1"/>
  <c r="K99" i="41" s="1"/>
  <c r="L99" i="41" s="1"/>
  <c r="M99" i="41" s="1"/>
  <c r="I100" i="8"/>
  <c r="J100" i="8" s="1"/>
  <c r="K100" i="8" s="1"/>
  <c r="L100" i="8" s="1"/>
  <c r="I101" i="4"/>
  <c r="J101" i="4" s="1"/>
  <c r="K101" i="4" s="1"/>
  <c r="L101" i="4" s="1"/>
  <c r="I101" i="9"/>
  <c r="J101" i="9" s="1"/>
  <c r="K101" i="9" s="1"/>
  <c r="L101" i="9" s="1"/>
  <c r="M101" i="9" s="1"/>
  <c r="I99" i="18"/>
  <c r="J99" i="18" s="1"/>
  <c r="K99" i="18" s="1"/>
  <c r="L99" i="18" s="1"/>
  <c r="M99" i="18" s="1"/>
  <c r="F101" i="8"/>
  <c r="G101" i="8" s="1"/>
  <c r="B102" i="8"/>
  <c r="H101" i="8"/>
  <c r="D101" i="8"/>
  <c r="C101" i="8"/>
  <c r="F102" i="4"/>
  <c r="G102" i="4" s="1"/>
  <c r="B103" i="4"/>
  <c r="E103" i="4" s="1"/>
  <c r="H102" i="4"/>
  <c r="D102" i="4"/>
  <c r="C102" i="4"/>
  <c r="H100" i="41"/>
  <c r="F100" i="41"/>
  <c r="G100" i="41" s="1"/>
  <c r="B101" i="41"/>
  <c r="C100" i="41"/>
  <c r="D100" i="41"/>
  <c r="H100" i="18"/>
  <c r="F100" i="18"/>
  <c r="B101" i="18"/>
  <c r="E101" i="18" s="1"/>
  <c r="C100" i="18"/>
  <c r="D100" i="18"/>
  <c r="H100" i="42"/>
  <c r="B101" i="42"/>
  <c r="F100" i="42"/>
  <c r="C100" i="42"/>
  <c r="D100" i="42"/>
  <c r="B101" i="40"/>
  <c r="H100" i="40"/>
  <c r="F100" i="40"/>
  <c r="G100" i="40" s="1"/>
  <c r="D100" i="40"/>
  <c r="C100" i="40"/>
  <c r="F100" i="19"/>
  <c r="G100" i="19" s="1"/>
  <c r="B101" i="19"/>
  <c r="E101" i="19" s="1"/>
  <c r="H100" i="19"/>
  <c r="D100" i="19"/>
  <c r="C100" i="19"/>
  <c r="B101" i="17"/>
  <c r="E101" i="17" s="1"/>
  <c r="H100" i="17"/>
  <c r="F100" i="17"/>
  <c r="G100" i="17" s="1"/>
  <c r="D100" i="17"/>
  <c r="C100" i="17"/>
  <c r="E100" i="42"/>
  <c r="I99" i="40"/>
  <c r="J99" i="40" s="1"/>
  <c r="F102" i="9"/>
  <c r="G102" i="9" s="1"/>
  <c r="B103" i="9"/>
  <c r="E103" i="9" s="1"/>
  <c r="H102" i="9"/>
  <c r="D102" i="9"/>
  <c r="C102" i="9"/>
  <c r="I99" i="19"/>
  <c r="J99" i="19" s="1"/>
  <c r="K99" i="19" s="1"/>
  <c r="L99" i="19" s="1"/>
  <c r="M99" i="19" s="1"/>
  <c r="I99" i="17"/>
  <c r="J99" i="17" s="1"/>
  <c r="K99" i="17" s="1"/>
  <c r="L99" i="17" s="1"/>
  <c r="M99" i="17" s="1"/>
  <c r="H100" i="39"/>
  <c r="F100" i="39"/>
  <c r="G100" i="39" s="1"/>
  <c r="B101" i="39"/>
  <c r="C100" i="39"/>
  <c r="D100" i="39"/>
  <c r="E100" i="18"/>
  <c r="O97" i="26"/>
  <c r="P97" i="26" s="1"/>
  <c r="Q97" i="26" s="1"/>
  <c r="K99" i="40" l="1"/>
  <c r="L99" i="40" s="1"/>
  <c r="M99" i="40" s="1"/>
  <c r="M100" i="8"/>
  <c r="J99" i="39"/>
  <c r="K99" i="39" s="1"/>
  <c r="L99" i="39" s="1"/>
  <c r="M99" i="39" s="1"/>
  <c r="M101" i="4"/>
  <c r="G103" i="26"/>
  <c r="G102" i="26"/>
  <c r="J102" i="26"/>
  <c r="B104" i="26"/>
  <c r="E104" i="26" s="1"/>
  <c r="C103" i="26"/>
  <c r="F103" i="26"/>
  <c r="J103" i="26" s="1"/>
  <c r="D103" i="26"/>
  <c r="H103" i="26"/>
  <c r="I103" i="26" s="1"/>
  <c r="G102" i="25"/>
  <c r="F102" i="25"/>
  <c r="J102" i="25" s="1"/>
  <c r="B103" i="25"/>
  <c r="E103" i="25" s="1"/>
  <c r="H102" i="25"/>
  <c r="I102" i="25" s="1"/>
  <c r="D102" i="25"/>
  <c r="C102" i="25"/>
  <c r="G100" i="18"/>
  <c r="G101" i="25"/>
  <c r="J101" i="25"/>
  <c r="O101" i="25" s="1"/>
  <c r="P101" i="25" s="1"/>
  <c r="Q101" i="25" s="1"/>
  <c r="I100" i="19"/>
  <c r="J100" i="19" s="1"/>
  <c r="K100" i="19" s="1"/>
  <c r="L100" i="19" s="1"/>
  <c r="M100" i="19" s="1"/>
  <c r="I100" i="42"/>
  <c r="G100" i="42"/>
  <c r="I102" i="4"/>
  <c r="J102" i="4" s="1"/>
  <c r="K102" i="4" s="1"/>
  <c r="L102" i="4" s="1"/>
  <c r="M102" i="4" s="1"/>
  <c r="I100" i="18"/>
  <c r="I100" i="40"/>
  <c r="J100" i="40" s="1"/>
  <c r="K100" i="40" s="1"/>
  <c r="L100" i="40" s="1"/>
  <c r="H101" i="40"/>
  <c r="F101" i="40"/>
  <c r="B102" i="40"/>
  <c r="C101" i="40"/>
  <c r="D101" i="40"/>
  <c r="B102" i="42"/>
  <c r="H101" i="42"/>
  <c r="F101" i="42"/>
  <c r="D101" i="42"/>
  <c r="C101" i="42"/>
  <c r="H101" i="41"/>
  <c r="B102" i="41"/>
  <c r="F101" i="41"/>
  <c r="C101" i="41"/>
  <c r="D101" i="41"/>
  <c r="F103" i="9"/>
  <c r="G103" i="9" s="1"/>
  <c r="B104" i="9"/>
  <c r="E104" i="9" s="1"/>
  <c r="H103" i="9"/>
  <c r="D103" i="9"/>
  <c r="C103" i="9"/>
  <c r="B102" i="19"/>
  <c r="E102" i="19" s="1"/>
  <c r="H101" i="19"/>
  <c r="F101" i="19"/>
  <c r="G101" i="19" s="1"/>
  <c r="D101" i="19"/>
  <c r="C101" i="19"/>
  <c r="B103" i="8"/>
  <c r="H102" i="8"/>
  <c r="F102" i="8"/>
  <c r="C102" i="8"/>
  <c r="D102" i="8"/>
  <c r="F101" i="39"/>
  <c r="B102" i="39"/>
  <c r="E102" i="39" s="1"/>
  <c r="H101" i="39"/>
  <c r="C101" i="39"/>
  <c r="D101" i="39"/>
  <c r="I100" i="17"/>
  <c r="J100" i="17" s="1"/>
  <c r="K100" i="17" s="1"/>
  <c r="L100" i="17" s="1"/>
  <c r="M100" i="17" s="1"/>
  <c r="H101" i="17"/>
  <c r="F101" i="17"/>
  <c r="G101" i="17" s="1"/>
  <c r="B102" i="17"/>
  <c r="E102" i="17" s="1"/>
  <c r="C101" i="17"/>
  <c r="D101" i="17"/>
  <c r="E101" i="40"/>
  <c r="E101" i="42"/>
  <c r="I100" i="41"/>
  <c r="J100" i="41" s="1"/>
  <c r="K100" i="41" s="1"/>
  <c r="L100" i="41" s="1"/>
  <c r="M100" i="41" s="1"/>
  <c r="E101" i="41"/>
  <c r="I100" i="39"/>
  <c r="J100" i="39" s="1"/>
  <c r="E101" i="39"/>
  <c r="I102" i="9"/>
  <c r="J102" i="9" s="1"/>
  <c r="K102" i="9" s="1"/>
  <c r="L102" i="9" s="1"/>
  <c r="M102" i="9" s="1"/>
  <c r="F101" i="18"/>
  <c r="G101" i="18" s="1"/>
  <c r="B102" i="18"/>
  <c r="H101" i="18"/>
  <c r="C101" i="18"/>
  <c r="D101" i="18"/>
  <c r="F103" i="4"/>
  <c r="G103" i="4" s="1"/>
  <c r="B104" i="4"/>
  <c r="H103" i="4"/>
  <c r="D103" i="4"/>
  <c r="C103" i="4"/>
  <c r="I101" i="8"/>
  <c r="J101" i="8" s="1"/>
  <c r="K101" i="8" s="1"/>
  <c r="L101" i="8" s="1"/>
  <c r="M101" i="8" s="1"/>
  <c r="E102" i="8"/>
  <c r="O98" i="26"/>
  <c r="P98" i="26" s="1"/>
  <c r="Q98" i="26" s="1"/>
  <c r="M100" i="40" l="1"/>
  <c r="K100" i="39"/>
  <c r="L100" i="39" s="1"/>
  <c r="M100" i="39" s="1"/>
  <c r="J100" i="18"/>
  <c r="K100" i="18" s="1"/>
  <c r="L100" i="18" s="1"/>
  <c r="M100" i="18" s="1"/>
  <c r="J100" i="42"/>
  <c r="K100" i="42" s="1"/>
  <c r="L100" i="42" s="1"/>
  <c r="M100" i="42" s="1"/>
  <c r="G101" i="40"/>
  <c r="G104" i="26"/>
  <c r="F104" i="26"/>
  <c r="J104" i="26" s="1"/>
  <c r="H104" i="26"/>
  <c r="I104" i="26" s="1"/>
  <c r="D104" i="26"/>
  <c r="B105" i="26"/>
  <c r="C104" i="26"/>
  <c r="O102" i="25"/>
  <c r="P102" i="25" s="1"/>
  <c r="Q102" i="25" s="1"/>
  <c r="G103" i="25"/>
  <c r="C103" i="25"/>
  <c r="F103" i="25"/>
  <c r="J103" i="25" s="1"/>
  <c r="B104" i="25"/>
  <c r="E104" i="25" s="1"/>
  <c r="H103" i="25"/>
  <c r="I103" i="25" s="1"/>
  <c r="D103" i="25"/>
  <c r="I101" i="41"/>
  <c r="G101" i="41"/>
  <c r="I101" i="18"/>
  <c r="J101" i="18" s="1"/>
  <c r="I103" i="9"/>
  <c r="J103" i="9" s="1"/>
  <c r="K103" i="9" s="1"/>
  <c r="L103" i="9" s="1"/>
  <c r="M103" i="9" s="1"/>
  <c r="G102" i="8"/>
  <c r="G101" i="39"/>
  <c r="G101" i="42"/>
  <c r="I102" i="8"/>
  <c r="J102" i="8" s="1"/>
  <c r="K102" i="8" s="1"/>
  <c r="L102" i="8" s="1"/>
  <c r="M102" i="8" s="1"/>
  <c r="I101" i="42"/>
  <c r="I101" i="19"/>
  <c r="J101" i="19" s="1"/>
  <c r="K101" i="19" s="1"/>
  <c r="L101" i="19" s="1"/>
  <c r="M101" i="19" s="1"/>
  <c r="I103" i="4"/>
  <c r="J103" i="4" s="1"/>
  <c r="K103" i="4" s="1"/>
  <c r="L103" i="4" s="1"/>
  <c r="M103" i="4" s="1"/>
  <c r="I101" i="17"/>
  <c r="J101" i="17" s="1"/>
  <c r="K101" i="17" s="1"/>
  <c r="L101" i="17" s="1"/>
  <c r="M101" i="17" s="1"/>
  <c r="H103" i="8"/>
  <c r="F103" i="8"/>
  <c r="B104" i="8"/>
  <c r="E104" i="8" s="1"/>
  <c r="D103" i="8"/>
  <c r="C103" i="8"/>
  <c r="F102" i="42"/>
  <c r="B103" i="42"/>
  <c r="H102" i="42"/>
  <c r="D102" i="42"/>
  <c r="C102" i="42"/>
  <c r="F102" i="40"/>
  <c r="B103" i="40"/>
  <c r="E103" i="40" s="1"/>
  <c r="H102" i="40"/>
  <c r="C102" i="40"/>
  <c r="D102" i="40"/>
  <c r="F102" i="41"/>
  <c r="H102" i="41"/>
  <c r="B103" i="41"/>
  <c r="E103" i="41" s="1"/>
  <c r="C102" i="41"/>
  <c r="D102" i="41"/>
  <c r="B105" i="4"/>
  <c r="H104" i="4"/>
  <c r="F104" i="4"/>
  <c r="C104" i="4"/>
  <c r="D104" i="4"/>
  <c r="F102" i="17"/>
  <c r="G102" i="17" s="1"/>
  <c r="B103" i="17"/>
  <c r="E103" i="17" s="1"/>
  <c r="H102" i="17"/>
  <c r="D102" i="17"/>
  <c r="C102" i="17"/>
  <c r="F102" i="39"/>
  <c r="G102" i="39" s="1"/>
  <c r="B103" i="39"/>
  <c r="E103" i="39" s="1"/>
  <c r="H102" i="39"/>
  <c r="D102" i="39"/>
  <c r="C102" i="39"/>
  <c r="E103" i="8"/>
  <c r="I101" i="40"/>
  <c r="E102" i="40"/>
  <c r="F102" i="18"/>
  <c r="B103" i="18"/>
  <c r="E103" i="18" s="1"/>
  <c r="H102" i="18"/>
  <c r="D102" i="18"/>
  <c r="C102" i="18"/>
  <c r="E104" i="4"/>
  <c r="E102" i="18"/>
  <c r="I101" i="39"/>
  <c r="H102" i="19"/>
  <c r="F102" i="19"/>
  <c r="G102" i="19" s="1"/>
  <c r="B103" i="19"/>
  <c r="E103" i="19" s="1"/>
  <c r="D102" i="19"/>
  <c r="C102" i="19"/>
  <c r="B105" i="9"/>
  <c r="E105" i="9" s="1"/>
  <c r="H104" i="9"/>
  <c r="F104" i="9"/>
  <c r="D104" i="9"/>
  <c r="C104" i="9"/>
  <c r="E102" i="41"/>
  <c r="E102" i="42"/>
  <c r="O99" i="26"/>
  <c r="P99" i="26" s="1"/>
  <c r="Q99" i="26" s="1"/>
  <c r="J101" i="40" l="1"/>
  <c r="K101" i="40" s="1"/>
  <c r="L101" i="40" s="1"/>
  <c r="M101" i="40" s="1"/>
  <c r="K101" i="18"/>
  <c r="L101" i="18" s="1"/>
  <c r="M101" i="18" s="1"/>
  <c r="J101" i="39"/>
  <c r="K101" i="39" s="1"/>
  <c r="L101" i="39" s="1"/>
  <c r="M101" i="39" s="1"/>
  <c r="J101" i="42"/>
  <c r="K101" i="42" s="1"/>
  <c r="L101" i="42" s="1"/>
  <c r="M101" i="42" s="1"/>
  <c r="J101" i="41"/>
  <c r="K101" i="41" s="1"/>
  <c r="L101" i="41" s="1"/>
  <c r="M101" i="41" s="1"/>
  <c r="G102" i="42"/>
  <c r="G104" i="4"/>
  <c r="G104" i="9"/>
  <c r="G102" i="40"/>
  <c r="H105" i="26"/>
  <c r="I105" i="26" s="1"/>
  <c r="D105" i="26"/>
  <c r="B106" i="26"/>
  <c r="C105" i="26"/>
  <c r="F105" i="26"/>
  <c r="E105" i="26"/>
  <c r="G104" i="25"/>
  <c r="H104" i="25"/>
  <c r="I104" i="25" s="1"/>
  <c r="D104" i="25"/>
  <c r="C104" i="25"/>
  <c r="F104" i="25"/>
  <c r="J104" i="25" s="1"/>
  <c r="B105" i="25"/>
  <c r="G102" i="18"/>
  <c r="O103" i="25"/>
  <c r="P103" i="25" s="1"/>
  <c r="Q103" i="25" s="1"/>
  <c r="G102" i="41"/>
  <c r="G103" i="8"/>
  <c r="I102" i="19"/>
  <c r="J102" i="19" s="1"/>
  <c r="K102" i="19" s="1"/>
  <c r="L102" i="19" s="1"/>
  <c r="M102" i="19" s="1"/>
  <c r="I103" i="8"/>
  <c r="I102" i="40"/>
  <c r="J102" i="40" s="1"/>
  <c r="I102" i="41"/>
  <c r="J102" i="41" s="1"/>
  <c r="I104" i="4"/>
  <c r="I104" i="9"/>
  <c r="B106" i="9"/>
  <c r="H105" i="9"/>
  <c r="F105" i="9"/>
  <c r="G105" i="9" s="1"/>
  <c r="D105" i="9"/>
  <c r="C105" i="9"/>
  <c r="F103" i="19"/>
  <c r="G103" i="19" s="1"/>
  <c r="B104" i="19"/>
  <c r="H103" i="19"/>
  <c r="D103" i="19"/>
  <c r="C103" i="19"/>
  <c r="I102" i="18"/>
  <c r="J102" i="18" s="1"/>
  <c r="K102" i="18" s="1"/>
  <c r="L102" i="18" s="1"/>
  <c r="B104" i="39"/>
  <c r="E104" i="39" s="1"/>
  <c r="H103" i="39"/>
  <c r="F103" i="39"/>
  <c r="G103" i="39" s="1"/>
  <c r="C103" i="39"/>
  <c r="D103" i="39"/>
  <c r="I102" i="17"/>
  <c r="J102" i="17" s="1"/>
  <c r="K102" i="17" s="1"/>
  <c r="L102" i="17" s="1"/>
  <c r="M102" i="17" s="1"/>
  <c r="B104" i="42"/>
  <c r="E104" i="42" s="1"/>
  <c r="F103" i="42"/>
  <c r="H103" i="42"/>
  <c r="D103" i="42"/>
  <c r="C103" i="42"/>
  <c r="B106" i="4"/>
  <c r="E106" i="4" s="1"/>
  <c r="H105" i="4"/>
  <c r="F105" i="4"/>
  <c r="C105" i="4"/>
  <c r="D105" i="4"/>
  <c r="B104" i="41"/>
  <c r="E104" i="41" s="1"/>
  <c r="F103" i="41"/>
  <c r="G103" i="41" s="1"/>
  <c r="H103" i="41"/>
  <c r="C103" i="41"/>
  <c r="D103" i="41"/>
  <c r="B104" i="18"/>
  <c r="E104" i="18" s="1"/>
  <c r="H103" i="18"/>
  <c r="F103" i="18"/>
  <c r="G103" i="18" s="1"/>
  <c r="D103" i="18"/>
  <c r="C103" i="18"/>
  <c r="I102" i="39"/>
  <c r="J102" i="39" s="1"/>
  <c r="F103" i="17"/>
  <c r="G103" i="17" s="1"/>
  <c r="B104" i="17"/>
  <c r="E104" i="17" s="1"/>
  <c r="H103" i="17"/>
  <c r="D103" i="17"/>
  <c r="C103" i="17"/>
  <c r="E105" i="4"/>
  <c r="F103" i="40"/>
  <c r="G103" i="40" s="1"/>
  <c r="B104" i="40"/>
  <c r="E104" i="40" s="1"/>
  <c r="H103" i="40"/>
  <c r="C103" i="40"/>
  <c r="D103" i="40"/>
  <c r="I102" i="42"/>
  <c r="J102" i="42" s="1"/>
  <c r="E103" i="42"/>
  <c r="H104" i="8"/>
  <c r="F104" i="8"/>
  <c r="B105" i="8"/>
  <c r="D104" i="8"/>
  <c r="C104" i="8"/>
  <c r="O100" i="26"/>
  <c r="P100" i="26" s="1"/>
  <c r="Q100" i="26" s="1"/>
  <c r="K102" i="41" l="1"/>
  <c r="L102" i="41" s="1"/>
  <c r="M102" i="41" s="1"/>
  <c r="M102" i="18"/>
  <c r="K102" i="40"/>
  <c r="L102" i="40" s="1"/>
  <c r="M102" i="40" s="1"/>
  <c r="K102" i="39"/>
  <c r="L102" i="39" s="1"/>
  <c r="M102" i="39" s="1"/>
  <c r="K102" i="42"/>
  <c r="L102" i="42" s="1"/>
  <c r="M102" i="42" s="1"/>
  <c r="J103" i="8"/>
  <c r="K103" i="8" s="1"/>
  <c r="L103" i="8" s="1"/>
  <c r="M103" i="8" s="1"/>
  <c r="J104" i="9"/>
  <c r="K104" i="9" s="1"/>
  <c r="L104" i="9" s="1"/>
  <c r="M104" i="9" s="1"/>
  <c r="J104" i="4"/>
  <c r="K104" i="4" s="1"/>
  <c r="L104" i="4" s="1"/>
  <c r="M104" i="4" s="1"/>
  <c r="G104" i="8"/>
  <c r="G105" i="26"/>
  <c r="J105" i="26"/>
  <c r="H106" i="26"/>
  <c r="I106" i="26" s="1"/>
  <c r="D106" i="26"/>
  <c r="B107" i="26"/>
  <c r="C106" i="26"/>
  <c r="E107" i="26"/>
  <c r="F106" i="26"/>
  <c r="E106" i="26"/>
  <c r="B106" i="25"/>
  <c r="E106" i="25" s="1"/>
  <c r="H105" i="25"/>
  <c r="I105" i="25" s="1"/>
  <c r="D105" i="25"/>
  <c r="C105" i="25"/>
  <c r="F105" i="25"/>
  <c r="O104" i="25"/>
  <c r="P104" i="25" s="1"/>
  <c r="Q104" i="25" s="1"/>
  <c r="E105" i="25"/>
  <c r="G103" i="42"/>
  <c r="I105" i="9"/>
  <c r="J105" i="9" s="1"/>
  <c r="G105" i="4"/>
  <c r="I104" i="8"/>
  <c r="J104" i="8" s="1"/>
  <c r="I103" i="39"/>
  <c r="J103" i="39" s="1"/>
  <c r="K103" i="39" s="1"/>
  <c r="L103" i="39" s="1"/>
  <c r="I103" i="40"/>
  <c r="J103" i="40" s="1"/>
  <c r="K103" i="40" s="1"/>
  <c r="L103" i="40" s="1"/>
  <c r="I103" i="17"/>
  <c r="J103" i="17" s="1"/>
  <c r="K103" i="17" s="1"/>
  <c r="L103" i="17" s="1"/>
  <c r="M103" i="17" s="1"/>
  <c r="I103" i="18"/>
  <c r="J103" i="18" s="1"/>
  <c r="K103" i="18" s="1"/>
  <c r="L103" i="18" s="1"/>
  <c r="M103" i="18" s="1"/>
  <c r="I105" i="4"/>
  <c r="F104" i="19"/>
  <c r="B105" i="19"/>
  <c r="H104" i="19"/>
  <c r="D104" i="19"/>
  <c r="C104" i="19"/>
  <c r="H106" i="9"/>
  <c r="F106" i="9"/>
  <c r="B107" i="9"/>
  <c r="E107" i="9" s="1"/>
  <c r="D106" i="9"/>
  <c r="C106" i="9"/>
  <c r="F105" i="8"/>
  <c r="B106" i="8"/>
  <c r="H105" i="8"/>
  <c r="C105" i="8"/>
  <c r="D105" i="8"/>
  <c r="B105" i="17"/>
  <c r="E105" i="17" s="1"/>
  <c r="H104" i="17"/>
  <c r="F104" i="17"/>
  <c r="D104" i="17"/>
  <c r="C104" i="17"/>
  <c r="E105" i="8"/>
  <c r="B105" i="40"/>
  <c r="E105" i="40" s="1"/>
  <c r="H104" i="40"/>
  <c r="F104" i="40"/>
  <c r="G104" i="40" s="1"/>
  <c r="C104" i="40"/>
  <c r="D104" i="40"/>
  <c r="I103" i="41"/>
  <c r="J103" i="41" s="1"/>
  <c r="K103" i="41" s="1"/>
  <c r="L103" i="41" s="1"/>
  <c r="I103" i="42"/>
  <c r="B105" i="42"/>
  <c r="E105" i="42" s="1"/>
  <c r="H104" i="42"/>
  <c r="F104" i="42"/>
  <c r="G104" i="42" s="1"/>
  <c r="C104" i="42"/>
  <c r="D104" i="42"/>
  <c r="I103" i="19"/>
  <c r="J103" i="19" s="1"/>
  <c r="K103" i="19" s="1"/>
  <c r="L103" i="19" s="1"/>
  <c r="M103" i="19" s="1"/>
  <c r="E104" i="19"/>
  <c r="E106" i="9"/>
  <c r="B105" i="18"/>
  <c r="H104" i="18"/>
  <c r="F104" i="18"/>
  <c r="G104" i="18" s="1"/>
  <c r="C104" i="18"/>
  <c r="D104" i="18"/>
  <c r="B105" i="41"/>
  <c r="F104" i="41"/>
  <c r="G104" i="41" s="1"/>
  <c r="H104" i="41"/>
  <c r="C104" i="41"/>
  <c r="D104" i="41"/>
  <c r="H106" i="4"/>
  <c r="F106" i="4"/>
  <c r="G106" i="4" s="1"/>
  <c r="B107" i="4"/>
  <c r="E107" i="4" s="1"/>
  <c r="D106" i="4"/>
  <c r="C106" i="4"/>
  <c r="B105" i="39"/>
  <c r="H104" i="39"/>
  <c r="F104" i="39"/>
  <c r="G104" i="39" s="1"/>
  <c r="C104" i="39"/>
  <c r="D104" i="39"/>
  <c r="O101" i="26"/>
  <c r="P101" i="26" s="1"/>
  <c r="Q101" i="26" s="1"/>
  <c r="M103" i="41" l="1"/>
  <c r="M103" i="40"/>
  <c r="M103" i="39"/>
  <c r="K104" i="8"/>
  <c r="L104" i="8" s="1"/>
  <c r="M104" i="8" s="1"/>
  <c r="J103" i="42"/>
  <c r="K103" i="42" s="1"/>
  <c r="L103" i="42" s="1"/>
  <c r="M103" i="42" s="1"/>
  <c r="K105" i="9"/>
  <c r="L105" i="9" s="1"/>
  <c r="M105" i="9" s="1"/>
  <c r="J105" i="4"/>
  <c r="K105" i="4" s="1"/>
  <c r="L105" i="4" s="1"/>
  <c r="M105" i="4" s="1"/>
  <c r="G107" i="26"/>
  <c r="G106" i="26"/>
  <c r="J106" i="26"/>
  <c r="B108" i="26"/>
  <c r="E108" i="26" s="1"/>
  <c r="C107" i="26"/>
  <c r="F107" i="26"/>
  <c r="J107" i="26" s="1"/>
  <c r="H107" i="26"/>
  <c r="I107" i="26" s="1"/>
  <c r="D107" i="26"/>
  <c r="G106" i="25"/>
  <c r="G105" i="25"/>
  <c r="J105" i="25"/>
  <c r="O105" i="25" s="1"/>
  <c r="P105" i="25" s="1"/>
  <c r="Q105" i="25" s="1"/>
  <c r="F106" i="25"/>
  <c r="J106" i="25" s="1"/>
  <c r="B107" i="25"/>
  <c r="H106" i="25"/>
  <c r="I106" i="25" s="1"/>
  <c r="D106" i="25"/>
  <c r="C106" i="25"/>
  <c r="G104" i="19"/>
  <c r="G104" i="17"/>
  <c r="G105" i="8"/>
  <c r="G106" i="9"/>
  <c r="I104" i="18"/>
  <c r="J104" i="18" s="1"/>
  <c r="K104" i="18" s="1"/>
  <c r="L104" i="18" s="1"/>
  <c r="M104" i="18" s="1"/>
  <c r="I104" i="39"/>
  <c r="J104" i="39" s="1"/>
  <c r="K104" i="39" s="1"/>
  <c r="L104" i="39" s="1"/>
  <c r="M104" i="39" s="1"/>
  <c r="I105" i="8"/>
  <c r="I104" i="42"/>
  <c r="J104" i="42" s="1"/>
  <c r="H105" i="42"/>
  <c r="F105" i="42"/>
  <c r="G105" i="42" s="1"/>
  <c r="B106" i="42"/>
  <c r="D105" i="42"/>
  <c r="C105" i="42"/>
  <c r="I104" i="40"/>
  <c r="J104" i="40" s="1"/>
  <c r="K104" i="40" s="1"/>
  <c r="L104" i="40" s="1"/>
  <c r="M104" i="40" s="1"/>
  <c r="I104" i="17"/>
  <c r="B106" i="17"/>
  <c r="H105" i="17"/>
  <c r="F105" i="17"/>
  <c r="G105" i="17" s="1"/>
  <c r="C105" i="17"/>
  <c r="D105" i="17"/>
  <c r="I106" i="4"/>
  <c r="J106" i="4" s="1"/>
  <c r="I104" i="41"/>
  <c r="J104" i="41" s="1"/>
  <c r="K104" i="41" s="1"/>
  <c r="L104" i="41" s="1"/>
  <c r="M104" i="41" s="1"/>
  <c r="H105" i="41"/>
  <c r="B106" i="41"/>
  <c r="E106" i="41" s="1"/>
  <c r="F105" i="41"/>
  <c r="C105" i="41"/>
  <c r="D105" i="41"/>
  <c r="F106" i="8"/>
  <c r="B107" i="8"/>
  <c r="E107" i="8" s="1"/>
  <c r="H106" i="8"/>
  <c r="C106" i="8"/>
  <c r="D106" i="8"/>
  <c r="I106" i="9"/>
  <c r="H105" i="39"/>
  <c r="F105" i="39"/>
  <c r="B106" i="39"/>
  <c r="E106" i="39" s="1"/>
  <c r="C105" i="39"/>
  <c r="D105" i="39"/>
  <c r="H105" i="18"/>
  <c r="F105" i="18"/>
  <c r="B106" i="18"/>
  <c r="E106" i="18" s="1"/>
  <c r="C105" i="18"/>
  <c r="D105" i="18"/>
  <c r="F105" i="19"/>
  <c r="B106" i="19"/>
  <c r="E106" i="19" s="1"/>
  <c r="H105" i="19"/>
  <c r="D105" i="19"/>
  <c r="C105" i="19"/>
  <c r="E105" i="39"/>
  <c r="F107" i="4"/>
  <c r="G107" i="4" s="1"/>
  <c r="B108" i="4"/>
  <c r="E108" i="4" s="1"/>
  <c r="H107" i="4"/>
  <c r="D107" i="4"/>
  <c r="C107" i="4"/>
  <c r="E105" i="41"/>
  <c r="E105" i="18"/>
  <c r="B106" i="40"/>
  <c r="E106" i="40" s="1"/>
  <c r="H105" i="40"/>
  <c r="F105" i="40"/>
  <c r="G105" i="40" s="1"/>
  <c r="D105" i="40"/>
  <c r="C105" i="40"/>
  <c r="E106" i="8"/>
  <c r="F107" i="9"/>
  <c r="G107" i="9" s="1"/>
  <c r="B108" i="9"/>
  <c r="E108" i="9" s="1"/>
  <c r="H107" i="9"/>
  <c r="D107" i="9"/>
  <c r="C107" i="9"/>
  <c r="I104" i="19"/>
  <c r="E105" i="19"/>
  <c r="O102" i="26"/>
  <c r="P102" i="26" s="1"/>
  <c r="Q102" i="26" s="1"/>
  <c r="K106" i="4" l="1"/>
  <c r="L106" i="4" s="1"/>
  <c r="M106" i="4" s="1"/>
  <c r="K104" i="42"/>
  <c r="L104" i="42" s="1"/>
  <c r="M104" i="42" s="1"/>
  <c r="J105" i="8"/>
  <c r="K105" i="8" s="1"/>
  <c r="L105" i="8" s="1"/>
  <c r="M105" i="8" s="1"/>
  <c r="J106" i="9"/>
  <c r="K106" i="9" s="1"/>
  <c r="L106" i="9" s="1"/>
  <c r="M106" i="9" s="1"/>
  <c r="J104" i="17"/>
  <c r="K104" i="17" s="1"/>
  <c r="L104" i="17" s="1"/>
  <c r="M104" i="17" s="1"/>
  <c r="I105" i="42"/>
  <c r="J105" i="42" s="1"/>
  <c r="K105" i="42" s="1"/>
  <c r="L105" i="42" s="1"/>
  <c r="G108" i="26"/>
  <c r="F108" i="26"/>
  <c r="J108" i="26" s="1"/>
  <c r="H108" i="26"/>
  <c r="I108" i="26" s="1"/>
  <c r="D108" i="26"/>
  <c r="C108" i="26"/>
  <c r="B109" i="26"/>
  <c r="O106" i="25"/>
  <c r="P106" i="25" s="1"/>
  <c r="Q106" i="25" s="1"/>
  <c r="C107" i="25"/>
  <c r="F107" i="25"/>
  <c r="B108" i="25"/>
  <c r="E108" i="25" s="1"/>
  <c r="H107" i="25"/>
  <c r="I107" i="25" s="1"/>
  <c r="D107" i="25"/>
  <c r="E107" i="25"/>
  <c r="I105" i="18"/>
  <c r="G105" i="41"/>
  <c r="I105" i="19"/>
  <c r="J104" i="19"/>
  <c r="K104" i="19" s="1"/>
  <c r="L104" i="19" s="1"/>
  <c r="M104" i="19" s="1"/>
  <c r="G106" i="8"/>
  <c r="I105" i="40"/>
  <c r="J105" i="40" s="1"/>
  <c r="K105" i="40" s="1"/>
  <c r="L105" i="40" s="1"/>
  <c r="M105" i="40" s="1"/>
  <c r="G105" i="18"/>
  <c r="G105" i="39"/>
  <c r="I105" i="41"/>
  <c r="I105" i="39"/>
  <c r="F108" i="9"/>
  <c r="G108" i="9" s="1"/>
  <c r="B109" i="9"/>
  <c r="H108" i="9"/>
  <c r="D108" i="9"/>
  <c r="C108" i="9"/>
  <c r="H106" i="40"/>
  <c r="F106" i="40"/>
  <c r="G106" i="40" s="1"/>
  <c r="B107" i="40"/>
  <c r="D106" i="40"/>
  <c r="C106" i="40"/>
  <c r="I107" i="4"/>
  <c r="J107" i="4" s="1"/>
  <c r="K107" i="4" s="1"/>
  <c r="L107" i="4" s="1"/>
  <c r="I106" i="8"/>
  <c r="I105" i="17"/>
  <c r="J105" i="17" s="1"/>
  <c r="H106" i="17"/>
  <c r="F106" i="17"/>
  <c r="B107" i="17"/>
  <c r="C106" i="17"/>
  <c r="D106" i="17"/>
  <c r="I107" i="9"/>
  <c r="J107" i="9" s="1"/>
  <c r="B107" i="19"/>
  <c r="E107" i="19" s="1"/>
  <c r="H106" i="19"/>
  <c r="F106" i="19"/>
  <c r="G106" i="19" s="1"/>
  <c r="C106" i="19"/>
  <c r="D106" i="19"/>
  <c r="F106" i="18"/>
  <c r="G106" i="18" s="1"/>
  <c r="B107" i="18"/>
  <c r="H106" i="18"/>
  <c r="D106" i="18"/>
  <c r="C106" i="18"/>
  <c r="F106" i="42"/>
  <c r="H106" i="42"/>
  <c r="B107" i="42"/>
  <c r="E107" i="42" s="1"/>
  <c r="C106" i="42"/>
  <c r="D106" i="42"/>
  <c r="B108" i="8"/>
  <c r="H107" i="8"/>
  <c r="F107" i="8"/>
  <c r="G107" i="8" s="1"/>
  <c r="D107" i="8"/>
  <c r="C107" i="8"/>
  <c r="H106" i="41"/>
  <c r="B107" i="41"/>
  <c r="F106" i="41"/>
  <c r="G106" i="41" s="1"/>
  <c r="C106" i="41"/>
  <c r="D106" i="41"/>
  <c r="E106" i="17"/>
  <c r="E106" i="42"/>
  <c r="G105" i="19"/>
  <c r="F108" i="4"/>
  <c r="G108" i="4" s="1"/>
  <c r="B109" i="4"/>
  <c r="E109" i="4" s="1"/>
  <c r="H108" i="4"/>
  <c r="C108" i="4"/>
  <c r="D108" i="4"/>
  <c r="F106" i="39"/>
  <c r="G106" i="39" s="1"/>
  <c r="B107" i="39"/>
  <c r="H106" i="39"/>
  <c r="C106" i="39"/>
  <c r="D106" i="39"/>
  <c r="O103" i="26"/>
  <c r="P103" i="26" s="1"/>
  <c r="Q103" i="26" s="1"/>
  <c r="K107" i="9" l="1"/>
  <c r="L107" i="9" s="1"/>
  <c r="M107" i="9" s="1"/>
  <c r="M107" i="4"/>
  <c r="M105" i="42"/>
  <c r="J105" i="39"/>
  <c r="K105" i="39" s="1"/>
  <c r="L105" i="39" s="1"/>
  <c r="M105" i="39" s="1"/>
  <c r="J106" i="8"/>
  <c r="K106" i="8" s="1"/>
  <c r="L106" i="8" s="1"/>
  <c r="M106" i="8" s="1"/>
  <c r="K105" i="17"/>
  <c r="L105" i="17" s="1"/>
  <c r="M105" i="17" s="1"/>
  <c r="J105" i="41"/>
  <c r="K105" i="41" s="1"/>
  <c r="L105" i="41" s="1"/>
  <c r="M105" i="41" s="1"/>
  <c r="J105" i="18"/>
  <c r="K105" i="18" s="1"/>
  <c r="L105" i="18" s="1"/>
  <c r="M105" i="18" s="1"/>
  <c r="J105" i="19"/>
  <c r="K105" i="19" s="1"/>
  <c r="L105" i="19" s="1"/>
  <c r="M105" i="19" s="1"/>
  <c r="I106" i="40"/>
  <c r="J106" i="40" s="1"/>
  <c r="K106" i="40" s="1"/>
  <c r="L106" i="40" s="1"/>
  <c r="M106" i="40" s="1"/>
  <c r="I106" i="17"/>
  <c r="H109" i="26"/>
  <c r="I109" i="26" s="1"/>
  <c r="D109" i="26"/>
  <c r="B110" i="26"/>
  <c r="C109" i="26"/>
  <c r="F109" i="26"/>
  <c r="E109" i="26"/>
  <c r="G108" i="25"/>
  <c r="G107" i="25"/>
  <c r="J107" i="25"/>
  <c r="O107" i="25" s="1"/>
  <c r="P107" i="25" s="1"/>
  <c r="Q107" i="25" s="1"/>
  <c r="H108" i="25"/>
  <c r="I108" i="25" s="1"/>
  <c r="D108" i="25"/>
  <c r="C108" i="25"/>
  <c r="F108" i="25"/>
  <c r="J108" i="25" s="1"/>
  <c r="B109" i="25"/>
  <c r="G106" i="17"/>
  <c r="I106" i="41"/>
  <c r="J106" i="41" s="1"/>
  <c r="I107" i="8"/>
  <c r="J107" i="8" s="1"/>
  <c r="G106" i="42"/>
  <c r="I106" i="18"/>
  <c r="J106" i="18" s="1"/>
  <c r="I108" i="9"/>
  <c r="J108" i="9" s="1"/>
  <c r="K108" i="9" s="1"/>
  <c r="L108" i="9" s="1"/>
  <c r="F107" i="39"/>
  <c r="B108" i="39"/>
  <c r="H107" i="39"/>
  <c r="C107" i="39"/>
  <c r="D107" i="39"/>
  <c r="I108" i="4"/>
  <c r="J108" i="4" s="1"/>
  <c r="K108" i="4" s="1"/>
  <c r="L108" i="4" s="1"/>
  <c r="M108" i="4" s="1"/>
  <c r="F107" i="18"/>
  <c r="B108" i="18"/>
  <c r="H107" i="18"/>
  <c r="D107" i="18"/>
  <c r="C107" i="18"/>
  <c r="I106" i="19"/>
  <c r="J106" i="19" s="1"/>
  <c r="H107" i="19"/>
  <c r="F107" i="19"/>
  <c r="G107" i="19" s="1"/>
  <c r="B108" i="19"/>
  <c r="D107" i="19"/>
  <c r="C107" i="19"/>
  <c r="B110" i="9"/>
  <c r="E110" i="9" s="1"/>
  <c r="H109" i="9"/>
  <c r="F109" i="9"/>
  <c r="D109" i="9"/>
  <c r="C109" i="9"/>
  <c r="F107" i="41"/>
  <c r="H107" i="41"/>
  <c r="B108" i="41"/>
  <c r="E108" i="41" s="1"/>
  <c r="D107" i="41"/>
  <c r="C107" i="41"/>
  <c r="F107" i="17"/>
  <c r="B108" i="17"/>
  <c r="E108" i="17" s="1"/>
  <c r="H107" i="17"/>
  <c r="C107" i="17"/>
  <c r="D107" i="17"/>
  <c r="F107" i="40"/>
  <c r="B108" i="40"/>
  <c r="H107" i="40"/>
  <c r="D107" i="40"/>
  <c r="C107" i="40"/>
  <c r="H108" i="8"/>
  <c r="F108" i="8"/>
  <c r="B109" i="8"/>
  <c r="E109" i="8" s="1"/>
  <c r="C108" i="8"/>
  <c r="D108" i="8"/>
  <c r="I106" i="39"/>
  <c r="J106" i="39" s="1"/>
  <c r="E107" i="39"/>
  <c r="B110" i="4"/>
  <c r="E110" i="4" s="1"/>
  <c r="H109" i="4"/>
  <c r="F109" i="4"/>
  <c r="G109" i="4" s="1"/>
  <c r="D109" i="4"/>
  <c r="C109" i="4"/>
  <c r="E107" i="41"/>
  <c r="I106" i="42"/>
  <c r="E107" i="18"/>
  <c r="E109" i="9"/>
  <c r="E108" i="8"/>
  <c r="F107" i="42"/>
  <c r="G107" i="42" s="1"/>
  <c r="B108" i="42"/>
  <c r="E108" i="42" s="1"/>
  <c r="H107" i="42"/>
  <c r="D107" i="42"/>
  <c r="C107" i="42"/>
  <c r="E107" i="17"/>
  <c r="E107" i="40"/>
  <c r="O104" i="26"/>
  <c r="P104" i="26" s="1"/>
  <c r="Q104" i="26" s="1"/>
  <c r="M108" i="9" l="1"/>
  <c r="K106" i="39"/>
  <c r="L106" i="39" s="1"/>
  <c r="M106" i="39" s="1"/>
  <c r="K107" i="8"/>
  <c r="L107" i="8" s="1"/>
  <c r="M107" i="8" s="1"/>
  <c r="K106" i="41"/>
  <c r="L106" i="41" s="1"/>
  <c r="M106" i="41" s="1"/>
  <c r="J106" i="42"/>
  <c r="K106" i="42" s="1"/>
  <c r="L106" i="42" s="1"/>
  <c r="M106" i="42" s="1"/>
  <c r="J106" i="17"/>
  <c r="K106" i="17" s="1"/>
  <c r="L106" i="17" s="1"/>
  <c r="M106" i="17" s="1"/>
  <c r="K106" i="18"/>
  <c r="L106" i="18" s="1"/>
  <c r="M106" i="18" s="1"/>
  <c r="K106" i="19"/>
  <c r="L106" i="19" s="1"/>
  <c r="M106" i="19" s="1"/>
  <c r="G107" i="17"/>
  <c r="G107" i="18"/>
  <c r="G107" i="41"/>
  <c r="I107" i="19"/>
  <c r="J107" i="19" s="1"/>
  <c r="K107" i="19" s="1"/>
  <c r="L107" i="19" s="1"/>
  <c r="G107" i="39"/>
  <c r="G107" i="40"/>
  <c r="G109" i="26"/>
  <c r="J109" i="26"/>
  <c r="H110" i="26"/>
  <c r="I110" i="26" s="1"/>
  <c r="D110" i="26"/>
  <c r="B111" i="26"/>
  <c r="C110" i="26"/>
  <c r="E111" i="26"/>
  <c r="F110" i="26"/>
  <c r="E110" i="26"/>
  <c r="O108" i="25"/>
  <c r="P108" i="25" s="1"/>
  <c r="Q108" i="25" s="1"/>
  <c r="B110" i="25"/>
  <c r="E110" i="25" s="1"/>
  <c r="H109" i="25"/>
  <c r="I109" i="25" s="1"/>
  <c r="D109" i="25"/>
  <c r="C109" i="25"/>
  <c r="F109" i="25"/>
  <c r="E109" i="25"/>
  <c r="I107" i="39"/>
  <c r="G108" i="8"/>
  <c r="I109" i="9"/>
  <c r="I109" i="4"/>
  <c r="J109" i="4" s="1"/>
  <c r="K109" i="4" s="1"/>
  <c r="L109" i="4" s="1"/>
  <c r="M109" i="4" s="1"/>
  <c r="I108" i="8"/>
  <c r="J108" i="8" s="1"/>
  <c r="K108" i="8" s="1"/>
  <c r="L108" i="8" s="1"/>
  <c r="G109" i="9"/>
  <c r="I107" i="40"/>
  <c r="I107" i="17"/>
  <c r="J107" i="17" s="1"/>
  <c r="B109" i="42"/>
  <c r="E109" i="42" s="1"/>
  <c r="H108" i="42"/>
  <c r="F108" i="42"/>
  <c r="G108" i="42" s="1"/>
  <c r="D108" i="42"/>
  <c r="C108" i="42"/>
  <c r="I107" i="42"/>
  <c r="J107" i="42" s="1"/>
  <c r="H110" i="4"/>
  <c r="F110" i="4"/>
  <c r="G110" i="4" s="1"/>
  <c r="B111" i="4"/>
  <c r="D110" i="4"/>
  <c r="C110" i="4"/>
  <c r="I107" i="41"/>
  <c r="J107" i="41" s="1"/>
  <c r="K107" i="41" s="1"/>
  <c r="L107" i="41" s="1"/>
  <c r="F108" i="19"/>
  <c r="B109" i="19"/>
  <c r="E109" i="19" s="1"/>
  <c r="H108" i="19"/>
  <c r="D108" i="19"/>
  <c r="C108" i="19"/>
  <c r="B109" i="18"/>
  <c r="E109" i="18" s="1"/>
  <c r="H108" i="18"/>
  <c r="F108" i="18"/>
  <c r="D108" i="18"/>
  <c r="C108" i="18"/>
  <c r="B109" i="39"/>
  <c r="H108" i="39"/>
  <c r="F108" i="39"/>
  <c r="D108" i="39"/>
  <c r="C108" i="39"/>
  <c r="F109" i="8"/>
  <c r="G109" i="8" s="1"/>
  <c r="B110" i="8"/>
  <c r="E110" i="8" s="1"/>
  <c r="H109" i="8"/>
  <c r="D109" i="8"/>
  <c r="C109" i="8"/>
  <c r="F108" i="40"/>
  <c r="B109" i="40"/>
  <c r="H108" i="40"/>
  <c r="D108" i="40"/>
  <c r="C108" i="40"/>
  <c r="B109" i="41"/>
  <c r="E109" i="41" s="1"/>
  <c r="H108" i="41"/>
  <c r="F108" i="41"/>
  <c r="G108" i="41" s="1"/>
  <c r="D108" i="41"/>
  <c r="C108" i="41"/>
  <c r="H110" i="9"/>
  <c r="F110" i="9"/>
  <c r="G110" i="9" s="1"/>
  <c r="B111" i="9"/>
  <c r="E111" i="9" s="1"/>
  <c r="C110" i="9"/>
  <c r="D110" i="9"/>
  <c r="I107" i="18"/>
  <c r="J107" i="18" s="1"/>
  <c r="K107" i="18" s="1"/>
  <c r="L107" i="18" s="1"/>
  <c r="E108" i="40"/>
  <c r="F108" i="17"/>
  <c r="G108" i="17" s="1"/>
  <c r="B109" i="17"/>
  <c r="H108" i="17"/>
  <c r="D108" i="17"/>
  <c r="C108" i="17"/>
  <c r="E108" i="19"/>
  <c r="E108" i="18"/>
  <c r="E108" i="39"/>
  <c r="O105" i="26"/>
  <c r="P105" i="26" s="1"/>
  <c r="Q105" i="26" s="1"/>
  <c r="M108" i="8" l="1"/>
  <c r="K107" i="17"/>
  <c r="L107" i="17" s="1"/>
  <c r="M107" i="17" s="1"/>
  <c r="M107" i="41"/>
  <c r="K107" i="42"/>
  <c r="L107" i="42" s="1"/>
  <c r="M107" i="42" s="1"/>
  <c r="M107" i="18"/>
  <c r="M107" i="19"/>
  <c r="J107" i="39"/>
  <c r="K107" i="39" s="1"/>
  <c r="L107" i="39" s="1"/>
  <c r="M107" i="39" s="1"/>
  <c r="J107" i="40"/>
  <c r="K107" i="40" s="1"/>
  <c r="L107" i="40" s="1"/>
  <c r="M107" i="40" s="1"/>
  <c r="J109" i="9"/>
  <c r="K109" i="9" s="1"/>
  <c r="L109" i="9" s="1"/>
  <c r="M109" i="9" s="1"/>
  <c r="G108" i="39"/>
  <c r="G108" i="18"/>
  <c r="G108" i="19"/>
  <c r="G111" i="26"/>
  <c r="G110" i="26"/>
  <c r="J110" i="26"/>
  <c r="B112" i="26"/>
  <c r="E112" i="26" s="1"/>
  <c r="C111" i="26"/>
  <c r="F111" i="26"/>
  <c r="J111" i="26" s="1"/>
  <c r="H111" i="26"/>
  <c r="I111" i="26" s="1"/>
  <c r="D111" i="26"/>
  <c r="G110" i="25"/>
  <c r="F110" i="25"/>
  <c r="J110" i="25" s="1"/>
  <c r="B111" i="25"/>
  <c r="E111" i="25" s="1"/>
  <c r="H110" i="25"/>
  <c r="I110" i="25" s="1"/>
  <c r="D110" i="25"/>
  <c r="C110" i="25"/>
  <c r="G109" i="25"/>
  <c r="J109" i="25"/>
  <c r="O109" i="25" s="1"/>
  <c r="P109" i="25" s="1"/>
  <c r="Q109" i="25" s="1"/>
  <c r="I108" i="18"/>
  <c r="I108" i="40"/>
  <c r="I110" i="9"/>
  <c r="J110" i="9" s="1"/>
  <c r="I108" i="41"/>
  <c r="J108" i="41" s="1"/>
  <c r="K108" i="41" s="1"/>
  <c r="L108" i="41" s="1"/>
  <c r="M108" i="41" s="1"/>
  <c r="I108" i="39"/>
  <c r="I108" i="42"/>
  <c r="J108" i="42" s="1"/>
  <c r="K108" i="42" s="1"/>
  <c r="L108" i="42" s="1"/>
  <c r="B110" i="17"/>
  <c r="H109" i="17"/>
  <c r="F109" i="17"/>
  <c r="D109" i="17"/>
  <c r="C109" i="17"/>
  <c r="G108" i="40"/>
  <c r="B110" i="40"/>
  <c r="H109" i="40"/>
  <c r="F109" i="40"/>
  <c r="C109" i="40"/>
  <c r="D109" i="40"/>
  <c r="H109" i="39"/>
  <c r="F109" i="39"/>
  <c r="B110" i="39"/>
  <c r="D109" i="39"/>
  <c r="C109" i="39"/>
  <c r="F111" i="4"/>
  <c r="B112" i="4"/>
  <c r="H111" i="4"/>
  <c r="D111" i="4"/>
  <c r="C111" i="4"/>
  <c r="H109" i="42"/>
  <c r="F109" i="42"/>
  <c r="G109" i="42" s="1"/>
  <c r="B110" i="42"/>
  <c r="C109" i="42"/>
  <c r="D109" i="42"/>
  <c r="I108" i="17"/>
  <c r="J108" i="17" s="1"/>
  <c r="K108" i="17" s="1"/>
  <c r="L108" i="17" s="1"/>
  <c r="H109" i="41"/>
  <c r="B110" i="41"/>
  <c r="E110" i="41" s="1"/>
  <c r="F109" i="41"/>
  <c r="G109" i="41" s="1"/>
  <c r="C109" i="41"/>
  <c r="D109" i="41"/>
  <c r="E109" i="40"/>
  <c r="F110" i="8"/>
  <c r="G110" i="8" s="1"/>
  <c r="B111" i="8"/>
  <c r="H110" i="8"/>
  <c r="C110" i="8"/>
  <c r="D110" i="8"/>
  <c r="E109" i="39"/>
  <c r="H109" i="18"/>
  <c r="F109" i="18"/>
  <c r="G109" i="18" s="1"/>
  <c r="B110" i="18"/>
  <c r="E110" i="18" s="1"/>
  <c r="D109" i="18"/>
  <c r="C109" i="18"/>
  <c r="F109" i="19"/>
  <c r="G109" i="19" s="1"/>
  <c r="B110" i="19"/>
  <c r="H109" i="19"/>
  <c r="C109" i="19"/>
  <c r="D109" i="19"/>
  <c r="I110" i="4"/>
  <c r="J110" i="4" s="1"/>
  <c r="K110" i="4" s="1"/>
  <c r="L110" i="4" s="1"/>
  <c r="M110" i="4" s="1"/>
  <c r="E111" i="4"/>
  <c r="E109" i="17"/>
  <c r="F111" i="9"/>
  <c r="G111" i="9" s="1"/>
  <c r="B112" i="9"/>
  <c r="H111" i="9"/>
  <c r="D111" i="9"/>
  <c r="C111" i="9"/>
  <c r="I109" i="8"/>
  <c r="J109" i="8" s="1"/>
  <c r="K109" i="8" s="1"/>
  <c r="L109" i="8" s="1"/>
  <c r="M109" i="8" s="1"/>
  <c r="I108" i="19"/>
  <c r="O106" i="26"/>
  <c r="P106" i="26" s="1"/>
  <c r="Q106" i="26" s="1"/>
  <c r="M108" i="17" l="1"/>
  <c r="M108" i="42"/>
  <c r="J108" i="19"/>
  <c r="K108" i="19" s="1"/>
  <c r="L108" i="19" s="1"/>
  <c r="M108" i="19" s="1"/>
  <c r="J108" i="18"/>
  <c r="K108" i="18" s="1"/>
  <c r="L108" i="18" s="1"/>
  <c r="M108" i="18" s="1"/>
  <c r="J108" i="39"/>
  <c r="K108" i="39" s="1"/>
  <c r="L108" i="39" s="1"/>
  <c r="M108" i="39" s="1"/>
  <c r="J108" i="40"/>
  <c r="K108" i="40" s="1"/>
  <c r="L108" i="40" s="1"/>
  <c r="M108" i="40" s="1"/>
  <c r="K110" i="9"/>
  <c r="L110" i="9" s="1"/>
  <c r="M110" i="9" s="1"/>
  <c r="I109" i="18"/>
  <c r="J109" i="18" s="1"/>
  <c r="I109" i="39"/>
  <c r="G109" i="17"/>
  <c r="G109" i="40"/>
  <c r="I109" i="17"/>
  <c r="G112" i="26"/>
  <c r="G109" i="39"/>
  <c r="F112" i="26"/>
  <c r="J112" i="26" s="1"/>
  <c r="H112" i="26"/>
  <c r="I112" i="26" s="1"/>
  <c r="D112" i="26"/>
  <c r="C112" i="26"/>
  <c r="B113" i="26"/>
  <c r="E113" i="26" s="1"/>
  <c r="G111" i="25"/>
  <c r="O110" i="25"/>
  <c r="P110" i="25" s="1"/>
  <c r="Q110" i="25" s="1"/>
  <c r="C111" i="25"/>
  <c r="F111" i="25"/>
  <c r="J111" i="25" s="1"/>
  <c r="B112" i="25"/>
  <c r="E112" i="25" s="1"/>
  <c r="H111" i="25"/>
  <c r="I111" i="25" s="1"/>
  <c r="D111" i="25"/>
  <c r="I109" i="41"/>
  <c r="J109" i="41" s="1"/>
  <c r="K109" i="41" s="1"/>
  <c r="L109" i="41" s="1"/>
  <c r="M109" i="41" s="1"/>
  <c r="I109" i="42"/>
  <c r="J109" i="42" s="1"/>
  <c r="K109" i="42" s="1"/>
  <c r="L109" i="42" s="1"/>
  <c r="M109" i="42" s="1"/>
  <c r="G111" i="4"/>
  <c r="H110" i="42"/>
  <c r="B111" i="42"/>
  <c r="E111" i="42" s="1"/>
  <c r="F110" i="42"/>
  <c r="D110" i="42"/>
  <c r="C110" i="42"/>
  <c r="F112" i="4"/>
  <c r="B113" i="4"/>
  <c r="E113" i="4" s="1"/>
  <c r="H112" i="4"/>
  <c r="C112" i="4"/>
  <c r="D112" i="4"/>
  <c r="I109" i="40"/>
  <c r="H110" i="40"/>
  <c r="F110" i="40"/>
  <c r="B111" i="40"/>
  <c r="E111" i="40" s="1"/>
  <c r="C110" i="40"/>
  <c r="D110" i="40"/>
  <c r="H110" i="17"/>
  <c r="F110" i="17"/>
  <c r="B111" i="17"/>
  <c r="E111" i="17" s="1"/>
  <c r="D110" i="17"/>
  <c r="C110" i="17"/>
  <c r="F110" i="39"/>
  <c r="B111" i="39"/>
  <c r="H110" i="39"/>
  <c r="C110" i="39"/>
  <c r="D110" i="39"/>
  <c r="F112" i="9"/>
  <c r="B113" i="9"/>
  <c r="E113" i="9" s="1"/>
  <c r="H112" i="9"/>
  <c r="D112" i="9"/>
  <c r="C112" i="9"/>
  <c r="B111" i="19"/>
  <c r="H110" i="19"/>
  <c r="F110" i="19"/>
  <c r="D110" i="19"/>
  <c r="C110" i="19"/>
  <c r="B112" i="8"/>
  <c r="E112" i="8" s="1"/>
  <c r="H111" i="8"/>
  <c r="F111" i="8"/>
  <c r="D111" i="8"/>
  <c r="C111" i="8"/>
  <c r="I111" i="9"/>
  <c r="J111" i="9" s="1"/>
  <c r="K111" i="9" s="1"/>
  <c r="L111" i="9" s="1"/>
  <c r="F110" i="18"/>
  <c r="G110" i="18" s="1"/>
  <c r="B111" i="18"/>
  <c r="E111" i="18" s="1"/>
  <c r="H110" i="18"/>
  <c r="D110" i="18"/>
  <c r="C110" i="18"/>
  <c r="E110" i="42"/>
  <c r="I111" i="4"/>
  <c r="E110" i="39"/>
  <c r="E112" i="9"/>
  <c r="I109" i="19"/>
  <c r="J109" i="19" s="1"/>
  <c r="E110" i="19"/>
  <c r="I110" i="8"/>
  <c r="J110" i="8" s="1"/>
  <c r="K110" i="8" s="1"/>
  <c r="L110" i="8" s="1"/>
  <c r="M110" i="8" s="1"/>
  <c r="E111" i="8"/>
  <c r="B111" i="41"/>
  <c r="E111" i="41" s="1"/>
  <c r="F110" i="41"/>
  <c r="G110" i="41" s="1"/>
  <c r="H110" i="41"/>
  <c r="D110" i="41"/>
  <c r="C110" i="41"/>
  <c r="E112" i="4"/>
  <c r="E110" i="40"/>
  <c r="E110" i="17"/>
  <c r="O107" i="26"/>
  <c r="P107" i="26" s="1"/>
  <c r="Q107" i="26" s="1"/>
  <c r="K109" i="19" l="1"/>
  <c r="L109" i="19" s="1"/>
  <c r="M109" i="19" s="1"/>
  <c r="M111" i="9"/>
  <c r="K109" i="18"/>
  <c r="L109" i="18" s="1"/>
  <c r="M109" i="18" s="1"/>
  <c r="J109" i="17"/>
  <c r="K109" i="17" s="1"/>
  <c r="L109" i="17" s="1"/>
  <c r="M109" i="17" s="1"/>
  <c r="J109" i="39"/>
  <c r="K109" i="39" s="1"/>
  <c r="L109" i="39" s="1"/>
  <c r="M109" i="39" s="1"/>
  <c r="J109" i="40"/>
  <c r="K109" i="40" s="1"/>
  <c r="L109" i="40" s="1"/>
  <c r="M109" i="40" s="1"/>
  <c r="J111" i="4"/>
  <c r="K111" i="4" s="1"/>
  <c r="L111" i="4" s="1"/>
  <c r="M111" i="4" s="1"/>
  <c r="G110" i="19"/>
  <c r="I110" i="42"/>
  <c r="I110" i="19"/>
  <c r="G110" i="40"/>
  <c r="G113" i="26"/>
  <c r="G110" i="42"/>
  <c r="H113" i="26"/>
  <c r="I113" i="26" s="1"/>
  <c r="D113" i="26"/>
  <c r="B114" i="26"/>
  <c r="C113" i="26"/>
  <c r="F113" i="26"/>
  <c r="J113" i="26" s="1"/>
  <c r="G112" i="25"/>
  <c r="O111" i="25"/>
  <c r="P111" i="25" s="1"/>
  <c r="Q111" i="25" s="1"/>
  <c r="G110" i="17"/>
  <c r="H112" i="25"/>
  <c r="I112" i="25" s="1"/>
  <c r="D112" i="25"/>
  <c r="C112" i="25"/>
  <c r="F112" i="25"/>
  <c r="J112" i="25" s="1"/>
  <c r="B113" i="25"/>
  <c r="G110" i="39"/>
  <c r="I110" i="40"/>
  <c r="I112" i="9"/>
  <c r="G111" i="8"/>
  <c r="G112" i="9"/>
  <c r="I111" i="8"/>
  <c r="I110" i="18"/>
  <c r="J110" i="18" s="1"/>
  <c r="K110" i="18" s="1"/>
  <c r="L110" i="18" s="1"/>
  <c r="F111" i="39"/>
  <c r="B112" i="39"/>
  <c r="H111" i="39"/>
  <c r="C111" i="39"/>
  <c r="D111" i="39"/>
  <c r="G112" i="4"/>
  <c r="H112" i="8"/>
  <c r="F112" i="8"/>
  <c r="G112" i="8" s="1"/>
  <c r="B113" i="8"/>
  <c r="C112" i="8"/>
  <c r="D112" i="8"/>
  <c r="F111" i="17"/>
  <c r="G111" i="17" s="1"/>
  <c r="B112" i="17"/>
  <c r="E112" i="17" s="1"/>
  <c r="H111" i="17"/>
  <c r="D111" i="17"/>
  <c r="C111" i="17"/>
  <c r="I112" i="4"/>
  <c r="H111" i="19"/>
  <c r="F111" i="19"/>
  <c r="B112" i="19"/>
  <c r="E112" i="19" s="1"/>
  <c r="C111" i="19"/>
  <c r="D111" i="19"/>
  <c r="I110" i="41"/>
  <c r="J110" i="41" s="1"/>
  <c r="K110" i="41" s="1"/>
  <c r="L110" i="41" s="1"/>
  <c r="M110" i="41" s="1"/>
  <c r="F111" i="18"/>
  <c r="G111" i="18" s="1"/>
  <c r="B112" i="18"/>
  <c r="H111" i="18"/>
  <c r="D111" i="18"/>
  <c r="C111" i="18"/>
  <c r="E111" i="19"/>
  <c r="I110" i="39"/>
  <c r="E111" i="39"/>
  <c r="F111" i="42"/>
  <c r="G111" i="42" s="1"/>
  <c r="H111" i="42"/>
  <c r="B112" i="42"/>
  <c r="E112" i="42" s="1"/>
  <c r="D111" i="42"/>
  <c r="C111" i="42"/>
  <c r="F111" i="41"/>
  <c r="G111" i="41" s="1"/>
  <c r="B112" i="41"/>
  <c r="H111" i="41"/>
  <c r="D111" i="41"/>
  <c r="C111" i="41"/>
  <c r="B114" i="9"/>
  <c r="E114" i="9" s="1"/>
  <c r="H113" i="9"/>
  <c r="F113" i="9"/>
  <c r="G113" i="9" s="1"/>
  <c r="D113" i="9"/>
  <c r="C113" i="9"/>
  <c r="I110" i="17"/>
  <c r="F111" i="40"/>
  <c r="G111" i="40" s="1"/>
  <c r="B112" i="40"/>
  <c r="E112" i="40" s="1"/>
  <c r="H111" i="40"/>
  <c r="D111" i="40"/>
  <c r="C111" i="40"/>
  <c r="B114" i="4"/>
  <c r="H113" i="4"/>
  <c r="F113" i="4"/>
  <c r="G113" i="4" s="1"/>
  <c r="C113" i="4"/>
  <c r="D113" i="4"/>
  <c r="O108" i="26"/>
  <c r="P108" i="26" s="1"/>
  <c r="Q108" i="26" s="1"/>
  <c r="M110" i="18" l="1"/>
  <c r="J110" i="19"/>
  <c r="K110" i="19" s="1"/>
  <c r="L110" i="19" s="1"/>
  <c r="M110" i="19" s="1"/>
  <c r="J110" i="40"/>
  <c r="K110" i="40" s="1"/>
  <c r="L110" i="40" s="1"/>
  <c r="M110" i="40" s="1"/>
  <c r="J110" i="39"/>
  <c r="K110" i="39" s="1"/>
  <c r="L110" i="39" s="1"/>
  <c r="M110" i="39" s="1"/>
  <c r="J110" i="42"/>
  <c r="K110" i="42" s="1"/>
  <c r="L110" i="42" s="1"/>
  <c r="M110" i="42" s="1"/>
  <c r="J110" i="17"/>
  <c r="K110" i="17" s="1"/>
  <c r="L110" i="17" s="1"/>
  <c r="M110" i="17" s="1"/>
  <c r="J111" i="8"/>
  <c r="K111" i="8" s="1"/>
  <c r="L111" i="8" s="1"/>
  <c r="M111" i="8" s="1"/>
  <c r="J112" i="9"/>
  <c r="K112" i="9" s="1"/>
  <c r="L112" i="9" s="1"/>
  <c r="M112" i="9" s="1"/>
  <c r="J112" i="4"/>
  <c r="K112" i="4" s="1"/>
  <c r="L112" i="4" s="1"/>
  <c r="M112" i="4" s="1"/>
  <c r="G111" i="39"/>
  <c r="H114" i="26"/>
  <c r="I114" i="26" s="1"/>
  <c r="D114" i="26"/>
  <c r="B115" i="26"/>
  <c r="C114" i="26"/>
  <c r="F114" i="26"/>
  <c r="E114" i="26"/>
  <c r="O112" i="25"/>
  <c r="P112" i="25" s="1"/>
  <c r="Q112" i="25" s="1"/>
  <c r="B114" i="25"/>
  <c r="E114" i="25" s="1"/>
  <c r="H113" i="25"/>
  <c r="I113" i="25" s="1"/>
  <c r="D113" i="25"/>
  <c r="C113" i="25"/>
  <c r="F113" i="25"/>
  <c r="E113" i="25"/>
  <c r="I111" i="19"/>
  <c r="I112" i="8"/>
  <c r="J112" i="8" s="1"/>
  <c r="I113" i="9"/>
  <c r="J113" i="9" s="1"/>
  <c r="G111" i="19"/>
  <c r="I111" i="41"/>
  <c r="J111" i="41" s="1"/>
  <c r="K111" i="41" s="1"/>
  <c r="L111" i="41" s="1"/>
  <c r="M111" i="41" s="1"/>
  <c r="I111" i="18"/>
  <c r="J111" i="18" s="1"/>
  <c r="K111" i="18" s="1"/>
  <c r="L111" i="18" s="1"/>
  <c r="M111" i="18" s="1"/>
  <c r="H114" i="4"/>
  <c r="F114" i="4"/>
  <c r="B115" i="4"/>
  <c r="D114" i="4"/>
  <c r="C114" i="4"/>
  <c r="E114" i="4"/>
  <c r="B113" i="41"/>
  <c r="E113" i="41" s="1"/>
  <c r="H112" i="41"/>
  <c r="F112" i="41"/>
  <c r="D112" i="41"/>
  <c r="C112" i="41"/>
  <c r="B113" i="42"/>
  <c r="H112" i="42"/>
  <c r="F112" i="42"/>
  <c r="G112" i="42" s="1"/>
  <c r="D112" i="42"/>
  <c r="C112" i="42"/>
  <c r="B113" i="18"/>
  <c r="E113" i="18" s="1"/>
  <c r="H112" i="18"/>
  <c r="F112" i="18"/>
  <c r="D112" i="18"/>
  <c r="C112" i="18"/>
  <c r="F113" i="8"/>
  <c r="B114" i="8"/>
  <c r="E114" i="8" s="1"/>
  <c r="H113" i="8"/>
  <c r="C113" i="8"/>
  <c r="D113" i="8"/>
  <c r="B113" i="39"/>
  <c r="E113" i="39" s="1"/>
  <c r="H112" i="39"/>
  <c r="F112" i="39"/>
  <c r="C112" i="39"/>
  <c r="D112" i="39"/>
  <c r="F112" i="19"/>
  <c r="G112" i="19" s="1"/>
  <c r="B113" i="19"/>
  <c r="H112" i="19"/>
  <c r="D112" i="19"/>
  <c r="C112" i="19"/>
  <c r="F112" i="17"/>
  <c r="G112" i="17" s="1"/>
  <c r="B113" i="17"/>
  <c r="E113" i="17" s="1"/>
  <c r="H112" i="17"/>
  <c r="C112" i="17"/>
  <c r="D112" i="17"/>
  <c r="I113" i="4"/>
  <c r="J113" i="4" s="1"/>
  <c r="F112" i="40"/>
  <c r="G112" i="40" s="1"/>
  <c r="B113" i="40"/>
  <c r="H112" i="40"/>
  <c r="D112" i="40"/>
  <c r="C112" i="40"/>
  <c r="H114" i="9"/>
  <c r="F114" i="9"/>
  <c r="G114" i="9" s="1"/>
  <c r="B115" i="9"/>
  <c r="D114" i="9"/>
  <c r="C114" i="9"/>
  <c r="I111" i="40"/>
  <c r="J111" i="40" s="1"/>
  <c r="E112" i="41"/>
  <c r="I111" i="42"/>
  <c r="J111" i="42" s="1"/>
  <c r="E112" i="18"/>
  <c r="I111" i="17"/>
  <c r="J111" i="17" s="1"/>
  <c r="E113" i="8"/>
  <c r="I111" i="39"/>
  <c r="J111" i="39" s="1"/>
  <c r="E112" i="39"/>
  <c r="O109" i="26"/>
  <c r="P109" i="26" s="1"/>
  <c r="Q109" i="26" s="1"/>
  <c r="K111" i="39" l="1"/>
  <c r="L111" i="39" s="1"/>
  <c r="M111" i="39" s="1"/>
  <c r="K111" i="17"/>
  <c r="L111" i="17" s="1"/>
  <c r="M111" i="17" s="1"/>
  <c r="K111" i="42"/>
  <c r="L111" i="42" s="1"/>
  <c r="M111" i="42" s="1"/>
  <c r="K111" i="40"/>
  <c r="L111" i="40" s="1"/>
  <c r="M111" i="40" s="1"/>
  <c r="K112" i="8"/>
  <c r="L112" i="8" s="1"/>
  <c r="M112" i="8" s="1"/>
  <c r="J111" i="19"/>
  <c r="K111" i="19" s="1"/>
  <c r="L111" i="19" s="1"/>
  <c r="M111" i="19" s="1"/>
  <c r="K113" i="4"/>
  <c r="L113" i="4" s="1"/>
  <c r="M113" i="4" s="1"/>
  <c r="K113" i="9"/>
  <c r="L113" i="9" s="1"/>
  <c r="M113" i="9" s="1"/>
  <c r="G114" i="4"/>
  <c r="I114" i="4"/>
  <c r="G112" i="41"/>
  <c r="G112" i="18"/>
  <c r="I114" i="9"/>
  <c r="J114" i="9" s="1"/>
  <c r="K114" i="9" s="1"/>
  <c r="L114" i="9" s="1"/>
  <c r="G114" i="26"/>
  <c r="J114" i="26"/>
  <c r="B116" i="26"/>
  <c r="C115" i="26"/>
  <c r="F115" i="26"/>
  <c r="H115" i="26"/>
  <c r="I115" i="26" s="1"/>
  <c r="D115" i="26"/>
  <c r="E115" i="26"/>
  <c r="F114" i="25"/>
  <c r="J114" i="25" s="1"/>
  <c r="B115" i="25"/>
  <c r="H114" i="25"/>
  <c r="I114" i="25" s="1"/>
  <c r="D114" i="25"/>
  <c r="C114" i="25"/>
  <c r="G114" i="25"/>
  <c r="I112" i="39"/>
  <c r="G113" i="25"/>
  <c r="J113" i="25"/>
  <c r="O113" i="25" s="1"/>
  <c r="P113" i="25" s="1"/>
  <c r="Q113" i="25" s="1"/>
  <c r="G112" i="39"/>
  <c r="I112" i="17"/>
  <c r="J112" i="17" s="1"/>
  <c r="K112" i="17" s="1"/>
  <c r="L112" i="17" s="1"/>
  <c r="I112" i="41"/>
  <c r="I112" i="18"/>
  <c r="G113" i="8"/>
  <c r="I113" i="8"/>
  <c r="I112" i="42"/>
  <c r="J112" i="42" s="1"/>
  <c r="K112" i="42" s="1"/>
  <c r="L112" i="42" s="1"/>
  <c r="I112" i="40"/>
  <c r="J112" i="40" s="1"/>
  <c r="K112" i="40" s="1"/>
  <c r="L112" i="40" s="1"/>
  <c r="B114" i="40"/>
  <c r="H113" i="40"/>
  <c r="F113" i="40"/>
  <c r="D113" i="40"/>
  <c r="C113" i="40"/>
  <c r="F115" i="4"/>
  <c r="B116" i="4"/>
  <c r="H115" i="4"/>
  <c r="C115" i="4"/>
  <c r="D115" i="4"/>
  <c r="F113" i="19"/>
  <c r="B114" i="19"/>
  <c r="E114" i="19" s="1"/>
  <c r="H113" i="19"/>
  <c r="C113" i="19"/>
  <c r="D113" i="19"/>
  <c r="H113" i="42"/>
  <c r="B114" i="42"/>
  <c r="E114" i="42" s="1"/>
  <c r="F113" i="42"/>
  <c r="C113" i="42"/>
  <c r="D113" i="42"/>
  <c r="H113" i="41"/>
  <c r="F113" i="41"/>
  <c r="G113" i="41" s="1"/>
  <c r="B114" i="41"/>
  <c r="E114" i="41" s="1"/>
  <c r="D113" i="41"/>
  <c r="C113" i="41"/>
  <c r="F115" i="9"/>
  <c r="B116" i="9"/>
  <c r="E116" i="9" s="1"/>
  <c r="H115" i="9"/>
  <c r="D115" i="9"/>
  <c r="C115" i="9"/>
  <c r="E113" i="40"/>
  <c r="I112" i="19"/>
  <c r="J112" i="19" s="1"/>
  <c r="E113" i="42"/>
  <c r="E115" i="4"/>
  <c r="E115" i="9"/>
  <c r="B114" i="17"/>
  <c r="H113" i="17"/>
  <c r="F113" i="17"/>
  <c r="G113" i="17" s="1"/>
  <c r="C113" i="17"/>
  <c r="D113" i="17"/>
  <c r="E113" i="19"/>
  <c r="H113" i="39"/>
  <c r="F113" i="39"/>
  <c r="G113" i="39" s="1"/>
  <c r="B114" i="39"/>
  <c r="D113" i="39"/>
  <c r="C113" i="39"/>
  <c r="F114" i="8"/>
  <c r="G114" i="8" s="1"/>
  <c r="B115" i="8"/>
  <c r="E115" i="8" s="1"/>
  <c r="H114" i="8"/>
  <c r="D114" i="8"/>
  <c r="C114" i="8"/>
  <c r="H113" i="18"/>
  <c r="F113" i="18"/>
  <c r="G113" i="18" s="1"/>
  <c r="B114" i="18"/>
  <c r="C113" i="18"/>
  <c r="D113" i="18"/>
  <c r="O110" i="26"/>
  <c r="P110" i="26" s="1"/>
  <c r="Q110" i="26" s="1"/>
  <c r="K112" i="19" l="1"/>
  <c r="L112" i="19" s="1"/>
  <c r="M112" i="19" s="1"/>
  <c r="M112" i="17"/>
  <c r="M112" i="42"/>
  <c r="M112" i="40"/>
  <c r="M114" i="9"/>
  <c r="J112" i="39"/>
  <c r="K112" i="39" s="1"/>
  <c r="L112" i="39" s="1"/>
  <c r="M112" i="39" s="1"/>
  <c r="J112" i="18"/>
  <c r="K112" i="18" s="1"/>
  <c r="L112" i="18" s="1"/>
  <c r="M112" i="18" s="1"/>
  <c r="J112" i="41"/>
  <c r="K112" i="41" s="1"/>
  <c r="L112" i="41" s="1"/>
  <c r="M112" i="41" s="1"/>
  <c r="J113" i="8"/>
  <c r="K113" i="8" s="1"/>
  <c r="L113" i="8" s="1"/>
  <c r="M113" i="8" s="1"/>
  <c r="J114" i="4"/>
  <c r="K114" i="4" s="1"/>
  <c r="L114" i="4" s="1"/>
  <c r="M114" i="4" s="1"/>
  <c r="G113" i="40"/>
  <c r="G113" i="19"/>
  <c r="G113" i="42"/>
  <c r="I113" i="19"/>
  <c r="I113" i="42"/>
  <c r="F116" i="26"/>
  <c r="H116" i="26"/>
  <c r="I116" i="26" s="1"/>
  <c r="D116" i="26"/>
  <c r="B117" i="26"/>
  <c r="C116" i="26"/>
  <c r="G115" i="26"/>
  <c r="J115" i="26"/>
  <c r="E116" i="26"/>
  <c r="O114" i="25"/>
  <c r="P114" i="25" s="1"/>
  <c r="Q114" i="25" s="1"/>
  <c r="C115" i="25"/>
  <c r="F115" i="25"/>
  <c r="B116" i="25"/>
  <c r="E116" i="25" s="1"/>
  <c r="H115" i="25"/>
  <c r="I115" i="25" s="1"/>
  <c r="D115" i="25"/>
  <c r="E115" i="25"/>
  <c r="G115" i="9"/>
  <c r="G115" i="4"/>
  <c r="I113" i="18"/>
  <c r="J113" i="18" s="1"/>
  <c r="I114" i="8"/>
  <c r="J114" i="8" s="1"/>
  <c r="I113" i="40"/>
  <c r="B116" i="8"/>
  <c r="E116" i="8" s="1"/>
  <c r="H115" i="8"/>
  <c r="F115" i="8"/>
  <c r="G115" i="8" s="1"/>
  <c r="D115" i="8"/>
  <c r="C115" i="8"/>
  <c r="F114" i="18"/>
  <c r="B115" i="18"/>
  <c r="H114" i="18"/>
  <c r="D114" i="18"/>
  <c r="C114" i="18"/>
  <c r="F114" i="39"/>
  <c r="B115" i="39"/>
  <c r="E115" i="39" s="1"/>
  <c r="H114" i="39"/>
  <c r="D114" i="39"/>
  <c r="C114" i="39"/>
  <c r="I113" i="17"/>
  <c r="J113" i="17" s="1"/>
  <c r="K113" i="17" s="1"/>
  <c r="L113" i="17" s="1"/>
  <c r="M113" i="17" s="1"/>
  <c r="H114" i="17"/>
  <c r="F114" i="17"/>
  <c r="B115" i="17"/>
  <c r="E115" i="17" s="1"/>
  <c r="D114" i="17"/>
  <c r="C114" i="17"/>
  <c r="I113" i="41"/>
  <c r="J113" i="41" s="1"/>
  <c r="F116" i="4"/>
  <c r="B117" i="4"/>
  <c r="H116" i="4"/>
  <c r="C116" i="4"/>
  <c r="D116" i="4"/>
  <c r="H114" i="40"/>
  <c r="F114" i="40"/>
  <c r="B115" i="40"/>
  <c r="D114" i="40"/>
  <c r="C114" i="40"/>
  <c r="F116" i="9"/>
  <c r="G116" i="9" s="1"/>
  <c r="B117" i="9"/>
  <c r="E117" i="9" s="1"/>
  <c r="H116" i="9"/>
  <c r="D116" i="9"/>
  <c r="C116" i="9"/>
  <c r="B115" i="19"/>
  <c r="E115" i="19" s="1"/>
  <c r="H114" i="19"/>
  <c r="F114" i="19"/>
  <c r="G114" i="19" s="1"/>
  <c r="D114" i="19"/>
  <c r="C114" i="19"/>
  <c r="E114" i="18"/>
  <c r="I113" i="39"/>
  <c r="J113" i="39" s="1"/>
  <c r="E114" i="39"/>
  <c r="E114" i="17"/>
  <c r="I115" i="9"/>
  <c r="H114" i="41"/>
  <c r="B115" i="41"/>
  <c r="F114" i="41"/>
  <c r="G114" i="41" s="1"/>
  <c r="C114" i="41"/>
  <c r="D114" i="41"/>
  <c r="B115" i="42"/>
  <c r="E115" i="42" s="1"/>
  <c r="H114" i="42"/>
  <c r="F114" i="42"/>
  <c r="G114" i="42" s="1"/>
  <c r="D114" i="42"/>
  <c r="C114" i="42"/>
  <c r="I115" i="4"/>
  <c r="E116" i="4"/>
  <c r="E114" i="40"/>
  <c r="O111" i="26"/>
  <c r="P111" i="26" s="1"/>
  <c r="Q111" i="26" s="1"/>
  <c r="K113" i="39" l="1"/>
  <c r="L113" i="39" s="1"/>
  <c r="M113" i="39" s="1"/>
  <c r="K113" i="41"/>
  <c r="L113" i="41" s="1"/>
  <c r="M113" i="41" s="1"/>
  <c r="K113" i="18"/>
  <c r="L113" i="18" s="1"/>
  <c r="M113" i="18" s="1"/>
  <c r="J113" i="40"/>
  <c r="K113" i="40" s="1"/>
  <c r="L113" i="40" s="1"/>
  <c r="M113" i="40" s="1"/>
  <c r="K114" i="8"/>
  <c r="L114" i="8" s="1"/>
  <c r="M114" i="8" s="1"/>
  <c r="J113" i="42"/>
  <c r="K113" i="42" s="1"/>
  <c r="L113" i="42" s="1"/>
  <c r="M113" i="42" s="1"/>
  <c r="J113" i="19"/>
  <c r="K113" i="19" s="1"/>
  <c r="L113" i="19" s="1"/>
  <c r="M113" i="19" s="1"/>
  <c r="J115" i="4"/>
  <c r="K115" i="4" s="1"/>
  <c r="L115" i="4" s="1"/>
  <c r="M115" i="4" s="1"/>
  <c r="J115" i="9"/>
  <c r="K115" i="9" s="1"/>
  <c r="L115" i="9" s="1"/>
  <c r="M115" i="9" s="1"/>
  <c r="G114" i="17"/>
  <c r="I114" i="17"/>
  <c r="G114" i="18"/>
  <c r="J116" i="26"/>
  <c r="G116" i="26"/>
  <c r="H117" i="26"/>
  <c r="I117" i="26" s="1"/>
  <c r="D117" i="26"/>
  <c r="B118" i="26"/>
  <c r="E118" i="26" s="1"/>
  <c r="C117" i="26"/>
  <c r="F117" i="26"/>
  <c r="E117" i="26"/>
  <c r="G116" i="25"/>
  <c r="G115" i="25"/>
  <c r="J115" i="25"/>
  <c r="O115" i="25" s="1"/>
  <c r="P115" i="25" s="1"/>
  <c r="Q115" i="25" s="1"/>
  <c r="H116" i="25"/>
  <c r="I116" i="25" s="1"/>
  <c r="D116" i="25"/>
  <c r="C116" i="25"/>
  <c r="F116" i="25"/>
  <c r="J116" i="25" s="1"/>
  <c r="B117" i="25"/>
  <c r="I114" i="19"/>
  <c r="J114" i="19" s="1"/>
  <c r="G114" i="39"/>
  <c r="G116" i="4"/>
  <c r="I115" i="8"/>
  <c r="J115" i="8" s="1"/>
  <c r="K115" i="8" s="1"/>
  <c r="L115" i="8" s="1"/>
  <c r="I114" i="42"/>
  <c r="J114" i="42" s="1"/>
  <c r="I114" i="39"/>
  <c r="F115" i="41"/>
  <c r="B116" i="41"/>
  <c r="H115" i="41"/>
  <c r="C115" i="41"/>
  <c r="D115" i="41"/>
  <c r="F115" i="40"/>
  <c r="B116" i="40"/>
  <c r="H115" i="40"/>
  <c r="D115" i="40"/>
  <c r="C115" i="40"/>
  <c r="B118" i="4"/>
  <c r="E118" i="4" s="1"/>
  <c r="H117" i="4"/>
  <c r="F117" i="4"/>
  <c r="C117" i="4"/>
  <c r="D117" i="4"/>
  <c r="F115" i="18"/>
  <c r="B116" i="18"/>
  <c r="E116" i="18" s="1"/>
  <c r="H115" i="18"/>
  <c r="D115" i="18"/>
  <c r="C115" i="18"/>
  <c r="G114" i="40"/>
  <c r="I114" i="41"/>
  <c r="J114" i="41" s="1"/>
  <c r="K114" i="41" s="1"/>
  <c r="L114" i="41" s="1"/>
  <c r="E115" i="41"/>
  <c r="H115" i="19"/>
  <c r="F115" i="19"/>
  <c r="G115" i="19" s="1"/>
  <c r="B116" i="19"/>
  <c r="E116" i="19" s="1"/>
  <c r="C115" i="19"/>
  <c r="D115" i="19"/>
  <c r="B118" i="9"/>
  <c r="E118" i="9" s="1"/>
  <c r="H117" i="9"/>
  <c r="F117" i="9"/>
  <c r="G117" i="9" s="1"/>
  <c r="C117" i="9"/>
  <c r="D117" i="9"/>
  <c r="I114" i="40"/>
  <c r="E115" i="40"/>
  <c r="I114" i="18"/>
  <c r="B116" i="42"/>
  <c r="E116" i="42" s="1"/>
  <c r="F115" i="42"/>
  <c r="G115" i="42" s="1"/>
  <c r="H115" i="42"/>
  <c r="D115" i="42"/>
  <c r="C115" i="42"/>
  <c r="I116" i="9"/>
  <c r="J116" i="9" s="1"/>
  <c r="I116" i="4"/>
  <c r="E117" i="4"/>
  <c r="F115" i="17"/>
  <c r="G115" i="17" s="1"/>
  <c r="B116" i="17"/>
  <c r="H115" i="17"/>
  <c r="C115" i="17"/>
  <c r="D115" i="17"/>
  <c r="F115" i="39"/>
  <c r="G115" i="39" s="1"/>
  <c r="B116" i="39"/>
  <c r="E116" i="39" s="1"/>
  <c r="H115" i="39"/>
  <c r="D115" i="39"/>
  <c r="C115" i="39"/>
  <c r="E115" i="18"/>
  <c r="H116" i="8"/>
  <c r="F116" i="8"/>
  <c r="G116" i="8" s="1"/>
  <c r="B117" i="8"/>
  <c r="E117" i="8" s="1"/>
  <c r="C116" i="8"/>
  <c r="D116" i="8"/>
  <c r="O112" i="26"/>
  <c r="P112" i="26" s="1"/>
  <c r="Q112" i="26" s="1"/>
  <c r="M114" i="41" l="1"/>
  <c r="K114" i="42"/>
  <c r="L114" i="42" s="1"/>
  <c r="M114" i="42" s="1"/>
  <c r="M115" i="8"/>
  <c r="K114" i="19"/>
  <c r="L114" i="19" s="1"/>
  <c r="M114" i="19" s="1"/>
  <c r="J114" i="18"/>
  <c r="K114" i="18" s="1"/>
  <c r="L114" i="18" s="1"/>
  <c r="M114" i="18" s="1"/>
  <c r="J114" i="40"/>
  <c r="K114" i="40" s="1"/>
  <c r="L114" i="40" s="1"/>
  <c r="M114" i="40" s="1"/>
  <c r="K116" i="9"/>
  <c r="L116" i="9" s="1"/>
  <c r="M116" i="9" s="1"/>
  <c r="J114" i="17"/>
  <c r="K114" i="17" s="1"/>
  <c r="L114" i="17" s="1"/>
  <c r="M114" i="17" s="1"/>
  <c r="J114" i="39"/>
  <c r="K114" i="39" s="1"/>
  <c r="L114" i="39" s="1"/>
  <c r="M114" i="39" s="1"/>
  <c r="J116" i="4"/>
  <c r="K116" i="4" s="1"/>
  <c r="L116" i="4" s="1"/>
  <c r="M116" i="4" s="1"/>
  <c r="G117" i="4"/>
  <c r="G118" i="26"/>
  <c r="G117" i="26"/>
  <c r="J117" i="26"/>
  <c r="H118" i="26"/>
  <c r="I118" i="26" s="1"/>
  <c r="D118" i="26"/>
  <c r="B119" i="26"/>
  <c r="C118" i="26"/>
  <c r="F118" i="26"/>
  <c r="J118" i="26" s="1"/>
  <c r="O116" i="25"/>
  <c r="P116" i="25" s="1"/>
  <c r="Q116" i="25" s="1"/>
  <c r="B118" i="25"/>
  <c r="E118" i="25" s="1"/>
  <c r="H117" i="25"/>
  <c r="I117" i="25" s="1"/>
  <c r="F117" i="25"/>
  <c r="D117" i="25"/>
  <c r="C117" i="25"/>
  <c r="E117" i="25"/>
  <c r="G115" i="40"/>
  <c r="G115" i="41"/>
  <c r="G115" i="18"/>
  <c r="I116" i="8"/>
  <c r="J116" i="8" s="1"/>
  <c r="K116" i="8" s="1"/>
  <c r="L116" i="8" s="1"/>
  <c r="M116" i="8" s="1"/>
  <c r="I115" i="42"/>
  <c r="J115" i="42" s="1"/>
  <c r="K115" i="42" s="1"/>
  <c r="L115" i="42" s="1"/>
  <c r="I115" i="19"/>
  <c r="J115" i="19" s="1"/>
  <c r="K115" i="19" s="1"/>
  <c r="L115" i="19" s="1"/>
  <c r="I115" i="40"/>
  <c r="I117" i="4"/>
  <c r="I115" i="17"/>
  <c r="J115" i="17" s="1"/>
  <c r="I115" i="39"/>
  <c r="J115" i="39" s="1"/>
  <c r="I115" i="18"/>
  <c r="F116" i="40"/>
  <c r="B117" i="40"/>
  <c r="H116" i="40"/>
  <c r="D116" i="40"/>
  <c r="C116" i="40"/>
  <c r="B117" i="41"/>
  <c r="F116" i="41"/>
  <c r="H116" i="41"/>
  <c r="C116" i="41"/>
  <c r="D116" i="41"/>
  <c r="H116" i="42"/>
  <c r="F116" i="42"/>
  <c r="G116" i="42" s="1"/>
  <c r="B117" i="42"/>
  <c r="D116" i="42"/>
  <c r="C116" i="42"/>
  <c r="F116" i="19"/>
  <c r="G116" i="19" s="1"/>
  <c r="B117" i="19"/>
  <c r="E117" i="19" s="1"/>
  <c r="H116" i="19"/>
  <c r="D116" i="19"/>
  <c r="C116" i="19"/>
  <c r="H118" i="4"/>
  <c r="F118" i="4"/>
  <c r="G118" i="4" s="1"/>
  <c r="B119" i="4"/>
  <c r="D118" i="4"/>
  <c r="C118" i="4"/>
  <c r="F116" i="17"/>
  <c r="B117" i="17"/>
  <c r="H116" i="17"/>
  <c r="D116" i="17"/>
  <c r="C116" i="17"/>
  <c r="F117" i="8"/>
  <c r="G117" i="8" s="1"/>
  <c r="B118" i="8"/>
  <c r="E118" i="8" s="1"/>
  <c r="H117" i="8"/>
  <c r="D117" i="8"/>
  <c r="C117" i="8"/>
  <c r="B117" i="39"/>
  <c r="E117" i="39" s="1"/>
  <c r="H116" i="39"/>
  <c r="F116" i="39"/>
  <c r="G116" i="39" s="1"/>
  <c r="D116" i="39"/>
  <c r="C116" i="39"/>
  <c r="E116" i="17"/>
  <c r="I117" i="9"/>
  <c r="J117" i="9" s="1"/>
  <c r="K117" i="9" s="1"/>
  <c r="L117" i="9" s="1"/>
  <c r="H118" i="9"/>
  <c r="F118" i="9"/>
  <c r="G118" i="9" s="1"/>
  <c r="B119" i="9"/>
  <c r="E119" i="9" s="1"/>
  <c r="D118" i="9"/>
  <c r="C118" i="9"/>
  <c r="B117" i="18"/>
  <c r="E117" i="18" s="1"/>
  <c r="H116" i="18"/>
  <c r="F116" i="18"/>
  <c r="G116" i="18" s="1"/>
  <c r="D116" i="18"/>
  <c r="C116" i="18"/>
  <c r="E116" i="40"/>
  <c r="I115" i="41"/>
  <c r="E116" i="41"/>
  <c r="O113" i="26"/>
  <c r="P113" i="26" s="1"/>
  <c r="Q113" i="26" s="1"/>
  <c r="J115" i="18" l="1"/>
  <c r="K115" i="18" s="1"/>
  <c r="L115" i="18" s="1"/>
  <c r="M115" i="18" s="1"/>
  <c r="J117" i="4"/>
  <c r="K117" i="4" s="1"/>
  <c r="L117" i="4" s="1"/>
  <c r="M117" i="4" s="1"/>
  <c r="M115" i="42"/>
  <c r="M115" i="19"/>
  <c r="M117" i="9"/>
  <c r="K115" i="39"/>
  <c r="L115" i="39" s="1"/>
  <c r="M115" i="39" s="1"/>
  <c r="K115" i="17"/>
  <c r="L115" i="17" s="1"/>
  <c r="M115" i="17" s="1"/>
  <c r="J115" i="41"/>
  <c r="K115" i="41" s="1"/>
  <c r="L115" i="41" s="1"/>
  <c r="M115" i="41" s="1"/>
  <c r="J115" i="40"/>
  <c r="K115" i="40" s="1"/>
  <c r="L115" i="40" s="1"/>
  <c r="M115" i="40" s="1"/>
  <c r="G116" i="40"/>
  <c r="I116" i="42"/>
  <c r="J116" i="42" s="1"/>
  <c r="K116" i="42" s="1"/>
  <c r="L116" i="42" s="1"/>
  <c r="M116" i="42" s="1"/>
  <c r="B120" i="26"/>
  <c r="E120" i="26" s="1"/>
  <c r="C119" i="26"/>
  <c r="F119" i="26"/>
  <c r="D119" i="26"/>
  <c r="H119" i="26"/>
  <c r="I119" i="26" s="1"/>
  <c r="G116" i="41"/>
  <c r="G116" i="17"/>
  <c r="E119" i="26"/>
  <c r="F118" i="25"/>
  <c r="J118" i="25" s="1"/>
  <c r="B119" i="25"/>
  <c r="H118" i="25"/>
  <c r="I118" i="25" s="1"/>
  <c r="D118" i="25"/>
  <c r="C118" i="25"/>
  <c r="G118" i="25"/>
  <c r="I116" i="18"/>
  <c r="J116" i="18" s="1"/>
  <c r="I116" i="41"/>
  <c r="G117" i="25"/>
  <c r="J117" i="25"/>
  <c r="O117" i="25" s="1"/>
  <c r="P117" i="25" s="1"/>
  <c r="Q117" i="25" s="1"/>
  <c r="I116" i="39"/>
  <c r="J116" i="39" s="1"/>
  <c r="K116" i="39" s="1"/>
  <c r="L116" i="39" s="1"/>
  <c r="I118" i="9"/>
  <c r="J118" i="9" s="1"/>
  <c r="K118" i="9" s="1"/>
  <c r="L118" i="9" s="1"/>
  <c r="M118" i="9" s="1"/>
  <c r="I117" i="8"/>
  <c r="J117" i="8" s="1"/>
  <c r="K117" i="8" s="1"/>
  <c r="L117" i="8" s="1"/>
  <c r="M117" i="8" s="1"/>
  <c r="F119" i="4"/>
  <c r="B120" i="4"/>
  <c r="H119" i="4"/>
  <c r="D119" i="4"/>
  <c r="C119" i="4"/>
  <c r="H117" i="18"/>
  <c r="F117" i="18"/>
  <c r="G117" i="18" s="1"/>
  <c r="B118" i="18"/>
  <c r="D117" i="18"/>
  <c r="C117" i="18"/>
  <c r="B118" i="17"/>
  <c r="H117" i="17"/>
  <c r="F117" i="17"/>
  <c r="D117" i="17"/>
  <c r="C117" i="17"/>
  <c r="H117" i="42"/>
  <c r="B118" i="42"/>
  <c r="E118" i="42" s="1"/>
  <c r="F117" i="42"/>
  <c r="C117" i="42"/>
  <c r="D117" i="42"/>
  <c r="H117" i="41"/>
  <c r="F117" i="41"/>
  <c r="B118" i="41"/>
  <c r="E118" i="41" s="1"/>
  <c r="C117" i="41"/>
  <c r="D117" i="41"/>
  <c r="B118" i="40"/>
  <c r="H117" i="40"/>
  <c r="F117" i="40"/>
  <c r="C117" i="40"/>
  <c r="D117" i="40"/>
  <c r="I116" i="17"/>
  <c r="I118" i="4"/>
  <c r="J118" i="4" s="1"/>
  <c r="E119" i="4"/>
  <c r="F117" i="19"/>
  <c r="G117" i="19" s="1"/>
  <c r="B118" i="19"/>
  <c r="H117" i="19"/>
  <c r="D117" i="19"/>
  <c r="C117" i="19"/>
  <c r="E117" i="42"/>
  <c r="I116" i="40"/>
  <c r="F119" i="9"/>
  <c r="G119" i="9" s="1"/>
  <c r="B120" i="9"/>
  <c r="H119" i="9"/>
  <c r="D119" i="9"/>
  <c r="C119" i="9"/>
  <c r="H117" i="39"/>
  <c r="F117" i="39"/>
  <c r="G117" i="39" s="1"/>
  <c r="B118" i="39"/>
  <c r="E118" i="39" s="1"/>
  <c r="C117" i="39"/>
  <c r="D117" i="39"/>
  <c r="F118" i="8"/>
  <c r="G118" i="8" s="1"/>
  <c r="B119" i="8"/>
  <c r="H118" i="8"/>
  <c r="C118" i="8"/>
  <c r="D118" i="8"/>
  <c r="E117" i="17"/>
  <c r="I116" i="19"/>
  <c r="J116" i="19" s="1"/>
  <c r="K116" i="19" s="1"/>
  <c r="L116" i="19" s="1"/>
  <c r="M116" i="19" s="1"/>
  <c r="E117" i="41"/>
  <c r="E117" i="40"/>
  <c r="O114" i="26"/>
  <c r="P114" i="26" s="1"/>
  <c r="Q114" i="26" s="1"/>
  <c r="K118" i="4" l="1"/>
  <c r="L118" i="4" s="1"/>
  <c r="M118" i="4" s="1"/>
  <c r="K116" i="18"/>
  <c r="L116" i="18" s="1"/>
  <c r="M116" i="18" s="1"/>
  <c r="M116" i="39"/>
  <c r="J116" i="17"/>
  <c r="K116" i="17" s="1"/>
  <c r="L116" i="17" s="1"/>
  <c r="M116" i="17" s="1"/>
  <c r="J116" i="40"/>
  <c r="K116" i="40" s="1"/>
  <c r="L116" i="40" s="1"/>
  <c r="M116" i="40" s="1"/>
  <c r="J116" i="41"/>
  <c r="K116" i="41" s="1"/>
  <c r="L116" i="41" s="1"/>
  <c r="M116" i="41" s="1"/>
  <c r="G117" i="41"/>
  <c r="G117" i="17"/>
  <c r="G120" i="26"/>
  <c r="G119" i="26"/>
  <c r="J119" i="26"/>
  <c r="F120" i="26"/>
  <c r="J120" i="26" s="1"/>
  <c r="H120" i="26"/>
  <c r="I120" i="26" s="1"/>
  <c r="D120" i="26"/>
  <c r="B121" i="26"/>
  <c r="C120" i="26"/>
  <c r="O118" i="25"/>
  <c r="P118" i="25" s="1"/>
  <c r="Q118" i="25" s="1"/>
  <c r="C119" i="25"/>
  <c r="F119" i="25"/>
  <c r="B120" i="25"/>
  <c r="E120" i="25" s="1"/>
  <c r="H119" i="25"/>
  <c r="I119" i="25" s="1"/>
  <c r="D119" i="25"/>
  <c r="E119" i="25"/>
  <c r="G117" i="40"/>
  <c r="G117" i="42"/>
  <c r="I117" i="17"/>
  <c r="G119" i="4"/>
  <c r="I117" i="42"/>
  <c r="I117" i="39"/>
  <c r="J117" i="39" s="1"/>
  <c r="K117" i="39" s="1"/>
  <c r="L117" i="39" s="1"/>
  <c r="M117" i="39" s="1"/>
  <c r="I117" i="41"/>
  <c r="I117" i="19"/>
  <c r="J117" i="19" s="1"/>
  <c r="K117" i="19" s="1"/>
  <c r="L117" i="19" s="1"/>
  <c r="M117" i="19" s="1"/>
  <c r="B119" i="19"/>
  <c r="H118" i="19"/>
  <c r="F118" i="19"/>
  <c r="C118" i="19"/>
  <c r="D118" i="19"/>
  <c r="I117" i="40"/>
  <c r="H118" i="40"/>
  <c r="F118" i="40"/>
  <c r="B119" i="40"/>
  <c r="E119" i="40" s="1"/>
  <c r="C118" i="40"/>
  <c r="D118" i="40"/>
  <c r="H118" i="17"/>
  <c r="F118" i="17"/>
  <c r="B119" i="17"/>
  <c r="E119" i="17" s="1"/>
  <c r="D118" i="17"/>
  <c r="C118" i="17"/>
  <c r="F118" i="18"/>
  <c r="B119" i="18"/>
  <c r="E119" i="18" s="1"/>
  <c r="H118" i="18"/>
  <c r="D118" i="18"/>
  <c r="C118" i="18"/>
  <c r="F120" i="4"/>
  <c r="B121" i="4"/>
  <c r="H120" i="4"/>
  <c r="C120" i="4"/>
  <c r="D120" i="4"/>
  <c r="F120" i="9"/>
  <c r="B121" i="9"/>
  <c r="E121" i="9" s="1"/>
  <c r="H120" i="9"/>
  <c r="D120" i="9"/>
  <c r="C120" i="9"/>
  <c r="F118" i="39"/>
  <c r="G118" i="39" s="1"/>
  <c r="B119" i="39"/>
  <c r="E119" i="39" s="1"/>
  <c r="H118" i="39"/>
  <c r="D118" i="39"/>
  <c r="C118" i="39"/>
  <c r="I119" i="9"/>
  <c r="J119" i="9" s="1"/>
  <c r="K119" i="9" s="1"/>
  <c r="L119" i="9" s="1"/>
  <c r="M119" i="9" s="1"/>
  <c r="E118" i="19"/>
  <c r="E118" i="40"/>
  <c r="F118" i="42"/>
  <c r="G118" i="42" s="1"/>
  <c r="H118" i="42"/>
  <c r="B119" i="42"/>
  <c r="E119" i="42" s="1"/>
  <c r="D118" i="42"/>
  <c r="C118" i="42"/>
  <c r="I119" i="4"/>
  <c r="B120" i="8"/>
  <c r="H119" i="8"/>
  <c r="F119" i="8"/>
  <c r="C119" i="8"/>
  <c r="D119" i="8"/>
  <c r="I118" i="8"/>
  <c r="J118" i="8" s="1"/>
  <c r="K118" i="8" s="1"/>
  <c r="L118" i="8" s="1"/>
  <c r="M118" i="8" s="1"/>
  <c r="E119" i="8"/>
  <c r="E120" i="9"/>
  <c r="H118" i="41"/>
  <c r="F118" i="41"/>
  <c r="G118" i="41" s="1"/>
  <c r="B119" i="41"/>
  <c r="E119" i="41" s="1"/>
  <c r="D118" i="41"/>
  <c r="C118" i="41"/>
  <c r="E118" i="17"/>
  <c r="I117" i="18"/>
  <c r="J117" i="18" s="1"/>
  <c r="K117" i="18" s="1"/>
  <c r="L117" i="18" s="1"/>
  <c r="E118" i="18"/>
  <c r="E120" i="4"/>
  <c r="O115" i="26"/>
  <c r="P115" i="26" s="1"/>
  <c r="Q115" i="26" s="1"/>
  <c r="M117" i="18" l="1"/>
  <c r="J117" i="41"/>
  <c r="K117" i="41" s="1"/>
  <c r="L117" i="41" s="1"/>
  <c r="M117" i="41" s="1"/>
  <c r="J117" i="40"/>
  <c r="K117" i="40" s="1"/>
  <c r="L117" i="40" s="1"/>
  <c r="M117" i="40" s="1"/>
  <c r="J117" i="17"/>
  <c r="K117" i="17" s="1"/>
  <c r="L117" i="17" s="1"/>
  <c r="M117" i="17" s="1"/>
  <c r="J117" i="42"/>
  <c r="K117" i="42" s="1"/>
  <c r="L117" i="42" s="1"/>
  <c r="M117" i="42" s="1"/>
  <c r="J119" i="4"/>
  <c r="K119" i="4" s="1"/>
  <c r="L119" i="4" s="1"/>
  <c r="M119" i="4" s="1"/>
  <c r="G120" i="4"/>
  <c r="G118" i="40"/>
  <c r="G118" i="17"/>
  <c r="G118" i="18"/>
  <c r="H121" i="26"/>
  <c r="I121" i="26" s="1"/>
  <c r="D121" i="26"/>
  <c r="B122" i="26"/>
  <c r="C121" i="26"/>
  <c r="F121" i="26"/>
  <c r="E121" i="26"/>
  <c r="G120" i="25"/>
  <c r="G118" i="19"/>
  <c r="G119" i="25"/>
  <c r="J119" i="25"/>
  <c r="O119" i="25" s="1"/>
  <c r="P119" i="25" s="1"/>
  <c r="Q119" i="25" s="1"/>
  <c r="H120" i="25"/>
  <c r="I120" i="25" s="1"/>
  <c r="D120" i="25"/>
  <c r="C120" i="25"/>
  <c r="F120" i="25"/>
  <c r="J120" i="25" s="1"/>
  <c r="B121" i="25"/>
  <c r="E121" i="25" s="1"/>
  <c r="I118" i="39"/>
  <c r="J118" i="39" s="1"/>
  <c r="K118" i="39" s="1"/>
  <c r="L118" i="39" s="1"/>
  <c r="M118" i="39" s="1"/>
  <c r="I118" i="18"/>
  <c r="I118" i="40"/>
  <c r="G120" i="9"/>
  <c r="G119" i="8"/>
  <c r="I120" i="9"/>
  <c r="I118" i="19"/>
  <c r="I119" i="8"/>
  <c r="I118" i="41"/>
  <c r="J118" i="41" s="1"/>
  <c r="B122" i="4"/>
  <c r="E122" i="4" s="1"/>
  <c r="H121" i="4"/>
  <c r="F121" i="4"/>
  <c r="C121" i="4"/>
  <c r="D121" i="4"/>
  <c r="H120" i="8"/>
  <c r="F120" i="8"/>
  <c r="B121" i="8"/>
  <c r="E121" i="8" s="1"/>
  <c r="D120" i="8"/>
  <c r="C120" i="8"/>
  <c r="B120" i="42"/>
  <c r="E120" i="42" s="1"/>
  <c r="H119" i="42"/>
  <c r="F119" i="42"/>
  <c r="G119" i="42" s="1"/>
  <c r="D119" i="42"/>
  <c r="C119" i="42"/>
  <c r="F119" i="39"/>
  <c r="G119" i="39" s="1"/>
  <c r="B120" i="39"/>
  <c r="H119" i="39"/>
  <c r="C119" i="39"/>
  <c r="D119" i="39"/>
  <c r="I118" i="17"/>
  <c r="H119" i="19"/>
  <c r="F119" i="19"/>
  <c r="B120" i="19"/>
  <c r="C119" i="19"/>
  <c r="D119" i="19"/>
  <c r="B122" i="9"/>
  <c r="E122" i="9" s="1"/>
  <c r="H121" i="9"/>
  <c r="F121" i="9"/>
  <c r="G121" i="9" s="1"/>
  <c r="D121" i="9"/>
  <c r="C121" i="9"/>
  <c r="I120" i="4"/>
  <c r="E121" i="4"/>
  <c r="F119" i="18"/>
  <c r="G119" i="18" s="1"/>
  <c r="B120" i="18"/>
  <c r="E120" i="18" s="1"/>
  <c r="H119" i="18"/>
  <c r="D119" i="18"/>
  <c r="C119" i="18"/>
  <c r="F119" i="40"/>
  <c r="G119" i="40" s="1"/>
  <c r="B120" i="40"/>
  <c r="H119" i="40"/>
  <c r="C119" i="40"/>
  <c r="D119" i="40"/>
  <c r="F119" i="41"/>
  <c r="G119" i="41" s="1"/>
  <c r="H119" i="41"/>
  <c r="B120" i="41"/>
  <c r="E120" i="41" s="1"/>
  <c r="C119" i="41"/>
  <c r="D119" i="41"/>
  <c r="E120" i="8"/>
  <c r="I118" i="42"/>
  <c r="J118" i="42" s="1"/>
  <c r="F119" i="17"/>
  <c r="G119" i="17" s="1"/>
  <c r="B120" i="17"/>
  <c r="E120" i="17" s="1"/>
  <c r="H119" i="17"/>
  <c r="D119" i="17"/>
  <c r="C119" i="17"/>
  <c r="E119" i="19"/>
  <c r="O116" i="26"/>
  <c r="P116" i="26" s="1"/>
  <c r="Q116" i="26" s="1"/>
  <c r="K118" i="41" l="1"/>
  <c r="L118" i="41" s="1"/>
  <c r="M118" i="41" s="1"/>
  <c r="K118" i="42"/>
  <c r="L118" i="42" s="1"/>
  <c r="M118" i="42" s="1"/>
  <c r="J118" i="19"/>
  <c r="K118" i="19" s="1"/>
  <c r="L118" i="19" s="1"/>
  <c r="M118" i="19" s="1"/>
  <c r="J118" i="40"/>
  <c r="K118" i="40" s="1"/>
  <c r="L118" i="40" s="1"/>
  <c r="M118" i="40" s="1"/>
  <c r="J118" i="17"/>
  <c r="K118" i="17" s="1"/>
  <c r="L118" i="17" s="1"/>
  <c r="M118" i="17" s="1"/>
  <c r="J118" i="18"/>
  <c r="K118" i="18" s="1"/>
  <c r="L118" i="18" s="1"/>
  <c r="M118" i="18" s="1"/>
  <c r="J119" i="8"/>
  <c r="K119" i="8" s="1"/>
  <c r="L119" i="8" s="1"/>
  <c r="M119" i="8" s="1"/>
  <c r="J120" i="4"/>
  <c r="K120" i="4" s="1"/>
  <c r="L120" i="4" s="1"/>
  <c r="M120" i="4" s="1"/>
  <c r="J120" i="9"/>
  <c r="K120" i="9" s="1"/>
  <c r="L120" i="9" s="1"/>
  <c r="M120" i="9" s="1"/>
  <c r="I120" i="8"/>
  <c r="I119" i="19"/>
  <c r="H122" i="26"/>
  <c r="I122" i="26" s="1"/>
  <c r="D122" i="26"/>
  <c r="F122" i="26"/>
  <c r="B123" i="26"/>
  <c r="E123" i="26" s="1"/>
  <c r="C122" i="26"/>
  <c r="G121" i="26"/>
  <c r="J121" i="26"/>
  <c r="I119" i="41"/>
  <c r="J119" i="41" s="1"/>
  <c r="K119" i="41" s="1"/>
  <c r="L119" i="41" s="1"/>
  <c r="E122" i="26"/>
  <c r="O120" i="25"/>
  <c r="P120" i="25" s="1"/>
  <c r="Q120" i="25" s="1"/>
  <c r="G121" i="25"/>
  <c r="G119" i="19"/>
  <c r="B122" i="25"/>
  <c r="E122" i="25" s="1"/>
  <c r="H121" i="25"/>
  <c r="I121" i="25" s="1"/>
  <c r="D121" i="25"/>
  <c r="C121" i="25"/>
  <c r="F121" i="25"/>
  <c r="J121" i="25" s="1"/>
  <c r="I119" i="18"/>
  <c r="J119" i="18" s="1"/>
  <c r="G120" i="8"/>
  <c r="G121" i="4"/>
  <c r="I121" i="9"/>
  <c r="J121" i="9" s="1"/>
  <c r="I121" i="4"/>
  <c r="I119" i="42"/>
  <c r="J119" i="42" s="1"/>
  <c r="K119" i="42" s="1"/>
  <c r="L119" i="42" s="1"/>
  <c r="I119" i="40"/>
  <c r="J119" i="40" s="1"/>
  <c r="B121" i="39"/>
  <c r="E121" i="39" s="1"/>
  <c r="H120" i="39"/>
  <c r="F120" i="39"/>
  <c r="C120" i="39"/>
  <c r="D120" i="39"/>
  <c r="H120" i="42"/>
  <c r="B121" i="42"/>
  <c r="E121" i="42" s="1"/>
  <c r="F120" i="42"/>
  <c r="G120" i="42" s="1"/>
  <c r="D120" i="42"/>
  <c r="C120" i="42"/>
  <c r="F120" i="40"/>
  <c r="B121" i="40"/>
  <c r="E121" i="40" s="1"/>
  <c r="H120" i="40"/>
  <c r="C120" i="40"/>
  <c r="D120" i="40"/>
  <c r="F120" i="19"/>
  <c r="B121" i="19"/>
  <c r="H120" i="19"/>
  <c r="D120" i="19"/>
  <c r="C120" i="19"/>
  <c r="B121" i="41"/>
  <c r="H120" i="41"/>
  <c r="F120" i="41"/>
  <c r="G120" i="41" s="1"/>
  <c r="C120" i="41"/>
  <c r="D120" i="41"/>
  <c r="F120" i="17"/>
  <c r="G120" i="17" s="1"/>
  <c r="B121" i="17"/>
  <c r="E121" i="17" s="1"/>
  <c r="H120" i="17"/>
  <c r="D120" i="17"/>
  <c r="C120" i="17"/>
  <c r="E120" i="40"/>
  <c r="H122" i="9"/>
  <c r="F122" i="9"/>
  <c r="G122" i="9" s="1"/>
  <c r="B123" i="9"/>
  <c r="E123" i="9" s="1"/>
  <c r="D122" i="9"/>
  <c r="C122" i="9"/>
  <c r="E120" i="19"/>
  <c r="H122" i="4"/>
  <c r="F122" i="4"/>
  <c r="G122" i="4" s="1"/>
  <c r="B123" i="4"/>
  <c r="D122" i="4"/>
  <c r="C122" i="4"/>
  <c r="B121" i="18"/>
  <c r="E121" i="18" s="1"/>
  <c r="H120" i="18"/>
  <c r="F120" i="18"/>
  <c r="G120" i="18" s="1"/>
  <c r="C120" i="18"/>
  <c r="D120" i="18"/>
  <c r="F121" i="8"/>
  <c r="G121" i="8" s="1"/>
  <c r="B122" i="8"/>
  <c r="E122" i="8" s="1"/>
  <c r="H121" i="8"/>
  <c r="C121" i="8"/>
  <c r="D121" i="8"/>
  <c r="I119" i="17"/>
  <c r="J119" i="17" s="1"/>
  <c r="I119" i="39"/>
  <c r="J119" i="39" s="1"/>
  <c r="K119" i="39" s="1"/>
  <c r="L119" i="39" s="1"/>
  <c r="M119" i="39" s="1"/>
  <c r="E120" i="39"/>
  <c r="O117" i="26"/>
  <c r="P117" i="26" s="1"/>
  <c r="Q117" i="26" s="1"/>
  <c r="M119" i="41" l="1"/>
  <c r="M119" i="42"/>
  <c r="K119" i="40"/>
  <c r="L119" i="40" s="1"/>
  <c r="M119" i="40" s="1"/>
  <c r="K119" i="18"/>
  <c r="L119" i="18" s="1"/>
  <c r="M119" i="18" s="1"/>
  <c r="K119" i="17"/>
  <c r="L119" i="17" s="1"/>
  <c r="M119" i="17" s="1"/>
  <c r="G120" i="40"/>
  <c r="J119" i="19"/>
  <c r="K119" i="19" s="1"/>
  <c r="L119" i="19" s="1"/>
  <c r="M119" i="19" s="1"/>
  <c r="K121" i="9"/>
  <c r="L121" i="9" s="1"/>
  <c r="M121" i="9" s="1"/>
  <c r="J120" i="8"/>
  <c r="K120" i="8" s="1"/>
  <c r="L120" i="8" s="1"/>
  <c r="M120" i="8" s="1"/>
  <c r="J121" i="4"/>
  <c r="K121" i="4" s="1"/>
  <c r="L121" i="4" s="1"/>
  <c r="M121" i="4" s="1"/>
  <c r="G120" i="39"/>
  <c r="G123" i="26"/>
  <c r="J122" i="26"/>
  <c r="G122" i="26"/>
  <c r="B124" i="26"/>
  <c r="E124" i="26" s="1"/>
  <c r="C123" i="26"/>
  <c r="D123" i="26"/>
  <c r="H123" i="26"/>
  <c r="I123" i="26" s="1"/>
  <c r="F123" i="26"/>
  <c r="J123" i="26" s="1"/>
  <c r="O121" i="25"/>
  <c r="P121" i="25" s="1"/>
  <c r="Q121" i="25" s="1"/>
  <c r="G122" i="25"/>
  <c r="F122" i="25"/>
  <c r="J122" i="25" s="1"/>
  <c r="B123" i="25"/>
  <c r="E123" i="25" s="1"/>
  <c r="H122" i="25"/>
  <c r="I122" i="25" s="1"/>
  <c r="D122" i="25"/>
  <c r="C122" i="25"/>
  <c r="G120" i="19"/>
  <c r="I120" i="39"/>
  <c r="I122" i="4"/>
  <c r="J122" i="4" s="1"/>
  <c r="I120" i="41"/>
  <c r="J120" i="41" s="1"/>
  <c r="K120" i="41" s="1"/>
  <c r="L120" i="41" s="1"/>
  <c r="M120" i="41" s="1"/>
  <c r="I121" i="8"/>
  <c r="J121" i="8" s="1"/>
  <c r="I122" i="9"/>
  <c r="J122" i="9" s="1"/>
  <c r="K122" i="9" s="1"/>
  <c r="L122" i="9" s="1"/>
  <c r="F123" i="4"/>
  <c r="B124" i="4"/>
  <c r="E124" i="4" s="1"/>
  <c r="H123" i="4"/>
  <c r="D123" i="4"/>
  <c r="C123" i="4"/>
  <c r="F121" i="19"/>
  <c r="B122" i="19"/>
  <c r="H121" i="19"/>
  <c r="D121" i="19"/>
  <c r="C121" i="19"/>
  <c r="E123" i="4"/>
  <c r="F123" i="9"/>
  <c r="G123" i="9" s="1"/>
  <c r="B124" i="9"/>
  <c r="E124" i="9" s="1"/>
  <c r="H123" i="9"/>
  <c r="D123" i="9"/>
  <c r="C123" i="9"/>
  <c r="B122" i="17"/>
  <c r="E122" i="17" s="1"/>
  <c r="H121" i="17"/>
  <c r="F121" i="17"/>
  <c r="G121" i="17" s="1"/>
  <c r="C121" i="17"/>
  <c r="D121" i="17"/>
  <c r="H121" i="41"/>
  <c r="B122" i="41"/>
  <c r="E122" i="41" s="1"/>
  <c r="F121" i="41"/>
  <c r="D121" i="41"/>
  <c r="C121" i="41"/>
  <c r="I120" i="19"/>
  <c r="I120" i="40"/>
  <c r="H121" i="39"/>
  <c r="F121" i="39"/>
  <c r="G121" i="39" s="1"/>
  <c r="B122" i="39"/>
  <c r="E122" i="39" s="1"/>
  <c r="C121" i="39"/>
  <c r="D121" i="39"/>
  <c r="F122" i="8"/>
  <c r="G122" i="8" s="1"/>
  <c r="B123" i="8"/>
  <c r="H122" i="8"/>
  <c r="C122" i="8"/>
  <c r="D122" i="8"/>
  <c r="B122" i="40"/>
  <c r="H121" i="40"/>
  <c r="F121" i="40"/>
  <c r="G121" i="40" s="1"/>
  <c r="C121" i="40"/>
  <c r="D121" i="40"/>
  <c r="I120" i="18"/>
  <c r="J120" i="18" s="1"/>
  <c r="K120" i="18" s="1"/>
  <c r="L120" i="18" s="1"/>
  <c r="H121" i="18"/>
  <c r="F121" i="18"/>
  <c r="G121" i="18" s="1"/>
  <c r="B122" i="18"/>
  <c r="C121" i="18"/>
  <c r="D121" i="18"/>
  <c r="I120" i="17"/>
  <c r="J120" i="17" s="1"/>
  <c r="K120" i="17" s="1"/>
  <c r="L120" i="17" s="1"/>
  <c r="E121" i="41"/>
  <c r="E121" i="19"/>
  <c r="I120" i="42"/>
  <c r="J120" i="42" s="1"/>
  <c r="K120" i="42" s="1"/>
  <c r="L120" i="42" s="1"/>
  <c r="M120" i="42" s="1"/>
  <c r="B122" i="42"/>
  <c r="H121" i="42"/>
  <c r="F121" i="42"/>
  <c r="G121" i="42" s="1"/>
  <c r="C121" i="42"/>
  <c r="D121" i="42"/>
  <c r="O118" i="26"/>
  <c r="P118" i="26" s="1"/>
  <c r="Q118" i="26" s="1"/>
  <c r="J120" i="40" l="1"/>
  <c r="K120" i="40" s="1"/>
  <c r="L120" i="40" s="1"/>
  <c r="M120" i="40" s="1"/>
  <c r="M120" i="18"/>
  <c r="M120" i="17"/>
  <c r="K121" i="8"/>
  <c r="L121" i="8" s="1"/>
  <c r="M121" i="8" s="1"/>
  <c r="J120" i="19"/>
  <c r="K120" i="19" s="1"/>
  <c r="L120" i="19" s="1"/>
  <c r="M120" i="19" s="1"/>
  <c r="M122" i="9"/>
  <c r="N2" i="9" s="1"/>
  <c r="U3" i="9" s="1"/>
  <c r="K122" i="4"/>
  <c r="L122" i="4" s="1"/>
  <c r="M122" i="4" s="1"/>
  <c r="J120" i="39"/>
  <c r="K120" i="39" s="1"/>
  <c r="L120" i="39" s="1"/>
  <c r="M120" i="39" s="1"/>
  <c r="I121" i="41"/>
  <c r="G121" i="19"/>
  <c r="G124" i="26"/>
  <c r="F124" i="26"/>
  <c r="J124" i="26" s="1"/>
  <c r="H124" i="26"/>
  <c r="I124" i="26" s="1"/>
  <c r="D124" i="26"/>
  <c r="B125" i="26"/>
  <c r="C124" i="26"/>
  <c r="G123" i="25"/>
  <c r="O122" i="25"/>
  <c r="P122" i="25" s="1"/>
  <c r="Q122" i="25" s="1"/>
  <c r="C123" i="25"/>
  <c r="F123" i="25"/>
  <c r="J123" i="25" s="1"/>
  <c r="B124" i="25"/>
  <c r="E124" i="25" s="1"/>
  <c r="H123" i="25"/>
  <c r="I123" i="25" s="1"/>
  <c r="D123" i="25"/>
  <c r="I121" i="39"/>
  <c r="J121" i="39" s="1"/>
  <c r="G121" i="41"/>
  <c r="I121" i="40"/>
  <c r="J121" i="40" s="1"/>
  <c r="G123" i="4"/>
  <c r="I121" i="18"/>
  <c r="J121" i="18" s="1"/>
  <c r="K121" i="18" s="1"/>
  <c r="L121" i="18" s="1"/>
  <c r="M121" i="18" s="1"/>
  <c r="I121" i="17"/>
  <c r="J121" i="17" s="1"/>
  <c r="K121" i="17" s="1"/>
  <c r="L121" i="17" s="1"/>
  <c r="M121" i="17" s="1"/>
  <c r="I121" i="19"/>
  <c r="J121" i="19" s="1"/>
  <c r="I121" i="42"/>
  <c r="J121" i="42" s="1"/>
  <c r="K121" i="42" s="1"/>
  <c r="L121" i="42" s="1"/>
  <c r="M121" i="42" s="1"/>
  <c r="F122" i="42"/>
  <c r="B123" i="42"/>
  <c r="E123" i="42" s="1"/>
  <c r="H122" i="42"/>
  <c r="C122" i="42"/>
  <c r="D122" i="42"/>
  <c r="H122" i="40"/>
  <c r="F122" i="40"/>
  <c r="B123" i="40"/>
  <c r="E123" i="40" s="1"/>
  <c r="D122" i="40"/>
  <c r="C122" i="40"/>
  <c r="B124" i="8"/>
  <c r="E124" i="8" s="1"/>
  <c r="H123" i="8"/>
  <c r="F123" i="8"/>
  <c r="D123" i="8"/>
  <c r="C123" i="8"/>
  <c r="B123" i="19"/>
  <c r="E123" i="19" s="1"/>
  <c r="H122" i="19"/>
  <c r="F122" i="19"/>
  <c r="C122" i="19"/>
  <c r="D122" i="19"/>
  <c r="B123" i="41"/>
  <c r="E123" i="41" s="1"/>
  <c r="H122" i="41"/>
  <c r="F122" i="41"/>
  <c r="G122" i="41" s="1"/>
  <c r="C122" i="41"/>
  <c r="D122" i="41"/>
  <c r="H122" i="17"/>
  <c r="F122" i="17"/>
  <c r="G122" i="17" s="1"/>
  <c r="B123" i="17"/>
  <c r="E123" i="17" s="1"/>
  <c r="C122" i="17"/>
  <c r="D122" i="17"/>
  <c r="F124" i="9"/>
  <c r="G124" i="9" s="1"/>
  <c r="B125" i="9"/>
  <c r="E125" i="9" s="1"/>
  <c r="H124" i="9"/>
  <c r="D124" i="9"/>
  <c r="C124" i="9"/>
  <c r="F124" i="4"/>
  <c r="G124" i="4" s="1"/>
  <c r="B125" i="4"/>
  <c r="E125" i="4" s="1"/>
  <c r="H124" i="4"/>
  <c r="C124" i="4"/>
  <c r="D124" i="4"/>
  <c r="F122" i="18"/>
  <c r="B123" i="18"/>
  <c r="E123" i="18" s="1"/>
  <c r="H122" i="18"/>
  <c r="D122" i="18"/>
  <c r="C122" i="18"/>
  <c r="E122" i="42"/>
  <c r="E122" i="18"/>
  <c r="E122" i="40"/>
  <c r="I122" i="8"/>
  <c r="J122" i="8" s="1"/>
  <c r="K122" i="8" s="1"/>
  <c r="L122" i="8" s="1"/>
  <c r="E123" i="8"/>
  <c r="F122" i="39"/>
  <c r="G122" i="39" s="1"/>
  <c r="B123" i="39"/>
  <c r="E123" i="39" s="1"/>
  <c r="H122" i="39"/>
  <c r="C122" i="39"/>
  <c r="D122" i="39"/>
  <c r="I123" i="9"/>
  <c r="J123" i="9" s="1"/>
  <c r="K123" i="9" s="1"/>
  <c r="L123" i="9" s="1"/>
  <c r="M123" i="9" s="1"/>
  <c r="E122" i="19"/>
  <c r="I123" i="4"/>
  <c r="O119" i="26"/>
  <c r="P119" i="26" s="1"/>
  <c r="Q119" i="26" s="1"/>
  <c r="K121" i="40" l="1"/>
  <c r="L121" i="40" s="1"/>
  <c r="M121" i="40" s="1"/>
  <c r="U101" i="9"/>
  <c r="U117" i="9"/>
  <c r="U106" i="9"/>
  <c r="U110" i="9"/>
  <c r="U118" i="9"/>
  <c r="U121" i="9"/>
  <c r="U119" i="9"/>
  <c r="U103" i="9"/>
  <c r="U114" i="9"/>
  <c r="U99" i="9"/>
  <c r="U107" i="9"/>
  <c r="U122" i="9"/>
  <c r="U100" i="9"/>
  <c r="U108" i="9"/>
  <c r="U115" i="9"/>
  <c r="U105" i="9"/>
  <c r="U113" i="9"/>
  <c r="U116" i="9"/>
  <c r="U104" i="9"/>
  <c r="U111" i="9"/>
  <c r="U120" i="9"/>
  <c r="U102" i="9"/>
  <c r="U109" i="9"/>
  <c r="U112" i="9"/>
  <c r="M122" i="8"/>
  <c r="K121" i="19"/>
  <c r="L121" i="19" s="1"/>
  <c r="M121" i="19" s="1"/>
  <c r="U65" i="9"/>
  <c r="U79" i="9"/>
  <c r="U63" i="9"/>
  <c r="U86" i="9"/>
  <c r="U76" i="9"/>
  <c r="U5" i="9"/>
  <c r="U53" i="9"/>
  <c r="U16" i="9"/>
  <c r="U74" i="9"/>
  <c r="U38" i="9"/>
  <c r="U98" i="9"/>
  <c r="U42" i="9"/>
  <c r="U33" i="9"/>
  <c r="U44" i="9"/>
  <c r="U77" i="9"/>
  <c r="U67" i="9"/>
  <c r="U47" i="9"/>
  <c r="U89" i="9"/>
  <c r="U49" i="9"/>
  <c r="U46" i="9"/>
  <c r="U45" i="9"/>
  <c r="U70" i="9"/>
  <c r="U69" i="9"/>
  <c r="U34" i="9"/>
  <c r="U81" i="9"/>
  <c r="U59" i="9"/>
  <c r="U27" i="9"/>
  <c r="U51" i="9"/>
  <c r="U14" i="9"/>
  <c r="U68" i="9"/>
  <c r="U93" i="9"/>
  <c r="U92" i="9"/>
  <c r="U52" i="9"/>
  <c r="U24" i="9"/>
  <c r="U26" i="9"/>
  <c r="U90" i="9"/>
  <c r="U20" i="9"/>
  <c r="U91" i="9"/>
  <c r="U8" i="9"/>
  <c r="U57" i="9"/>
  <c r="U64" i="9"/>
  <c r="U22" i="9"/>
  <c r="U41" i="9"/>
  <c r="U78" i="9"/>
  <c r="U85" i="9"/>
  <c r="U87" i="9"/>
  <c r="U62" i="9"/>
  <c r="U88" i="9"/>
  <c r="U21" i="9"/>
  <c r="U10" i="9"/>
  <c r="U56" i="9"/>
  <c r="U73" i="9"/>
  <c r="U80" i="9"/>
  <c r="U31" i="9"/>
  <c r="U82" i="9"/>
  <c r="U23" i="9"/>
  <c r="U17" i="9"/>
  <c r="U97" i="9"/>
  <c r="U30" i="9"/>
  <c r="U7" i="9"/>
  <c r="U18" i="9"/>
  <c r="U35" i="9"/>
  <c r="U72" i="9"/>
  <c r="U43" i="9"/>
  <c r="U96" i="9"/>
  <c r="P3" i="9"/>
  <c r="S3" i="9" s="1"/>
  <c r="U4" i="9"/>
  <c r="U13" i="9"/>
  <c r="U61" i="9"/>
  <c r="U50" i="9"/>
  <c r="U11" i="9"/>
  <c r="U94" i="9"/>
  <c r="U19" i="9"/>
  <c r="U29" i="9"/>
  <c r="U60" i="9"/>
  <c r="U9" i="9"/>
  <c r="U15" i="9"/>
  <c r="U84" i="9"/>
  <c r="U37" i="9"/>
  <c r="U32" i="9"/>
  <c r="U95" i="9"/>
  <c r="U12" i="9"/>
  <c r="E16" i="50"/>
  <c r="U36" i="9"/>
  <c r="U83" i="9"/>
  <c r="U54" i="9"/>
  <c r="U25" i="9"/>
  <c r="U48" i="9"/>
  <c r="U71" i="9"/>
  <c r="U39" i="9"/>
  <c r="U55" i="9"/>
  <c r="U75" i="9"/>
  <c r="U58" i="9"/>
  <c r="U40" i="9"/>
  <c r="U28" i="9"/>
  <c r="U6" i="9"/>
  <c r="U66" i="9"/>
  <c r="K121" i="39"/>
  <c r="L121" i="39" s="1"/>
  <c r="M121" i="39" s="1"/>
  <c r="J121" i="41"/>
  <c r="K121" i="41" s="1"/>
  <c r="L121" i="41" s="1"/>
  <c r="M121" i="41" s="1"/>
  <c r="J123" i="4"/>
  <c r="K123" i="4" s="1"/>
  <c r="L123" i="4" s="1"/>
  <c r="M123" i="4" s="1"/>
  <c r="G122" i="19"/>
  <c r="G122" i="42"/>
  <c r="G122" i="18"/>
  <c r="B126" i="26"/>
  <c r="E126" i="26" s="1"/>
  <c r="C125" i="26"/>
  <c r="H125" i="26"/>
  <c r="I125" i="26" s="1"/>
  <c r="F125" i="26"/>
  <c r="D125" i="26"/>
  <c r="E125" i="26"/>
  <c r="O123" i="25"/>
  <c r="P123" i="25" s="1"/>
  <c r="Q123" i="25" s="1"/>
  <c r="G124" i="25"/>
  <c r="H124" i="25"/>
  <c r="I124" i="25" s="1"/>
  <c r="D124" i="25"/>
  <c r="C124" i="25"/>
  <c r="F124" i="25"/>
  <c r="J124" i="25" s="1"/>
  <c r="B125" i="25"/>
  <c r="I122" i="19"/>
  <c r="I122" i="17"/>
  <c r="J122" i="17" s="1"/>
  <c r="K122" i="17" s="1"/>
  <c r="L122" i="17" s="1"/>
  <c r="M122" i="17" s="1"/>
  <c r="G122" i="40"/>
  <c r="I123" i="8"/>
  <c r="G123" i="8"/>
  <c r="I124" i="9"/>
  <c r="J124" i="9" s="1"/>
  <c r="K124" i="9" s="1"/>
  <c r="L124" i="9" s="1"/>
  <c r="M124" i="9" s="1"/>
  <c r="I122" i="39"/>
  <c r="J122" i="39" s="1"/>
  <c r="K122" i="39" s="1"/>
  <c r="L122" i="39" s="1"/>
  <c r="I122" i="40"/>
  <c r="F123" i="39"/>
  <c r="G123" i="39" s="1"/>
  <c r="B124" i="39"/>
  <c r="E124" i="39" s="1"/>
  <c r="H123" i="39"/>
  <c r="C123" i="39"/>
  <c r="D123" i="39"/>
  <c r="F123" i="18"/>
  <c r="G123" i="18" s="1"/>
  <c r="B124" i="18"/>
  <c r="E124" i="18" s="1"/>
  <c r="H123" i="18"/>
  <c r="D123" i="18"/>
  <c r="C123" i="18"/>
  <c r="I124" i="4"/>
  <c r="J124" i="4" s="1"/>
  <c r="F123" i="40"/>
  <c r="G123" i="40" s="1"/>
  <c r="B124" i="40"/>
  <c r="E124" i="40" s="1"/>
  <c r="H123" i="40"/>
  <c r="D123" i="40"/>
  <c r="C123" i="40"/>
  <c r="I122" i="18"/>
  <c r="B126" i="9"/>
  <c r="E126" i="9" s="1"/>
  <c r="H125" i="9"/>
  <c r="F125" i="9"/>
  <c r="G125" i="9" s="1"/>
  <c r="D125" i="9"/>
  <c r="C125" i="9"/>
  <c r="H124" i="8"/>
  <c r="F124" i="8"/>
  <c r="G124" i="8" s="1"/>
  <c r="B125" i="8"/>
  <c r="E125" i="8" s="1"/>
  <c r="C124" i="8"/>
  <c r="D124" i="8"/>
  <c r="I122" i="42"/>
  <c r="B126" i="4"/>
  <c r="E126" i="4" s="1"/>
  <c r="H125" i="4"/>
  <c r="F125" i="4"/>
  <c r="G125" i="4" s="1"/>
  <c r="D125" i="4"/>
  <c r="C125" i="4"/>
  <c r="F123" i="17"/>
  <c r="G123" i="17" s="1"/>
  <c r="B124" i="17"/>
  <c r="E124" i="17" s="1"/>
  <c r="H123" i="17"/>
  <c r="C123" i="17"/>
  <c r="D123" i="17"/>
  <c r="H123" i="19"/>
  <c r="F123" i="19"/>
  <c r="G123" i="19" s="1"/>
  <c r="B124" i="19"/>
  <c r="E124" i="19" s="1"/>
  <c r="D123" i="19"/>
  <c r="C123" i="19"/>
  <c r="I122" i="41"/>
  <c r="J122" i="41" s="1"/>
  <c r="F123" i="41"/>
  <c r="G123" i="41" s="1"/>
  <c r="B124" i="41"/>
  <c r="H123" i="41"/>
  <c r="D123" i="41"/>
  <c r="C123" i="41"/>
  <c r="B124" i="42"/>
  <c r="E124" i="42" s="1"/>
  <c r="H123" i="42"/>
  <c r="F123" i="42"/>
  <c r="G123" i="42" s="1"/>
  <c r="D123" i="42"/>
  <c r="C123" i="42"/>
  <c r="O120" i="26"/>
  <c r="P120" i="26" s="1"/>
  <c r="Q120" i="26" s="1"/>
  <c r="Q3" i="9" l="1"/>
  <c r="O4" i="9" s="1"/>
  <c r="M122" i="39"/>
  <c r="K122" i="41"/>
  <c r="L122" i="41" s="1"/>
  <c r="M122" i="41" s="1"/>
  <c r="J122" i="42"/>
  <c r="K122" i="42" s="1"/>
  <c r="L122" i="42" s="1"/>
  <c r="M122" i="42" s="1"/>
  <c r="J122" i="18"/>
  <c r="K122" i="18" s="1"/>
  <c r="L122" i="18" s="1"/>
  <c r="M122" i="18" s="1"/>
  <c r="J123" i="8"/>
  <c r="K123" i="8" s="1"/>
  <c r="L123" i="8" s="1"/>
  <c r="M123" i="8" s="1"/>
  <c r="J122" i="19"/>
  <c r="K122" i="19" s="1"/>
  <c r="L122" i="19" s="1"/>
  <c r="M122" i="19" s="1"/>
  <c r="J122" i="40"/>
  <c r="K122" i="40" s="1"/>
  <c r="L122" i="40" s="1"/>
  <c r="M122" i="40" s="1"/>
  <c r="K124" i="4"/>
  <c r="L124" i="4" s="1"/>
  <c r="M124" i="4" s="1"/>
  <c r="G126" i="26"/>
  <c r="G125" i="26"/>
  <c r="J125" i="26"/>
  <c r="H126" i="26"/>
  <c r="I126" i="26" s="1"/>
  <c r="D126" i="26"/>
  <c r="F126" i="26"/>
  <c r="J126" i="26" s="1"/>
  <c r="B127" i="26"/>
  <c r="E127" i="26" s="1"/>
  <c r="C126" i="26"/>
  <c r="B126" i="25"/>
  <c r="E126" i="25" s="1"/>
  <c r="H125" i="25"/>
  <c r="I125" i="25" s="1"/>
  <c r="D125" i="25"/>
  <c r="C125" i="25"/>
  <c r="F125" i="25"/>
  <c r="O124" i="25"/>
  <c r="P124" i="25" s="1"/>
  <c r="Q124" i="25" s="1"/>
  <c r="E125" i="25"/>
  <c r="I123" i="19"/>
  <c r="J123" i="19" s="1"/>
  <c r="I123" i="17"/>
  <c r="J123" i="17" s="1"/>
  <c r="K123" i="17" s="1"/>
  <c r="L123" i="17" s="1"/>
  <c r="M123" i="17" s="1"/>
  <c r="I125" i="4"/>
  <c r="J125" i="4" s="1"/>
  <c r="K125" i="4" s="1"/>
  <c r="L125" i="4" s="1"/>
  <c r="I125" i="9"/>
  <c r="J125" i="9" s="1"/>
  <c r="K125" i="9" s="1"/>
  <c r="L125" i="9" s="1"/>
  <c r="M125" i="9" s="1"/>
  <c r="I124" i="8"/>
  <c r="J124" i="8" s="1"/>
  <c r="I123" i="39"/>
  <c r="J123" i="39" s="1"/>
  <c r="K123" i="39" s="1"/>
  <c r="L123" i="39" s="1"/>
  <c r="M123" i="39" s="1"/>
  <c r="B125" i="41"/>
  <c r="E125" i="41" s="1"/>
  <c r="H124" i="41"/>
  <c r="F124" i="41"/>
  <c r="C124" i="41"/>
  <c r="D124" i="41"/>
  <c r="I123" i="42"/>
  <c r="J123" i="42" s="1"/>
  <c r="E124" i="41"/>
  <c r="F124" i="19"/>
  <c r="G124" i="19" s="1"/>
  <c r="B125" i="19"/>
  <c r="E125" i="19" s="1"/>
  <c r="H124" i="19"/>
  <c r="D124" i="19"/>
  <c r="C124" i="19"/>
  <c r="F124" i="17"/>
  <c r="G124" i="17" s="1"/>
  <c r="B125" i="17"/>
  <c r="H124" i="17"/>
  <c r="D124" i="17"/>
  <c r="C124" i="17"/>
  <c r="F125" i="8"/>
  <c r="G125" i="8" s="1"/>
  <c r="B126" i="8"/>
  <c r="E126" i="8" s="1"/>
  <c r="H125" i="8"/>
  <c r="D125" i="8"/>
  <c r="C125" i="8"/>
  <c r="I123" i="18"/>
  <c r="J123" i="18" s="1"/>
  <c r="H126" i="9"/>
  <c r="F126" i="9"/>
  <c r="G126" i="9" s="1"/>
  <c r="B127" i="9"/>
  <c r="E127" i="9" s="1"/>
  <c r="C126" i="9"/>
  <c r="D126" i="9"/>
  <c r="F124" i="40"/>
  <c r="G124" i="40" s="1"/>
  <c r="B125" i="40"/>
  <c r="H124" i="40"/>
  <c r="D124" i="40"/>
  <c r="C124" i="40"/>
  <c r="H124" i="42"/>
  <c r="B125" i="42"/>
  <c r="F124" i="42"/>
  <c r="G124" i="42" s="1"/>
  <c r="D124" i="42"/>
  <c r="C124" i="42"/>
  <c r="I123" i="41"/>
  <c r="J123" i="41" s="1"/>
  <c r="K123" i="41" s="1"/>
  <c r="L123" i="41" s="1"/>
  <c r="H126" i="4"/>
  <c r="F126" i="4"/>
  <c r="G126" i="4" s="1"/>
  <c r="B127" i="4"/>
  <c r="D126" i="4"/>
  <c r="C126" i="4"/>
  <c r="I123" i="40"/>
  <c r="J123" i="40" s="1"/>
  <c r="B125" i="18"/>
  <c r="E125" i="18" s="1"/>
  <c r="H124" i="18"/>
  <c r="F124" i="18"/>
  <c r="G124" i="18" s="1"/>
  <c r="D124" i="18"/>
  <c r="C124" i="18"/>
  <c r="B125" i="39"/>
  <c r="H124" i="39"/>
  <c r="F124" i="39"/>
  <c r="G124" i="39" s="1"/>
  <c r="C124" i="39"/>
  <c r="D124" i="39"/>
  <c r="O121" i="26"/>
  <c r="P121" i="26" s="1"/>
  <c r="Q121" i="26" s="1"/>
  <c r="V4" i="9" l="1"/>
  <c r="M123" i="41"/>
  <c r="K123" i="19"/>
  <c r="L123" i="19" s="1"/>
  <c r="M123" i="19" s="1"/>
  <c r="K123" i="42"/>
  <c r="L123" i="42" s="1"/>
  <c r="M123" i="42" s="1"/>
  <c r="K123" i="18"/>
  <c r="L123" i="18" s="1"/>
  <c r="M123" i="18" s="1"/>
  <c r="K124" i="8"/>
  <c r="L124" i="8" s="1"/>
  <c r="M124" i="8" s="1"/>
  <c r="K123" i="40"/>
  <c r="L123" i="40" s="1"/>
  <c r="M123" i="40" s="1"/>
  <c r="M125" i="4"/>
  <c r="T4" i="9"/>
  <c r="P4" i="9"/>
  <c r="I124" i="42"/>
  <c r="J124" i="42" s="1"/>
  <c r="K124" i="42" s="1"/>
  <c r="L124" i="42" s="1"/>
  <c r="G127" i="26"/>
  <c r="B128" i="26"/>
  <c r="C127" i="26"/>
  <c r="H127" i="26"/>
  <c r="I127" i="26" s="1"/>
  <c r="D127" i="26"/>
  <c r="E128" i="26"/>
  <c r="F127" i="26"/>
  <c r="J127" i="26" s="1"/>
  <c r="G126" i="25"/>
  <c r="G125" i="25"/>
  <c r="J125" i="25"/>
  <c r="O125" i="25" s="1"/>
  <c r="P125" i="25" s="1"/>
  <c r="Q125" i="25" s="1"/>
  <c r="F126" i="25"/>
  <c r="J126" i="25" s="1"/>
  <c r="B127" i="25"/>
  <c r="H126" i="25"/>
  <c r="I126" i="25" s="1"/>
  <c r="D126" i="25"/>
  <c r="C126" i="25"/>
  <c r="G124" i="41"/>
  <c r="I124" i="18"/>
  <c r="J124" i="18" s="1"/>
  <c r="K124" i="18" s="1"/>
  <c r="L124" i="18" s="1"/>
  <c r="I125" i="8"/>
  <c r="J125" i="8" s="1"/>
  <c r="K125" i="8" s="1"/>
  <c r="L125" i="8" s="1"/>
  <c r="I126" i="9"/>
  <c r="J126" i="9" s="1"/>
  <c r="K126" i="9" s="1"/>
  <c r="L126" i="9" s="1"/>
  <c r="M126" i="9" s="1"/>
  <c r="I124" i="41"/>
  <c r="I124" i="19"/>
  <c r="J124" i="19" s="1"/>
  <c r="K124" i="19" s="1"/>
  <c r="L124" i="19" s="1"/>
  <c r="H125" i="39"/>
  <c r="F125" i="39"/>
  <c r="B126" i="39"/>
  <c r="E126" i="39" s="1"/>
  <c r="D125" i="39"/>
  <c r="C125" i="39"/>
  <c r="B126" i="42"/>
  <c r="E126" i="42" s="1"/>
  <c r="H125" i="42"/>
  <c r="F125" i="42"/>
  <c r="C125" i="42"/>
  <c r="D125" i="42"/>
  <c r="B126" i="40"/>
  <c r="E126" i="40" s="1"/>
  <c r="H125" i="40"/>
  <c r="F125" i="40"/>
  <c r="C125" i="40"/>
  <c r="D125" i="40"/>
  <c r="E125" i="42"/>
  <c r="I124" i="40"/>
  <c r="J124" i="40" s="1"/>
  <c r="K124" i="40" s="1"/>
  <c r="L124" i="40" s="1"/>
  <c r="B126" i="17"/>
  <c r="E126" i="17" s="1"/>
  <c r="H125" i="17"/>
  <c r="F125" i="17"/>
  <c r="D125" i="17"/>
  <c r="C125" i="17"/>
  <c r="H125" i="41"/>
  <c r="B126" i="41"/>
  <c r="F125" i="41"/>
  <c r="G125" i="41" s="1"/>
  <c r="D125" i="41"/>
  <c r="C125" i="41"/>
  <c r="I124" i="39"/>
  <c r="J124" i="39" s="1"/>
  <c r="K124" i="39" s="1"/>
  <c r="L124" i="39" s="1"/>
  <c r="M124" i="39" s="1"/>
  <c r="F127" i="4"/>
  <c r="B128" i="4"/>
  <c r="H127" i="4"/>
  <c r="D127" i="4"/>
  <c r="C127" i="4"/>
  <c r="E125" i="39"/>
  <c r="H125" i="18"/>
  <c r="F125" i="18"/>
  <c r="G125" i="18" s="1"/>
  <c r="B126" i="18"/>
  <c r="E126" i="18" s="1"/>
  <c r="D125" i="18"/>
  <c r="C125" i="18"/>
  <c r="I126" i="4"/>
  <c r="J126" i="4" s="1"/>
  <c r="K126" i="4" s="1"/>
  <c r="L126" i="4" s="1"/>
  <c r="M126" i="4" s="1"/>
  <c r="E127" i="4"/>
  <c r="E125" i="40"/>
  <c r="I124" i="17"/>
  <c r="J124" i="17" s="1"/>
  <c r="K124" i="17" s="1"/>
  <c r="L124" i="17" s="1"/>
  <c r="M124" i="17" s="1"/>
  <c r="F127" i="9"/>
  <c r="G127" i="9" s="1"/>
  <c r="B128" i="9"/>
  <c r="H127" i="9"/>
  <c r="D127" i="9"/>
  <c r="C127" i="9"/>
  <c r="F126" i="8"/>
  <c r="G126" i="8" s="1"/>
  <c r="B127" i="8"/>
  <c r="E127" i="8" s="1"/>
  <c r="H126" i="8"/>
  <c r="C126" i="8"/>
  <c r="D126" i="8"/>
  <c r="E125" i="17"/>
  <c r="F125" i="19"/>
  <c r="G125" i="19" s="1"/>
  <c r="B126" i="19"/>
  <c r="E126" i="19" s="1"/>
  <c r="H125" i="19"/>
  <c r="C125" i="19"/>
  <c r="D125" i="19"/>
  <c r="O122" i="26"/>
  <c r="P122" i="26" s="1"/>
  <c r="Q122" i="26" s="1"/>
  <c r="M124" i="19" l="1"/>
  <c r="M124" i="18"/>
  <c r="M124" i="42"/>
  <c r="M125" i="8"/>
  <c r="M124" i="40"/>
  <c r="J124" i="41"/>
  <c r="K124" i="41" s="1"/>
  <c r="L124" i="41" s="1"/>
  <c r="M124" i="41" s="1"/>
  <c r="I125" i="39"/>
  <c r="G125" i="40"/>
  <c r="S4" i="9"/>
  <c r="Q4" i="9"/>
  <c r="G128" i="26"/>
  <c r="F128" i="26"/>
  <c r="J128" i="26" s="1"/>
  <c r="H128" i="26"/>
  <c r="I128" i="26" s="1"/>
  <c r="D128" i="26"/>
  <c r="B129" i="26"/>
  <c r="C128" i="26"/>
  <c r="O126" i="25"/>
  <c r="P126" i="25" s="1"/>
  <c r="Q126" i="25" s="1"/>
  <c r="C127" i="25"/>
  <c r="F127" i="25"/>
  <c r="B128" i="25"/>
  <c r="E128" i="25" s="1"/>
  <c r="H127" i="25"/>
  <c r="I127" i="25" s="1"/>
  <c r="D127" i="25"/>
  <c r="E127" i="25"/>
  <c r="G125" i="39"/>
  <c r="I125" i="17"/>
  <c r="G125" i="42"/>
  <c r="I125" i="40"/>
  <c r="G127" i="4"/>
  <c r="G125" i="17"/>
  <c r="I126" i="8"/>
  <c r="J126" i="8" s="1"/>
  <c r="K126" i="8" s="1"/>
  <c r="L126" i="8" s="1"/>
  <c r="M126" i="8" s="1"/>
  <c r="I125" i="42"/>
  <c r="F128" i="4"/>
  <c r="B129" i="4"/>
  <c r="E129" i="4" s="1"/>
  <c r="H128" i="4"/>
  <c r="D128" i="4"/>
  <c r="C128" i="4"/>
  <c r="B127" i="41"/>
  <c r="H126" i="41"/>
  <c r="F126" i="41"/>
  <c r="D126" i="41"/>
  <c r="C126" i="41"/>
  <c r="I125" i="19"/>
  <c r="J125" i="19" s="1"/>
  <c r="K125" i="19" s="1"/>
  <c r="L125" i="19" s="1"/>
  <c r="M125" i="19" s="1"/>
  <c r="I127" i="9"/>
  <c r="J127" i="9" s="1"/>
  <c r="K127" i="9" s="1"/>
  <c r="L127" i="9" s="1"/>
  <c r="M127" i="9" s="1"/>
  <c r="I125" i="18"/>
  <c r="J125" i="18" s="1"/>
  <c r="K125" i="18" s="1"/>
  <c r="L125" i="18" s="1"/>
  <c r="M125" i="18" s="1"/>
  <c r="I127" i="4"/>
  <c r="I125" i="41"/>
  <c r="J125" i="41" s="1"/>
  <c r="E126" i="41"/>
  <c r="H126" i="17"/>
  <c r="F126" i="17"/>
  <c r="G126" i="17" s="1"/>
  <c r="B127" i="17"/>
  <c r="E127" i="17" s="1"/>
  <c r="D126" i="17"/>
  <c r="C126" i="17"/>
  <c r="F128" i="9"/>
  <c r="B129" i="9"/>
  <c r="E129" i="9" s="1"/>
  <c r="H128" i="9"/>
  <c r="D128" i="9"/>
  <c r="C128" i="9"/>
  <c r="B128" i="8"/>
  <c r="H127" i="8"/>
  <c r="F127" i="8"/>
  <c r="G127" i="8" s="1"/>
  <c r="D127" i="8"/>
  <c r="C127" i="8"/>
  <c r="E128" i="9"/>
  <c r="E128" i="4"/>
  <c r="H126" i="40"/>
  <c r="F126" i="40"/>
  <c r="G126" i="40" s="1"/>
  <c r="B127" i="40"/>
  <c r="C126" i="40"/>
  <c r="D126" i="40"/>
  <c r="B127" i="19"/>
  <c r="E127" i="19" s="1"/>
  <c r="H126" i="19"/>
  <c r="F126" i="19"/>
  <c r="G126" i="19" s="1"/>
  <c r="D126" i="19"/>
  <c r="C126" i="19"/>
  <c r="F126" i="18"/>
  <c r="G126" i="18" s="1"/>
  <c r="B127" i="18"/>
  <c r="E127" i="18" s="1"/>
  <c r="H126" i="18"/>
  <c r="D126" i="18"/>
  <c r="C126" i="18"/>
  <c r="F126" i="42"/>
  <c r="G126" i="42" s="1"/>
  <c r="H126" i="42"/>
  <c r="B127" i="42"/>
  <c r="E127" i="42" s="1"/>
  <c r="D126" i="42"/>
  <c r="C126" i="42"/>
  <c r="F126" i="39"/>
  <c r="G126" i="39" s="1"/>
  <c r="B127" i="39"/>
  <c r="H126" i="39"/>
  <c r="D126" i="39"/>
  <c r="C126" i="39"/>
  <c r="O123" i="26"/>
  <c r="P123" i="26" s="1"/>
  <c r="Q123" i="26" s="1"/>
  <c r="K125" i="41" l="1"/>
  <c r="L125" i="41" s="1"/>
  <c r="M125" i="41" s="1"/>
  <c r="J125" i="39"/>
  <c r="K125" i="39" s="1"/>
  <c r="L125" i="39" s="1"/>
  <c r="M125" i="39" s="1"/>
  <c r="J125" i="17"/>
  <c r="K125" i="17" s="1"/>
  <c r="L125" i="17" s="1"/>
  <c r="M125" i="17" s="1"/>
  <c r="J125" i="42"/>
  <c r="K125" i="42" s="1"/>
  <c r="L125" i="42" s="1"/>
  <c r="M125" i="42" s="1"/>
  <c r="J125" i="40"/>
  <c r="K125" i="40" s="1"/>
  <c r="L125" i="40" s="1"/>
  <c r="M125" i="40" s="1"/>
  <c r="G126" i="41"/>
  <c r="J127" i="4"/>
  <c r="K127" i="4" s="1"/>
  <c r="L127" i="4" s="1"/>
  <c r="M127" i="4" s="1"/>
  <c r="O5" i="9"/>
  <c r="V5" i="9"/>
  <c r="I126" i="42"/>
  <c r="J126" i="42" s="1"/>
  <c r="I126" i="41"/>
  <c r="B130" i="26"/>
  <c r="E130" i="26" s="1"/>
  <c r="C129" i="26"/>
  <c r="F129" i="26"/>
  <c r="H129" i="26"/>
  <c r="I129" i="26" s="1"/>
  <c r="D129" i="26"/>
  <c r="E129" i="26"/>
  <c r="G128" i="25"/>
  <c r="G127" i="25"/>
  <c r="J127" i="25"/>
  <c r="O127" i="25" s="1"/>
  <c r="P127" i="25" s="1"/>
  <c r="Q127" i="25" s="1"/>
  <c r="H128" i="25"/>
  <c r="I128" i="25" s="1"/>
  <c r="D128" i="25"/>
  <c r="C128" i="25"/>
  <c r="F128" i="25"/>
  <c r="J128" i="25" s="1"/>
  <c r="B129" i="25"/>
  <c r="E129" i="25" s="1"/>
  <c r="I127" i="8"/>
  <c r="J127" i="8" s="1"/>
  <c r="K127" i="8" s="1"/>
  <c r="L127" i="8" s="1"/>
  <c r="M127" i="8" s="1"/>
  <c r="I126" i="40"/>
  <c r="J126" i="40" s="1"/>
  <c r="G128" i="4"/>
  <c r="I128" i="9"/>
  <c r="I128" i="4"/>
  <c r="I126" i="19"/>
  <c r="J126" i="19" s="1"/>
  <c r="K126" i="19" s="1"/>
  <c r="L126" i="19" s="1"/>
  <c r="M126" i="19" s="1"/>
  <c r="H128" i="8"/>
  <c r="F128" i="8"/>
  <c r="B129" i="8"/>
  <c r="D128" i="8"/>
  <c r="C128" i="8"/>
  <c r="F127" i="39"/>
  <c r="B128" i="39"/>
  <c r="E128" i="39" s="1"/>
  <c r="H127" i="39"/>
  <c r="D127" i="39"/>
  <c r="C127" i="39"/>
  <c r="I126" i="39"/>
  <c r="J126" i="39" s="1"/>
  <c r="B128" i="42"/>
  <c r="E128" i="42" s="1"/>
  <c r="F127" i="42"/>
  <c r="G127" i="42" s="1"/>
  <c r="H127" i="42"/>
  <c r="D127" i="42"/>
  <c r="C127" i="42"/>
  <c r="F127" i="18"/>
  <c r="G127" i="18" s="1"/>
  <c r="B128" i="18"/>
  <c r="H127" i="18"/>
  <c r="D127" i="18"/>
  <c r="C127" i="18"/>
  <c r="F127" i="17"/>
  <c r="G127" i="17" s="1"/>
  <c r="B128" i="17"/>
  <c r="H127" i="17"/>
  <c r="D127" i="17"/>
  <c r="C127" i="17"/>
  <c r="F127" i="40"/>
  <c r="B128" i="40"/>
  <c r="E128" i="40" s="1"/>
  <c r="H127" i="40"/>
  <c r="C127" i="40"/>
  <c r="D127" i="40"/>
  <c r="E127" i="39"/>
  <c r="I126" i="18"/>
  <c r="J126" i="18" s="1"/>
  <c r="K126" i="18" s="1"/>
  <c r="L126" i="18" s="1"/>
  <c r="M126" i="18" s="1"/>
  <c r="E127" i="40"/>
  <c r="G128" i="9"/>
  <c r="E128" i="8"/>
  <c r="F127" i="41"/>
  <c r="B128" i="41"/>
  <c r="H127" i="41"/>
  <c r="D127" i="41"/>
  <c r="C127" i="41"/>
  <c r="H127" i="19"/>
  <c r="F127" i="19"/>
  <c r="G127" i="19" s="1"/>
  <c r="B128" i="19"/>
  <c r="E128" i="19" s="1"/>
  <c r="C127" i="19"/>
  <c r="D127" i="19"/>
  <c r="B130" i="9"/>
  <c r="H129" i="9"/>
  <c r="F129" i="9"/>
  <c r="G129" i="9" s="1"/>
  <c r="D129" i="9"/>
  <c r="C129" i="9"/>
  <c r="I126" i="17"/>
  <c r="J126" i="17" s="1"/>
  <c r="E127" i="41"/>
  <c r="B130" i="4"/>
  <c r="E130" i="4" s="1"/>
  <c r="H129" i="4"/>
  <c r="F129" i="4"/>
  <c r="G129" i="4" s="1"/>
  <c r="C129" i="4"/>
  <c r="D129" i="4"/>
  <c r="O124" i="26"/>
  <c r="P124" i="26" s="1"/>
  <c r="Q124" i="26" s="1"/>
  <c r="J128" i="4" l="1"/>
  <c r="K128" i="4" s="1"/>
  <c r="L128" i="4" s="1"/>
  <c r="M128" i="4" s="1"/>
  <c r="J128" i="9"/>
  <c r="K128" i="9" s="1"/>
  <c r="L128" i="9" s="1"/>
  <c r="M128" i="9" s="1"/>
  <c r="K126" i="17"/>
  <c r="L126" i="17" s="1"/>
  <c r="M126" i="17" s="1"/>
  <c r="K126" i="39"/>
  <c r="L126" i="39" s="1"/>
  <c r="M126" i="39" s="1"/>
  <c r="K126" i="42"/>
  <c r="L126" i="42" s="1"/>
  <c r="M126" i="42" s="1"/>
  <c r="K126" i="40"/>
  <c r="L126" i="40" s="1"/>
  <c r="M126" i="40" s="1"/>
  <c r="J126" i="41"/>
  <c r="K126" i="41" s="1"/>
  <c r="L126" i="41" s="1"/>
  <c r="M126" i="41" s="1"/>
  <c r="G127" i="39"/>
  <c r="T5" i="9"/>
  <c r="P5" i="9"/>
  <c r="G129" i="26"/>
  <c r="J129" i="26"/>
  <c r="G130" i="26"/>
  <c r="H130" i="26"/>
  <c r="I130" i="26" s="1"/>
  <c r="D130" i="26"/>
  <c r="F130" i="26"/>
  <c r="J130" i="26" s="1"/>
  <c r="C130" i="26"/>
  <c r="B131" i="26"/>
  <c r="E131" i="26" s="1"/>
  <c r="O128" i="25"/>
  <c r="P128" i="25" s="1"/>
  <c r="Q128" i="25" s="1"/>
  <c r="B130" i="25"/>
  <c r="E130" i="25" s="1"/>
  <c r="H129" i="25"/>
  <c r="I129" i="25" s="1"/>
  <c r="D129" i="25"/>
  <c r="C129" i="25"/>
  <c r="F129" i="25"/>
  <c r="J129" i="25" s="1"/>
  <c r="G129" i="25"/>
  <c r="G127" i="41"/>
  <c r="I127" i="18"/>
  <c r="J127" i="18" s="1"/>
  <c r="K127" i="18" s="1"/>
  <c r="L127" i="18" s="1"/>
  <c r="M127" i="18" s="1"/>
  <c r="I128" i="8"/>
  <c r="G128" i="8"/>
  <c r="I129" i="9"/>
  <c r="J129" i="9" s="1"/>
  <c r="I127" i="19"/>
  <c r="J127" i="19" s="1"/>
  <c r="K127" i="19" s="1"/>
  <c r="L127" i="19" s="1"/>
  <c r="M127" i="19" s="1"/>
  <c r="G127" i="40"/>
  <c r="I127" i="17"/>
  <c r="J127" i="17" s="1"/>
  <c r="K127" i="17" s="1"/>
  <c r="L127" i="17" s="1"/>
  <c r="I129" i="4"/>
  <c r="J129" i="4" s="1"/>
  <c r="I127" i="40"/>
  <c r="F128" i="17"/>
  <c r="B129" i="17"/>
  <c r="E129" i="17" s="1"/>
  <c r="H128" i="17"/>
  <c r="C128" i="17"/>
  <c r="D128" i="17"/>
  <c r="B129" i="18"/>
  <c r="H128" i="18"/>
  <c r="F128" i="18"/>
  <c r="C128" i="18"/>
  <c r="D128" i="18"/>
  <c r="H128" i="42"/>
  <c r="F128" i="42"/>
  <c r="G128" i="42" s="1"/>
  <c r="B129" i="42"/>
  <c r="E129" i="42" s="1"/>
  <c r="C128" i="42"/>
  <c r="D128" i="42"/>
  <c r="F129" i="8"/>
  <c r="B130" i="8"/>
  <c r="H129" i="8"/>
  <c r="C129" i="8"/>
  <c r="D129" i="8"/>
  <c r="B129" i="41"/>
  <c r="F128" i="41"/>
  <c r="H128" i="41"/>
  <c r="D128" i="41"/>
  <c r="C128" i="41"/>
  <c r="H130" i="9"/>
  <c r="F130" i="9"/>
  <c r="B131" i="9"/>
  <c r="E131" i="9" s="1"/>
  <c r="D130" i="9"/>
  <c r="C130" i="9"/>
  <c r="F128" i="19"/>
  <c r="G128" i="19" s="1"/>
  <c r="B129" i="19"/>
  <c r="H128" i="19"/>
  <c r="D128" i="19"/>
  <c r="C128" i="19"/>
  <c r="I127" i="41"/>
  <c r="F128" i="40"/>
  <c r="G128" i="40" s="1"/>
  <c r="B129" i="40"/>
  <c r="H128" i="40"/>
  <c r="C128" i="40"/>
  <c r="D128" i="40"/>
  <c r="E128" i="17"/>
  <c r="E128" i="18"/>
  <c r="B129" i="39"/>
  <c r="E129" i="39" s="1"/>
  <c r="H128" i="39"/>
  <c r="F128" i="39"/>
  <c r="G128" i="39" s="1"/>
  <c r="D128" i="39"/>
  <c r="C128" i="39"/>
  <c r="E129" i="8"/>
  <c r="H130" i="4"/>
  <c r="F130" i="4"/>
  <c r="G130" i="4" s="1"/>
  <c r="B131" i="4"/>
  <c r="E131" i="4" s="1"/>
  <c r="D130" i="4"/>
  <c r="C130" i="4"/>
  <c r="E130" i="9"/>
  <c r="E128" i="41"/>
  <c r="I127" i="42"/>
  <c r="J127" i="42" s="1"/>
  <c r="K127" i="42" s="1"/>
  <c r="L127" i="42" s="1"/>
  <c r="I127" i="39"/>
  <c r="O125" i="26"/>
  <c r="P125" i="26" s="1"/>
  <c r="Q125" i="26" s="1"/>
  <c r="K129" i="4" l="1"/>
  <c r="L129" i="4" s="1"/>
  <c r="M129" i="4" s="1"/>
  <c r="K129" i="9"/>
  <c r="L129" i="9" s="1"/>
  <c r="M129" i="9" s="1"/>
  <c r="J128" i="8"/>
  <c r="K128" i="8" s="1"/>
  <c r="L128" i="8" s="1"/>
  <c r="M128" i="8" s="1"/>
  <c r="M127" i="42"/>
  <c r="M127" i="17"/>
  <c r="J127" i="39"/>
  <c r="K127" i="39" s="1"/>
  <c r="L127" i="39" s="1"/>
  <c r="M127" i="39" s="1"/>
  <c r="J127" i="41"/>
  <c r="K127" i="41" s="1"/>
  <c r="L127" i="41" s="1"/>
  <c r="M127" i="41" s="1"/>
  <c r="I130" i="9"/>
  <c r="J127" i="40"/>
  <c r="K127" i="40" s="1"/>
  <c r="L127" i="40" s="1"/>
  <c r="M127" i="40" s="1"/>
  <c r="I130" i="4"/>
  <c r="J130" i="4" s="1"/>
  <c r="K130" i="4" s="1"/>
  <c r="L130" i="4" s="1"/>
  <c r="G128" i="17"/>
  <c r="S5" i="9"/>
  <c r="Q5" i="9"/>
  <c r="I128" i="42"/>
  <c r="J128" i="42" s="1"/>
  <c r="K128" i="42" s="1"/>
  <c r="L128" i="42" s="1"/>
  <c r="M128" i="42" s="1"/>
  <c r="G131" i="26"/>
  <c r="B132" i="26"/>
  <c r="E132" i="26" s="1"/>
  <c r="C131" i="26"/>
  <c r="H131" i="26"/>
  <c r="I131" i="26" s="1"/>
  <c r="D131" i="26"/>
  <c r="F131" i="26"/>
  <c r="J131" i="26" s="1"/>
  <c r="O129" i="25"/>
  <c r="P129" i="25" s="1"/>
  <c r="Q129" i="25" s="1"/>
  <c r="G130" i="25"/>
  <c r="F130" i="25"/>
  <c r="J130" i="25" s="1"/>
  <c r="B131" i="25"/>
  <c r="E131" i="25" s="1"/>
  <c r="H130" i="25"/>
  <c r="I130" i="25" s="1"/>
  <c r="D130" i="25"/>
  <c r="C130" i="25"/>
  <c r="I128" i="18"/>
  <c r="G128" i="41"/>
  <c r="I128" i="39"/>
  <c r="J128" i="39" s="1"/>
  <c r="G128" i="18"/>
  <c r="G130" i="9"/>
  <c r="I128" i="17"/>
  <c r="I128" i="40"/>
  <c r="J128" i="40" s="1"/>
  <c r="H129" i="41"/>
  <c r="F129" i="41"/>
  <c r="B130" i="41"/>
  <c r="D129" i="41"/>
  <c r="C129" i="41"/>
  <c r="H129" i="18"/>
  <c r="F129" i="18"/>
  <c r="B130" i="18"/>
  <c r="D129" i="18"/>
  <c r="C129" i="18"/>
  <c r="F129" i="19"/>
  <c r="B130" i="19"/>
  <c r="E130" i="19" s="1"/>
  <c r="H129" i="19"/>
  <c r="C129" i="19"/>
  <c r="D129" i="19"/>
  <c r="F130" i="8"/>
  <c r="B131" i="8"/>
  <c r="H130" i="8"/>
  <c r="C130" i="8"/>
  <c r="D130" i="8"/>
  <c r="B130" i="40"/>
  <c r="H129" i="40"/>
  <c r="F129" i="40"/>
  <c r="C129" i="40"/>
  <c r="D129" i="40"/>
  <c r="F131" i="4"/>
  <c r="G131" i="4" s="1"/>
  <c r="B132" i="4"/>
  <c r="H131" i="4"/>
  <c r="D131" i="4"/>
  <c r="C131" i="4"/>
  <c r="E129" i="40"/>
  <c r="I128" i="19"/>
  <c r="J128" i="19" s="1"/>
  <c r="K128" i="19" s="1"/>
  <c r="L128" i="19" s="1"/>
  <c r="M128" i="19" s="1"/>
  <c r="E129" i="41"/>
  <c r="E129" i="18"/>
  <c r="B130" i="17"/>
  <c r="H129" i="17"/>
  <c r="F129" i="17"/>
  <c r="G129" i="17" s="1"/>
  <c r="C129" i="17"/>
  <c r="D129" i="17"/>
  <c r="H129" i="39"/>
  <c r="F129" i="39"/>
  <c r="G129" i="39" s="1"/>
  <c r="B130" i="39"/>
  <c r="E130" i="39" s="1"/>
  <c r="D129" i="39"/>
  <c r="C129" i="39"/>
  <c r="F131" i="9"/>
  <c r="G131" i="9" s="1"/>
  <c r="B132" i="9"/>
  <c r="E132" i="9" s="1"/>
  <c r="H131" i="9"/>
  <c r="D131" i="9"/>
  <c r="C131" i="9"/>
  <c r="G129" i="8"/>
  <c r="E129" i="19"/>
  <c r="I128" i="41"/>
  <c r="I129" i="8"/>
  <c r="E130" i="8"/>
  <c r="F129" i="42"/>
  <c r="G129" i="42" s="1"/>
  <c r="B130" i="42"/>
  <c r="H129" i="42"/>
  <c r="C129" i="42"/>
  <c r="D129" i="42"/>
  <c r="O126" i="26"/>
  <c r="P126" i="26" s="1"/>
  <c r="Q126" i="26" s="1"/>
  <c r="M130" i="4" l="1"/>
  <c r="J128" i="17"/>
  <c r="K128" i="17" s="1"/>
  <c r="L128" i="17" s="1"/>
  <c r="M128" i="17" s="1"/>
  <c r="J128" i="41"/>
  <c r="K128" i="41" s="1"/>
  <c r="L128" i="41" s="1"/>
  <c r="M128" i="41" s="1"/>
  <c r="J128" i="18"/>
  <c r="K128" i="18" s="1"/>
  <c r="L128" i="18" s="1"/>
  <c r="M128" i="18" s="1"/>
  <c r="J129" i="8"/>
  <c r="K129" i="8" s="1"/>
  <c r="L129" i="8" s="1"/>
  <c r="M129" i="8" s="1"/>
  <c r="J130" i="9"/>
  <c r="K130" i="9" s="1"/>
  <c r="L130" i="9" s="1"/>
  <c r="M130" i="9" s="1"/>
  <c r="G129" i="40"/>
  <c r="K128" i="39"/>
  <c r="L128" i="39" s="1"/>
  <c r="M128" i="39" s="1"/>
  <c r="K128" i="40"/>
  <c r="L128" i="40" s="1"/>
  <c r="M128" i="40" s="1"/>
  <c r="G130" i="8"/>
  <c r="I129" i="41"/>
  <c r="V6" i="9"/>
  <c r="O6" i="9"/>
  <c r="G132" i="26"/>
  <c r="F132" i="26"/>
  <c r="J132" i="26" s="1"/>
  <c r="H132" i="26"/>
  <c r="I132" i="26" s="1"/>
  <c r="D132" i="26"/>
  <c r="B133" i="26"/>
  <c r="C132" i="26"/>
  <c r="O130" i="25"/>
  <c r="P130" i="25" s="1"/>
  <c r="Q130" i="25" s="1"/>
  <c r="G131" i="25"/>
  <c r="B132" i="25"/>
  <c r="E132" i="25" s="1"/>
  <c r="C131" i="25"/>
  <c r="F131" i="25"/>
  <c r="J131" i="25" s="1"/>
  <c r="H131" i="25"/>
  <c r="I131" i="25" s="1"/>
  <c r="D131" i="25"/>
  <c r="G129" i="41"/>
  <c r="G129" i="19"/>
  <c r="I129" i="17"/>
  <c r="J129" i="17" s="1"/>
  <c r="I129" i="42"/>
  <c r="J129" i="42" s="1"/>
  <c r="K129" i="42" s="1"/>
  <c r="L129" i="42" s="1"/>
  <c r="M129" i="42" s="1"/>
  <c r="G129" i="18"/>
  <c r="I131" i="4"/>
  <c r="J131" i="4" s="1"/>
  <c r="K131" i="4" s="1"/>
  <c r="L131" i="4" s="1"/>
  <c r="M131" i="4" s="1"/>
  <c r="I129" i="40"/>
  <c r="I129" i="39"/>
  <c r="J129" i="39" s="1"/>
  <c r="K129" i="39" s="1"/>
  <c r="L129" i="39" s="1"/>
  <c r="H130" i="17"/>
  <c r="F130" i="17"/>
  <c r="B131" i="17"/>
  <c r="E131" i="17" s="1"/>
  <c r="D130" i="17"/>
  <c r="C130" i="17"/>
  <c r="F132" i="4"/>
  <c r="B133" i="4"/>
  <c r="E133" i="4" s="1"/>
  <c r="H132" i="4"/>
  <c r="C132" i="4"/>
  <c r="D132" i="4"/>
  <c r="F130" i="41"/>
  <c r="B131" i="41"/>
  <c r="H130" i="41"/>
  <c r="C130" i="41"/>
  <c r="D130" i="41"/>
  <c r="H130" i="40"/>
  <c r="F130" i="40"/>
  <c r="B131" i="40"/>
  <c r="D130" i="40"/>
  <c r="C130" i="40"/>
  <c r="B132" i="8"/>
  <c r="H131" i="8"/>
  <c r="F131" i="8"/>
  <c r="D131" i="8"/>
  <c r="C131" i="8"/>
  <c r="I129" i="19"/>
  <c r="F130" i="18"/>
  <c r="B131" i="18"/>
  <c r="E131" i="18" s="1"/>
  <c r="H130" i="18"/>
  <c r="D130" i="18"/>
  <c r="C130" i="18"/>
  <c r="E130" i="41"/>
  <c r="F130" i="42"/>
  <c r="H130" i="42"/>
  <c r="B131" i="42"/>
  <c r="E131" i="42" s="1"/>
  <c r="D130" i="42"/>
  <c r="C130" i="42"/>
  <c r="F132" i="9"/>
  <c r="G132" i="9" s="1"/>
  <c r="B133" i="9"/>
  <c r="E133" i="9" s="1"/>
  <c r="H132" i="9"/>
  <c r="D132" i="9"/>
  <c r="C132" i="9"/>
  <c r="E130" i="17"/>
  <c r="E132" i="4"/>
  <c r="E130" i="42"/>
  <c r="I131" i="9"/>
  <c r="J131" i="9" s="1"/>
  <c r="F130" i="39"/>
  <c r="G130" i="39" s="1"/>
  <c r="B131" i="39"/>
  <c r="E131" i="39" s="1"/>
  <c r="H130" i="39"/>
  <c r="D130" i="39"/>
  <c r="C130" i="39"/>
  <c r="E130" i="40"/>
  <c r="I130" i="8"/>
  <c r="E131" i="8"/>
  <c r="B131" i="19"/>
  <c r="E131" i="19" s="1"/>
  <c r="H130" i="19"/>
  <c r="F130" i="19"/>
  <c r="G130" i="19" s="1"/>
  <c r="D130" i="19"/>
  <c r="C130" i="19"/>
  <c r="I129" i="18"/>
  <c r="E130" i="18"/>
  <c r="O127" i="26"/>
  <c r="P127" i="26" s="1"/>
  <c r="Q127" i="26" s="1"/>
  <c r="J129" i="19" l="1"/>
  <c r="K129" i="19" s="1"/>
  <c r="L129" i="19" s="1"/>
  <c r="M129" i="19" s="1"/>
  <c r="J129" i="40"/>
  <c r="K129" i="40" s="1"/>
  <c r="L129" i="40" s="1"/>
  <c r="M129" i="40" s="1"/>
  <c r="J130" i="8"/>
  <c r="K130" i="8" s="1"/>
  <c r="L130" i="8" s="1"/>
  <c r="M130" i="8" s="1"/>
  <c r="K131" i="9"/>
  <c r="L131" i="9" s="1"/>
  <c r="M131" i="9" s="1"/>
  <c r="K129" i="17"/>
  <c r="L129" i="17" s="1"/>
  <c r="M129" i="17" s="1"/>
  <c r="J129" i="41"/>
  <c r="K129" i="41" s="1"/>
  <c r="L129" i="41" s="1"/>
  <c r="M129" i="41" s="1"/>
  <c r="J129" i="18"/>
  <c r="K129" i="18" s="1"/>
  <c r="L129" i="18" s="1"/>
  <c r="M129" i="18" s="1"/>
  <c r="M129" i="39"/>
  <c r="G130" i="40"/>
  <c r="G130" i="17"/>
  <c r="I130" i="40"/>
  <c r="T6" i="9"/>
  <c r="P6" i="9"/>
  <c r="I130" i="18"/>
  <c r="B134" i="26"/>
  <c r="E134" i="26" s="1"/>
  <c r="C133" i="26"/>
  <c r="F133" i="26"/>
  <c r="H133" i="26"/>
  <c r="I133" i="26" s="1"/>
  <c r="D133" i="26"/>
  <c r="E133" i="26"/>
  <c r="G132" i="25"/>
  <c r="O131" i="25"/>
  <c r="P131" i="25" s="1"/>
  <c r="Q131" i="25" s="1"/>
  <c r="F132" i="25"/>
  <c r="J132" i="25" s="1"/>
  <c r="H132" i="25"/>
  <c r="I132" i="25" s="1"/>
  <c r="D132" i="25"/>
  <c r="B133" i="25"/>
  <c r="E133" i="25" s="1"/>
  <c r="C132" i="25"/>
  <c r="I130" i="19"/>
  <c r="J130" i="19" s="1"/>
  <c r="I130" i="39"/>
  <c r="J130" i="39" s="1"/>
  <c r="K130" i="39" s="1"/>
  <c r="L130" i="39" s="1"/>
  <c r="M130" i="39" s="1"/>
  <c r="I130" i="41"/>
  <c r="G132" i="4"/>
  <c r="G131" i="8"/>
  <c r="G130" i="18"/>
  <c r="I130" i="42"/>
  <c r="G130" i="41"/>
  <c r="G130" i="42"/>
  <c r="I132" i="9"/>
  <c r="J132" i="9" s="1"/>
  <c r="K132" i="9" s="1"/>
  <c r="L132" i="9" s="1"/>
  <c r="I131" i="8"/>
  <c r="I130" i="17"/>
  <c r="F131" i="40"/>
  <c r="B132" i="40"/>
  <c r="H131" i="40"/>
  <c r="D131" i="40"/>
  <c r="C131" i="40"/>
  <c r="F131" i="41"/>
  <c r="B132" i="41"/>
  <c r="E132" i="41" s="1"/>
  <c r="H131" i="41"/>
  <c r="C131" i="41"/>
  <c r="D131" i="41"/>
  <c r="F131" i="17"/>
  <c r="G131" i="17" s="1"/>
  <c r="B132" i="17"/>
  <c r="H131" i="17"/>
  <c r="D131" i="17"/>
  <c r="C131" i="17"/>
  <c r="H132" i="8"/>
  <c r="F132" i="8"/>
  <c r="B133" i="8"/>
  <c r="D132" i="8"/>
  <c r="C132" i="8"/>
  <c r="E131" i="41"/>
  <c r="I132" i="4"/>
  <c r="B132" i="42"/>
  <c r="E132" i="42" s="1"/>
  <c r="H131" i="42"/>
  <c r="F131" i="42"/>
  <c r="G131" i="42" s="1"/>
  <c r="C131" i="42"/>
  <c r="D131" i="42"/>
  <c r="E131" i="40"/>
  <c r="H131" i="19"/>
  <c r="F131" i="19"/>
  <c r="G131" i="19" s="1"/>
  <c r="B132" i="19"/>
  <c r="C131" i="19"/>
  <c r="D131" i="19"/>
  <c r="F131" i="39"/>
  <c r="G131" i="39" s="1"/>
  <c r="B132" i="39"/>
  <c r="E132" i="39" s="1"/>
  <c r="H131" i="39"/>
  <c r="D131" i="39"/>
  <c r="C131" i="39"/>
  <c r="B134" i="9"/>
  <c r="E134" i="9" s="1"/>
  <c r="H133" i="9"/>
  <c r="F133" i="9"/>
  <c r="G133" i="9" s="1"/>
  <c r="D133" i="9"/>
  <c r="C133" i="9"/>
  <c r="F131" i="18"/>
  <c r="G131" i="18" s="1"/>
  <c r="B132" i="18"/>
  <c r="E132" i="18" s="1"/>
  <c r="H131" i="18"/>
  <c r="D131" i="18"/>
  <c r="C131" i="18"/>
  <c r="E132" i="8"/>
  <c r="B134" i="4"/>
  <c r="E134" i="4" s="1"/>
  <c r="H133" i="4"/>
  <c r="F133" i="4"/>
  <c r="G133" i="4" s="1"/>
  <c r="C133" i="4"/>
  <c r="D133" i="4"/>
  <c r="O128" i="26"/>
  <c r="P128" i="26" s="1"/>
  <c r="Q128" i="26" s="1"/>
  <c r="K130" i="19" l="1"/>
  <c r="L130" i="19" s="1"/>
  <c r="M130" i="19" s="1"/>
  <c r="M132" i="9"/>
  <c r="J130" i="41"/>
  <c r="K130" i="41" s="1"/>
  <c r="L130" i="41" s="1"/>
  <c r="M130" i="41" s="1"/>
  <c r="J130" i="17"/>
  <c r="K130" i="17" s="1"/>
  <c r="L130" i="17" s="1"/>
  <c r="M130" i="17" s="1"/>
  <c r="J130" i="42"/>
  <c r="K130" i="42" s="1"/>
  <c r="L130" i="42" s="1"/>
  <c r="M130" i="42" s="1"/>
  <c r="J130" i="18"/>
  <c r="K130" i="18" s="1"/>
  <c r="L130" i="18" s="1"/>
  <c r="M130" i="18" s="1"/>
  <c r="J130" i="40"/>
  <c r="K130" i="40" s="1"/>
  <c r="L130" i="40" s="1"/>
  <c r="M130" i="40" s="1"/>
  <c r="J131" i="8"/>
  <c r="K131" i="8" s="1"/>
  <c r="L131" i="8" s="1"/>
  <c r="M131" i="8" s="1"/>
  <c r="J132" i="4"/>
  <c r="K132" i="4" s="1"/>
  <c r="L132" i="4" s="1"/>
  <c r="M132" i="4" s="1"/>
  <c r="I132" i="8"/>
  <c r="S6" i="9"/>
  <c r="Q6" i="9"/>
  <c r="G133" i="26"/>
  <c r="J133" i="26"/>
  <c r="G134" i="26"/>
  <c r="H134" i="26"/>
  <c r="I134" i="26" s="1"/>
  <c r="D134" i="26"/>
  <c r="F134" i="26"/>
  <c r="J134" i="26" s="1"/>
  <c r="C134" i="26"/>
  <c r="B135" i="26"/>
  <c r="E135" i="26" s="1"/>
  <c r="G133" i="25"/>
  <c r="O132" i="25"/>
  <c r="P132" i="25" s="1"/>
  <c r="Q132" i="25" s="1"/>
  <c r="C133" i="25"/>
  <c r="B134" i="25"/>
  <c r="H133" i="25"/>
  <c r="I133" i="25" s="1"/>
  <c r="F133" i="25"/>
  <c r="J133" i="25" s="1"/>
  <c r="D133" i="25"/>
  <c r="I131" i="41"/>
  <c r="G131" i="41"/>
  <c r="G132" i="8"/>
  <c r="I133" i="9"/>
  <c r="J133" i="9" s="1"/>
  <c r="K133" i="9" s="1"/>
  <c r="L133" i="9" s="1"/>
  <c r="M133" i="9" s="1"/>
  <c r="G131" i="40"/>
  <c r="I131" i="17"/>
  <c r="J131" i="17" s="1"/>
  <c r="I131" i="39"/>
  <c r="J131" i="39" s="1"/>
  <c r="K131" i="39" s="1"/>
  <c r="L131" i="39" s="1"/>
  <c r="M131" i="39" s="1"/>
  <c r="I131" i="40"/>
  <c r="I131" i="19"/>
  <c r="J131" i="19" s="1"/>
  <c r="K131" i="19" s="1"/>
  <c r="L131" i="19" s="1"/>
  <c r="F132" i="19"/>
  <c r="B133" i="19"/>
  <c r="H132" i="19"/>
  <c r="D132" i="19"/>
  <c r="C132" i="19"/>
  <c r="F133" i="8"/>
  <c r="B134" i="8"/>
  <c r="H133" i="8"/>
  <c r="D133" i="8"/>
  <c r="C133" i="8"/>
  <c r="F132" i="17"/>
  <c r="B133" i="17"/>
  <c r="H132" i="17"/>
  <c r="D132" i="17"/>
  <c r="C132" i="17"/>
  <c r="F132" i="40"/>
  <c r="B133" i="40"/>
  <c r="H132" i="40"/>
  <c r="C132" i="40"/>
  <c r="D132" i="40"/>
  <c r="B133" i="18"/>
  <c r="H132" i="18"/>
  <c r="F132" i="18"/>
  <c r="G132" i="18" s="1"/>
  <c r="D132" i="18"/>
  <c r="C132" i="18"/>
  <c r="H134" i="9"/>
  <c r="F134" i="9"/>
  <c r="G134" i="9" s="1"/>
  <c r="B135" i="9"/>
  <c r="E135" i="9" s="1"/>
  <c r="D134" i="9"/>
  <c r="C134" i="9"/>
  <c r="E132" i="19"/>
  <c r="I131" i="42"/>
  <c r="J131" i="42" s="1"/>
  <c r="H132" i="42"/>
  <c r="F132" i="42"/>
  <c r="G132" i="42" s="1"/>
  <c r="B133" i="42"/>
  <c r="C132" i="42"/>
  <c r="D132" i="42"/>
  <c r="E133" i="8"/>
  <c r="E132" i="17"/>
  <c r="B133" i="41"/>
  <c r="E133" i="41" s="1"/>
  <c r="F132" i="41"/>
  <c r="G132" i="41" s="1"/>
  <c r="H132" i="41"/>
  <c r="C132" i="41"/>
  <c r="D132" i="41"/>
  <c r="E132" i="40"/>
  <c r="I133" i="4"/>
  <c r="J133" i="4" s="1"/>
  <c r="H134" i="4"/>
  <c r="F134" i="4"/>
  <c r="G134" i="4" s="1"/>
  <c r="B135" i="4"/>
  <c r="E135" i="4" s="1"/>
  <c r="D134" i="4"/>
  <c r="C134" i="4"/>
  <c r="I131" i="18"/>
  <c r="J131" i="18" s="1"/>
  <c r="B133" i="39"/>
  <c r="E133" i="39" s="1"/>
  <c r="H132" i="39"/>
  <c r="F132" i="39"/>
  <c r="G132" i="39" s="1"/>
  <c r="C132" i="39"/>
  <c r="D132" i="39"/>
  <c r="O129" i="26"/>
  <c r="P129" i="26" s="1"/>
  <c r="Q129" i="26" s="1"/>
  <c r="M131" i="19" l="1"/>
  <c r="K131" i="17"/>
  <c r="L131" i="17" s="1"/>
  <c r="M131" i="17" s="1"/>
  <c r="K131" i="42"/>
  <c r="L131" i="42" s="1"/>
  <c r="M131" i="42" s="1"/>
  <c r="K131" i="18"/>
  <c r="L131" i="18" s="1"/>
  <c r="M131" i="18" s="1"/>
  <c r="J131" i="40"/>
  <c r="K131" i="40" s="1"/>
  <c r="L131" i="40" s="1"/>
  <c r="M131" i="40" s="1"/>
  <c r="J131" i="41"/>
  <c r="K131" i="41" s="1"/>
  <c r="L131" i="41" s="1"/>
  <c r="M131" i="41" s="1"/>
  <c r="K133" i="4"/>
  <c r="L133" i="4" s="1"/>
  <c r="M133" i="4" s="1"/>
  <c r="G132" i="17"/>
  <c r="J132" i="8"/>
  <c r="K132" i="8" s="1"/>
  <c r="L132" i="8" s="1"/>
  <c r="M132" i="8" s="1"/>
  <c r="I134" i="4"/>
  <c r="J134" i="4" s="1"/>
  <c r="K134" i="4" s="1"/>
  <c r="L134" i="4" s="1"/>
  <c r="V7" i="9"/>
  <c r="O7" i="9"/>
  <c r="I132" i="39"/>
  <c r="J132" i="39" s="1"/>
  <c r="K132" i="39" s="1"/>
  <c r="L132" i="39" s="1"/>
  <c r="M132" i="39" s="1"/>
  <c r="G135" i="26"/>
  <c r="B136" i="26"/>
  <c r="E136" i="26" s="1"/>
  <c r="C135" i="26"/>
  <c r="H135" i="26"/>
  <c r="I135" i="26" s="1"/>
  <c r="D135" i="26"/>
  <c r="F135" i="26"/>
  <c r="J135" i="26" s="1"/>
  <c r="O133" i="25"/>
  <c r="P133" i="25" s="1"/>
  <c r="Q133" i="25" s="1"/>
  <c r="I132" i="18"/>
  <c r="J132" i="18" s="1"/>
  <c r="K132" i="18" s="1"/>
  <c r="L132" i="18" s="1"/>
  <c r="H134" i="25"/>
  <c r="I134" i="25" s="1"/>
  <c r="D134" i="25"/>
  <c r="F134" i="25"/>
  <c r="C134" i="25"/>
  <c r="B135" i="25"/>
  <c r="E135" i="25" s="1"/>
  <c r="G132" i="19"/>
  <c r="E134" i="25"/>
  <c r="I132" i="42"/>
  <c r="J132" i="42" s="1"/>
  <c r="K132" i="42" s="1"/>
  <c r="L132" i="42" s="1"/>
  <c r="G132" i="40"/>
  <c r="G133" i="8"/>
  <c r="I133" i="8"/>
  <c r="I132" i="17"/>
  <c r="I132" i="19"/>
  <c r="I132" i="40"/>
  <c r="H133" i="18"/>
  <c r="F133" i="18"/>
  <c r="B134" i="18"/>
  <c r="E134" i="18" s="1"/>
  <c r="D133" i="18"/>
  <c r="C133" i="18"/>
  <c r="B134" i="40"/>
  <c r="H133" i="40"/>
  <c r="F133" i="40"/>
  <c r="C133" i="40"/>
  <c r="D133" i="40"/>
  <c r="B134" i="17"/>
  <c r="E134" i="17" s="1"/>
  <c r="H133" i="17"/>
  <c r="F133" i="17"/>
  <c r="D133" i="17"/>
  <c r="C133" i="17"/>
  <c r="F134" i="8"/>
  <c r="B135" i="8"/>
  <c r="E135" i="8" s="1"/>
  <c r="H134" i="8"/>
  <c r="D134" i="8"/>
  <c r="C134" i="8"/>
  <c r="F133" i="19"/>
  <c r="B134" i="19"/>
  <c r="E134" i="19" s="1"/>
  <c r="H133" i="19"/>
  <c r="D133" i="19"/>
  <c r="C133" i="19"/>
  <c r="H133" i="42"/>
  <c r="F133" i="42"/>
  <c r="B134" i="42"/>
  <c r="D133" i="42"/>
  <c r="C133" i="42"/>
  <c r="I134" i="9"/>
  <c r="J134" i="9" s="1"/>
  <c r="K134" i="9" s="1"/>
  <c r="L134" i="9" s="1"/>
  <c r="M134" i="9" s="1"/>
  <c r="E133" i="42"/>
  <c r="E133" i="18"/>
  <c r="E133" i="40"/>
  <c r="E133" i="17"/>
  <c r="E134" i="8"/>
  <c r="E133" i="19"/>
  <c r="H133" i="39"/>
  <c r="F133" i="39"/>
  <c r="G133" i="39" s="1"/>
  <c r="B134" i="39"/>
  <c r="D133" i="39"/>
  <c r="C133" i="39"/>
  <c r="F135" i="4"/>
  <c r="G135" i="4" s="1"/>
  <c r="B136" i="4"/>
  <c r="E136" i="4" s="1"/>
  <c r="H135" i="4"/>
  <c r="D135" i="4"/>
  <c r="C135" i="4"/>
  <c r="I132" i="41"/>
  <c r="J132" i="41" s="1"/>
  <c r="H133" i="41"/>
  <c r="F133" i="41"/>
  <c r="G133" i="41" s="1"/>
  <c r="B134" i="41"/>
  <c r="E134" i="41" s="1"/>
  <c r="D133" i="41"/>
  <c r="C133" i="41"/>
  <c r="F135" i="9"/>
  <c r="G135" i="9" s="1"/>
  <c r="B136" i="9"/>
  <c r="E136" i="9" s="1"/>
  <c r="H135" i="9"/>
  <c r="D135" i="9"/>
  <c r="C135" i="9"/>
  <c r="O130" i="26"/>
  <c r="P130" i="26" s="1"/>
  <c r="Q130" i="26" s="1"/>
  <c r="M132" i="42" l="1"/>
  <c r="M132" i="18"/>
  <c r="K132" i="41"/>
  <c r="L132" i="41" s="1"/>
  <c r="M132" i="41" s="1"/>
  <c r="J132" i="17"/>
  <c r="K132" i="17" s="1"/>
  <c r="L132" i="17" s="1"/>
  <c r="M132" i="17" s="1"/>
  <c r="M134" i="4"/>
  <c r="J133" i="8"/>
  <c r="K133" i="8" s="1"/>
  <c r="L133" i="8" s="1"/>
  <c r="M133" i="8" s="1"/>
  <c r="G133" i="17"/>
  <c r="G133" i="40"/>
  <c r="I133" i="41"/>
  <c r="J133" i="41" s="1"/>
  <c r="K133" i="41" s="1"/>
  <c r="L133" i="41" s="1"/>
  <c r="J132" i="19"/>
  <c r="K132" i="19" s="1"/>
  <c r="L132" i="19" s="1"/>
  <c r="M132" i="19" s="1"/>
  <c r="I133" i="18"/>
  <c r="I133" i="39"/>
  <c r="J133" i="39" s="1"/>
  <c r="K133" i="39" s="1"/>
  <c r="L133" i="39" s="1"/>
  <c r="M133" i="39" s="1"/>
  <c r="J132" i="40"/>
  <c r="K132" i="40" s="1"/>
  <c r="L132" i="40" s="1"/>
  <c r="M132" i="40" s="1"/>
  <c r="T7" i="9"/>
  <c r="P7" i="9"/>
  <c r="G133" i="19"/>
  <c r="G133" i="18"/>
  <c r="I133" i="17"/>
  <c r="G136" i="26"/>
  <c r="F136" i="26"/>
  <c r="J136" i="26" s="1"/>
  <c r="H136" i="26"/>
  <c r="I136" i="26" s="1"/>
  <c r="D136" i="26"/>
  <c r="B137" i="26"/>
  <c r="C136" i="26"/>
  <c r="G135" i="25"/>
  <c r="J134" i="25"/>
  <c r="O134" i="25" s="1"/>
  <c r="P134" i="25" s="1"/>
  <c r="Q134" i="25" s="1"/>
  <c r="G134" i="25"/>
  <c r="B136" i="25"/>
  <c r="C135" i="25"/>
  <c r="D135" i="25"/>
  <c r="H135" i="25"/>
  <c r="I135" i="25" s="1"/>
  <c r="F135" i="25"/>
  <c r="J135" i="25" s="1"/>
  <c r="I133" i="42"/>
  <c r="G134" i="8"/>
  <c r="I135" i="4"/>
  <c r="J135" i="4" s="1"/>
  <c r="K135" i="4" s="1"/>
  <c r="L135" i="4" s="1"/>
  <c r="M135" i="4" s="1"/>
  <c r="G133" i="42"/>
  <c r="I133" i="19"/>
  <c r="I134" i="8"/>
  <c r="I135" i="9"/>
  <c r="J135" i="9" s="1"/>
  <c r="K135" i="9" s="1"/>
  <c r="L135" i="9" s="1"/>
  <c r="M135" i="9" s="1"/>
  <c r="H134" i="41"/>
  <c r="F134" i="41"/>
  <c r="G134" i="41" s="1"/>
  <c r="B135" i="41"/>
  <c r="E135" i="41" s="1"/>
  <c r="C134" i="41"/>
  <c r="D134" i="41"/>
  <c r="F136" i="4"/>
  <c r="G136" i="4" s="1"/>
  <c r="B137" i="4"/>
  <c r="E137" i="4" s="1"/>
  <c r="H136" i="4"/>
  <c r="D136" i="4"/>
  <c r="C136" i="4"/>
  <c r="I133" i="40"/>
  <c r="H134" i="40"/>
  <c r="F134" i="40"/>
  <c r="B135" i="40"/>
  <c r="E135" i="40" s="1"/>
  <c r="C134" i="40"/>
  <c r="D134" i="40"/>
  <c r="F134" i="39"/>
  <c r="B135" i="39"/>
  <c r="E135" i="39" s="1"/>
  <c r="H134" i="39"/>
  <c r="D134" i="39"/>
  <c r="C134" i="39"/>
  <c r="F134" i="42"/>
  <c r="H134" i="42"/>
  <c r="B135" i="42"/>
  <c r="E135" i="42" s="1"/>
  <c r="C134" i="42"/>
  <c r="D134" i="42"/>
  <c r="B135" i="19"/>
  <c r="E135" i="19" s="1"/>
  <c r="H134" i="19"/>
  <c r="F134" i="19"/>
  <c r="G134" i="19" s="1"/>
  <c r="C134" i="19"/>
  <c r="D134" i="19"/>
  <c r="E134" i="42"/>
  <c r="B136" i="8"/>
  <c r="E136" i="8" s="1"/>
  <c r="H135" i="8"/>
  <c r="F135" i="8"/>
  <c r="G135" i="8" s="1"/>
  <c r="D135" i="8"/>
  <c r="C135" i="8"/>
  <c r="H134" i="17"/>
  <c r="F134" i="17"/>
  <c r="G134" i="17" s="1"/>
  <c r="B135" i="17"/>
  <c r="E135" i="17" s="1"/>
  <c r="D134" i="17"/>
  <c r="C134" i="17"/>
  <c r="E134" i="40"/>
  <c r="F136" i="9"/>
  <c r="G136" i="9" s="1"/>
  <c r="B137" i="9"/>
  <c r="E137" i="9" s="1"/>
  <c r="H136" i="9"/>
  <c r="D136" i="9"/>
  <c r="C136" i="9"/>
  <c r="E134" i="39"/>
  <c r="F134" i="18"/>
  <c r="G134" i="18" s="1"/>
  <c r="B135" i="18"/>
  <c r="H134" i="18"/>
  <c r="D134" i="18"/>
  <c r="C134" i="18"/>
  <c r="O131" i="26"/>
  <c r="P131" i="26" s="1"/>
  <c r="Q131" i="26" s="1"/>
  <c r="M133" i="41" l="1"/>
  <c r="J133" i="18"/>
  <c r="K133" i="18" s="1"/>
  <c r="L133" i="18" s="1"/>
  <c r="M133" i="18" s="1"/>
  <c r="J133" i="40"/>
  <c r="K133" i="40" s="1"/>
  <c r="L133" i="40" s="1"/>
  <c r="M133" i="40" s="1"/>
  <c r="J133" i="17"/>
  <c r="K133" i="17" s="1"/>
  <c r="L133" i="17" s="1"/>
  <c r="M133" i="17" s="1"/>
  <c r="J133" i="19"/>
  <c r="K133" i="19" s="1"/>
  <c r="L133" i="19" s="1"/>
  <c r="M133" i="19" s="1"/>
  <c r="J133" i="42"/>
  <c r="K133" i="42" s="1"/>
  <c r="L133" i="42" s="1"/>
  <c r="M133" i="42" s="1"/>
  <c r="J134" i="8"/>
  <c r="K134" i="8" s="1"/>
  <c r="L134" i="8" s="1"/>
  <c r="M134" i="8" s="1"/>
  <c r="G134" i="40"/>
  <c r="S7" i="9"/>
  <c r="Q7" i="9"/>
  <c r="B138" i="26"/>
  <c r="E138" i="26" s="1"/>
  <c r="C137" i="26"/>
  <c r="F137" i="26"/>
  <c r="H137" i="26"/>
  <c r="I137" i="26" s="1"/>
  <c r="D137" i="26"/>
  <c r="E137" i="26"/>
  <c r="O135" i="25"/>
  <c r="P135" i="25" s="1"/>
  <c r="Q135" i="25" s="1"/>
  <c r="F136" i="25"/>
  <c r="H136" i="25"/>
  <c r="I136" i="25" s="1"/>
  <c r="D136" i="25"/>
  <c r="C136" i="25"/>
  <c r="B137" i="25"/>
  <c r="E136" i="25"/>
  <c r="I134" i="41"/>
  <c r="J134" i="41" s="1"/>
  <c r="K134" i="41" s="1"/>
  <c r="L134" i="41" s="1"/>
  <c r="M134" i="41" s="1"/>
  <c r="I134" i="40"/>
  <c r="I135" i="8"/>
  <c r="J135" i="8" s="1"/>
  <c r="I136" i="4"/>
  <c r="J136" i="4" s="1"/>
  <c r="K136" i="4" s="1"/>
  <c r="L136" i="4" s="1"/>
  <c r="M136" i="4" s="1"/>
  <c r="G134" i="39"/>
  <c r="G134" i="42"/>
  <c r="I134" i="42"/>
  <c r="I134" i="18"/>
  <c r="J134" i="18" s="1"/>
  <c r="B138" i="9"/>
  <c r="H137" i="9"/>
  <c r="F137" i="9"/>
  <c r="G137" i="9" s="1"/>
  <c r="D137" i="9"/>
  <c r="C137" i="9"/>
  <c r="I134" i="17"/>
  <c r="J134" i="17" s="1"/>
  <c r="I134" i="19"/>
  <c r="J134" i="19" s="1"/>
  <c r="H135" i="19"/>
  <c r="F135" i="19"/>
  <c r="G135" i="19" s="1"/>
  <c r="B136" i="19"/>
  <c r="E136" i="19" s="1"/>
  <c r="D135" i="19"/>
  <c r="C135" i="19"/>
  <c r="F135" i="39"/>
  <c r="G135" i="39" s="1"/>
  <c r="B136" i="39"/>
  <c r="E136" i="39" s="1"/>
  <c r="H135" i="39"/>
  <c r="D135" i="39"/>
  <c r="C135" i="39"/>
  <c r="F135" i="18"/>
  <c r="B136" i="18"/>
  <c r="E136" i="18" s="1"/>
  <c r="H135" i="18"/>
  <c r="D135" i="18"/>
  <c r="C135" i="18"/>
  <c r="E135" i="18"/>
  <c r="I136" i="9"/>
  <c r="J136" i="9" s="1"/>
  <c r="K136" i="9" s="1"/>
  <c r="L136" i="9" s="1"/>
  <c r="M136" i="9" s="1"/>
  <c r="I134" i="39"/>
  <c r="F135" i="17"/>
  <c r="G135" i="17" s="1"/>
  <c r="B136" i="17"/>
  <c r="H135" i="17"/>
  <c r="D135" i="17"/>
  <c r="C135" i="17"/>
  <c r="F135" i="40"/>
  <c r="G135" i="40" s="1"/>
  <c r="B136" i="40"/>
  <c r="E136" i="40" s="1"/>
  <c r="H135" i="40"/>
  <c r="C135" i="40"/>
  <c r="D135" i="40"/>
  <c r="B138" i="4"/>
  <c r="H137" i="4"/>
  <c r="F137" i="4"/>
  <c r="G137" i="4" s="1"/>
  <c r="C137" i="4"/>
  <c r="D137" i="4"/>
  <c r="H136" i="8"/>
  <c r="F136" i="8"/>
  <c r="G136" i="8" s="1"/>
  <c r="B137" i="8"/>
  <c r="E137" i="8" s="1"/>
  <c r="C136" i="8"/>
  <c r="D136" i="8"/>
  <c r="B136" i="42"/>
  <c r="H135" i="42"/>
  <c r="F135" i="42"/>
  <c r="G135" i="42" s="1"/>
  <c r="D135" i="42"/>
  <c r="C135" i="42"/>
  <c r="F135" i="41"/>
  <c r="G135" i="41" s="1"/>
  <c r="H135" i="41"/>
  <c r="B136" i="41"/>
  <c r="C135" i="41"/>
  <c r="D135" i="41"/>
  <c r="O132" i="26"/>
  <c r="P132" i="26" s="1"/>
  <c r="Q132" i="26" s="1"/>
  <c r="K134" i="18" l="1"/>
  <c r="L134" i="18" s="1"/>
  <c r="M134" i="18" s="1"/>
  <c r="K134" i="17"/>
  <c r="L134" i="17" s="1"/>
  <c r="M134" i="17" s="1"/>
  <c r="K134" i="19"/>
  <c r="L134" i="19" s="1"/>
  <c r="M134" i="19" s="1"/>
  <c r="K135" i="8"/>
  <c r="L135" i="8" s="1"/>
  <c r="M135" i="8" s="1"/>
  <c r="J134" i="39"/>
  <c r="K134" i="39" s="1"/>
  <c r="L134" i="39" s="1"/>
  <c r="M134" i="39" s="1"/>
  <c r="J134" i="42"/>
  <c r="K134" i="42" s="1"/>
  <c r="L134" i="42" s="1"/>
  <c r="M134" i="42" s="1"/>
  <c r="J134" i="40"/>
  <c r="K134" i="40" s="1"/>
  <c r="L134" i="40" s="1"/>
  <c r="M134" i="40" s="1"/>
  <c r="O8" i="9"/>
  <c r="V8" i="9"/>
  <c r="G137" i="26"/>
  <c r="J137" i="26"/>
  <c r="G138" i="26"/>
  <c r="H138" i="26"/>
  <c r="I138" i="26" s="1"/>
  <c r="D138" i="26"/>
  <c r="F138" i="26"/>
  <c r="J138" i="26" s="1"/>
  <c r="B139" i="26"/>
  <c r="E139" i="26" s="1"/>
  <c r="C138" i="26"/>
  <c r="C137" i="25"/>
  <c r="B138" i="25"/>
  <c r="E138" i="25" s="1"/>
  <c r="F137" i="25"/>
  <c r="D137" i="25"/>
  <c r="H137" i="25"/>
  <c r="I137" i="25" s="1"/>
  <c r="E137" i="25"/>
  <c r="J136" i="25"/>
  <c r="O136" i="25" s="1"/>
  <c r="P136" i="25" s="1"/>
  <c r="Q136" i="25" s="1"/>
  <c r="G136" i="25"/>
  <c r="I135" i="39"/>
  <c r="J135" i="39" s="1"/>
  <c r="I135" i="42"/>
  <c r="J135" i="42" s="1"/>
  <c r="I136" i="8"/>
  <c r="J136" i="8" s="1"/>
  <c r="K136" i="8" s="1"/>
  <c r="L136" i="8" s="1"/>
  <c r="I137" i="9"/>
  <c r="J137" i="9" s="1"/>
  <c r="K137" i="9" s="1"/>
  <c r="L137" i="9" s="1"/>
  <c r="M137" i="9" s="1"/>
  <c r="I137" i="4"/>
  <c r="J137" i="4" s="1"/>
  <c r="K137" i="4" s="1"/>
  <c r="L137" i="4" s="1"/>
  <c r="M137" i="4" s="1"/>
  <c r="H138" i="4"/>
  <c r="F138" i="4"/>
  <c r="B139" i="4"/>
  <c r="E139" i="4" s="1"/>
  <c r="D138" i="4"/>
  <c r="C138" i="4"/>
  <c r="H136" i="42"/>
  <c r="B137" i="42"/>
  <c r="E137" i="42" s="1"/>
  <c r="F136" i="42"/>
  <c r="D136" i="42"/>
  <c r="C136" i="42"/>
  <c r="F136" i="17"/>
  <c r="B137" i="17"/>
  <c r="H136" i="17"/>
  <c r="D136" i="17"/>
  <c r="C136" i="17"/>
  <c r="F137" i="8"/>
  <c r="G137" i="8" s="1"/>
  <c r="B138" i="8"/>
  <c r="E138" i="8" s="1"/>
  <c r="H137" i="8"/>
  <c r="D137" i="8"/>
  <c r="C137" i="8"/>
  <c r="E138" i="4"/>
  <c r="I135" i="40"/>
  <c r="J135" i="40" s="1"/>
  <c r="I135" i="17"/>
  <c r="J135" i="17" s="1"/>
  <c r="K135" i="17" s="1"/>
  <c r="L135" i="17" s="1"/>
  <c r="G135" i="18"/>
  <c r="B137" i="18"/>
  <c r="E137" i="18" s="1"/>
  <c r="H136" i="18"/>
  <c r="F136" i="18"/>
  <c r="G136" i="18" s="1"/>
  <c r="C136" i="18"/>
  <c r="D136" i="18"/>
  <c r="I135" i="19"/>
  <c r="J135" i="19" s="1"/>
  <c r="K135" i="19" s="1"/>
  <c r="L135" i="19" s="1"/>
  <c r="B137" i="41"/>
  <c r="E137" i="41" s="1"/>
  <c r="H136" i="41"/>
  <c r="F136" i="41"/>
  <c r="D136" i="41"/>
  <c r="C136" i="41"/>
  <c r="B137" i="40"/>
  <c r="E137" i="40" s="1"/>
  <c r="F136" i="40"/>
  <c r="G136" i="40" s="1"/>
  <c r="H136" i="40"/>
  <c r="D136" i="40"/>
  <c r="C136" i="40"/>
  <c r="I135" i="41"/>
  <c r="J135" i="41" s="1"/>
  <c r="K135" i="41" s="1"/>
  <c r="L135" i="41" s="1"/>
  <c r="M135" i="41" s="1"/>
  <c r="E136" i="41"/>
  <c r="E136" i="42"/>
  <c r="E136" i="17"/>
  <c r="I135" i="18"/>
  <c r="H138" i="9"/>
  <c r="F138" i="9"/>
  <c r="B139" i="9"/>
  <c r="E139" i="9" s="1"/>
  <c r="C138" i="9"/>
  <c r="D138" i="9"/>
  <c r="B137" i="39"/>
  <c r="E137" i="39" s="1"/>
  <c r="H136" i="39"/>
  <c r="F136" i="39"/>
  <c r="G136" i="39" s="1"/>
  <c r="C136" i="39"/>
  <c r="D136" i="39"/>
  <c r="F136" i="19"/>
  <c r="G136" i="19" s="1"/>
  <c r="B137" i="19"/>
  <c r="E137" i="19" s="1"/>
  <c r="H136" i="19"/>
  <c r="D136" i="19"/>
  <c r="C136" i="19"/>
  <c r="E138" i="9"/>
  <c r="O133" i="26"/>
  <c r="P133" i="26" s="1"/>
  <c r="Q133" i="26" s="1"/>
  <c r="M135" i="19" l="1"/>
  <c r="M135" i="17"/>
  <c r="M136" i="8"/>
  <c r="K135" i="39"/>
  <c r="L135" i="39" s="1"/>
  <c r="M135" i="39" s="1"/>
  <c r="K135" i="42"/>
  <c r="L135" i="42" s="1"/>
  <c r="M135" i="42" s="1"/>
  <c r="K135" i="40"/>
  <c r="L135" i="40" s="1"/>
  <c r="M135" i="40" s="1"/>
  <c r="T8" i="9"/>
  <c r="P8" i="9"/>
  <c r="G139" i="26"/>
  <c r="B140" i="26"/>
  <c r="E140" i="26" s="1"/>
  <c r="C139" i="26"/>
  <c r="H139" i="26"/>
  <c r="I139" i="26" s="1"/>
  <c r="D139" i="26"/>
  <c r="F139" i="26"/>
  <c r="J139" i="26" s="1"/>
  <c r="H138" i="25"/>
  <c r="I138" i="25" s="1"/>
  <c r="D138" i="25"/>
  <c r="C138" i="25"/>
  <c r="F138" i="25"/>
  <c r="J138" i="25" s="1"/>
  <c r="B139" i="25"/>
  <c r="E139" i="25" s="1"/>
  <c r="G138" i="25"/>
  <c r="G137" i="25"/>
  <c r="J137" i="25"/>
  <c r="O137" i="25" s="1"/>
  <c r="P137" i="25" s="1"/>
  <c r="Q137" i="25" s="1"/>
  <c r="I136" i="42"/>
  <c r="I136" i="40"/>
  <c r="J136" i="40" s="1"/>
  <c r="K136" i="40" s="1"/>
  <c r="L136" i="40" s="1"/>
  <c r="J135" i="18"/>
  <c r="K135" i="18" s="1"/>
  <c r="L135" i="18" s="1"/>
  <c r="M135" i="18" s="1"/>
  <c r="I138" i="4"/>
  <c r="G138" i="4"/>
  <c r="G138" i="9"/>
  <c r="I136" i="19"/>
  <c r="J136" i="19" s="1"/>
  <c r="K136" i="19" s="1"/>
  <c r="L136" i="19" s="1"/>
  <c r="M136" i="19" s="1"/>
  <c r="G136" i="17"/>
  <c r="I138" i="9"/>
  <c r="G136" i="42"/>
  <c r="I136" i="41"/>
  <c r="I136" i="18"/>
  <c r="J136" i="18" s="1"/>
  <c r="I137" i="8"/>
  <c r="J137" i="8" s="1"/>
  <c r="K137" i="8" s="1"/>
  <c r="L137" i="8" s="1"/>
  <c r="M137" i="8" s="1"/>
  <c r="B138" i="17"/>
  <c r="E138" i="17" s="1"/>
  <c r="H137" i="17"/>
  <c r="F137" i="17"/>
  <c r="C137" i="17"/>
  <c r="D137" i="17"/>
  <c r="F139" i="9"/>
  <c r="G139" i="9" s="1"/>
  <c r="B140" i="9"/>
  <c r="E140" i="9" s="1"/>
  <c r="H139" i="9"/>
  <c r="D139" i="9"/>
  <c r="C139" i="9"/>
  <c r="F137" i="40"/>
  <c r="G137" i="40" s="1"/>
  <c r="H137" i="40"/>
  <c r="B138" i="40"/>
  <c r="E138" i="40" s="1"/>
  <c r="C137" i="40"/>
  <c r="D137" i="40"/>
  <c r="I136" i="17"/>
  <c r="F137" i="19"/>
  <c r="G137" i="19" s="1"/>
  <c r="B138" i="19"/>
  <c r="E138" i="19" s="1"/>
  <c r="H137" i="19"/>
  <c r="D137" i="19"/>
  <c r="C137" i="19"/>
  <c r="I136" i="39"/>
  <c r="J136" i="39" s="1"/>
  <c r="K136" i="39" s="1"/>
  <c r="L136" i="39" s="1"/>
  <c r="H137" i="39"/>
  <c r="F137" i="39"/>
  <c r="G137" i="39" s="1"/>
  <c r="B138" i="39"/>
  <c r="D137" i="39"/>
  <c r="C137" i="39"/>
  <c r="G136" i="41"/>
  <c r="E137" i="17"/>
  <c r="H137" i="41"/>
  <c r="B138" i="41"/>
  <c r="E138" i="41" s="1"/>
  <c r="F137" i="41"/>
  <c r="G137" i="41" s="1"/>
  <c r="C137" i="41"/>
  <c r="D137" i="41"/>
  <c r="H137" i="18"/>
  <c r="F137" i="18"/>
  <c r="G137" i="18" s="1"/>
  <c r="B138" i="18"/>
  <c r="C137" i="18"/>
  <c r="D137" i="18"/>
  <c r="F138" i="8"/>
  <c r="G138" i="8" s="1"/>
  <c r="B139" i="8"/>
  <c r="E139" i="8" s="1"/>
  <c r="H138" i="8"/>
  <c r="C138" i="8"/>
  <c r="D138" i="8"/>
  <c r="B138" i="42"/>
  <c r="E138" i="42" s="1"/>
  <c r="H137" i="42"/>
  <c r="F137" i="42"/>
  <c r="G137" i="42" s="1"/>
  <c r="C137" i="42"/>
  <c r="D137" i="42"/>
  <c r="F139" i="4"/>
  <c r="G139" i="4" s="1"/>
  <c r="B140" i="4"/>
  <c r="E140" i="4" s="1"/>
  <c r="H139" i="4"/>
  <c r="D139" i="4"/>
  <c r="C139" i="4"/>
  <c r="O134" i="26"/>
  <c r="P134" i="26" s="1"/>
  <c r="Q134" i="26" s="1"/>
  <c r="M136" i="39" l="1"/>
  <c r="M136" i="40"/>
  <c r="J136" i="41"/>
  <c r="K136" i="41" s="1"/>
  <c r="L136" i="41" s="1"/>
  <c r="M136" i="41" s="1"/>
  <c r="J136" i="17"/>
  <c r="K136" i="17" s="1"/>
  <c r="L136" i="17" s="1"/>
  <c r="M136" i="17" s="1"/>
  <c r="J136" i="42"/>
  <c r="K136" i="42" s="1"/>
  <c r="L136" i="42" s="1"/>
  <c r="M136" i="42" s="1"/>
  <c r="J138" i="9"/>
  <c r="K138" i="9" s="1"/>
  <c r="L138" i="9" s="1"/>
  <c r="M138" i="9" s="1"/>
  <c r="J138" i="4"/>
  <c r="K138" i="4" s="1"/>
  <c r="L138" i="4" s="1"/>
  <c r="M138" i="4" s="1"/>
  <c r="G137" i="17"/>
  <c r="S8" i="9"/>
  <c r="Q8" i="9"/>
  <c r="G140" i="26"/>
  <c r="F140" i="26"/>
  <c r="J140" i="26" s="1"/>
  <c r="H140" i="26"/>
  <c r="I140" i="26" s="1"/>
  <c r="D140" i="26"/>
  <c r="B141" i="26"/>
  <c r="C140" i="26"/>
  <c r="K136" i="18"/>
  <c r="L136" i="18" s="1"/>
  <c r="M136" i="18" s="1"/>
  <c r="O138" i="25"/>
  <c r="P138" i="25" s="1"/>
  <c r="Q138" i="25" s="1"/>
  <c r="B140" i="25"/>
  <c r="E140" i="25" s="1"/>
  <c r="H139" i="25"/>
  <c r="I139" i="25" s="1"/>
  <c r="D139" i="25"/>
  <c r="C139" i="25"/>
  <c r="F139" i="25"/>
  <c r="J139" i="25" s="1"/>
  <c r="G139" i="25"/>
  <c r="I137" i="39"/>
  <c r="J137" i="39" s="1"/>
  <c r="K137" i="39" s="1"/>
  <c r="L137" i="39" s="1"/>
  <c r="M137" i="39" s="1"/>
  <c r="I137" i="17"/>
  <c r="I137" i="19"/>
  <c r="J137" i="19" s="1"/>
  <c r="K137" i="19" s="1"/>
  <c r="L137" i="19" s="1"/>
  <c r="M137" i="19" s="1"/>
  <c r="I137" i="41"/>
  <c r="J137" i="41" s="1"/>
  <c r="I139" i="4"/>
  <c r="J139" i="4" s="1"/>
  <c r="I139" i="9"/>
  <c r="J139" i="9" s="1"/>
  <c r="I138" i="8"/>
  <c r="J138" i="8" s="1"/>
  <c r="K138" i="8" s="1"/>
  <c r="L138" i="8" s="1"/>
  <c r="M138" i="8" s="1"/>
  <c r="I137" i="18"/>
  <c r="J137" i="18" s="1"/>
  <c r="K137" i="18" s="1"/>
  <c r="L137" i="18" s="1"/>
  <c r="F140" i="4"/>
  <c r="G140" i="4" s="1"/>
  <c r="B141" i="4"/>
  <c r="E141" i="4" s="1"/>
  <c r="H140" i="4"/>
  <c r="D140" i="4"/>
  <c r="C140" i="4"/>
  <c r="I137" i="42"/>
  <c r="J137" i="42" s="1"/>
  <c r="F138" i="42"/>
  <c r="G138" i="42" s="1"/>
  <c r="B139" i="42"/>
  <c r="E139" i="42" s="1"/>
  <c r="H138" i="42"/>
  <c r="D138" i="42"/>
  <c r="C138" i="42"/>
  <c r="B140" i="8"/>
  <c r="E140" i="8" s="1"/>
  <c r="H139" i="8"/>
  <c r="F139" i="8"/>
  <c r="G139" i="8" s="1"/>
  <c r="D139" i="8"/>
  <c r="C139" i="8"/>
  <c r="F138" i="18"/>
  <c r="B139" i="18"/>
  <c r="E139" i="18" s="1"/>
  <c r="H138" i="18"/>
  <c r="D138" i="18"/>
  <c r="C138" i="18"/>
  <c r="F138" i="39"/>
  <c r="B139" i="39"/>
  <c r="E139" i="39" s="1"/>
  <c r="H138" i="39"/>
  <c r="C138" i="39"/>
  <c r="D138" i="39"/>
  <c r="B139" i="19"/>
  <c r="E139" i="19" s="1"/>
  <c r="H138" i="19"/>
  <c r="F138" i="19"/>
  <c r="G138" i="19" s="1"/>
  <c r="C138" i="19"/>
  <c r="D138" i="19"/>
  <c r="I137" i="40"/>
  <c r="J137" i="40" s="1"/>
  <c r="K137" i="40" s="1"/>
  <c r="L137" i="40" s="1"/>
  <c r="M137" i="40" s="1"/>
  <c r="F140" i="9"/>
  <c r="G140" i="9" s="1"/>
  <c r="B141" i="9"/>
  <c r="E141" i="9" s="1"/>
  <c r="H140" i="9"/>
  <c r="D140" i="9"/>
  <c r="C140" i="9"/>
  <c r="B139" i="41"/>
  <c r="E139" i="41" s="1"/>
  <c r="H138" i="41"/>
  <c r="F138" i="41"/>
  <c r="G138" i="41" s="1"/>
  <c r="D138" i="41"/>
  <c r="C138" i="41"/>
  <c r="B139" i="40"/>
  <c r="E139" i="40" s="1"/>
  <c r="H138" i="40"/>
  <c r="F138" i="40"/>
  <c r="G138" i="40" s="1"/>
  <c r="D138" i="40"/>
  <c r="C138" i="40"/>
  <c r="H138" i="17"/>
  <c r="F138" i="17"/>
  <c r="G138" i="17" s="1"/>
  <c r="B139" i="17"/>
  <c r="E139" i="17" s="1"/>
  <c r="D138" i="17"/>
  <c r="C138" i="17"/>
  <c r="E138" i="18"/>
  <c r="E138" i="39"/>
  <c r="O135" i="26"/>
  <c r="P135" i="26" s="1"/>
  <c r="Q135" i="26" s="1"/>
  <c r="G138" i="18" l="1"/>
  <c r="K137" i="41"/>
  <c r="L137" i="41" s="1"/>
  <c r="M137" i="41" s="1"/>
  <c r="K139" i="9"/>
  <c r="L139" i="9" s="1"/>
  <c r="M139" i="9" s="1"/>
  <c r="K137" i="42"/>
  <c r="L137" i="42" s="1"/>
  <c r="M137" i="42" s="1"/>
  <c r="K139" i="4"/>
  <c r="L139" i="4" s="1"/>
  <c r="M139" i="4" s="1"/>
  <c r="J137" i="17"/>
  <c r="K137" i="17" s="1"/>
  <c r="L137" i="17" s="1"/>
  <c r="M137" i="17" s="1"/>
  <c r="V9" i="9"/>
  <c r="O9" i="9"/>
  <c r="M137" i="18"/>
  <c r="B142" i="26"/>
  <c r="E142" i="26" s="1"/>
  <c r="C141" i="26"/>
  <c r="F141" i="26"/>
  <c r="D141" i="26"/>
  <c r="H141" i="26"/>
  <c r="I141" i="26" s="1"/>
  <c r="E141" i="26"/>
  <c r="G140" i="25"/>
  <c r="O139" i="25"/>
  <c r="P139" i="25" s="1"/>
  <c r="Q139" i="25" s="1"/>
  <c r="F140" i="25"/>
  <c r="J140" i="25" s="1"/>
  <c r="B141" i="25"/>
  <c r="E141" i="25" s="1"/>
  <c r="H140" i="25"/>
  <c r="I140" i="25" s="1"/>
  <c r="D140" i="25"/>
  <c r="C140" i="25"/>
  <c r="G138" i="39"/>
  <c r="I139" i="8"/>
  <c r="J139" i="8" s="1"/>
  <c r="K139" i="8" s="1"/>
  <c r="L139" i="8" s="1"/>
  <c r="M139" i="8" s="1"/>
  <c r="I138" i="41"/>
  <c r="J138" i="41" s="1"/>
  <c r="K138" i="41" s="1"/>
  <c r="L138" i="41" s="1"/>
  <c r="I140" i="9"/>
  <c r="J140" i="9" s="1"/>
  <c r="K140" i="9" s="1"/>
  <c r="L140" i="9" s="1"/>
  <c r="I138" i="19"/>
  <c r="J138" i="19" s="1"/>
  <c r="K138" i="19" s="1"/>
  <c r="L138" i="19" s="1"/>
  <c r="M138" i="19" s="1"/>
  <c r="I138" i="40"/>
  <c r="J138" i="40" s="1"/>
  <c r="K138" i="40" s="1"/>
  <c r="L138" i="40" s="1"/>
  <c r="M138" i="40" s="1"/>
  <c r="I138" i="39"/>
  <c r="I138" i="18"/>
  <c r="J138" i="18" s="1"/>
  <c r="K138" i="18" s="1"/>
  <c r="L138" i="18" s="1"/>
  <c r="M138" i="18" s="1"/>
  <c r="I138" i="42"/>
  <c r="J138" i="42" s="1"/>
  <c r="K138" i="42" s="1"/>
  <c r="L138" i="42" s="1"/>
  <c r="I140" i="4"/>
  <c r="J140" i="4" s="1"/>
  <c r="K140" i="4" s="1"/>
  <c r="L140" i="4" s="1"/>
  <c r="I138" i="17"/>
  <c r="J138" i="17" s="1"/>
  <c r="H139" i="40"/>
  <c r="F139" i="40"/>
  <c r="G139" i="40" s="1"/>
  <c r="B140" i="40"/>
  <c r="E140" i="40" s="1"/>
  <c r="C139" i="40"/>
  <c r="D139" i="40"/>
  <c r="F139" i="41"/>
  <c r="G139" i="41" s="1"/>
  <c r="B140" i="41"/>
  <c r="H139" i="41"/>
  <c r="D139" i="41"/>
  <c r="C139" i="41"/>
  <c r="F141" i="9"/>
  <c r="G141" i="9" s="1"/>
  <c r="B142" i="9"/>
  <c r="E142" i="9" s="1"/>
  <c r="H141" i="9"/>
  <c r="D141" i="9"/>
  <c r="C141" i="9"/>
  <c r="H139" i="19"/>
  <c r="F139" i="19"/>
  <c r="G139" i="19" s="1"/>
  <c r="B140" i="19"/>
  <c r="D139" i="19"/>
  <c r="C139" i="19"/>
  <c r="F139" i="39"/>
  <c r="G139" i="39" s="1"/>
  <c r="B140" i="39"/>
  <c r="E140" i="39" s="1"/>
  <c r="H139" i="39"/>
  <c r="D139" i="39"/>
  <c r="C139" i="39"/>
  <c r="F141" i="4"/>
  <c r="G141" i="4" s="1"/>
  <c r="B142" i="4"/>
  <c r="E142" i="4" s="1"/>
  <c r="H141" i="4"/>
  <c r="C141" i="4"/>
  <c r="D141" i="4"/>
  <c r="F139" i="17"/>
  <c r="G139" i="17" s="1"/>
  <c r="B140" i="17"/>
  <c r="H139" i="17"/>
  <c r="C139" i="17"/>
  <c r="D139" i="17"/>
  <c r="F139" i="18"/>
  <c r="G139" i="18" s="1"/>
  <c r="B140" i="18"/>
  <c r="H139" i="18"/>
  <c r="D139" i="18"/>
  <c r="C139" i="18"/>
  <c r="B141" i="8"/>
  <c r="E141" i="8" s="1"/>
  <c r="H140" i="8"/>
  <c r="F140" i="8"/>
  <c r="G140" i="8" s="1"/>
  <c r="C140" i="8"/>
  <c r="D140" i="8"/>
  <c r="B140" i="42"/>
  <c r="E140" i="42" s="1"/>
  <c r="F139" i="42"/>
  <c r="G139" i="42" s="1"/>
  <c r="H139" i="42"/>
  <c r="D139" i="42"/>
  <c r="C139" i="42"/>
  <c r="O136" i="26"/>
  <c r="P136" i="26" s="1"/>
  <c r="Q136" i="26" s="1"/>
  <c r="M138" i="41" l="1"/>
  <c r="M140" i="9"/>
  <c r="M138" i="42"/>
  <c r="K138" i="17"/>
  <c r="L138" i="17" s="1"/>
  <c r="M138" i="17" s="1"/>
  <c r="M140" i="4"/>
  <c r="J138" i="39"/>
  <c r="K138" i="39" s="1"/>
  <c r="L138" i="39" s="1"/>
  <c r="M138" i="39" s="1"/>
  <c r="T9" i="9"/>
  <c r="P9" i="9"/>
  <c r="I139" i="19"/>
  <c r="J139" i="19" s="1"/>
  <c r="K139" i="19" s="1"/>
  <c r="L139" i="19" s="1"/>
  <c r="M139" i="19" s="1"/>
  <c r="G142" i="26"/>
  <c r="G141" i="26"/>
  <c r="J141" i="26"/>
  <c r="H142" i="26"/>
  <c r="I142" i="26" s="1"/>
  <c r="D142" i="26"/>
  <c r="F142" i="26"/>
  <c r="J142" i="26" s="1"/>
  <c r="B143" i="26"/>
  <c r="E143" i="26" s="1"/>
  <c r="C142" i="26"/>
  <c r="G141" i="25"/>
  <c r="O140" i="25"/>
  <c r="P140" i="25" s="1"/>
  <c r="Q140" i="25" s="1"/>
  <c r="C141" i="25"/>
  <c r="F141" i="25"/>
  <c r="J141" i="25" s="1"/>
  <c r="B142" i="25"/>
  <c r="H141" i="25"/>
  <c r="I141" i="25" s="1"/>
  <c r="D141" i="25"/>
  <c r="I139" i="41"/>
  <c r="J139" i="41" s="1"/>
  <c r="K139" i="41" s="1"/>
  <c r="L139" i="41" s="1"/>
  <c r="M139" i="41" s="1"/>
  <c r="I139" i="39"/>
  <c r="J139" i="39" s="1"/>
  <c r="I140" i="8"/>
  <c r="J140" i="8" s="1"/>
  <c r="K140" i="8" s="1"/>
  <c r="L140" i="8" s="1"/>
  <c r="M140" i="8" s="1"/>
  <c r="I141" i="4"/>
  <c r="J141" i="4" s="1"/>
  <c r="K141" i="4" s="1"/>
  <c r="L141" i="4" s="1"/>
  <c r="M141" i="4" s="1"/>
  <c r="I141" i="9"/>
  <c r="J141" i="9" s="1"/>
  <c r="K141" i="9" s="1"/>
  <c r="L141" i="9" s="1"/>
  <c r="M141" i="9" s="1"/>
  <c r="I139" i="42"/>
  <c r="J139" i="42" s="1"/>
  <c r="K139" i="42" s="1"/>
  <c r="L139" i="42" s="1"/>
  <c r="M139" i="42" s="1"/>
  <c r="I139" i="18"/>
  <c r="J139" i="18" s="1"/>
  <c r="K139" i="18" s="1"/>
  <c r="L139" i="18" s="1"/>
  <c r="M139" i="18" s="1"/>
  <c r="I139" i="40"/>
  <c r="J139" i="40" s="1"/>
  <c r="K139" i="40" s="1"/>
  <c r="L139" i="40" s="1"/>
  <c r="M139" i="40" s="1"/>
  <c r="H141" i="8"/>
  <c r="F141" i="8"/>
  <c r="G141" i="8" s="1"/>
  <c r="B142" i="8"/>
  <c r="E142" i="8" s="1"/>
  <c r="C141" i="8"/>
  <c r="D141" i="8"/>
  <c r="B141" i="18"/>
  <c r="E141" i="18" s="1"/>
  <c r="H140" i="18"/>
  <c r="F140" i="18"/>
  <c r="D140" i="18"/>
  <c r="C140" i="18"/>
  <c r="F140" i="17"/>
  <c r="B141" i="17"/>
  <c r="E141" i="17" s="1"/>
  <c r="H140" i="17"/>
  <c r="D140" i="17"/>
  <c r="C140" i="17"/>
  <c r="B143" i="4"/>
  <c r="H142" i="4"/>
  <c r="F142" i="4"/>
  <c r="G142" i="4" s="1"/>
  <c r="D142" i="4"/>
  <c r="C142" i="4"/>
  <c r="B141" i="39"/>
  <c r="E141" i="39" s="1"/>
  <c r="H140" i="39"/>
  <c r="F140" i="39"/>
  <c r="G140" i="39" s="1"/>
  <c r="D140" i="39"/>
  <c r="C140" i="39"/>
  <c r="B141" i="41"/>
  <c r="H140" i="41"/>
  <c r="F140" i="41"/>
  <c r="C140" i="41"/>
  <c r="D140" i="41"/>
  <c r="H140" i="19"/>
  <c r="F140" i="19"/>
  <c r="B141" i="19"/>
  <c r="E141" i="19" s="1"/>
  <c r="C140" i="19"/>
  <c r="D140" i="19"/>
  <c r="B141" i="42"/>
  <c r="H140" i="42"/>
  <c r="F140" i="42"/>
  <c r="G140" i="42" s="1"/>
  <c r="D140" i="42"/>
  <c r="C140" i="42"/>
  <c r="E140" i="18"/>
  <c r="I139" i="17"/>
  <c r="J139" i="17" s="1"/>
  <c r="K139" i="17" s="1"/>
  <c r="L139" i="17" s="1"/>
  <c r="E140" i="17"/>
  <c r="H140" i="40"/>
  <c r="B141" i="40"/>
  <c r="E141" i="40" s="1"/>
  <c r="F140" i="40"/>
  <c r="G140" i="40" s="1"/>
  <c r="D140" i="40"/>
  <c r="C140" i="40"/>
  <c r="E140" i="19"/>
  <c r="B143" i="9"/>
  <c r="H142" i="9"/>
  <c r="F142" i="9"/>
  <c r="G142" i="9" s="1"/>
  <c r="C142" i="9"/>
  <c r="D142" i="9"/>
  <c r="E140" i="41"/>
  <c r="O137" i="26"/>
  <c r="P137" i="26" s="1"/>
  <c r="Q137" i="26" s="1"/>
  <c r="K139" i="39" l="1"/>
  <c r="L139" i="39" s="1"/>
  <c r="M139" i="39" s="1"/>
  <c r="M139" i="17"/>
  <c r="I141" i="8"/>
  <c r="J141" i="8" s="1"/>
  <c r="K141" i="8" s="1"/>
  <c r="L141" i="8" s="1"/>
  <c r="M141" i="8" s="1"/>
  <c r="S9" i="9"/>
  <c r="Q9" i="9"/>
  <c r="G140" i="17"/>
  <c r="I140" i="18"/>
  <c r="G140" i="41"/>
  <c r="G140" i="19"/>
  <c r="G143" i="26"/>
  <c r="B144" i="26"/>
  <c r="C143" i="26"/>
  <c r="H143" i="26"/>
  <c r="I143" i="26" s="1"/>
  <c r="D143" i="26"/>
  <c r="E144" i="26"/>
  <c r="F143" i="26"/>
  <c r="J143" i="26" s="1"/>
  <c r="O141" i="25"/>
  <c r="P141" i="25" s="1"/>
  <c r="Q141" i="25" s="1"/>
  <c r="H142" i="25"/>
  <c r="I142" i="25" s="1"/>
  <c r="D142" i="25"/>
  <c r="C142" i="25"/>
  <c r="F142" i="25"/>
  <c r="B143" i="25"/>
  <c r="E143" i="25" s="1"/>
  <c r="E142" i="25"/>
  <c r="I140" i="41"/>
  <c r="J140" i="41" s="1"/>
  <c r="K140" i="41" s="1"/>
  <c r="L140" i="41" s="1"/>
  <c r="M140" i="41" s="1"/>
  <c r="G140" i="18"/>
  <c r="I140" i="40"/>
  <c r="J140" i="40" s="1"/>
  <c r="K140" i="40" s="1"/>
  <c r="L140" i="40" s="1"/>
  <c r="M140" i="40" s="1"/>
  <c r="I142" i="4"/>
  <c r="J142" i="4" s="1"/>
  <c r="K142" i="4" s="1"/>
  <c r="L142" i="4" s="1"/>
  <c r="M142" i="4" s="1"/>
  <c r="I142" i="9"/>
  <c r="J142" i="9" s="1"/>
  <c r="K142" i="9" s="1"/>
  <c r="L142" i="9" s="1"/>
  <c r="M142" i="9" s="1"/>
  <c r="I140" i="42"/>
  <c r="J140" i="42" s="1"/>
  <c r="K140" i="42" s="1"/>
  <c r="L140" i="42" s="1"/>
  <c r="M140" i="42" s="1"/>
  <c r="I140" i="19"/>
  <c r="I140" i="39"/>
  <c r="J140" i="39" s="1"/>
  <c r="K140" i="39" s="1"/>
  <c r="L140" i="39" s="1"/>
  <c r="H143" i="9"/>
  <c r="F143" i="9"/>
  <c r="B144" i="9"/>
  <c r="D143" i="9"/>
  <c r="C143" i="9"/>
  <c r="H141" i="42"/>
  <c r="F141" i="42"/>
  <c r="B142" i="42"/>
  <c r="D141" i="42"/>
  <c r="C141" i="42"/>
  <c r="B142" i="41"/>
  <c r="E142" i="41" s="1"/>
  <c r="F141" i="41"/>
  <c r="H141" i="41"/>
  <c r="C141" i="41"/>
  <c r="D141" i="41"/>
  <c r="H143" i="4"/>
  <c r="F143" i="4"/>
  <c r="B144" i="4"/>
  <c r="D143" i="4"/>
  <c r="C143" i="4"/>
  <c r="F141" i="17"/>
  <c r="G141" i="17" s="1"/>
  <c r="B142" i="17"/>
  <c r="E142" i="17" s="1"/>
  <c r="H141" i="17"/>
  <c r="D141" i="17"/>
  <c r="C141" i="17"/>
  <c r="E141" i="41"/>
  <c r="E143" i="9"/>
  <c r="E141" i="42"/>
  <c r="E143" i="4"/>
  <c r="I140" i="17"/>
  <c r="J140" i="17" s="1"/>
  <c r="K140" i="17" s="1"/>
  <c r="L140" i="17" s="1"/>
  <c r="M140" i="17" s="1"/>
  <c r="B142" i="40"/>
  <c r="F141" i="40"/>
  <c r="G141" i="40" s="1"/>
  <c r="H141" i="40"/>
  <c r="D141" i="40"/>
  <c r="C141" i="40"/>
  <c r="F141" i="19"/>
  <c r="G141" i="19" s="1"/>
  <c r="B142" i="19"/>
  <c r="H141" i="19"/>
  <c r="C141" i="19"/>
  <c r="D141" i="19"/>
  <c r="B142" i="39"/>
  <c r="H141" i="39"/>
  <c r="F141" i="39"/>
  <c r="G141" i="39" s="1"/>
  <c r="D141" i="39"/>
  <c r="C141" i="39"/>
  <c r="B142" i="18"/>
  <c r="E142" i="18" s="1"/>
  <c r="H141" i="18"/>
  <c r="F141" i="18"/>
  <c r="G141" i="18" s="1"/>
  <c r="D141" i="18"/>
  <c r="C141" i="18"/>
  <c r="F142" i="8"/>
  <c r="G142" i="8" s="1"/>
  <c r="B143" i="8"/>
  <c r="E143" i="8" s="1"/>
  <c r="H142" i="8"/>
  <c r="D142" i="8"/>
  <c r="C142" i="8"/>
  <c r="O138" i="26"/>
  <c r="P138" i="26" s="1"/>
  <c r="Q138" i="26" s="1"/>
  <c r="J140" i="19" l="1"/>
  <c r="K140" i="19" s="1"/>
  <c r="L140" i="19" s="1"/>
  <c r="M140" i="19" s="1"/>
  <c r="M140" i="39"/>
  <c r="O10" i="9"/>
  <c r="V10" i="9"/>
  <c r="J140" i="18"/>
  <c r="K140" i="18" s="1"/>
  <c r="L140" i="18" s="1"/>
  <c r="M140" i="18" s="1"/>
  <c r="G144" i="26"/>
  <c r="F144" i="26"/>
  <c r="J144" i="26" s="1"/>
  <c r="H144" i="26"/>
  <c r="I144" i="26" s="1"/>
  <c r="D144" i="26"/>
  <c r="B145" i="26"/>
  <c r="E145" i="26" s="1"/>
  <c r="C144" i="26"/>
  <c r="B144" i="25"/>
  <c r="E144" i="25" s="1"/>
  <c r="H143" i="25"/>
  <c r="I143" i="25" s="1"/>
  <c r="D143" i="25"/>
  <c r="C143" i="25"/>
  <c r="F143" i="25"/>
  <c r="J143" i="25" s="1"/>
  <c r="G143" i="25"/>
  <c r="G142" i="25"/>
  <c r="J142" i="25"/>
  <c r="O142" i="25" s="1"/>
  <c r="P142" i="25" s="1"/>
  <c r="Q142" i="25" s="1"/>
  <c r="I141" i="42"/>
  <c r="G141" i="41"/>
  <c r="G141" i="42"/>
  <c r="G143" i="9"/>
  <c r="G143" i="4"/>
  <c r="I143" i="4"/>
  <c r="J143" i="4" s="1"/>
  <c r="K143" i="4" s="1"/>
  <c r="L143" i="4" s="1"/>
  <c r="M143" i="4" s="1"/>
  <c r="I141" i="41"/>
  <c r="I141" i="17"/>
  <c r="J141" i="17" s="1"/>
  <c r="K141" i="17" s="1"/>
  <c r="L141" i="17" s="1"/>
  <c r="M141" i="17" s="1"/>
  <c r="I141" i="39"/>
  <c r="J141" i="39" s="1"/>
  <c r="K141" i="39" s="1"/>
  <c r="L141" i="39" s="1"/>
  <c r="M141" i="39" s="1"/>
  <c r="I141" i="19"/>
  <c r="J141" i="19" s="1"/>
  <c r="I143" i="9"/>
  <c r="J143" i="9" s="1"/>
  <c r="K143" i="9" s="1"/>
  <c r="L143" i="9" s="1"/>
  <c r="M143" i="9" s="1"/>
  <c r="I142" i="8"/>
  <c r="J142" i="8" s="1"/>
  <c r="K142" i="8" s="1"/>
  <c r="L142" i="8" s="1"/>
  <c r="M142" i="8" s="1"/>
  <c r="H142" i="39"/>
  <c r="F142" i="39"/>
  <c r="B143" i="39"/>
  <c r="E143" i="39" s="1"/>
  <c r="C142" i="39"/>
  <c r="D142" i="39"/>
  <c r="F142" i="19"/>
  <c r="B143" i="19"/>
  <c r="E143" i="19" s="1"/>
  <c r="H142" i="19"/>
  <c r="D142" i="19"/>
  <c r="C142" i="19"/>
  <c r="I141" i="40"/>
  <c r="J141" i="40" s="1"/>
  <c r="K141" i="40" s="1"/>
  <c r="L141" i="40" s="1"/>
  <c r="M141" i="40" s="1"/>
  <c r="F142" i="40"/>
  <c r="H142" i="40"/>
  <c r="B143" i="40"/>
  <c r="E143" i="40" s="1"/>
  <c r="D142" i="40"/>
  <c r="C142" i="40"/>
  <c r="F144" i="4"/>
  <c r="B145" i="4"/>
  <c r="E145" i="4" s="1"/>
  <c r="H144" i="4"/>
  <c r="C144" i="4"/>
  <c r="D144" i="4"/>
  <c r="F144" i="9"/>
  <c r="B145" i="9"/>
  <c r="E145" i="9" s="1"/>
  <c r="H144" i="9"/>
  <c r="D144" i="9"/>
  <c r="C144" i="9"/>
  <c r="F143" i="8"/>
  <c r="G143" i="8" s="1"/>
  <c r="B144" i="8"/>
  <c r="E144" i="8" s="1"/>
  <c r="H143" i="8"/>
  <c r="D143" i="8"/>
  <c r="C143" i="8"/>
  <c r="I141" i="18"/>
  <c r="J141" i="18" s="1"/>
  <c r="H142" i="18"/>
  <c r="F142" i="18"/>
  <c r="G142" i="18" s="1"/>
  <c r="B143" i="18"/>
  <c r="D142" i="18"/>
  <c r="C142" i="18"/>
  <c r="E142" i="39"/>
  <c r="E142" i="19"/>
  <c r="E142" i="40"/>
  <c r="E144" i="4"/>
  <c r="H142" i="41"/>
  <c r="F142" i="41"/>
  <c r="G142" i="41" s="1"/>
  <c r="B143" i="41"/>
  <c r="E143" i="41" s="1"/>
  <c r="C142" i="41"/>
  <c r="D142" i="41"/>
  <c r="F142" i="42"/>
  <c r="B143" i="42"/>
  <c r="E143" i="42" s="1"/>
  <c r="H142" i="42"/>
  <c r="D142" i="42"/>
  <c r="C142" i="42"/>
  <c r="B143" i="17"/>
  <c r="E143" i="17" s="1"/>
  <c r="H142" i="17"/>
  <c r="F142" i="17"/>
  <c r="G142" i="17" s="1"/>
  <c r="D142" i="17"/>
  <c r="C142" i="17"/>
  <c r="E142" i="42"/>
  <c r="E144" i="9"/>
  <c r="O139" i="26"/>
  <c r="P139" i="26" s="1"/>
  <c r="Q139" i="26" s="1"/>
  <c r="K141" i="19" l="1"/>
  <c r="L141" i="19" s="1"/>
  <c r="M141" i="19" s="1"/>
  <c r="J141" i="42"/>
  <c r="K141" i="42" s="1"/>
  <c r="L141" i="42" s="1"/>
  <c r="M141" i="42" s="1"/>
  <c r="J141" i="41"/>
  <c r="K141" i="41" s="1"/>
  <c r="L141" i="41" s="1"/>
  <c r="M141" i="41" s="1"/>
  <c r="K141" i="18"/>
  <c r="L141" i="18" s="1"/>
  <c r="M141" i="18" s="1"/>
  <c r="G142" i="19"/>
  <c r="T10" i="9"/>
  <c r="P10" i="9"/>
  <c r="I142" i="41"/>
  <c r="J142" i="41" s="1"/>
  <c r="G145" i="26"/>
  <c r="H145" i="26"/>
  <c r="I145" i="26" s="1"/>
  <c r="D145" i="26"/>
  <c r="F145" i="26"/>
  <c r="J145" i="26" s="1"/>
  <c r="B146" i="26"/>
  <c r="C145" i="26"/>
  <c r="O143" i="25"/>
  <c r="P143" i="25" s="1"/>
  <c r="Q143" i="25" s="1"/>
  <c r="G144" i="25"/>
  <c r="F144" i="25"/>
  <c r="J144" i="25" s="1"/>
  <c r="B145" i="25"/>
  <c r="E145" i="25" s="1"/>
  <c r="H144" i="25"/>
  <c r="I144" i="25" s="1"/>
  <c r="D144" i="25"/>
  <c r="C144" i="25"/>
  <c r="G142" i="40"/>
  <c r="I142" i="18"/>
  <c r="J142" i="18" s="1"/>
  <c r="K142" i="18" s="1"/>
  <c r="L142" i="18" s="1"/>
  <c r="I142" i="17"/>
  <c r="J142" i="17" s="1"/>
  <c r="K142" i="17" s="1"/>
  <c r="L142" i="17" s="1"/>
  <c r="M142" i="17" s="1"/>
  <c r="G142" i="42"/>
  <c r="G142" i="39"/>
  <c r="G144" i="9"/>
  <c r="G144" i="4"/>
  <c r="I143" i="8"/>
  <c r="J143" i="8" s="1"/>
  <c r="K143" i="8" s="1"/>
  <c r="L143" i="8" s="1"/>
  <c r="M143" i="8" s="1"/>
  <c r="I144" i="4"/>
  <c r="I142" i="42"/>
  <c r="I142" i="19"/>
  <c r="F143" i="18"/>
  <c r="B144" i="18"/>
  <c r="H143" i="18"/>
  <c r="D143" i="18"/>
  <c r="C143" i="18"/>
  <c r="B145" i="8"/>
  <c r="H144" i="8"/>
  <c r="F144" i="8"/>
  <c r="G144" i="8" s="1"/>
  <c r="C144" i="8"/>
  <c r="D144" i="8"/>
  <c r="I144" i="9"/>
  <c r="F145" i="4"/>
  <c r="G145" i="4" s="1"/>
  <c r="B146" i="4"/>
  <c r="H145" i="4"/>
  <c r="D145" i="4"/>
  <c r="C145" i="4"/>
  <c r="I142" i="40"/>
  <c r="I142" i="39"/>
  <c r="F143" i="42"/>
  <c r="G143" i="42" s="1"/>
  <c r="H143" i="42"/>
  <c r="B144" i="42"/>
  <c r="E144" i="42" s="1"/>
  <c r="D143" i="42"/>
  <c r="C143" i="42"/>
  <c r="B144" i="40"/>
  <c r="E144" i="40" s="1"/>
  <c r="H143" i="40"/>
  <c r="F143" i="40"/>
  <c r="G143" i="40" s="1"/>
  <c r="C143" i="40"/>
  <c r="D143" i="40"/>
  <c r="B144" i="19"/>
  <c r="E144" i="19" s="1"/>
  <c r="H143" i="19"/>
  <c r="F143" i="19"/>
  <c r="G143" i="19" s="1"/>
  <c r="D143" i="19"/>
  <c r="C143" i="19"/>
  <c r="H143" i="17"/>
  <c r="F143" i="17"/>
  <c r="G143" i="17" s="1"/>
  <c r="B144" i="17"/>
  <c r="E144" i="17" s="1"/>
  <c r="D143" i="17"/>
  <c r="C143" i="17"/>
  <c r="F143" i="41"/>
  <c r="G143" i="41" s="1"/>
  <c r="B144" i="41"/>
  <c r="E144" i="41" s="1"/>
  <c r="H143" i="41"/>
  <c r="D143" i="41"/>
  <c r="C143" i="41"/>
  <c r="E143" i="18"/>
  <c r="F145" i="9"/>
  <c r="G145" i="9" s="1"/>
  <c r="B146" i="9"/>
  <c r="H145" i="9"/>
  <c r="D145" i="9"/>
  <c r="C145" i="9"/>
  <c r="F143" i="39"/>
  <c r="G143" i="39" s="1"/>
  <c r="B144" i="39"/>
  <c r="H143" i="39"/>
  <c r="D143" i="39"/>
  <c r="C143" i="39"/>
  <c r="O140" i="26"/>
  <c r="P140" i="26" s="1"/>
  <c r="Q140" i="26" s="1"/>
  <c r="J142" i="39" l="1"/>
  <c r="K142" i="39" s="1"/>
  <c r="L142" i="39" s="1"/>
  <c r="M142" i="39" s="1"/>
  <c r="K142" i="41"/>
  <c r="L142" i="41" s="1"/>
  <c r="M142" i="41" s="1"/>
  <c r="J142" i="19"/>
  <c r="K142" i="19" s="1"/>
  <c r="L142" i="19" s="1"/>
  <c r="M142" i="19" s="1"/>
  <c r="J142" i="40"/>
  <c r="K142" i="40" s="1"/>
  <c r="L142" i="40" s="1"/>
  <c r="M142" i="40" s="1"/>
  <c r="J142" i="42"/>
  <c r="K142" i="42" s="1"/>
  <c r="L142" i="42" s="1"/>
  <c r="M142" i="42" s="1"/>
  <c r="J144" i="9"/>
  <c r="K144" i="9" s="1"/>
  <c r="L144" i="9" s="1"/>
  <c r="M144" i="9" s="1"/>
  <c r="M142" i="18"/>
  <c r="G143" i="18"/>
  <c r="I143" i="18"/>
  <c r="J143" i="18" s="1"/>
  <c r="K143" i="18" s="1"/>
  <c r="L143" i="18" s="1"/>
  <c r="M143" i="18" s="1"/>
  <c r="J144" i="4"/>
  <c r="K144" i="4" s="1"/>
  <c r="L144" i="4" s="1"/>
  <c r="M144" i="4" s="1"/>
  <c r="S10" i="9"/>
  <c r="Q10" i="9"/>
  <c r="B147" i="26"/>
  <c r="E147" i="26" s="1"/>
  <c r="C146" i="26"/>
  <c r="F146" i="26"/>
  <c r="H146" i="26"/>
  <c r="I146" i="26" s="1"/>
  <c r="D146" i="26"/>
  <c r="E146" i="26"/>
  <c r="O144" i="25"/>
  <c r="P144" i="25" s="1"/>
  <c r="Q144" i="25" s="1"/>
  <c r="G145" i="25"/>
  <c r="C145" i="25"/>
  <c r="F145" i="25"/>
  <c r="J145" i="25" s="1"/>
  <c r="B146" i="25"/>
  <c r="E146" i="25" s="1"/>
  <c r="D145" i="25"/>
  <c r="H145" i="25"/>
  <c r="I145" i="25" s="1"/>
  <c r="I143" i="39"/>
  <c r="J143" i="39" s="1"/>
  <c r="I143" i="17"/>
  <c r="J143" i="17" s="1"/>
  <c r="K143" i="17" s="1"/>
  <c r="L143" i="17" s="1"/>
  <c r="M143" i="17" s="1"/>
  <c r="I144" i="8"/>
  <c r="J144" i="8" s="1"/>
  <c r="K144" i="8" s="1"/>
  <c r="L144" i="8" s="1"/>
  <c r="M144" i="8" s="1"/>
  <c r="I143" i="19"/>
  <c r="J143" i="19" s="1"/>
  <c r="I143" i="40"/>
  <c r="J143" i="40" s="1"/>
  <c r="B147" i="4"/>
  <c r="E147" i="4" s="1"/>
  <c r="H146" i="4"/>
  <c r="F146" i="4"/>
  <c r="D146" i="4"/>
  <c r="C146" i="4"/>
  <c r="F144" i="39"/>
  <c r="B145" i="39"/>
  <c r="H144" i="39"/>
  <c r="C144" i="39"/>
  <c r="D144" i="39"/>
  <c r="B147" i="9"/>
  <c r="H146" i="9"/>
  <c r="F146" i="9"/>
  <c r="D146" i="9"/>
  <c r="C146" i="9"/>
  <c r="E144" i="39"/>
  <c r="H144" i="40"/>
  <c r="F144" i="40"/>
  <c r="G144" i="40" s="1"/>
  <c r="B145" i="40"/>
  <c r="E145" i="40" s="1"/>
  <c r="D144" i="40"/>
  <c r="C144" i="40"/>
  <c r="I143" i="42"/>
  <c r="J143" i="42" s="1"/>
  <c r="H145" i="8"/>
  <c r="F145" i="8"/>
  <c r="B146" i="8"/>
  <c r="C145" i="8"/>
  <c r="D145" i="8"/>
  <c r="F144" i="18"/>
  <c r="B145" i="18"/>
  <c r="H144" i="18"/>
  <c r="D144" i="18"/>
  <c r="C144" i="18"/>
  <c r="F144" i="41"/>
  <c r="G144" i="41" s="1"/>
  <c r="B145" i="41"/>
  <c r="E145" i="41" s="1"/>
  <c r="H144" i="41"/>
  <c r="D144" i="41"/>
  <c r="C144" i="41"/>
  <c r="I145" i="9"/>
  <c r="J145" i="9" s="1"/>
  <c r="E146" i="9"/>
  <c r="I143" i="41"/>
  <c r="J143" i="41" s="1"/>
  <c r="K143" i="41" s="1"/>
  <c r="L143" i="41" s="1"/>
  <c r="F144" i="17"/>
  <c r="G144" i="17" s="1"/>
  <c r="B145" i="17"/>
  <c r="H144" i="17"/>
  <c r="D144" i="17"/>
  <c r="C144" i="17"/>
  <c r="B145" i="42"/>
  <c r="E145" i="42" s="1"/>
  <c r="H144" i="42"/>
  <c r="F144" i="42"/>
  <c r="G144" i="42" s="1"/>
  <c r="C144" i="42"/>
  <c r="D144" i="42"/>
  <c r="I145" i="4"/>
  <c r="J145" i="4" s="1"/>
  <c r="E146" i="4"/>
  <c r="H144" i="19"/>
  <c r="F144" i="19"/>
  <c r="G144" i="19" s="1"/>
  <c r="B145" i="19"/>
  <c r="C144" i="19"/>
  <c r="D144" i="19"/>
  <c r="E145" i="8"/>
  <c r="E144" i="18"/>
  <c r="O141" i="26"/>
  <c r="P141" i="26" s="1"/>
  <c r="Q141" i="26" s="1"/>
  <c r="K143" i="39" l="1"/>
  <c r="L143" i="39" s="1"/>
  <c r="M143" i="39" s="1"/>
  <c r="K145" i="9"/>
  <c r="L145" i="9" s="1"/>
  <c r="M145" i="9" s="1"/>
  <c r="K143" i="42"/>
  <c r="L143" i="42" s="1"/>
  <c r="M143" i="42" s="1"/>
  <c r="M143" i="41"/>
  <c r="K143" i="19"/>
  <c r="L143" i="19" s="1"/>
  <c r="M143" i="19" s="1"/>
  <c r="K143" i="40"/>
  <c r="L143" i="40" s="1"/>
  <c r="M143" i="40" s="1"/>
  <c r="G144" i="18"/>
  <c r="K145" i="4"/>
  <c r="L145" i="4" s="1"/>
  <c r="M145" i="4" s="1"/>
  <c r="I145" i="8"/>
  <c r="V11" i="9"/>
  <c r="O11" i="9"/>
  <c r="I144" i="19"/>
  <c r="J144" i="19" s="1"/>
  <c r="K144" i="19" s="1"/>
  <c r="L144" i="19" s="1"/>
  <c r="G147" i="26"/>
  <c r="G146" i="26"/>
  <c r="J146" i="26"/>
  <c r="F147" i="26"/>
  <c r="J147" i="26" s="1"/>
  <c r="H147" i="26"/>
  <c r="I147" i="26" s="1"/>
  <c r="D147" i="26"/>
  <c r="B148" i="26"/>
  <c r="C147" i="26"/>
  <c r="G146" i="25"/>
  <c r="H146" i="25"/>
  <c r="I146" i="25" s="1"/>
  <c r="D146" i="25"/>
  <c r="C146" i="25"/>
  <c r="F146" i="25"/>
  <c r="J146" i="25" s="1"/>
  <c r="B147" i="25"/>
  <c r="O145" i="25"/>
  <c r="P145" i="25" s="1"/>
  <c r="Q145" i="25" s="1"/>
  <c r="G144" i="39"/>
  <c r="G146" i="4"/>
  <c r="G146" i="9"/>
  <c r="G145" i="8"/>
  <c r="I144" i="42"/>
  <c r="J144" i="42" s="1"/>
  <c r="K144" i="42" s="1"/>
  <c r="L144" i="42" s="1"/>
  <c r="I144" i="40"/>
  <c r="J144" i="40" s="1"/>
  <c r="K144" i="40" s="1"/>
  <c r="L144" i="40" s="1"/>
  <c r="I146" i="9"/>
  <c r="I144" i="39"/>
  <c r="F145" i="19"/>
  <c r="B146" i="19"/>
  <c r="E146" i="19" s="1"/>
  <c r="H145" i="19"/>
  <c r="D145" i="19"/>
  <c r="C145" i="19"/>
  <c r="I144" i="41"/>
  <c r="J144" i="41" s="1"/>
  <c r="K144" i="41" s="1"/>
  <c r="L144" i="41" s="1"/>
  <c r="M144" i="41" s="1"/>
  <c r="B146" i="18"/>
  <c r="E146" i="18" s="1"/>
  <c r="H145" i="18"/>
  <c r="F145" i="18"/>
  <c r="D145" i="18"/>
  <c r="C145" i="18"/>
  <c r="H147" i="9"/>
  <c r="F147" i="9"/>
  <c r="B148" i="9"/>
  <c r="E148" i="9" s="1"/>
  <c r="D147" i="9"/>
  <c r="C147" i="9"/>
  <c r="B146" i="39"/>
  <c r="H145" i="39"/>
  <c r="F145" i="39"/>
  <c r="D145" i="39"/>
  <c r="C145" i="39"/>
  <c r="F145" i="17"/>
  <c r="B146" i="17"/>
  <c r="E146" i="17" s="1"/>
  <c r="H145" i="17"/>
  <c r="D145" i="17"/>
  <c r="C145" i="17"/>
  <c r="F146" i="8"/>
  <c r="B147" i="8"/>
  <c r="H146" i="8"/>
  <c r="C146" i="8"/>
  <c r="D146" i="8"/>
  <c r="E145" i="19"/>
  <c r="B146" i="41"/>
  <c r="E146" i="41" s="1"/>
  <c r="F145" i="41"/>
  <c r="G145" i="41" s="1"/>
  <c r="H145" i="41"/>
  <c r="D145" i="41"/>
  <c r="C145" i="41"/>
  <c r="I144" i="18"/>
  <c r="E145" i="18"/>
  <c r="E147" i="9"/>
  <c r="E145" i="39"/>
  <c r="I146" i="4"/>
  <c r="H147" i="4"/>
  <c r="F147" i="4"/>
  <c r="G147" i="4" s="1"/>
  <c r="B148" i="4"/>
  <c r="E148" i="4" s="1"/>
  <c r="C147" i="4"/>
  <c r="D147" i="4"/>
  <c r="H145" i="42"/>
  <c r="B146" i="42"/>
  <c r="E146" i="42" s="1"/>
  <c r="F145" i="42"/>
  <c r="G145" i="42" s="1"/>
  <c r="D145" i="42"/>
  <c r="C145" i="42"/>
  <c r="I144" i="17"/>
  <c r="J144" i="17" s="1"/>
  <c r="K144" i="17" s="1"/>
  <c r="L144" i="17" s="1"/>
  <c r="M144" i="17" s="1"/>
  <c r="E145" i="17"/>
  <c r="E146" i="8"/>
  <c r="B146" i="40"/>
  <c r="E146" i="40" s="1"/>
  <c r="H145" i="40"/>
  <c r="F145" i="40"/>
  <c r="G145" i="40" s="1"/>
  <c r="D145" i="40"/>
  <c r="C145" i="40"/>
  <c r="O142" i="26"/>
  <c r="P142" i="26" s="1"/>
  <c r="Q142" i="26" s="1"/>
  <c r="J146" i="4" l="1"/>
  <c r="K146" i="4" s="1"/>
  <c r="L146" i="4" s="1"/>
  <c r="M146" i="4" s="1"/>
  <c r="J146" i="9"/>
  <c r="K146" i="9" s="1"/>
  <c r="L146" i="9" s="1"/>
  <c r="M146" i="9" s="1"/>
  <c r="M144" i="42"/>
  <c r="M144" i="40"/>
  <c r="M144" i="19"/>
  <c r="J144" i="18"/>
  <c r="K144" i="18" s="1"/>
  <c r="L144" i="18" s="1"/>
  <c r="M144" i="18" s="1"/>
  <c r="J145" i="8"/>
  <c r="K145" i="8" s="1"/>
  <c r="L145" i="8" s="1"/>
  <c r="M145" i="8" s="1"/>
  <c r="G146" i="8"/>
  <c r="G145" i="39"/>
  <c r="G147" i="9"/>
  <c r="J144" i="39"/>
  <c r="K144" i="39" s="1"/>
  <c r="L144" i="39" s="1"/>
  <c r="M144" i="39" s="1"/>
  <c r="T11" i="9"/>
  <c r="P11" i="9"/>
  <c r="I145" i="19"/>
  <c r="G145" i="17"/>
  <c r="B149" i="26"/>
  <c r="C148" i="26"/>
  <c r="D148" i="26"/>
  <c r="H148" i="26"/>
  <c r="I148" i="26" s="1"/>
  <c r="E149" i="26"/>
  <c r="F148" i="26"/>
  <c r="E148" i="26"/>
  <c r="O146" i="25"/>
  <c r="P146" i="25" s="1"/>
  <c r="Q146" i="25" s="1"/>
  <c r="B148" i="25"/>
  <c r="E148" i="25" s="1"/>
  <c r="H147" i="25"/>
  <c r="I147" i="25" s="1"/>
  <c r="D147" i="25"/>
  <c r="C147" i="25"/>
  <c r="F147" i="25"/>
  <c r="E147" i="25"/>
  <c r="I145" i="40"/>
  <c r="J145" i="40" s="1"/>
  <c r="K145" i="40" s="1"/>
  <c r="L145" i="40" s="1"/>
  <c r="M145" i="40" s="1"/>
  <c r="G145" i="18"/>
  <c r="G145" i="19"/>
  <c r="I147" i="4"/>
  <c r="J147" i="4" s="1"/>
  <c r="I147" i="9"/>
  <c r="I145" i="42"/>
  <c r="J145" i="42" s="1"/>
  <c r="K145" i="42" s="1"/>
  <c r="L145" i="42" s="1"/>
  <c r="M145" i="42" s="1"/>
  <c r="I145" i="41"/>
  <c r="J145" i="41" s="1"/>
  <c r="K145" i="41" s="1"/>
  <c r="L145" i="41" s="1"/>
  <c r="M145" i="41" s="1"/>
  <c r="I145" i="18"/>
  <c r="F147" i="8"/>
  <c r="B148" i="8"/>
  <c r="H147" i="8"/>
  <c r="C147" i="8"/>
  <c r="D147" i="8"/>
  <c r="I145" i="17"/>
  <c r="I145" i="39"/>
  <c r="J145" i="39" s="1"/>
  <c r="H146" i="39"/>
  <c r="F146" i="39"/>
  <c r="B147" i="39"/>
  <c r="E147" i="39" s="1"/>
  <c r="D146" i="39"/>
  <c r="C146" i="39"/>
  <c r="I146" i="8"/>
  <c r="H146" i="18"/>
  <c r="F146" i="18"/>
  <c r="G146" i="18" s="1"/>
  <c r="B147" i="18"/>
  <c r="E147" i="18" s="1"/>
  <c r="D146" i="18"/>
  <c r="C146" i="18"/>
  <c r="F146" i="40"/>
  <c r="G146" i="40" s="1"/>
  <c r="H146" i="40"/>
  <c r="B147" i="40"/>
  <c r="E147" i="40" s="1"/>
  <c r="D146" i="40"/>
  <c r="C146" i="40"/>
  <c r="H146" i="42"/>
  <c r="F146" i="42"/>
  <c r="G146" i="42" s="1"/>
  <c r="B147" i="42"/>
  <c r="E147" i="42" s="1"/>
  <c r="D146" i="42"/>
  <c r="C146" i="42"/>
  <c r="F148" i="4"/>
  <c r="G148" i="4" s="1"/>
  <c r="B149" i="4"/>
  <c r="E149" i="4" s="1"/>
  <c r="H148" i="4"/>
  <c r="C148" i="4"/>
  <c r="D148" i="4"/>
  <c r="E147" i="8"/>
  <c r="B147" i="17"/>
  <c r="E147" i="17" s="1"/>
  <c r="H146" i="17"/>
  <c r="F146" i="17"/>
  <c r="G146" i="17" s="1"/>
  <c r="D146" i="17"/>
  <c r="C146" i="17"/>
  <c r="E146" i="39"/>
  <c r="H146" i="41"/>
  <c r="B147" i="41"/>
  <c r="E147" i="41" s="1"/>
  <c r="F146" i="41"/>
  <c r="G146" i="41" s="1"/>
  <c r="D146" i="41"/>
  <c r="C146" i="41"/>
  <c r="F148" i="9"/>
  <c r="G148" i="9" s="1"/>
  <c r="B149" i="9"/>
  <c r="E149" i="9" s="1"/>
  <c r="H148" i="9"/>
  <c r="D148" i="9"/>
  <c r="C148" i="9"/>
  <c r="F146" i="19"/>
  <c r="G146" i="19" s="1"/>
  <c r="B147" i="19"/>
  <c r="H146" i="19"/>
  <c r="C146" i="19"/>
  <c r="D146" i="19"/>
  <c r="O143" i="26"/>
  <c r="P143" i="26" s="1"/>
  <c r="Q143" i="26" s="1"/>
  <c r="K147" i="4" l="1"/>
  <c r="L147" i="4" s="1"/>
  <c r="M147" i="4" s="1"/>
  <c r="J146" i="8"/>
  <c r="K146" i="8" s="1"/>
  <c r="L146" i="8" s="1"/>
  <c r="M146" i="8" s="1"/>
  <c r="J145" i="19"/>
  <c r="K145" i="19" s="1"/>
  <c r="L145" i="19" s="1"/>
  <c r="M145" i="19" s="1"/>
  <c r="J145" i="17"/>
  <c r="K145" i="17" s="1"/>
  <c r="L145" i="17" s="1"/>
  <c r="M145" i="17" s="1"/>
  <c r="J145" i="18"/>
  <c r="K145" i="18" s="1"/>
  <c r="L145" i="18" s="1"/>
  <c r="M145" i="18" s="1"/>
  <c r="J147" i="9"/>
  <c r="K147" i="9" s="1"/>
  <c r="L147" i="9" s="1"/>
  <c r="M147" i="9" s="1"/>
  <c r="K145" i="39"/>
  <c r="L145" i="39" s="1"/>
  <c r="M145" i="39" s="1"/>
  <c r="S11" i="9"/>
  <c r="Q11" i="9"/>
  <c r="G146" i="39"/>
  <c r="G148" i="26"/>
  <c r="J148" i="26"/>
  <c r="G149" i="26"/>
  <c r="H149" i="26"/>
  <c r="I149" i="26" s="1"/>
  <c r="D149" i="26"/>
  <c r="F149" i="26"/>
  <c r="J149" i="26" s="1"/>
  <c r="B150" i="26"/>
  <c r="E150" i="26" s="1"/>
  <c r="C149" i="26"/>
  <c r="G148" i="25"/>
  <c r="F148" i="25"/>
  <c r="J148" i="25" s="1"/>
  <c r="B149" i="25"/>
  <c r="H148" i="25"/>
  <c r="I148" i="25" s="1"/>
  <c r="D148" i="25"/>
  <c r="C148" i="25"/>
  <c r="G147" i="25"/>
  <c r="J147" i="25"/>
  <c r="O147" i="25" s="1"/>
  <c r="P147" i="25" s="1"/>
  <c r="Q147" i="25" s="1"/>
  <c r="I146" i="18"/>
  <c r="J146" i="18" s="1"/>
  <c r="I146" i="41"/>
  <c r="J146" i="41" s="1"/>
  <c r="K146" i="41" s="1"/>
  <c r="L146" i="41" s="1"/>
  <c r="M146" i="41" s="1"/>
  <c r="I146" i="39"/>
  <c r="G147" i="8"/>
  <c r="I146" i="40"/>
  <c r="J146" i="40" s="1"/>
  <c r="K146" i="40" s="1"/>
  <c r="L146" i="40" s="1"/>
  <c r="M146" i="40" s="1"/>
  <c r="I146" i="42"/>
  <c r="J146" i="42" s="1"/>
  <c r="K146" i="42" s="1"/>
  <c r="L146" i="42" s="1"/>
  <c r="M146" i="42" s="1"/>
  <c r="I148" i="4"/>
  <c r="J148" i="4" s="1"/>
  <c r="K148" i="4" s="1"/>
  <c r="L148" i="4" s="1"/>
  <c r="B148" i="40"/>
  <c r="H147" i="40"/>
  <c r="F147" i="40"/>
  <c r="G147" i="40" s="1"/>
  <c r="D147" i="40"/>
  <c r="C147" i="40"/>
  <c r="B149" i="8"/>
  <c r="H148" i="8"/>
  <c r="F148" i="8"/>
  <c r="D148" i="8"/>
  <c r="C148" i="8"/>
  <c r="B148" i="19"/>
  <c r="H147" i="19"/>
  <c r="F147" i="19"/>
  <c r="D147" i="19"/>
  <c r="C147" i="19"/>
  <c r="I146" i="19"/>
  <c r="J146" i="19" s="1"/>
  <c r="I148" i="9"/>
  <c r="J148" i="9" s="1"/>
  <c r="B148" i="41"/>
  <c r="E148" i="41" s="1"/>
  <c r="H147" i="41"/>
  <c r="F147" i="41"/>
  <c r="G147" i="41" s="1"/>
  <c r="C147" i="41"/>
  <c r="D147" i="41"/>
  <c r="I146" i="17"/>
  <c r="J146" i="17" s="1"/>
  <c r="H147" i="17"/>
  <c r="F147" i="17"/>
  <c r="G147" i="17" s="1"/>
  <c r="B148" i="17"/>
  <c r="C147" i="17"/>
  <c r="D147" i="17"/>
  <c r="I147" i="8"/>
  <c r="F149" i="9"/>
  <c r="G149" i="9" s="1"/>
  <c r="B150" i="9"/>
  <c r="H149" i="9"/>
  <c r="C149" i="9"/>
  <c r="D149" i="9"/>
  <c r="E147" i="19"/>
  <c r="F149" i="4"/>
  <c r="G149" i="4" s="1"/>
  <c r="B150" i="4"/>
  <c r="H149" i="4"/>
  <c r="D149" i="4"/>
  <c r="C149" i="4"/>
  <c r="F147" i="42"/>
  <c r="G147" i="42" s="1"/>
  <c r="H147" i="42"/>
  <c r="B148" i="42"/>
  <c r="E148" i="42" s="1"/>
  <c r="C147" i="42"/>
  <c r="D147" i="42"/>
  <c r="E148" i="8"/>
  <c r="F147" i="18"/>
  <c r="G147" i="18" s="1"/>
  <c r="B148" i="18"/>
  <c r="E148" i="18" s="1"/>
  <c r="H147" i="18"/>
  <c r="D147" i="18"/>
  <c r="C147" i="18"/>
  <c r="F147" i="39"/>
  <c r="G147" i="39" s="1"/>
  <c r="B148" i="39"/>
  <c r="H147" i="39"/>
  <c r="D147" i="39"/>
  <c r="C147" i="39"/>
  <c r="O144" i="26"/>
  <c r="P144" i="26" s="1"/>
  <c r="Q144" i="26" s="1"/>
  <c r="M148" i="4" l="1"/>
  <c r="J146" i="39"/>
  <c r="K146" i="39" s="1"/>
  <c r="L146" i="39" s="1"/>
  <c r="M146" i="39" s="1"/>
  <c r="K146" i="19"/>
  <c r="L146" i="19" s="1"/>
  <c r="M146" i="19" s="1"/>
  <c r="K146" i="17"/>
  <c r="L146" i="17" s="1"/>
  <c r="M146" i="17" s="1"/>
  <c r="K146" i="18"/>
  <c r="L146" i="18" s="1"/>
  <c r="M146" i="18" s="1"/>
  <c r="K148" i="9"/>
  <c r="L148" i="9" s="1"/>
  <c r="M148" i="9" s="1"/>
  <c r="V12" i="9"/>
  <c r="O12" i="9"/>
  <c r="J147" i="8"/>
  <c r="K147" i="8" s="1"/>
  <c r="L147" i="8" s="1"/>
  <c r="M147" i="8" s="1"/>
  <c r="I147" i="40"/>
  <c r="J147" i="40" s="1"/>
  <c r="K147" i="40" s="1"/>
  <c r="L147" i="40" s="1"/>
  <c r="M147" i="40" s="1"/>
  <c r="G150" i="26"/>
  <c r="B151" i="26"/>
  <c r="C150" i="26"/>
  <c r="H150" i="26"/>
  <c r="I150" i="26" s="1"/>
  <c r="F150" i="26"/>
  <c r="J150" i="26" s="1"/>
  <c r="D150" i="26"/>
  <c r="O148" i="25"/>
  <c r="P148" i="25" s="1"/>
  <c r="Q148" i="25" s="1"/>
  <c r="C149" i="25"/>
  <c r="F149" i="25"/>
  <c r="B150" i="25"/>
  <c r="E150" i="25" s="1"/>
  <c r="H149" i="25"/>
  <c r="I149" i="25" s="1"/>
  <c r="D149" i="25"/>
  <c r="E149" i="25"/>
  <c r="G148" i="8"/>
  <c r="I147" i="18"/>
  <c r="J147" i="18" s="1"/>
  <c r="K147" i="18" s="1"/>
  <c r="L147" i="18" s="1"/>
  <c r="I147" i="42"/>
  <c r="J147" i="42" s="1"/>
  <c r="K147" i="42" s="1"/>
  <c r="L147" i="42" s="1"/>
  <c r="M147" i="42" s="1"/>
  <c r="I147" i="19"/>
  <c r="H148" i="19"/>
  <c r="F148" i="19"/>
  <c r="B149" i="19"/>
  <c r="E149" i="19" s="1"/>
  <c r="C148" i="19"/>
  <c r="D148" i="19"/>
  <c r="I148" i="8"/>
  <c r="J148" i="8" s="1"/>
  <c r="H149" i="8"/>
  <c r="F149" i="8"/>
  <c r="B150" i="8"/>
  <c r="E150" i="8" s="1"/>
  <c r="C149" i="8"/>
  <c r="D149" i="8"/>
  <c r="F148" i="39"/>
  <c r="B149" i="39"/>
  <c r="E149" i="39" s="1"/>
  <c r="H148" i="39"/>
  <c r="C148" i="39"/>
  <c r="D148" i="39"/>
  <c r="F148" i="17"/>
  <c r="B149" i="17"/>
  <c r="E149" i="17" s="1"/>
  <c r="H148" i="17"/>
  <c r="D148" i="17"/>
  <c r="C148" i="17"/>
  <c r="H148" i="40"/>
  <c r="F148" i="40"/>
  <c r="B149" i="40"/>
  <c r="E149" i="40" s="1"/>
  <c r="C148" i="40"/>
  <c r="D148" i="40"/>
  <c r="B151" i="4"/>
  <c r="E151" i="4" s="1"/>
  <c r="H150" i="4"/>
  <c r="F150" i="4"/>
  <c r="D150" i="4"/>
  <c r="C150" i="4"/>
  <c r="I147" i="39"/>
  <c r="J147" i="39" s="1"/>
  <c r="E148" i="39"/>
  <c r="F148" i="18"/>
  <c r="G148" i="18" s="1"/>
  <c r="B149" i="18"/>
  <c r="E149" i="18" s="1"/>
  <c r="H148" i="18"/>
  <c r="D148" i="18"/>
  <c r="C148" i="18"/>
  <c r="B149" i="42"/>
  <c r="E149" i="42" s="1"/>
  <c r="H148" i="42"/>
  <c r="F148" i="42"/>
  <c r="G148" i="42" s="1"/>
  <c r="C148" i="42"/>
  <c r="D148" i="42"/>
  <c r="I149" i="9"/>
  <c r="J149" i="9" s="1"/>
  <c r="K149" i="9" s="1"/>
  <c r="L149" i="9" s="1"/>
  <c r="I147" i="41"/>
  <c r="J147" i="41" s="1"/>
  <c r="K147" i="41" s="1"/>
  <c r="L147" i="41" s="1"/>
  <c r="M147" i="41" s="1"/>
  <c r="E148" i="19"/>
  <c r="E149" i="8"/>
  <c r="E148" i="40"/>
  <c r="B151" i="9"/>
  <c r="E151" i="9" s="1"/>
  <c r="H150" i="9"/>
  <c r="F150" i="9"/>
  <c r="D150" i="9"/>
  <c r="C150" i="9"/>
  <c r="I149" i="4"/>
  <c r="J149" i="4" s="1"/>
  <c r="K149" i="4" s="1"/>
  <c r="L149" i="4" s="1"/>
  <c r="M149" i="4" s="1"/>
  <c r="E150" i="4"/>
  <c r="G147" i="19"/>
  <c r="E150" i="9"/>
  <c r="I147" i="17"/>
  <c r="J147" i="17" s="1"/>
  <c r="K147" i="17" s="1"/>
  <c r="L147" i="17" s="1"/>
  <c r="E148" i="17"/>
  <c r="F148" i="41"/>
  <c r="G148" i="41" s="1"/>
  <c r="B149" i="41"/>
  <c r="E149" i="41" s="1"/>
  <c r="H148" i="41"/>
  <c r="C148" i="41"/>
  <c r="D148" i="41"/>
  <c r="O145" i="26"/>
  <c r="P145" i="26" s="1"/>
  <c r="Q145" i="26" s="1"/>
  <c r="K147" i="39" l="1"/>
  <c r="L147" i="39" s="1"/>
  <c r="M147" i="39" s="1"/>
  <c r="M147" i="17"/>
  <c r="M149" i="9"/>
  <c r="M147" i="18"/>
  <c r="G148" i="17"/>
  <c r="K148" i="8"/>
  <c r="L148" i="8" s="1"/>
  <c r="M148" i="8" s="1"/>
  <c r="T12" i="9"/>
  <c r="P12" i="9"/>
  <c r="G148" i="40"/>
  <c r="G148" i="39"/>
  <c r="F151" i="26"/>
  <c r="H151" i="26"/>
  <c r="I151" i="26" s="1"/>
  <c r="D151" i="26"/>
  <c r="B152" i="26"/>
  <c r="C151" i="26"/>
  <c r="E151" i="26"/>
  <c r="G150" i="25"/>
  <c r="B151" i="25"/>
  <c r="E151" i="25" s="1"/>
  <c r="D150" i="25"/>
  <c r="C150" i="25"/>
  <c r="H150" i="25"/>
  <c r="I150" i="25" s="1"/>
  <c r="F150" i="25"/>
  <c r="J150" i="25" s="1"/>
  <c r="G149" i="25"/>
  <c r="J149" i="25"/>
  <c r="O149" i="25" s="1"/>
  <c r="P149" i="25" s="1"/>
  <c r="Q149" i="25" s="1"/>
  <c r="G148" i="19"/>
  <c r="J147" i="19"/>
  <c r="K147" i="19" s="1"/>
  <c r="L147" i="19" s="1"/>
  <c r="M147" i="19" s="1"/>
  <c r="G150" i="4"/>
  <c r="G149" i="8"/>
  <c r="I150" i="4"/>
  <c r="J150" i="4" s="1"/>
  <c r="K150" i="4" s="1"/>
  <c r="L150" i="4" s="1"/>
  <c r="M150" i="4" s="1"/>
  <c r="I148" i="42"/>
  <c r="J148" i="42" s="1"/>
  <c r="K148" i="42" s="1"/>
  <c r="L148" i="42" s="1"/>
  <c r="M148" i="42" s="1"/>
  <c r="I148" i="41"/>
  <c r="J148" i="41" s="1"/>
  <c r="K148" i="41" s="1"/>
  <c r="L148" i="41" s="1"/>
  <c r="M148" i="41" s="1"/>
  <c r="I148" i="39"/>
  <c r="B150" i="18"/>
  <c r="E150" i="18" s="1"/>
  <c r="H149" i="18"/>
  <c r="F149" i="18"/>
  <c r="G149" i="18" s="1"/>
  <c r="D149" i="18"/>
  <c r="C149" i="18"/>
  <c r="I148" i="40"/>
  <c r="J148" i="40" s="1"/>
  <c r="K148" i="40" s="1"/>
  <c r="L148" i="40" s="1"/>
  <c r="M148" i="40" s="1"/>
  <c r="F149" i="17"/>
  <c r="G149" i="17" s="1"/>
  <c r="B150" i="17"/>
  <c r="E150" i="17" s="1"/>
  <c r="H149" i="17"/>
  <c r="D149" i="17"/>
  <c r="C149" i="17"/>
  <c r="I148" i="19"/>
  <c r="G150" i="9"/>
  <c r="I150" i="9"/>
  <c r="J150" i="9" s="1"/>
  <c r="K150" i="9" s="1"/>
  <c r="L150" i="9" s="1"/>
  <c r="M150" i="9" s="1"/>
  <c r="H151" i="9"/>
  <c r="F151" i="9"/>
  <c r="G151" i="9" s="1"/>
  <c r="B152" i="9"/>
  <c r="E152" i="9" s="1"/>
  <c r="C151" i="9"/>
  <c r="D151" i="9"/>
  <c r="I149" i="8"/>
  <c r="B150" i="41"/>
  <c r="E150" i="41" s="1"/>
  <c r="H149" i="41"/>
  <c r="F149" i="41"/>
  <c r="G149" i="41" s="1"/>
  <c r="C149" i="41"/>
  <c r="D149" i="41"/>
  <c r="H149" i="42"/>
  <c r="B150" i="42"/>
  <c r="E150" i="42" s="1"/>
  <c r="F149" i="42"/>
  <c r="G149" i="42" s="1"/>
  <c r="C149" i="42"/>
  <c r="D149" i="42"/>
  <c r="I148" i="18"/>
  <c r="J148" i="18" s="1"/>
  <c r="K148" i="18" s="1"/>
  <c r="L148" i="18" s="1"/>
  <c r="M148" i="18" s="1"/>
  <c r="H151" i="4"/>
  <c r="F151" i="4"/>
  <c r="G151" i="4" s="1"/>
  <c r="B152" i="4"/>
  <c r="E152" i="4" s="1"/>
  <c r="C151" i="4"/>
  <c r="D151" i="4"/>
  <c r="B150" i="40"/>
  <c r="E150" i="40" s="1"/>
  <c r="F149" i="40"/>
  <c r="G149" i="40" s="1"/>
  <c r="H149" i="40"/>
  <c r="C149" i="40"/>
  <c r="D149" i="40"/>
  <c r="I148" i="17"/>
  <c r="B150" i="39"/>
  <c r="E150" i="39" s="1"/>
  <c r="H149" i="39"/>
  <c r="F149" i="39"/>
  <c r="G149" i="39" s="1"/>
  <c r="D149" i="39"/>
  <c r="C149" i="39"/>
  <c r="F149" i="19"/>
  <c r="G149" i="19" s="1"/>
  <c r="B150" i="19"/>
  <c r="E150" i="19" s="1"/>
  <c r="H149" i="19"/>
  <c r="C149" i="19"/>
  <c r="D149" i="19"/>
  <c r="F150" i="8"/>
  <c r="G150" i="8" s="1"/>
  <c r="B151" i="8"/>
  <c r="H150" i="8"/>
  <c r="D150" i="8"/>
  <c r="C150" i="8"/>
  <c r="O146" i="26"/>
  <c r="P146" i="26" s="1"/>
  <c r="Q146" i="26" s="1"/>
  <c r="J149" i="8" l="1"/>
  <c r="K149" i="8" s="1"/>
  <c r="L149" i="8" s="1"/>
  <c r="M149" i="8" s="1"/>
  <c r="J148" i="19"/>
  <c r="K148" i="19" s="1"/>
  <c r="L148" i="19" s="1"/>
  <c r="M148" i="19" s="1"/>
  <c r="J148" i="17"/>
  <c r="K148" i="17" s="1"/>
  <c r="L148" i="17" s="1"/>
  <c r="M148" i="17" s="1"/>
  <c r="J148" i="39"/>
  <c r="K148" i="39" s="1"/>
  <c r="L148" i="39" s="1"/>
  <c r="M148" i="39" s="1"/>
  <c r="S12" i="9"/>
  <c r="Q12" i="9"/>
  <c r="I151" i="9"/>
  <c r="J151" i="9" s="1"/>
  <c r="K151" i="9" s="1"/>
  <c r="L151" i="9" s="1"/>
  <c r="M151" i="9" s="1"/>
  <c r="I149" i="19"/>
  <c r="J149" i="19" s="1"/>
  <c r="J151" i="26"/>
  <c r="G151" i="26"/>
  <c r="B153" i="26"/>
  <c r="C152" i="26"/>
  <c r="H152" i="26"/>
  <c r="I152" i="26" s="1"/>
  <c r="F152" i="26"/>
  <c r="D152" i="26"/>
  <c r="E152" i="26"/>
  <c r="O150" i="25"/>
  <c r="P150" i="25" s="1"/>
  <c r="Q150" i="25" s="1"/>
  <c r="G151" i="25"/>
  <c r="H151" i="25"/>
  <c r="I151" i="25" s="1"/>
  <c r="D151" i="25"/>
  <c r="F151" i="25"/>
  <c r="J151" i="25" s="1"/>
  <c r="C151" i="25"/>
  <c r="B152" i="25"/>
  <c r="I149" i="41"/>
  <c r="J149" i="41" s="1"/>
  <c r="K149" i="41" s="1"/>
  <c r="L149" i="41" s="1"/>
  <c r="M149" i="41" s="1"/>
  <c r="I149" i="18"/>
  <c r="J149" i="18" s="1"/>
  <c r="K149" i="18" s="1"/>
  <c r="L149" i="18" s="1"/>
  <c r="M149" i="18" s="1"/>
  <c r="I149" i="42"/>
  <c r="J149" i="42" s="1"/>
  <c r="K149" i="42" s="1"/>
  <c r="L149" i="42" s="1"/>
  <c r="M149" i="42" s="1"/>
  <c r="I149" i="39"/>
  <c r="J149" i="39" s="1"/>
  <c r="I149" i="40"/>
  <c r="J149" i="40" s="1"/>
  <c r="K149" i="40" s="1"/>
  <c r="L149" i="40" s="1"/>
  <c r="M149" i="40" s="1"/>
  <c r="H152" i="4"/>
  <c r="F152" i="4"/>
  <c r="B153" i="4"/>
  <c r="E153" i="4" s="1"/>
  <c r="C152" i="4"/>
  <c r="D152" i="4"/>
  <c r="I149" i="17"/>
  <c r="J149" i="17" s="1"/>
  <c r="F151" i="8"/>
  <c r="B152" i="8"/>
  <c r="H151" i="8"/>
  <c r="D151" i="8"/>
  <c r="C151" i="8"/>
  <c r="I150" i="8"/>
  <c r="J150" i="8" s="1"/>
  <c r="E151" i="8"/>
  <c r="F150" i="19"/>
  <c r="G150" i="19" s="1"/>
  <c r="B151" i="19"/>
  <c r="H150" i="19"/>
  <c r="D150" i="19"/>
  <c r="C150" i="19"/>
  <c r="H150" i="39"/>
  <c r="F150" i="39"/>
  <c r="G150" i="39" s="1"/>
  <c r="B151" i="39"/>
  <c r="D150" i="39"/>
  <c r="C150" i="39"/>
  <c r="F150" i="40"/>
  <c r="G150" i="40" s="1"/>
  <c r="H150" i="40"/>
  <c r="B151" i="40"/>
  <c r="E151" i="40" s="1"/>
  <c r="C150" i="40"/>
  <c r="D150" i="40"/>
  <c r="I151" i="4"/>
  <c r="J151" i="4" s="1"/>
  <c r="K151" i="4" s="1"/>
  <c r="L151" i="4" s="1"/>
  <c r="M151" i="4" s="1"/>
  <c r="H150" i="41"/>
  <c r="F150" i="41"/>
  <c r="G150" i="41" s="1"/>
  <c r="B151" i="41"/>
  <c r="C150" i="41"/>
  <c r="D150" i="41"/>
  <c r="B151" i="17"/>
  <c r="H150" i="17"/>
  <c r="F150" i="17"/>
  <c r="G150" i="17" s="1"/>
  <c r="D150" i="17"/>
  <c r="C150" i="17"/>
  <c r="B151" i="42"/>
  <c r="E151" i="42" s="1"/>
  <c r="H150" i="42"/>
  <c r="F150" i="42"/>
  <c r="G150" i="42" s="1"/>
  <c r="D150" i="42"/>
  <c r="C150" i="42"/>
  <c r="H152" i="9"/>
  <c r="F152" i="9"/>
  <c r="G152" i="9" s="1"/>
  <c r="B153" i="9"/>
  <c r="E153" i="9" s="1"/>
  <c r="C152" i="9"/>
  <c r="D152" i="9"/>
  <c r="H150" i="18"/>
  <c r="F150" i="18"/>
  <c r="G150" i="18" s="1"/>
  <c r="B151" i="18"/>
  <c r="E151" i="18" s="1"/>
  <c r="D150" i="18"/>
  <c r="C150" i="18"/>
  <c r="O147" i="26"/>
  <c r="P147" i="26" s="1"/>
  <c r="Q147" i="26" s="1"/>
  <c r="K150" i="8" l="1"/>
  <c r="L150" i="8" s="1"/>
  <c r="M150" i="8" s="1"/>
  <c r="K149" i="17"/>
  <c r="L149" i="17" s="1"/>
  <c r="M149" i="17" s="1"/>
  <c r="K149" i="39"/>
  <c r="L149" i="39" s="1"/>
  <c r="M149" i="39" s="1"/>
  <c r="K149" i="19"/>
  <c r="L149" i="19" s="1"/>
  <c r="M149" i="19" s="1"/>
  <c r="O13" i="9"/>
  <c r="V13" i="9"/>
  <c r="H153" i="26"/>
  <c r="I153" i="26" s="1"/>
  <c r="D153" i="26"/>
  <c r="F153" i="26"/>
  <c r="B154" i="26"/>
  <c r="E154" i="26" s="1"/>
  <c r="C153" i="26"/>
  <c r="E153" i="26"/>
  <c r="G152" i="26"/>
  <c r="J152" i="26"/>
  <c r="O151" i="25"/>
  <c r="P151" i="25" s="1"/>
  <c r="Q151" i="25" s="1"/>
  <c r="B153" i="25"/>
  <c r="C152" i="25"/>
  <c r="F152" i="25"/>
  <c r="D152" i="25"/>
  <c r="H152" i="25"/>
  <c r="I152" i="25" s="1"/>
  <c r="E152" i="25"/>
  <c r="I150" i="39"/>
  <c r="J150" i="39" s="1"/>
  <c r="K150" i="39" s="1"/>
  <c r="L150" i="39" s="1"/>
  <c r="G152" i="4"/>
  <c r="I152" i="4"/>
  <c r="I152" i="9"/>
  <c r="J152" i="9" s="1"/>
  <c r="K152" i="9" s="1"/>
  <c r="L152" i="9" s="1"/>
  <c r="M152" i="9" s="1"/>
  <c r="I150" i="18"/>
  <c r="J150" i="18" s="1"/>
  <c r="K150" i="18" s="1"/>
  <c r="L150" i="18" s="1"/>
  <c r="M150" i="18" s="1"/>
  <c r="I150" i="40"/>
  <c r="J150" i="40" s="1"/>
  <c r="K150" i="40" s="1"/>
  <c r="L150" i="40" s="1"/>
  <c r="M150" i="40" s="1"/>
  <c r="I150" i="42"/>
  <c r="J150" i="42" s="1"/>
  <c r="K150" i="42" s="1"/>
  <c r="L150" i="42" s="1"/>
  <c r="M150" i="42" s="1"/>
  <c r="F151" i="39"/>
  <c r="B152" i="39"/>
  <c r="H151" i="39"/>
  <c r="D151" i="39"/>
  <c r="C151" i="39"/>
  <c r="B152" i="19"/>
  <c r="H151" i="19"/>
  <c r="F151" i="19"/>
  <c r="C151" i="19"/>
  <c r="D151" i="19"/>
  <c r="B153" i="8"/>
  <c r="H152" i="8"/>
  <c r="F152" i="8"/>
  <c r="C152" i="8"/>
  <c r="D152" i="8"/>
  <c r="F153" i="4"/>
  <c r="G153" i="4" s="1"/>
  <c r="B154" i="4"/>
  <c r="H153" i="4"/>
  <c r="C153" i="4"/>
  <c r="D153" i="4"/>
  <c r="F151" i="41"/>
  <c r="B152" i="41"/>
  <c r="E152" i="41" s="1"/>
  <c r="H151" i="41"/>
  <c r="C151" i="41"/>
  <c r="D151" i="41"/>
  <c r="I150" i="17"/>
  <c r="J150" i="17" s="1"/>
  <c r="K150" i="17" s="1"/>
  <c r="L150" i="17" s="1"/>
  <c r="H151" i="17"/>
  <c r="F151" i="17"/>
  <c r="B152" i="17"/>
  <c r="D151" i="17"/>
  <c r="C151" i="17"/>
  <c r="F153" i="9"/>
  <c r="G153" i="9" s="1"/>
  <c r="B154" i="9"/>
  <c r="H153" i="9"/>
  <c r="C153" i="9"/>
  <c r="D153" i="9"/>
  <c r="I150" i="41"/>
  <c r="J150" i="41" s="1"/>
  <c r="K150" i="41" s="1"/>
  <c r="L150" i="41" s="1"/>
  <c r="M150" i="41" s="1"/>
  <c r="E151" i="41"/>
  <c r="B152" i="40"/>
  <c r="E152" i="40" s="1"/>
  <c r="H151" i="40"/>
  <c r="F151" i="40"/>
  <c r="G151" i="40" s="1"/>
  <c r="C151" i="40"/>
  <c r="D151" i="40"/>
  <c r="E151" i="39"/>
  <c r="I150" i="19"/>
  <c r="J150" i="19" s="1"/>
  <c r="K150" i="19" s="1"/>
  <c r="L150" i="19" s="1"/>
  <c r="E151" i="19"/>
  <c r="I151" i="8"/>
  <c r="E152" i="8"/>
  <c r="F151" i="18"/>
  <c r="G151" i="18" s="1"/>
  <c r="B152" i="18"/>
  <c r="E152" i="18" s="1"/>
  <c r="H151" i="18"/>
  <c r="D151" i="18"/>
  <c r="C151" i="18"/>
  <c r="F151" i="42"/>
  <c r="G151" i="42" s="1"/>
  <c r="B152" i="42"/>
  <c r="E152" i="42" s="1"/>
  <c r="H151" i="42"/>
  <c r="D151" i="42"/>
  <c r="C151" i="42"/>
  <c r="E151" i="17"/>
  <c r="G151" i="8"/>
  <c r="O148" i="26"/>
  <c r="P148" i="26" s="1"/>
  <c r="Q148" i="26" s="1"/>
  <c r="M150" i="19" l="1"/>
  <c r="M150" i="17"/>
  <c r="M150" i="39"/>
  <c r="J151" i="8"/>
  <c r="K151" i="8" s="1"/>
  <c r="L151" i="8" s="1"/>
  <c r="M151" i="8" s="1"/>
  <c r="J152" i="4"/>
  <c r="K152" i="4" s="1"/>
  <c r="L152" i="4" s="1"/>
  <c r="M152" i="4" s="1"/>
  <c r="G151" i="41"/>
  <c r="G151" i="19"/>
  <c r="T13" i="9"/>
  <c r="P13" i="9"/>
  <c r="G152" i="8"/>
  <c r="G154" i="26"/>
  <c r="J153" i="26"/>
  <c r="G153" i="26"/>
  <c r="B155" i="26"/>
  <c r="E155" i="26" s="1"/>
  <c r="C154" i="26"/>
  <c r="F154" i="26"/>
  <c r="J154" i="26" s="1"/>
  <c r="D154" i="26"/>
  <c r="H154" i="26"/>
  <c r="I154" i="26" s="1"/>
  <c r="F153" i="25"/>
  <c r="H153" i="25"/>
  <c r="I153" i="25" s="1"/>
  <c r="D153" i="25"/>
  <c r="C153" i="25"/>
  <c r="B154" i="25"/>
  <c r="E153" i="25"/>
  <c r="G152" i="25"/>
  <c r="J152" i="25"/>
  <c r="O152" i="25" s="1"/>
  <c r="P152" i="25" s="1"/>
  <c r="Q152" i="25" s="1"/>
  <c r="G151" i="17"/>
  <c r="I151" i="42"/>
  <c r="J151" i="42" s="1"/>
  <c r="K151" i="42" s="1"/>
  <c r="L151" i="42" s="1"/>
  <c r="M151" i="42" s="1"/>
  <c r="I151" i="40"/>
  <c r="J151" i="40" s="1"/>
  <c r="K151" i="40" s="1"/>
  <c r="L151" i="40" s="1"/>
  <c r="M151" i="40" s="1"/>
  <c r="I151" i="18"/>
  <c r="J151" i="18" s="1"/>
  <c r="K151" i="18" s="1"/>
  <c r="L151" i="18" s="1"/>
  <c r="M151" i="18" s="1"/>
  <c r="I151" i="17"/>
  <c r="I151" i="19"/>
  <c r="G151" i="39"/>
  <c r="I151" i="39"/>
  <c r="I153" i="4"/>
  <c r="J153" i="4" s="1"/>
  <c r="H152" i="17"/>
  <c r="F152" i="17"/>
  <c r="B153" i="17"/>
  <c r="E153" i="17" s="1"/>
  <c r="D152" i="17"/>
  <c r="C152" i="17"/>
  <c r="I151" i="41"/>
  <c r="B153" i="40"/>
  <c r="E153" i="40" s="1"/>
  <c r="F152" i="40"/>
  <c r="G152" i="40" s="1"/>
  <c r="H152" i="40"/>
  <c r="D152" i="40"/>
  <c r="C152" i="40"/>
  <c r="F154" i="9"/>
  <c r="B155" i="9"/>
  <c r="E155" i="9" s="1"/>
  <c r="H154" i="9"/>
  <c r="C154" i="9"/>
  <c r="D154" i="9"/>
  <c r="F154" i="4"/>
  <c r="B155" i="4"/>
  <c r="E155" i="4" s="1"/>
  <c r="H154" i="4"/>
  <c r="C154" i="4"/>
  <c r="D154" i="4"/>
  <c r="B153" i="19"/>
  <c r="H152" i="19"/>
  <c r="F152" i="19"/>
  <c r="D152" i="19"/>
  <c r="C152" i="19"/>
  <c r="F152" i="39"/>
  <c r="B153" i="39"/>
  <c r="H152" i="39"/>
  <c r="C152" i="39"/>
  <c r="D152" i="39"/>
  <c r="F152" i="42"/>
  <c r="B153" i="42"/>
  <c r="E153" i="42" s="1"/>
  <c r="H152" i="42"/>
  <c r="D152" i="42"/>
  <c r="C152" i="42"/>
  <c r="F152" i="18"/>
  <c r="G152" i="18" s="1"/>
  <c r="B153" i="18"/>
  <c r="H152" i="18"/>
  <c r="C152" i="18"/>
  <c r="D152" i="18"/>
  <c r="E152" i="17"/>
  <c r="B154" i="8"/>
  <c r="E154" i="8" s="1"/>
  <c r="H153" i="8"/>
  <c r="F153" i="8"/>
  <c r="D153" i="8"/>
  <c r="C153" i="8"/>
  <c r="I153" i="9"/>
  <c r="J153" i="9" s="1"/>
  <c r="K153" i="9" s="1"/>
  <c r="L153" i="9" s="1"/>
  <c r="M153" i="9" s="1"/>
  <c r="E154" i="9"/>
  <c r="F152" i="41"/>
  <c r="G152" i="41" s="1"/>
  <c r="B153" i="41"/>
  <c r="H152" i="41"/>
  <c r="D152" i="41"/>
  <c r="C152" i="41"/>
  <c r="E154" i="4"/>
  <c r="I152" i="8"/>
  <c r="E153" i="8"/>
  <c r="E152" i="19"/>
  <c r="E152" i="39"/>
  <c r="O149" i="26"/>
  <c r="P149" i="26" s="1"/>
  <c r="Q149" i="26" s="1"/>
  <c r="J151" i="41" l="1"/>
  <c r="K151" i="41" s="1"/>
  <c r="L151" i="41" s="1"/>
  <c r="M151" i="41" s="1"/>
  <c r="J151" i="39"/>
  <c r="K151" i="39" s="1"/>
  <c r="L151" i="39" s="1"/>
  <c r="M151" i="39" s="1"/>
  <c r="J151" i="19"/>
  <c r="K151" i="19" s="1"/>
  <c r="L151" i="19" s="1"/>
  <c r="M151" i="19" s="1"/>
  <c r="J151" i="17"/>
  <c r="K151" i="17" s="1"/>
  <c r="L151" i="17" s="1"/>
  <c r="M151" i="17" s="1"/>
  <c r="K153" i="4"/>
  <c r="L153" i="4" s="1"/>
  <c r="M153" i="4" s="1"/>
  <c r="J152" i="8"/>
  <c r="K152" i="8" s="1"/>
  <c r="L152" i="8" s="1"/>
  <c r="M152" i="8" s="1"/>
  <c r="G152" i="17"/>
  <c r="G153" i="8"/>
  <c r="I152" i="17"/>
  <c r="G152" i="19"/>
  <c r="S13" i="9"/>
  <c r="Q13" i="9"/>
  <c r="G152" i="39"/>
  <c r="G155" i="26"/>
  <c r="F155" i="26"/>
  <c r="J155" i="26" s="1"/>
  <c r="H155" i="26"/>
  <c r="I155" i="26" s="1"/>
  <c r="D155" i="26"/>
  <c r="B156" i="26"/>
  <c r="C155" i="26"/>
  <c r="C154" i="25"/>
  <c r="B155" i="25"/>
  <c r="E155" i="25" s="1"/>
  <c r="H154" i="25"/>
  <c r="I154" i="25" s="1"/>
  <c r="F154" i="25"/>
  <c r="D154" i="25"/>
  <c r="E154" i="25"/>
  <c r="J153" i="25"/>
  <c r="O153" i="25" s="1"/>
  <c r="P153" i="25" s="1"/>
  <c r="Q153" i="25" s="1"/>
  <c r="G153" i="25"/>
  <c r="G154" i="9"/>
  <c r="I152" i="42"/>
  <c r="G152" i="42"/>
  <c r="G154" i="4"/>
  <c r="I153" i="8"/>
  <c r="J153" i="8" s="1"/>
  <c r="I152" i="39"/>
  <c r="I152" i="19"/>
  <c r="F153" i="41"/>
  <c r="B154" i="41"/>
  <c r="H153" i="41"/>
  <c r="C153" i="41"/>
  <c r="D153" i="41"/>
  <c r="I152" i="41"/>
  <c r="J152" i="41" s="1"/>
  <c r="E153" i="41"/>
  <c r="F153" i="18"/>
  <c r="B154" i="18"/>
  <c r="H153" i="18"/>
  <c r="C153" i="18"/>
  <c r="D153" i="18"/>
  <c r="H154" i="8"/>
  <c r="F154" i="8"/>
  <c r="G154" i="8" s="1"/>
  <c r="B155" i="8"/>
  <c r="C154" i="8"/>
  <c r="D154" i="8"/>
  <c r="E153" i="18"/>
  <c r="F153" i="39"/>
  <c r="B154" i="39"/>
  <c r="H153" i="39"/>
  <c r="C153" i="39"/>
  <c r="D153" i="39"/>
  <c r="H153" i="19"/>
  <c r="F153" i="19"/>
  <c r="B154" i="19"/>
  <c r="E154" i="19" s="1"/>
  <c r="D153" i="19"/>
  <c r="C153" i="19"/>
  <c r="I154" i="4"/>
  <c r="J154" i="4" s="1"/>
  <c r="K154" i="4" s="1"/>
  <c r="L154" i="4" s="1"/>
  <c r="I154" i="9"/>
  <c r="J154" i="9" s="1"/>
  <c r="K154" i="9" s="1"/>
  <c r="L154" i="9" s="1"/>
  <c r="M154" i="9" s="1"/>
  <c r="I152" i="18"/>
  <c r="J152" i="18" s="1"/>
  <c r="K152" i="18" s="1"/>
  <c r="L152" i="18" s="1"/>
  <c r="M152" i="18" s="1"/>
  <c r="B154" i="42"/>
  <c r="E154" i="42" s="1"/>
  <c r="F153" i="42"/>
  <c r="G153" i="42" s="1"/>
  <c r="H153" i="42"/>
  <c r="D153" i="42"/>
  <c r="C153" i="42"/>
  <c r="E153" i="39"/>
  <c r="E153" i="19"/>
  <c r="I152" i="40"/>
  <c r="J152" i="40" s="1"/>
  <c r="K152" i="40" s="1"/>
  <c r="L152" i="40" s="1"/>
  <c r="M152" i="40" s="1"/>
  <c r="B154" i="40"/>
  <c r="E154" i="40" s="1"/>
  <c r="H153" i="40"/>
  <c r="F153" i="40"/>
  <c r="G153" i="40" s="1"/>
  <c r="C153" i="40"/>
  <c r="D153" i="40"/>
  <c r="B156" i="4"/>
  <c r="H155" i="4"/>
  <c r="F155" i="4"/>
  <c r="G155" i="4" s="1"/>
  <c r="D155" i="4"/>
  <c r="C155" i="4"/>
  <c r="B156" i="9"/>
  <c r="E156" i="9" s="1"/>
  <c r="H155" i="9"/>
  <c r="F155" i="9"/>
  <c r="G155" i="9" s="1"/>
  <c r="C155" i="9"/>
  <c r="D155" i="9"/>
  <c r="F153" i="17"/>
  <c r="G153" i="17" s="1"/>
  <c r="B154" i="17"/>
  <c r="E154" i="17" s="1"/>
  <c r="H153" i="17"/>
  <c r="D153" i="17"/>
  <c r="C153" i="17"/>
  <c r="O150" i="26"/>
  <c r="P150" i="26" s="1"/>
  <c r="Q150" i="26" s="1"/>
  <c r="K152" i="41" l="1"/>
  <c r="L152" i="41" s="1"/>
  <c r="M152" i="41" s="1"/>
  <c r="M154" i="4"/>
  <c r="K153" i="8"/>
  <c r="L153" i="8" s="1"/>
  <c r="M153" i="8" s="1"/>
  <c r="J152" i="19"/>
  <c r="K152" i="19" s="1"/>
  <c r="L152" i="19" s="1"/>
  <c r="M152" i="19" s="1"/>
  <c r="J152" i="42"/>
  <c r="K152" i="42" s="1"/>
  <c r="L152" i="42" s="1"/>
  <c r="M152" i="42" s="1"/>
  <c r="J152" i="39"/>
  <c r="K152" i="39" s="1"/>
  <c r="L152" i="39" s="1"/>
  <c r="M152" i="39" s="1"/>
  <c r="J152" i="17"/>
  <c r="K152" i="17" s="1"/>
  <c r="L152" i="17" s="1"/>
  <c r="M152" i="17" s="1"/>
  <c r="G153" i="19"/>
  <c r="G153" i="39"/>
  <c r="V14" i="9"/>
  <c r="O14" i="9"/>
  <c r="I153" i="17"/>
  <c r="J153" i="17" s="1"/>
  <c r="I153" i="40"/>
  <c r="J153" i="40" s="1"/>
  <c r="K153" i="40" s="1"/>
  <c r="L153" i="40" s="1"/>
  <c r="M153" i="40" s="1"/>
  <c r="B157" i="26"/>
  <c r="E157" i="26" s="1"/>
  <c r="C156" i="26"/>
  <c r="D156" i="26"/>
  <c r="H156" i="26"/>
  <c r="I156" i="26" s="1"/>
  <c r="F156" i="26"/>
  <c r="E156" i="26"/>
  <c r="H155" i="25"/>
  <c r="I155" i="25" s="1"/>
  <c r="D155" i="25"/>
  <c r="F155" i="25"/>
  <c r="J155" i="25" s="1"/>
  <c r="B156" i="25"/>
  <c r="C155" i="25"/>
  <c r="G155" i="25"/>
  <c r="G154" i="25"/>
  <c r="J154" i="25"/>
  <c r="O154" i="25" s="1"/>
  <c r="P154" i="25" s="1"/>
  <c r="Q154" i="25" s="1"/>
  <c r="G153" i="18"/>
  <c r="I154" i="8"/>
  <c r="J154" i="8" s="1"/>
  <c r="K154" i="8" s="1"/>
  <c r="L154" i="8" s="1"/>
  <c r="I153" i="19"/>
  <c r="G153" i="41"/>
  <c r="I155" i="9"/>
  <c r="J155" i="9" s="1"/>
  <c r="K155" i="9" s="1"/>
  <c r="L155" i="9" s="1"/>
  <c r="M155" i="9" s="1"/>
  <c r="I155" i="4"/>
  <c r="J155" i="4" s="1"/>
  <c r="K155" i="4" s="1"/>
  <c r="L155" i="4" s="1"/>
  <c r="M155" i="4" s="1"/>
  <c r="I153" i="41"/>
  <c r="B155" i="39"/>
  <c r="E155" i="39" s="1"/>
  <c r="H154" i="39"/>
  <c r="F154" i="39"/>
  <c r="C154" i="39"/>
  <c r="D154" i="39"/>
  <c r="F155" i="8"/>
  <c r="B156" i="8"/>
  <c r="E156" i="8" s="1"/>
  <c r="H155" i="8"/>
  <c r="D155" i="8"/>
  <c r="C155" i="8"/>
  <c r="B155" i="18"/>
  <c r="E155" i="18" s="1"/>
  <c r="H154" i="18"/>
  <c r="F154" i="18"/>
  <c r="D154" i="18"/>
  <c r="C154" i="18"/>
  <c r="H156" i="4"/>
  <c r="F156" i="4"/>
  <c r="B157" i="4"/>
  <c r="C156" i="4"/>
  <c r="D156" i="4"/>
  <c r="F154" i="19"/>
  <c r="G154" i="19" s="1"/>
  <c r="B155" i="19"/>
  <c r="E155" i="19" s="1"/>
  <c r="H154" i="19"/>
  <c r="C154" i="19"/>
  <c r="D154" i="19"/>
  <c r="B155" i="41"/>
  <c r="E155" i="41" s="1"/>
  <c r="H154" i="41"/>
  <c r="F154" i="41"/>
  <c r="C154" i="41"/>
  <c r="D154" i="41"/>
  <c r="F154" i="17"/>
  <c r="G154" i="17" s="1"/>
  <c r="B155" i="17"/>
  <c r="E155" i="17" s="1"/>
  <c r="H154" i="17"/>
  <c r="C154" i="17"/>
  <c r="D154" i="17"/>
  <c r="I153" i="42"/>
  <c r="J153" i="42" s="1"/>
  <c r="I153" i="39"/>
  <c r="E154" i="39"/>
  <c r="E155" i="8"/>
  <c r="I153" i="18"/>
  <c r="E154" i="18"/>
  <c r="H156" i="9"/>
  <c r="F156" i="9"/>
  <c r="G156" i="9" s="1"/>
  <c r="B157" i="9"/>
  <c r="E157" i="9" s="1"/>
  <c r="D156" i="9"/>
  <c r="C156" i="9"/>
  <c r="E156" i="4"/>
  <c r="H154" i="40"/>
  <c r="F154" i="40"/>
  <c r="G154" i="40" s="1"/>
  <c r="B155" i="40"/>
  <c r="E155" i="40" s="1"/>
  <c r="D154" i="40"/>
  <c r="C154" i="40"/>
  <c r="H154" i="42"/>
  <c r="F154" i="42"/>
  <c r="G154" i="42" s="1"/>
  <c r="B155" i="42"/>
  <c r="E155" i="42" s="1"/>
  <c r="D154" i="42"/>
  <c r="C154" i="42"/>
  <c r="E154" i="41"/>
  <c r="O151" i="26"/>
  <c r="P151" i="26" s="1"/>
  <c r="Q151" i="26" s="1"/>
  <c r="J153" i="39" l="1"/>
  <c r="K153" i="39" s="1"/>
  <c r="L153" i="39" s="1"/>
  <c r="M153" i="39" s="1"/>
  <c r="K153" i="42"/>
  <c r="L153" i="42" s="1"/>
  <c r="M153" i="42" s="1"/>
  <c r="M154" i="8"/>
  <c r="K153" i="17"/>
  <c r="L153" i="17" s="1"/>
  <c r="M153" i="17" s="1"/>
  <c r="J153" i="18"/>
  <c r="K153" i="18" s="1"/>
  <c r="L153" i="18" s="1"/>
  <c r="M153" i="18" s="1"/>
  <c r="J153" i="19"/>
  <c r="K153" i="19" s="1"/>
  <c r="L153" i="19" s="1"/>
  <c r="M153" i="19" s="1"/>
  <c r="J153" i="41"/>
  <c r="K153" i="41" s="1"/>
  <c r="L153" i="41" s="1"/>
  <c r="M153" i="41" s="1"/>
  <c r="G154" i="18"/>
  <c r="G154" i="41"/>
  <c r="I154" i="39"/>
  <c r="T14" i="9"/>
  <c r="P14" i="9"/>
  <c r="G156" i="26"/>
  <c r="J156" i="26"/>
  <c r="G157" i="26"/>
  <c r="H157" i="26"/>
  <c r="I157" i="26" s="1"/>
  <c r="D157" i="26"/>
  <c r="F157" i="26"/>
  <c r="J157" i="26" s="1"/>
  <c r="B158" i="26"/>
  <c r="E158" i="26" s="1"/>
  <c r="C157" i="26"/>
  <c r="O155" i="25"/>
  <c r="P155" i="25" s="1"/>
  <c r="Q155" i="25" s="1"/>
  <c r="B157" i="25"/>
  <c r="E157" i="25" s="1"/>
  <c r="C156" i="25"/>
  <c r="H156" i="25"/>
  <c r="I156" i="25" s="1"/>
  <c r="F156" i="25"/>
  <c r="D156" i="25"/>
  <c r="E156" i="25"/>
  <c r="G154" i="39"/>
  <c r="I154" i="18"/>
  <c r="I156" i="9"/>
  <c r="J156" i="9" s="1"/>
  <c r="K156" i="9" s="1"/>
  <c r="L156" i="9" s="1"/>
  <c r="M156" i="9" s="1"/>
  <c r="G155" i="8"/>
  <c r="G156" i="4"/>
  <c r="I156" i="4"/>
  <c r="I154" i="41"/>
  <c r="I154" i="17"/>
  <c r="J154" i="17" s="1"/>
  <c r="K154" i="17" s="1"/>
  <c r="L154" i="17" s="1"/>
  <c r="I154" i="42"/>
  <c r="J154" i="42" s="1"/>
  <c r="K154" i="42" s="1"/>
  <c r="L154" i="42" s="1"/>
  <c r="I154" i="40"/>
  <c r="J154" i="40" s="1"/>
  <c r="K154" i="40" s="1"/>
  <c r="L154" i="40" s="1"/>
  <c r="M154" i="40" s="1"/>
  <c r="I154" i="19"/>
  <c r="J154" i="19" s="1"/>
  <c r="F157" i="4"/>
  <c r="B158" i="4"/>
  <c r="H157" i="4"/>
  <c r="C157" i="4"/>
  <c r="D157" i="4"/>
  <c r="H155" i="18"/>
  <c r="F155" i="18"/>
  <c r="G155" i="18" s="1"/>
  <c r="B156" i="18"/>
  <c r="D155" i="18"/>
  <c r="C155" i="18"/>
  <c r="F156" i="8"/>
  <c r="G156" i="8" s="1"/>
  <c r="B157" i="8"/>
  <c r="H156" i="8"/>
  <c r="C156" i="8"/>
  <c r="D156" i="8"/>
  <c r="F157" i="9"/>
  <c r="G157" i="9" s="1"/>
  <c r="B158" i="9"/>
  <c r="E158" i="9" s="1"/>
  <c r="H157" i="9"/>
  <c r="C157" i="9"/>
  <c r="D157" i="9"/>
  <c r="H155" i="41"/>
  <c r="B156" i="41"/>
  <c r="E156" i="41" s="1"/>
  <c r="F155" i="41"/>
  <c r="G155" i="41" s="1"/>
  <c r="C155" i="41"/>
  <c r="D155" i="41"/>
  <c r="I155" i="8"/>
  <c r="H155" i="39"/>
  <c r="F155" i="39"/>
  <c r="G155" i="39" s="1"/>
  <c r="B156" i="39"/>
  <c r="D155" i="39"/>
  <c r="C155" i="39"/>
  <c r="F155" i="42"/>
  <c r="G155" i="42" s="1"/>
  <c r="B156" i="42"/>
  <c r="E156" i="42" s="1"/>
  <c r="H155" i="42"/>
  <c r="D155" i="42"/>
  <c r="C155" i="42"/>
  <c r="F155" i="40"/>
  <c r="G155" i="40" s="1"/>
  <c r="B156" i="40"/>
  <c r="H155" i="40"/>
  <c r="D155" i="40"/>
  <c r="C155" i="40"/>
  <c r="F155" i="19"/>
  <c r="G155" i="19" s="1"/>
  <c r="B156" i="19"/>
  <c r="E156" i="19" s="1"/>
  <c r="H155" i="19"/>
  <c r="C155" i="19"/>
  <c r="D155" i="19"/>
  <c r="E157" i="4"/>
  <c r="B156" i="17"/>
  <c r="E156" i="17" s="1"/>
  <c r="H155" i="17"/>
  <c r="F155" i="17"/>
  <c r="G155" i="17" s="1"/>
  <c r="C155" i="17"/>
  <c r="D155" i="17"/>
  <c r="O152" i="26"/>
  <c r="P152" i="26" s="1"/>
  <c r="Q152" i="26" s="1"/>
  <c r="J154" i="41" l="1"/>
  <c r="K154" i="41" s="1"/>
  <c r="L154" i="41" s="1"/>
  <c r="M154" i="41" s="1"/>
  <c r="J154" i="39"/>
  <c r="K154" i="39" s="1"/>
  <c r="L154" i="39" s="1"/>
  <c r="M154" i="39" s="1"/>
  <c r="J154" i="18"/>
  <c r="K154" i="18" s="1"/>
  <c r="L154" i="18" s="1"/>
  <c r="M154" i="18" s="1"/>
  <c r="M154" i="42"/>
  <c r="K154" i="19"/>
  <c r="L154" i="19" s="1"/>
  <c r="M154" i="19" s="1"/>
  <c r="M154" i="17"/>
  <c r="J155" i="8"/>
  <c r="K155" i="8" s="1"/>
  <c r="L155" i="8" s="1"/>
  <c r="M155" i="8" s="1"/>
  <c r="J156" i="4"/>
  <c r="K156" i="4" s="1"/>
  <c r="L156" i="4" s="1"/>
  <c r="M156" i="4" s="1"/>
  <c r="I155" i="18"/>
  <c r="J155" i="18" s="1"/>
  <c r="I155" i="39"/>
  <c r="J155" i="39" s="1"/>
  <c r="S14" i="9"/>
  <c r="Q14" i="9"/>
  <c r="G158" i="26"/>
  <c r="B159" i="26"/>
  <c r="C158" i="26"/>
  <c r="H158" i="26"/>
  <c r="I158" i="26" s="1"/>
  <c r="F158" i="26"/>
  <c r="J158" i="26" s="1"/>
  <c r="D158" i="26"/>
  <c r="G157" i="25"/>
  <c r="F157" i="25"/>
  <c r="J157" i="25" s="1"/>
  <c r="H157" i="25"/>
  <c r="I157" i="25" s="1"/>
  <c r="D157" i="25"/>
  <c r="C157" i="25"/>
  <c r="B158" i="25"/>
  <c r="G156" i="25"/>
  <c r="J156" i="25"/>
  <c r="O156" i="25" s="1"/>
  <c r="P156" i="25" s="1"/>
  <c r="Q156" i="25" s="1"/>
  <c r="I155" i="40"/>
  <c r="J155" i="40" s="1"/>
  <c r="K155" i="40" s="1"/>
  <c r="L155" i="40" s="1"/>
  <c r="M155" i="40" s="1"/>
  <c r="I155" i="41"/>
  <c r="J155" i="41" s="1"/>
  <c r="G157" i="4"/>
  <c r="I155" i="19"/>
  <c r="J155" i="19" s="1"/>
  <c r="K155" i="19" s="1"/>
  <c r="L155" i="19" s="1"/>
  <c r="I155" i="42"/>
  <c r="J155" i="42" s="1"/>
  <c r="K155" i="42" s="1"/>
  <c r="L155" i="42" s="1"/>
  <c r="M155" i="42" s="1"/>
  <c r="F156" i="42"/>
  <c r="G156" i="42" s="1"/>
  <c r="H156" i="42"/>
  <c r="B157" i="42"/>
  <c r="E157" i="42" s="1"/>
  <c r="D156" i="42"/>
  <c r="C156" i="42"/>
  <c r="I157" i="9"/>
  <c r="J157" i="9" s="1"/>
  <c r="K157" i="9" s="1"/>
  <c r="L157" i="9" s="1"/>
  <c r="M157" i="9" s="1"/>
  <c r="B158" i="8"/>
  <c r="H157" i="8"/>
  <c r="F157" i="8"/>
  <c r="C157" i="8"/>
  <c r="D157" i="8"/>
  <c r="F158" i="4"/>
  <c r="B159" i="4"/>
  <c r="H158" i="4"/>
  <c r="D158" i="4"/>
  <c r="C158" i="4"/>
  <c r="F156" i="40"/>
  <c r="B157" i="40"/>
  <c r="E157" i="40" s="1"/>
  <c r="H156" i="40"/>
  <c r="D156" i="40"/>
  <c r="C156" i="40"/>
  <c r="F156" i="39"/>
  <c r="B157" i="39"/>
  <c r="E157" i="39" s="1"/>
  <c r="H156" i="39"/>
  <c r="C156" i="39"/>
  <c r="D156" i="39"/>
  <c r="F156" i="18"/>
  <c r="B157" i="18"/>
  <c r="H156" i="18"/>
  <c r="D156" i="18"/>
  <c r="C156" i="18"/>
  <c r="B157" i="19"/>
  <c r="E157" i="19" s="1"/>
  <c r="H156" i="19"/>
  <c r="F156" i="19"/>
  <c r="G156" i="19" s="1"/>
  <c r="D156" i="19"/>
  <c r="C156" i="19"/>
  <c r="F156" i="41"/>
  <c r="G156" i="41" s="1"/>
  <c r="B157" i="41"/>
  <c r="E157" i="41" s="1"/>
  <c r="H156" i="41"/>
  <c r="D156" i="41"/>
  <c r="C156" i="41"/>
  <c r="F158" i="9"/>
  <c r="G158" i="9" s="1"/>
  <c r="B159" i="9"/>
  <c r="H158" i="9"/>
  <c r="D158" i="9"/>
  <c r="C158" i="9"/>
  <c r="I156" i="8"/>
  <c r="J156" i="8" s="1"/>
  <c r="E157" i="8"/>
  <c r="I157" i="4"/>
  <c r="E158" i="4"/>
  <c r="I155" i="17"/>
  <c r="J155" i="17" s="1"/>
  <c r="K155" i="17" s="1"/>
  <c r="L155" i="17" s="1"/>
  <c r="M155" i="17" s="1"/>
  <c r="H156" i="17"/>
  <c r="F156" i="17"/>
  <c r="G156" i="17" s="1"/>
  <c r="B157" i="17"/>
  <c r="C156" i="17"/>
  <c r="D156" i="17"/>
  <c r="E156" i="40"/>
  <c r="E156" i="39"/>
  <c r="E156" i="18"/>
  <c r="O153" i="26"/>
  <c r="P153" i="26" s="1"/>
  <c r="Q153" i="26" s="1"/>
  <c r="K155" i="41" l="1"/>
  <c r="L155" i="41" s="1"/>
  <c r="M155" i="41" s="1"/>
  <c r="K155" i="18"/>
  <c r="L155" i="18" s="1"/>
  <c r="M155" i="18" s="1"/>
  <c r="K155" i="39"/>
  <c r="L155" i="39" s="1"/>
  <c r="M155" i="39" s="1"/>
  <c r="M155" i="19"/>
  <c r="K156" i="8"/>
  <c r="L156" i="8" s="1"/>
  <c r="M156" i="8" s="1"/>
  <c r="J157" i="4"/>
  <c r="K157" i="4" s="1"/>
  <c r="L157" i="4" s="1"/>
  <c r="M157" i="4" s="1"/>
  <c r="G156" i="40"/>
  <c r="G156" i="39"/>
  <c r="V15" i="9"/>
  <c r="O15" i="9"/>
  <c r="I156" i="18"/>
  <c r="I156" i="19"/>
  <c r="J156" i="19" s="1"/>
  <c r="K156" i="19" s="1"/>
  <c r="L156" i="19" s="1"/>
  <c r="M156" i="19" s="1"/>
  <c r="F159" i="26"/>
  <c r="H159" i="26"/>
  <c r="I159" i="26" s="1"/>
  <c r="D159" i="26"/>
  <c r="B160" i="26"/>
  <c r="C159" i="26"/>
  <c r="E159" i="26"/>
  <c r="O157" i="25"/>
  <c r="P157" i="25" s="1"/>
  <c r="Q157" i="25" s="1"/>
  <c r="C158" i="25"/>
  <c r="B159" i="25"/>
  <c r="D158" i="25"/>
  <c r="H158" i="25"/>
  <c r="I158" i="25" s="1"/>
  <c r="F158" i="25"/>
  <c r="E158" i="25"/>
  <c r="I156" i="17"/>
  <c r="J156" i="17" s="1"/>
  <c r="K156" i="17" s="1"/>
  <c r="L156" i="17" s="1"/>
  <c r="M156" i="17" s="1"/>
  <c r="G156" i="18"/>
  <c r="I157" i="8"/>
  <c r="G158" i="4"/>
  <c r="I158" i="9"/>
  <c r="J158" i="9" s="1"/>
  <c r="K158" i="9" s="1"/>
  <c r="L158" i="9" s="1"/>
  <c r="M158" i="9" s="1"/>
  <c r="G157" i="8"/>
  <c r="I156" i="39"/>
  <c r="J156" i="39" s="1"/>
  <c r="K156" i="39" s="1"/>
  <c r="L156" i="39" s="1"/>
  <c r="I158" i="4"/>
  <c r="F157" i="17"/>
  <c r="B158" i="17"/>
  <c r="E158" i="17" s="1"/>
  <c r="H157" i="17"/>
  <c r="C157" i="17"/>
  <c r="D157" i="17"/>
  <c r="B160" i="9"/>
  <c r="E160" i="9" s="1"/>
  <c r="H159" i="9"/>
  <c r="F159" i="9"/>
  <c r="D159" i="9"/>
  <c r="C159" i="9"/>
  <c r="E157" i="17"/>
  <c r="I156" i="41"/>
  <c r="J156" i="41" s="1"/>
  <c r="K156" i="41" s="1"/>
  <c r="L156" i="41" s="1"/>
  <c r="I156" i="40"/>
  <c r="J156" i="40" s="1"/>
  <c r="K156" i="40" s="1"/>
  <c r="L156" i="40" s="1"/>
  <c r="M156" i="40" s="1"/>
  <c r="F157" i="18"/>
  <c r="B158" i="18"/>
  <c r="H157" i="18"/>
  <c r="C157" i="18"/>
  <c r="D157" i="18"/>
  <c r="B160" i="4"/>
  <c r="E160" i="4" s="1"/>
  <c r="H159" i="4"/>
  <c r="F159" i="4"/>
  <c r="D159" i="4"/>
  <c r="C159" i="4"/>
  <c r="H158" i="8"/>
  <c r="F158" i="8"/>
  <c r="B159" i="8"/>
  <c r="E159" i="8" s="1"/>
  <c r="D158" i="8"/>
  <c r="C158" i="8"/>
  <c r="B158" i="42"/>
  <c r="E158" i="42" s="1"/>
  <c r="F157" i="42"/>
  <c r="G157" i="42" s="1"/>
  <c r="H157" i="42"/>
  <c r="D157" i="42"/>
  <c r="C157" i="42"/>
  <c r="E159" i="9"/>
  <c r="F157" i="41"/>
  <c r="G157" i="41" s="1"/>
  <c r="B158" i="41"/>
  <c r="H157" i="41"/>
  <c r="C157" i="41"/>
  <c r="D157" i="41"/>
  <c r="H157" i="19"/>
  <c r="F157" i="19"/>
  <c r="G157" i="19" s="1"/>
  <c r="B158" i="19"/>
  <c r="E158" i="19" s="1"/>
  <c r="D157" i="19"/>
  <c r="C157" i="19"/>
  <c r="E157" i="18"/>
  <c r="F157" i="39"/>
  <c r="G157" i="39" s="1"/>
  <c r="B158" i="39"/>
  <c r="E158" i="39" s="1"/>
  <c r="H157" i="39"/>
  <c r="D157" i="39"/>
  <c r="C157" i="39"/>
  <c r="B158" i="40"/>
  <c r="H157" i="40"/>
  <c r="F157" i="40"/>
  <c r="G157" i="40" s="1"/>
  <c r="C157" i="40"/>
  <c r="D157" i="40"/>
  <c r="E159" i="4"/>
  <c r="E158" i="8"/>
  <c r="I156" i="42"/>
  <c r="J156" i="42" s="1"/>
  <c r="K156" i="42" s="1"/>
  <c r="L156" i="42" s="1"/>
  <c r="M156" i="42" s="1"/>
  <c r="O154" i="26"/>
  <c r="P154" i="26" s="1"/>
  <c r="Q154" i="26" s="1"/>
  <c r="M156" i="41" l="1"/>
  <c r="M156" i="39"/>
  <c r="J156" i="18"/>
  <c r="K156" i="18" s="1"/>
  <c r="L156" i="18" s="1"/>
  <c r="M156" i="18" s="1"/>
  <c r="J157" i="8"/>
  <c r="K157" i="8" s="1"/>
  <c r="L157" i="8" s="1"/>
  <c r="M157" i="8" s="1"/>
  <c r="J158" i="4"/>
  <c r="K158" i="4" s="1"/>
  <c r="L158" i="4" s="1"/>
  <c r="M158" i="4" s="1"/>
  <c r="T15" i="9"/>
  <c r="P15" i="9"/>
  <c r="G157" i="18"/>
  <c r="I158" i="8"/>
  <c r="I157" i="18"/>
  <c r="I157" i="41"/>
  <c r="J157" i="41" s="1"/>
  <c r="K157" i="41" s="1"/>
  <c r="L157" i="41" s="1"/>
  <c r="M157" i="41" s="1"/>
  <c r="J159" i="26"/>
  <c r="G159" i="26"/>
  <c r="B161" i="26"/>
  <c r="E161" i="26" s="1"/>
  <c r="C160" i="26"/>
  <c r="H160" i="26"/>
  <c r="I160" i="26" s="1"/>
  <c r="F160" i="26"/>
  <c r="D160" i="26"/>
  <c r="E160" i="26"/>
  <c r="H159" i="25"/>
  <c r="I159" i="25" s="1"/>
  <c r="D159" i="25"/>
  <c r="F159" i="25"/>
  <c r="C159" i="25"/>
  <c r="B160" i="25"/>
  <c r="I157" i="39"/>
  <c r="J157" i="39" s="1"/>
  <c r="K157" i="39" s="1"/>
  <c r="L157" i="39" s="1"/>
  <c r="M157" i="39" s="1"/>
  <c r="G158" i="25"/>
  <c r="J158" i="25"/>
  <c r="O158" i="25" s="1"/>
  <c r="P158" i="25" s="1"/>
  <c r="Q158" i="25" s="1"/>
  <c r="E159" i="25"/>
  <c r="I157" i="42"/>
  <c r="J157" i="42" s="1"/>
  <c r="K157" i="42" s="1"/>
  <c r="L157" i="42" s="1"/>
  <c r="M157" i="42" s="1"/>
  <c r="G159" i="9"/>
  <c r="G159" i="4"/>
  <c r="I159" i="9"/>
  <c r="I159" i="4"/>
  <c r="H158" i="40"/>
  <c r="F158" i="40"/>
  <c r="B159" i="40"/>
  <c r="E159" i="40" s="1"/>
  <c r="C158" i="40"/>
  <c r="D158" i="40"/>
  <c r="E158" i="40"/>
  <c r="B159" i="39"/>
  <c r="E159" i="39" s="1"/>
  <c r="H158" i="39"/>
  <c r="F158" i="39"/>
  <c r="G158" i="39" s="1"/>
  <c r="C158" i="39"/>
  <c r="D158" i="39"/>
  <c r="I157" i="19"/>
  <c r="J157" i="19" s="1"/>
  <c r="K157" i="19" s="1"/>
  <c r="L157" i="19" s="1"/>
  <c r="M157" i="19" s="1"/>
  <c r="F159" i="8"/>
  <c r="G159" i="8" s="1"/>
  <c r="B160" i="8"/>
  <c r="H159" i="8"/>
  <c r="D159" i="8"/>
  <c r="C159" i="8"/>
  <c r="G157" i="17"/>
  <c r="I157" i="17"/>
  <c r="B159" i="18"/>
  <c r="E159" i="18" s="1"/>
  <c r="H158" i="18"/>
  <c r="F158" i="18"/>
  <c r="D158" i="18"/>
  <c r="C158" i="18"/>
  <c r="I157" i="40"/>
  <c r="J157" i="40" s="1"/>
  <c r="K157" i="40" s="1"/>
  <c r="L157" i="40" s="1"/>
  <c r="M157" i="40" s="1"/>
  <c r="H160" i="4"/>
  <c r="F160" i="4"/>
  <c r="G160" i="4" s="1"/>
  <c r="B161" i="4"/>
  <c r="D160" i="4"/>
  <c r="C160" i="4"/>
  <c r="H160" i="9"/>
  <c r="F160" i="9"/>
  <c r="G160" i="9" s="1"/>
  <c r="B161" i="9"/>
  <c r="E161" i="9" s="1"/>
  <c r="D160" i="9"/>
  <c r="C160" i="9"/>
  <c r="F158" i="17"/>
  <c r="G158" i="17" s="1"/>
  <c r="B159" i="17"/>
  <c r="H158" i="17"/>
  <c r="C158" i="17"/>
  <c r="D158" i="17"/>
  <c r="B159" i="41"/>
  <c r="E159" i="41" s="1"/>
  <c r="H158" i="41"/>
  <c r="F158" i="41"/>
  <c r="D158" i="41"/>
  <c r="C158" i="41"/>
  <c r="F158" i="19"/>
  <c r="G158" i="19" s="1"/>
  <c r="B159" i="19"/>
  <c r="H158" i="19"/>
  <c r="D158" i="19"/>
  <c r="C158" i="19"/>
  <c r="G158" i="8"/>
  <c r="E158" i="41"/>
  <c r="H158" i="42"/>
  <c r="B159" i="42"/>
  <c r="E159" i="42" s="1"/>
  <c r="F158" i="42"/>
  <c r="G158" i="42" s="1"/>
  <c r="C158" i="42"/>
  <c r="D158" i="42"/>
  <c r="E158" i="18"/>
  <c r="O155" i="26"/>
  <c r="P155" i="26" s="1"/>
  <c r="Q155" i="26" s="1"/>
  <c r="J157" i="17" l="1"/>
  <c r="K157" i="17" s="1"/>
  <c r="L157" i="17" s="1"/>
  <c r="M157" i="17" s="1"/>
  <c r="J157" i="18"/>
  <c r="K157" i="18" s="1"/>
  <c r="L157" i="18" s="1"/>
  <c r="M157" i="18" s="1"/>
  <c r="J158" i="8"/>
  <c r="K158" i="8" s="1"/>
  <c r="L158" i="8" s="1"/>
  <c r="M158" i="8" s="1"/>
  <c r="J159" i="4"/>
  <c r="K159" i="4" s="1"/>
  <c r="L159" i="4" s="1"/>
  <c r="M159" i="4" s="1"/>
  <c r="J159" i="9"/>
  <c r="K159" i="9" s="1"/>
  <c r="L159" i="9" s="1"/>
  <c r="M159" i="9" s="1"/>
  <c r="G158" i="40"/>
  <c r="S15" i="9"/>
  <c r="Q15" i="9"/>
  <c r="H161" i="26"/>
  <c r="I161" i="26" s="1"/>
  <c r="D161" i="26"/>
  <c r="F161" i="26"/>
  <c r="J161" i="26" s="1"/>
  <c r="B162" i="26"/>
  <c r="E162" i="26" s="1"/>
  <c r="C161" i="26"/>
  <c r="G161" i="26"/>
  <c r="G160" i="26"/>
  <c r="J160" i="26"/>
  <c r="J159" i="25"/>
  <c r="O159" i="25" s="1"/>
  <c r="P159" i="25" s="1"/>
  <c r="Q159" i="25" s="1"/>
  <c r="G159" i="25"/>
  <c r="H160" i="25"/>
  <c r="I160" i="25" s="1"/>
  <c r="C160" i="25"/>
  <c r="B161" i="25"/>
  <c r="F160" i="25"/>
  <c r="D160" i="25"/>
  <c r="E160" i="25"/>
  <c r="I158" i="18"/>
  <c r="G158" i="18"/>
  <c r="I158" i="41"/>
  <c r="I158" i="17"/>
  <c r="J158" i="17" s="1"/>
  <c r="I158" i="40"/>
  <c r="I158" i="19"/>
  <c r="J158" i="19" s="1"/>
  <c r="K158" i="19" s="1"/>
  <c r="L158" i="19" s="1"/>
  <c r="M158" i="19" s="1"/>
  <c r="I158" i="42"/>
  <c r="J158" i="42" s="1"/>
  <c r="K158" i="42" s="1"/>
  <c r="L158" i="42" s="1"/>
  <c r="M158" i="42" s="1"/>
  <c r="G158" i="41"/>
  <c r="I158" i="39"/>
  <c r="J158" i="39" s="1"/>
  <c r="K158" i="39" s="1"/>
  <c r="L158" i="39" s="1"/>
  <c r="M158" i="39" s="1"/>
  <c r="I159" i="8"/>
  <c r="J159" i="8" s="1"/>
  <c r="I160" i="9"/>
  <c r="J160" i="9" s="1"/>
  <c r="F161" i="4"/>
  <c r="B162" i="4"/>
  <c r="H161" i="4"/>
  <c r="D161" i="4"/>
  <c r="C161" i="4"/>
  <c r="H159" i="42"/>
  <c r="F159" i="42"/>
  <c r="G159" i="42" s="1"/>
  <c r="B160" i="42"/>
  <c r="D159" i="42"/>
  <c r="C159" i="42"/>
  <c r="F159" i="19"/>
  <c r="B160" i="19"/>
  <c r="H159" i="19"/>
  <c r="D159" i="19"/>
  <c r="C159" i="19"/>
  <c r="H159" i="41"/>
  <c r="F159" i="41"/>
  <c r="G159" i="41" s="1"/>
  <c r="B160" i="41"/>
  <c r="D159" i="41"/>
  <c r="C159" i="41"/>
  <c r="B160" i="17"/>
  <c r="E160" i="17" s="1"/>
  <c r="H159" i="17"/>
  <c r="F159" i="17"/>
  <c r="C159" i="17"/>
  <c r="D159" i="17"/>
  <c r="F160" i="8"/>
  <c r="B161" i="8"/>
  <c r="H160" i="8"/>
  <c r="C160" i="8"/>
  <c r="D160" i="8"/>
  <c r="H159" i="39"/>
  <c r="F159" i="39"/>
  <c r="G159" i="39" s="1"/>
  <c r="B160" i="39"/>
  <c r="E160" i="39" s="1"/>
  <c r="D159" i="39"/>
  <c r="C159" i="39"/>
  <c r="F161" i="9"/>
  <c r="G161" i="9" s="1"/>
  <c r="B162" i="9"/>
  <c r="E162" i="9" s="1"/>
  <c r="H161" i="9"/>
  <c r="D161" i="9"/>
  <c r="C161" i="9"/>
  <c r="I160" i="4"/>
  <c r="J160" i="4" s="1"/>
  <c r="E161" i="4"/>
  <c r="H159" i="18"/>
  <c r="F159" i="18"/>
  <c r="G159" i="18" s="1"/>
  <c r="B160" i="18"/>
  <c r="E160" i="18" s="1"/>
  <c r="D159" i="18"/>
  <c r="C159" i="18"/>
  <c r="E159" i="19"/>
  <c r="E159" i="17"/>
  <c r="E160" i="8"/>
  <c r="F159" i="40"/>
  <c r="G159" i="40" s="1"/>
  <c r="B160" i="40"/>
  <c r="E160" i="40" s="1"/>
  <c r="H159" i="40"/>
  <c r="D159" i="40"/>
  <c r="C159" i="40"/>
  <c r="O156" i="26"/>
  <c r="P156" i="26" s="1"/>
  <c r="Q156" i="26" s="1"/>
  <c r="K158" i="17" l="1"/>
  <c r="L158" i="17" s="1"/>
  <c r="M158" i="17" s="1"/>
  <c r="K160" i="4"/>
  <c r="L160" i="4" s="1"/>
  <c r="M160" i="4" s="1"/>
  <c r="K160" i="9"/>
  <c r="L160" i="9" s="1"/>
  <c r="M160" i="9" s="1"/>
  <c r="K159" i="8"/>
  <c r="L159" i="8" s="1"/>
  <c r="M159" i="8" s="1"/>
  <c r="J158" i="41"/>
  <c r="K158" i="41" s="1"/>
  <c r="L158" i="41" s="1"/>
  <c r="M158" i="41" s="1"/>
  <c r="J158" i="18"/>
  <c r="K158" i="18" s="1"/>
  <c r="L158" i="18" s="1"/>
  <c r="M158" i="18" s="1"/>
  <c r="J158" i="40"/>
  <c r="K158" i="40" s="1"/>
  <c r="L158" i="40" s="1"/>
  <c r="M158" i="40" s="1"/>
  <c r="G161" i="4"/>
  <c r="I159" i="42"/>
  <c r="J159" i="42" s="1"/>
  <c r="K159" i="42" s="1"/>
  <c r="L159" i="42" s="1"/>
  <c r="M159" i="42" s="1"/>
  <c r="I159" i="41"/>
  <c r="J159" i="41" s="1"/>
  <c r="G159" i="17"/>
  <c r="O16" i="9"/>
  <c r="V16" i="9"/>
  <c r="G162" i="26"/>
  <c r="B163" i="26"/>
  <c r="C162" i="26"/>
  <c r="F162" i="26"/>
  <c r="J162" i="26" s="1"/>
  <c r="D162" i="26"/>
  <c r="H162" i="26"/>
  <c r="I162" i="26" s="1"/>
  <c r="B162" i="25"/>
  <c r="F161" i="25"/>
  <c r="H161" i="25"/>
  <c r="I161" i="25" s="1"/>
  <c r="C161" i="25"/>
  <c r="E162" i="25"/>
  <c r="D161" i="25"/>
  <c r="J160" i="25"/>
  <c r="O160" i="25" s="1"/>
  <c r="P160" i="25" s="1"/>
  <c r="Q160" i="25" s="1"/>
  <c r="G160" i="25"/>
  <c r="E161" i="25"/>
  <c r="G159" i="19"/>
  <c r="I159" i="18"/>
  <c r="J159" i="18" s="1"/>
  <c r="G160" i="8"/>
  <c r="I161" i="9"/>
  <c r="J161" i="9" s="1"/>
  <c r="K161" i="9" s="1"/>
  <c r="L161" i="9" s="1"/>
  <c r="I159" i="39"/>
  <c r="J159" i="39" s="1"/>
  <c r="K159" i="39" s="1"/>
  <c r="L159" i="39" s="1"/>
  <c r="M159" i="39" s="1"/>
  <c r="B162" i="8"/>
  <c r="H161" i="8"/>
  <c r="F161" i="8"/>
  <c r="C161" i="8"/>
  <c r="D161" i="8"/>
  <c r="B161" i="19"/>
  <c r="H160" i="19"/>
  <c r="F160" i="19"/>
  <c r="C160" i="19"/>
  <c r="D160" i="19"/>
  <c r="F162" i="4"/>
  <c r="B163" i="4"/>
  <c r="H162" i="4"/>
  <c r="C162" i="4"/>
  <c r="D162" i="4"/>
  <c r="F160" i="40"/>
  <c r="G160" i="40" s="1"/>
  <c r="B161" i="40"/>
  <c r="E161" i="40" s="1"/>
  <c r="H160" i="40"/>
  <c r="D160" i="40"/>
  <c r="C160" i="40"/>
  <c r="F160" i="18"/>
  <c r="G160" i="18" s="1"/>
  <c r="B161" i="18"/>
  <c r="H160" i="18"/>
  <c r="D160" i="18"/>
  <c r="C160" i="18"/>
  <c r="F160" i="39"/>
  <c r="G160" i="39" s="1"/>
  <c r="B161" i="39"/>
  <c r="E161" i="39" s="1"/>
  <c r="H160" i="39"/>
  <c r="C160" i="39"/>
  <c r="D160" i="39"/>
  <c r="F160" i="41"/>
  <c r="B161" i="41"/>
  <c r="H160" i="41"/>
  <c r="D160" i="41"/>
  <c r="C160" i="41"/>
  <c r="I159" i="19"/>
  <c r="J159" i="19" s="1"/>
  <c r="K159" i="19" s="1"/>
  <c r="L159" i="19" s="1"/>
  <c r="M159" i="19" s="1"/>
  <c r="F160" i="42"/>
  <c r="H160" i="42"/>
  <c r="B161" i="42"/>
  <c r="C160" i="42"/>
  <c r="D160" i="42"/>
  <c r="I161" i="4"/>
  <c r="F162" i="9"/>
  <c r="G162" i="9" s="1"/>
  <c r="B163" i="9"/>
  <c r="H162" i="9"/>
  <c r="D162" i="9"/>
  <c r="C162" i="9"/>
  <c r="I159" i="40"/>
  <c r="J159" i="40" s="1"/>
  <c r="I160" i="8"/>
  <c r="E161" i="8"/>
  <c r="I159" i="17"/>
  <c r="H160" i="17"/>
  <c r="F160" i="17"/>
  <c r="G160" i="17" s="1"/>
  <c r="B161" i="17"/>
  <c r="C160" i="17"/>
  <c r="D160" i="17"/>
  <c r="E160" i="41"/>
  <c r="E160" i="19"/>
  <c r="E160" i="42"/>
  <c r="E162" i="4"/>
  <c r="O157" i="26"/>
  <c r="P157" i="26" s="1"/>
  <c r="Q157" i="26" s="1"/>
  <c r="J159" i="17" l="1"/>
  <c r="K159" i="17" s="1"/>
  <c r="L159" i="17" s="1"/>
  <c r="M159" i="17" s="1"/>
  <c r="M161" i="9"/>
  <c r="K159" i="40"/>
  <c r="L159" i="40" s="1"/>
  <c r="M159" i="40" s="1"/>
  <c r="K159" i="18"/>
  <c r="L159" i="18" s="1"/>
  <c r="M159" i="18" s="1"/>
  <c r="K159" i="41"/>
  <c r="L159" i="41" s="1"/>
  <c r="M159" i="41" s="1"/>
  <c r="J160" i="8"/>
  <c r="K160" i="8" s="1"/>
  <c r="L160" i="8" s="1"/>
  <c r="M160" i="8" s="1"/>
  <c r="J161" i="4"/>
  <c r="K161" i="4" s="1"/>
  <c r="L161" i="4" s="1"/>
  <c r="M161" i="4" s="1"/>
  <c r="G160" i="19"/>
  <c r="I160" i="18"/>
  <c r="J160" i="18" s="1"/>
  <c r="K160" i="18" s="1"/>
  <c r="L160" i="18" s="1"/>
  <c r="T16" i="9"/>
  <c r="P16" i="9"/>
  <c r="F163" i="26"/>
  <c r="H163" i="26"/>
  <c r="I163" i="26" s="1"/>
  <c r="D163" i="26"/>
  <c r="B164" i="26"/>
  <c r="C163" i="26"/>
  <c r="E163" i="26"/>
  <c r="J161" i="25"/>
  <c r="O161" i="25" s="1"/>
  <c r="P161" i="25" s="1"/>
  <c r="Q161" i="25" s="1"/>
  <c r="G161" i="25"/>
  <c r="G162" i="25"/>
  <c r="F162" i="25"/>
  <c r="J162" i="25" s="1"/>
  <c r="B163" i="25"/>
  <c r="D162" i="25"/>
  <c r="H162" i="25"/>
  <c r="I162" i="25" s="1"/>
  <c r="C162" i="25"/>
  <c r="G160" i="42"/>
  <c r="G160" i="41"/>
  <c r="I162" i="9"/>
  <c r="J162" i="9" s="1"/>
  <c r="K162" i="9" s="1"/>
  <c r="L162" i="9" s="1"/>
  <c r="M162" i="9" s="1"/>
  <c r="G161" i="8"/>
  <c r="G162" i="4"/>
  <c r="I160" i="17"/>
  <c r="J160" i="17" s="1"/>
  <c r="I160" i="41"/>
  <c r="I161" i="8"/>
  <c r="B164" i="9"/>
  <c r="E164" i="9" s="1"/>
  <c r="H163" i="9"/>
  <c r="F163" i="9"/>
  <c r="D163" i="9"/>
  <c r="C163" i="9"/>
  <c r="B162" i="42"/>
  <c r="E162" i="42" s="1"/>
  <c r="H161" i="42"/>
  <c r="F161" i="42"/>
  <c r="C161" i="42"/>
  <c r="D161" i="42"/>
  <c r="F161" i="41"/>
  <c r="B162" i="41"/>
  <c r="E162" i="41" s="1"/>
  <c r="H161" i="41"/>
  <c r="D161" i="41"/>
  <c r="C161" i="41"/>
  <c r="I160" i="39"/>
  <c r="J160" i="39" s="1"/>
  <c r="K160" i="39" s="1"/>
  <c r="L160" i="39" s="1"/>
  <c r="M160" i="39" s="1"/>
  <c r="F161" i="18"/>
  <c r="B162" i="18"/>
  <c r="E162" i="18" s="1"/>
  <c r="H161" i="18"/>
  <c r="C161" i="18"/>
  <c r="D161" i="18"/>
  <c r="B164" i="4"/>
  <c r="E164" i="4" s="1"/>
  <c r="H163" i="4"/>
  <c r="F163" i="4"/>
  <c r="C163" i="4"/>
  <c r="D163" i="4"/>
  <c r="I160" i="19"/>
  <c r="H161" i="19"/>
  <c r="F161" i="19"/>
  <c r="B162" i="19"/>
  <c r="E162" i="19" s="1"/>
  <c r="D161" i="19"/>
  <c r="C161" i="19"/>
  <c r="H162" i="8"/>
  <c r="F162" i="8"/>
  <c r="B163" i="8"/>
  <c r="C162" i="8"/>
  <c r="D162" i="8"/>
  <c r="F161" i="17"/>
  <c r="B162" i="17"/>
  <c r="E162" i="17" s="1"/>
  <c r="H161" i="17"/>
  <c r="D161" i="17"/>
  <c r="C161" i="17"/>
  <c r="E161" i="17"/>
  <c r="E163" i="9"/>
  <c r="E161" i="41"/>
  <c r="F161" i="39"/>
  <c r="G161" i="39" s="1"/>
  <c r="B162" i="39"/>
  <c r="E162" i="39" s="1"/>
  <c r="H161" i="39"/>
  <c r="D161" i="39"/>
  <c r="C161" i="39"/>
  <c r="E161" i="18"/>
  <c r="B162" i="40"/>
  <c r="H161" i="40"/>
  <c r="F161" i="40"/>
  <c r="G161" i="40" s="1"/>
  <c r="D161" i="40"/>
  <c r="C161" i="40"/>
  <c r="I162" i="4"/>
  <c r="E163" i="4"/>
  <c r="E161" i="19"/>
  <c r="I160" i="42"/>
  <c r="E161" i="42"/>
  <c r="I160" i="40"/>
  <c r="J160" i="40" s="1"/>
  <c r="K160" i="40" s="1"/>
  <c r="L160" i="40" s="1"/>
  <c r="E162" i="8"/>
  <c r="O158" i="26"/>
  <c r="P158" i="26" s="1"/>
  <c r="Q158" i="26" s="1"/>
  <c r="K160" i="17" l="1"/>
  <c r="L160" i="17" s="1"/>
  <c r="M160" i="17" s="1"/>
  <c r="M160" i="18"/>
  <c r="M160" i="40"/>
  <c r="J160" i="42"/>
  <c r="K160" i="42" s="1"/>
  <c r="L160" i="42" s="1"/>
  <c r="M160" i="42" s="1"/>
  <c r="J160" i="19"/>
  <c r="K160" i="19" s="1"/>
  <c r="L160" i="19" s="1"/>
  <c r="M160" i="19" s="1"/>
  <c r="J160" i="41"/>
  <c r="K160" i="41" s="1"/>
  <c r="L160" i="41" s="1"/>
  <c r="M160" i="41" s="1"/>
  <c r="J161" i="8"/>
  <c r="K161" i="8" s="1"/>
  <c r="L161" i="8" s="1"/>
  <c r="M161" i="8" s="1"/>
  <c r="J162" i="4"/>
  <c r="K162" i="4" s="1"/>
  <c r="L162" i="4" s="1"/>
  <c r="M162" i="4" s="1"/>
  <c r="G161" i="19"/>
  <c r="G161" i="18"/>
  <c r="S16" i="9"/>
  <c r="Q16" i="9"/>
  <c r="I161" i="40"/>
  <c r="J161" i="40" s="1"/>
  <c r="K161" i="40" s="1"/>
  <c r="L161" i="40" s="1"/>
  <c r="M161" i="40" s="1"/>
  <c r="J163" i="26"/>
  <c r="G163" i="26"/>
  <c r="B165" i="26"/>
  <c r="E165" i="26" s="1"/>
  <c r="C164" i="26"/>
  <c r="D164" i="26"/>
  <c r="H164" i="26"/>
  <c r="I164" i="26" s="1"/>
  <c r="F164" i="26"/>
  <c r="E164" i="26"/>
  <c r="O162" i="25"/>
  <c r="P162" i="25" s="1"/>
  <c r="Q162" i="25" s="1"/>
  <c r="C163" i="25"/>
  <c r="H163" i="25"/>
  <c r="I163" i="25" s="1"/>
  <c r="D163" i="25"/>
  <c r="B164" i="25"/>
  <c r="F163" i="25"/>
  <c r="E163" i="25"/>
  <c r="G161" i="42"/>
  <c r="G161" i="41"/>
  <c r="G162" i="8"/>
  <c r="I163" i="9"/>
  <c r="J163" i="9" s="1"/>
  <c r="K163" i="9" s="1"/>
  <c r="L163" i="9" s="1"/>
  <c r="M163" i="9" s="1"/>
  <c r="G163" i="4"/>
  <c r="G163" i="9"/>
  <c r="I162" i="8"/>
  <c r="I161" i="17"/>
  <c r="H162" i="40"/>
  <c r="F162" i="40"/>
  <c r="B163" i="40"/>
  <c r="E163" i="40" s="1"/>
  <c r="D162" i="40"/>
  <c r="C162" i="40"/>
  <c r="E162" i="40"/>
  <c r="I161" i="39"/>
  <c r="J161" i="39" s="1"/>
  <c r="K161" i="39" s="1"/>
  <c r="L161" i="39" s="1"/>
  <c r="M161" i="39" s="1"/>
  <c r="G161" i="17"/>
  <c r="F162" i="17"/>
  <c r="G162" i="17" s="1"/>
  <c r="B163" i="17"/>
  <c r="E163" i="17" s="1"/>
  <c r="H162" i="17"/>
  <c r="C162" i="17"/>
  <c r="D162" i="17"/>
  <c r="I161" i="19"/>
  <c r="I163" i="4"/>
  <c r="H164" i="4"/>
  <c r="F164" i="4"/>
  <c r="G164" i="4" s="1"/>
  <c r="B165" i="4"/>
  <c r="D164" i="4"/>
  <c r="C164" i="4"/>
  <c r="I161" i="18"/>
  <c r="F163" i="8"/>
  <c r="B164" i="8"/>
  <c r="E164" i="8" s="1"/>
  <c r="H163" i="8"/>
  <c r="C163" i="8"/>
  <c r="D163" i="8"/>
  <c r="F162" i="19"/>
  <c r="G162" i="19" s="1"/>
  <c r="B163" i="19"/>
  <c r="H162" i="19"/>
  <c r="C162" i="19"/>
  <c r="D162" i="19"/>
  <c r="B163" i="18"/>
  <c r="E163" i="18" s="1"/>
  <c r="H162" i="18"/>
  <c r="F162" i="18"/>
  <c r="G162" i="18" s="1"/>
  <c r="D162" i="18"/>
  <c r="C162" i="18"/>
  <c r="B163" i="41"/>
  <c r="E163" i="41" s="1"/>
  <c r="H162" i="41"/>
  <c r="F162" i="41"/>
  <c r="G162" i="41" s="1"/>
  <c r="D162" i="41"/>
  <c r="C162" i="41"/>
  <c r="I161" i="42"/>
  <c r="H162" i="42"/>
  <c r="B163" i="42"/>
  <c r="F162" i="42"/>
  <c r="G162" i="42" s="1"/>
  <c r="C162" i="42"/>
  <c r="D162" i="42"/>
  <c r="B163" i="39"/>
  <c r="E163" i="39" s="1"/>
  <c r="H162" i="39"/>
  <c r="F162" i="39"/>
  <c r="G162" i="39" s="1"/>
  <c r="C162" i="39"/>
  <c r="D162" i="39"/>
  <c r="E163" i="8"/>
  <c r="I161" i="41"/>
  <c r="H164" i="9"/>
  <c r="F164" i="9"/>
  <c r="G164" i="9" s="1"/>
  <c r="B165" i="9"/>
  <c r="E165" i="9" s="1"/>
  <c r="D164" i="9"/>
  <c r="C164" i="9"/>
  <c r="O159" i="26"/>
  <c r="P159" i="26" s="1"/>
  <c r="Q159" i="26" s="1"/>
  <c r="J163" i="4" l="1"/>
  <c r="K163" i="4" s="1"/>
  <c r="L163" i="4" s="1"/>
  <c r="M163" i="4" s="1"/>
  <c r="J161" i="42"/>
  <c r="K161" i="42" s="1"/>
  <c r="L161" i="42" s="1"/>
  <c r="M161" i="42" s="1"/>
  <c r="J161" i="18"/>
  <c r="K161" i="18" s="1"/>
  <c r="L161" i="18" s="1"/>
  <c r="M161" i="18" s="1"/>
  <c r="J161" i="19"/>
  <c r="K161" i="19" s="1"/>
  <c r="L161" i="19" s="1"/>
  <c r="M161" i="19" s="1"/>
  <c r="J161" i="17"/>
  <c r="K161" i="17" s="1"/>
  <c r="L161" i="17" s="1"/>
  <c r="M161" i="17" s="1"/>
  <c r="J161" i="41"/>
  <c r="K161" i="41" s="1"/>
  <c r="L161" i="41" s="1"/>
  <c r="M161" i="41" s="1"/>
  <c r="J162" i="8"/>
  <c r="K162" i="8" s="1"/>
  <c r="L162" i="8" s="1"/>
  <c r="M162" i="8" s="1"/>
  <c r="G162" i="40"/>
  <c r="V17" i="9"/>
  <c r="O17" i="9"/>
  <c r="I162" i="41"/>
  <c r="J162" i="41" s="1"/>
  <c r="G165" i="26"/>
  <c r="H165" i="26"/>
  <c r="I165" i="26" s="1"/>
  <c r="D165" i="26"/>
  <c r="F165" i="26"/>
  <c r="J165" i="26" s="1"/>
  <c r="B166" i="26"/>
  <c r="C165" i="26"/>
  <c r="G164" i="26"/>
  <c r="J164" i="26"/>
  <c r="H164" i="25"/>
  <c r="I164" i="25" s="1"/>
  <c r="D164" i="25"/>
  <c r="C164" i="25"/>
  <c r="F164" i="25"/>
  <c r="B165" i="25"/>
  <c r="E165" i="25" s="1"/>
  <c r="E164" i="25"/>
  <c r="G163" i="25"/>
  <c r="J163" i="25"/>
  <c r="O163" i="25" s="1"/>
  <c r="P163" i="25" s="1"/>
  <c r="Q163" i="25" s="1"/>
  <c r="I162" i="42"/>
  <c r="J162" i="42" s="1"/>
  <c r="I164" i="4"/>
  <c r="J164" i="4" s="1"/>
  <c r="G163" i="8"/>
  <c r="I162" i="18"/>
  <c r="J162" i="18" s="1"/>
  <c r="I162" i="17"/>
  <c r="J162" i="17" s="1"/>
  <c r="I163" i="8"/>
  <c r="I162" i="19"/>
  <c r="J162" i="19" s="1"/>
  <c r="F163" i="19"/>
  <c r="B164" i="19"/>
  <c r="E164" i="19" s="1"/>
  <c r="H163" i="19"/>
  <c r="D163" i="19"/>
  <c r="C163" i="19"/>
  <c r="F164" i="8"/>
  <c r="G164" i="8" s="1"/>
  <c r="B165" i="8"/>
  <c r="H164" i="8"/>
  <c r="D164" i="8"/>
  <c r="C164" i="8"/>
  <c r="F165" i="4"/>
  <c r="B166" i="4"/>
  <c r="E166" i="4" s="1"/>
  <c r="H165" i="4"/>
  <c r="D165" i="4"/>
  <c r="C165" i="4"/>
  <c r="B164" i="17"/>
  <c r="E164" i="17" s="1"/>
  <c r="H163" i="17"/>
  <c r="F163" i="17"/>
  <c r="G163" i="17" s="1"/>
  <c r="C163" i="17"/>
  <c r="D163" i="17"/>
  <c r="I162" i="40"/>
  <c r="I164" i="9"/>
  <c r="J164" i="9" s="1"/>
  <c r="K164" i="9" s="1"/>
  <c r="L164" i="9" s="1"/>
  <c r="M164" i="9" s="1"/>
  <c r="B164" i="42"/>
  <c r="H163" i="42"/>
  <c r="F163" i="42"/>
  <c r="C163" i="42"/>
  <c r="D163" i="42"/>
  <c r="H163" i="41"/>
  <c r="B164" i="41"/>
  <c r="F163" i="41"/>
  <c r="G163" i="41" s="1"/>
  <c r="D163" i="41"/>
  <c r="C163" i="41"/>
  <c r="E163" i="19"/>
  <c r="E165" i="4"/>
  <c r="F163" i="40"/>
  <c r="G163" i="40" s="1"/>
  <c r="B164" i="40"/>
  <c r="E164" i="40" s="1"/>
  <c r="H163" i="40"/>
  <c r="C163" i="40"/>
  <c r="D163" i="40"/>
  <c r="F165" i="9"/>
  <c r="G165" i="9" s="1"/>
  <c r="B166" i="9"/>
  <c r="H165" i="9"/>
  <c r="C165" i="9"/>
  <c r="D165" i="9"/>
  <c r="I162" i="39"/>
  <c r="J162" i="39" s="1"/>
  <c r="K162" i="39" s="1"/>
  <c r="L162" i="39" s="1"/>
  <c r="M162" i="39" s="1"/>
  <c r="H163" i="39"/>
  <c r="F163" i="39"/>
  <c r="G163" i="39" s="1"/>
  <c r="B164" i="39"/>
  <c r="D163" i="39"/>
  <c r="C163" i="39"/>
  <c r="E163" i="42"/>
  <c r="H163" i="18"/>
  <c r="F163" i="18"/>
  <c r="G163" i="18" s="1"/>
  <c r="B164" i="18"/>
  <c r="E164" i="18" s="1"/>
  <c r="D163" i="18"/>
  <c r="C163" i="18"/>
  <c r="O160" i="26"/>
  <c r="P160" i="26" s="1"/>
  <c r="Q160" i="26" s="1"/>
  <c r="K164" i="4" l="1"/>
  <c r="L164" i="4" s="1"/>
  <c r="M164" i="4" s="1"/>
  <c r="K162" i="42"/>
  <c r="L162" i="42" s="1"/>
  <c r="M162" i="42" s="1"/>
  <c r="K162" i="19"/>
  <c r="L162" i="19" s="1"/>
  <c r="M162" i="19" s="1"/>
  <c r="K162" i="41"/>
  <c r="L162" i="41" s="1"/>
  <c r="M162" i="41" s="1"/>
  <c r="K162" i="17"/>
  <c r="L162" i="17" s="1"/>
  <c r="M162" i="17" s="1"/>
  <c r="K162" i="18"/>
  <c r="L162" i="18" s="1"/>
  <c r="M162" i="18" s="1"/>
  <c r="J162" i="40"/>
  <c r="K162" i="40" s="1"/>
  <c r="L162" i="40" s="1"/>
  <c r="M162" i="40" s="1"/>
  <c r="J163" i="8"/>
  <c r="K163" i="8" s="1"/>
  <c r="L163" i="8" s="1"/>
  <c r="M163" i="8" s="1"/>
  <c r="G163" i="19"/>
  <c r="T17" i="9"/>
  <c r="P17" i="9"/>
  <c r="G163" i="42"/>
  <c r="B167" i="26"/>
  <c r="E167" i="26" s="1"/>
  <c r="C166" i="26"/>
  <c r="H166" i="26"/>
  <c r="I166" i="26" s="1"/>
  <c r="F166" i="26"/>
  <c r="D166" i="26"/>
  <c r="E166" i="26"/>
  <c r="B166" i="25"/>
  <c r="E166" i="25" s="1"/>
  <c r="H165" i="25"/>
  <c r="I165" i="25" s="1"/>
  <c r="D165" i="25"/>
  <c r="C165" i="25"/>
  <c r="F165" i="25"/>
  <c r="J165" i="25" s="1"/>
  <c r="G165" i="25"/>
  <c r="G164" i="25"/>
  <c r="J164" i="25"/>
  <c r="O164" i="25" s="1"/>
  <c r="P164" i="25" s="1"/>
  <c r="Q164" i="25" s="1"/>
  <c r="I163" i="19"/>
  <c r="G165" i="4"/>
  <c r="I165" i="4"/>
  <c r="I163" i="17"/>
  <c r="J163" i="17" s="1"/>
  <c r="K163" i="17" s="1"/>
  <c r="L163" i="17" s="1"/>
  <c r="I163" i="42"/>
  <c r="I163" i="18"/>
  <c r="J163" i="18" s="1"/>
  <c r="K163" i="18" s="1"/>
  <c r="L163" i="18" s="1"/>
  <c r="I163" i="40"/>
  <c r="J163" i="40" s="1"/>
  <c r="F164" i="39"/>
  <c r="B165" i="39"/>
  <c r="E165" i="39" s="1"/>
  <c r="H164" i="39"/>
  <c r="C164" i="39"/>
  <c r="D164" i="39"/>
  <c r="F166" i="9"/>
  <c r="B167" i="9"/>
  <c r="E167" i="9" s="1"/>
  <c r="H166" i="9"/>
  <c r="D166" i="9"/>
  <c r="C166" i="9"/>
  <c r="F164" i="18"/>
  <c r="G164" i="18" s="1"/>
  <c r="B165" i="18"/>
  <c r="E165" i="18" s="1"/>
  <c r="H164" i="18"/>
  <c r="D164" i="18"/>
  <c r="C164" i="18"/>
  <c r="F164" i="41"/>
  <c r="B165" i="41"/>
  <c r="E165" i="41" s="1"/>
  <c r="H164" i="41"/>
  <c r="C164" i="41"/>
  <c r="D164" i="41"/>
  <c r="F164" i="42"/>
  <c r="B165" i="42"/>
  <c r="E165" i="42" s="1"/>
  <c r="H164" i="42"/>
  <c r="C164" i="42"/>
  <c r="D164" i="42"/>
  <c r="H164" i="17"/>
  <c r="F164" i="17"/>
  <c r="G164" i="17" s="1"/>
  <c r="B165" i="17"/>
  <c r="E165" i="17" s="1"/>
  <c r="C164" i="17"/>
  <c r="D164" i="17"/>
  <c r="B166" i="8"/>
  <c r="E166" i="8" s="1"/>
  <c r="H165" i="8"/>
  <c r="F165" i="8"/>
  <c r="C165" i="8"/>
  <c r="D165" i="8"/>
  <c r="I163" i="39"/>
  <c r="J163" i="39" s="1"/>
  <c r="K163" i="39" s="1"/>
  <c r="L163" i="39" s="1"/>
  <c r="M163" i="39" s="1"/>
  <c r="E164" i="39"/>
  <c r="I165" i="9"/>
  <c r="J165" i="9" s="1"/>
  <c r="K165" i="9" s="1"/>
  <c r="L165" i="9" s="1"/>
  <c r="M165" i="9" s="1"/>
  <c r="E166" i="9"/>
  <c r="I163" i="41"/>
  <c r="J163" i="41" s="1"/>
  <c r="K163" i="41" s="1"/>
  <c r="L163" i="41" s="1"/>
  <c r="E164" i="41"/>
  <c r="E164" i="42"/>
  <c r="I164" i="8"/>
  <c r="J164" i="8" s="1"/>
  <c r="F164" i="40"/>
  <c r="G164" i="40" s="1"/>
  <c r="B165" i="40"/>
  <c r="E165" i="40" s="1"/>
  <c r="H164" i="40"/>
  <c r="D164" i="40"/>
  <c r="C164" i="40"/>
  <c r="F166" i="4"/>
  <c r="G166" i="4" s="1"/>
  <c r="B167" i="4"/>
  <c r="H166" i="4"/>
  <c r="C166" i="4"/>
  <c r="D166" i="4"/>
  <c r="E165" i="8"/>
  <c r="B165" i="19"/>
  <c r="E165" i="19" s="1"/>
  <c r="H164" i="19"/>
  <c r="F164" i="19"/>
  <c r="G164" i="19" s="1"/>
  <c r="C164" i="19"/>
  <c r="D164" i="19"/>
  <c r="O161" i="26"/>
  <c r="P161" i="26" s="1"/>
  <c r="Q161" i="26" s="1"/>
  <c r="J163" i="42" l="1"/>
  <c r="K163" i="42" s="1"/>
  <c r="L163" i="42" s="1"/>
  <c r="M163" i="42" s="1"/>
  <c r="M163" i="41"/>
  <c r="M163" i="18"/>
  <c r="M163" i="17"/>
  <c r="K164" i="8"/>
  <c r="L164" i="8" s="1"/>
  <c r="M164" i="8" s="1"/>
  <c r="K163" i="40"/>
  <c r="L163" i="40" s="1"/>
  <c r="M163" i="40" s="1"/>
  <c r="J163" i="19"/>
  <c r="K163" i="19" s="1"/>
  <c r="L163" i="19" s="1"/>
  <c r="M163" i="19" s="1"/>
  <c r="J165" i="4"/>
  <c r="K165" i="4" s="1"/>
  <c r="L165" i="4" s="1"/>
  <c r="M165" i="4" s="1"/>
  <c r="S17" i="9"/>
  <c r="Q17" i="9"/>
  <c r="G164" i="41"/>
  <c r="G164" i="39"/>
  <c r="G167" i="26"/>
  <c r="G166" i="26"/>
  <c r="J166" i="26"/>
  <c r="F167" i="26"/>
  <c r="J167" i="26" s="1"/>
  <c r="H167" i="26"/>
  <c r="I167" i="26" s="1"/>
  <c r="D167" i="26"/>
  <c r="B168" i="26"/>
  <c r="C167" i="26"/>
  <c r="G166" i="25"/>
  <c r="O165" i="25"/>
  <c r="P165" i="25" s="1"/>
  <c r="Q165" i="25" s="1"/>
  <c r="F166" i="25"/>
  <c r="J166" i="25" s="1"/>
  <c r="B167" i="25"/>
  <c r="E167" i="25" s="1"/>
  <c r="D166" i="25"/>
  <c r="H166" i="25"/>
  <c r="I166" i="25" s="1"/>
  <c r="C166" i="25"/>
  <c r="I164" i="42"/>
  <c r="G164" i="42"/>
  <c r="I164" i="39"/>
  <c r="G165" i="8"/>
  <c r="G166" i="9"/>
  <c r="I166" i="4"/>
  <c r="J166" i="4" s="1"/>
  <c r="I165" i="8"/>
  <c r="I164" i="18"/>
  <c r="J164" i="18" s="1"/>
  <c r="K164" i="18" s="1"/>
  <c r="L164" i="18" s="1"/>
  <c r="M164" i="18" s="1"/>
  <c r="I164" i="17"/>
  <c r="J164" i="17" s="1"/>
  <c r="K164" i="17" s="1"/>
  <c r="L164" i="17" s="1"/>
  <c r="M164" i="17" s="1"/>
  <c r="I164" i="40"/>
  <c r="J164" i="40" s="1"/>
  <c r="K164" i="40" s="1"/>
  <c r="L164" i="40" s="1"/>
  <c r="I166" i="9"/>
  <c r="B168" i="4"/>
  <c r="H167" i="4"/>
  <c r="F167" i="4"/>
  <c r="C167" i="4"/>
  <c r="D167" i="4"/>
  <c r="B166" i="40"/>
  <c r="E166" i="40" s="1"/>
  <c r="H165" i="40"/>
  <c r="F165" i="40"/>
  <c r="G165" i="40" s="1"/>
  <c r="D165" i="40"/>
  <c r="C165" i="40"/>
  <c r="B166" i="42"/>
  <c r="E166" i="42" s="1"/>
  <c r="F165" i="42"/>
  <c r="G165" i="42" s="1"/>
  <c r="H165" i="42"/>
  <c r="C165" i="42"/>
  <c r="D165" i="42"/>
  <c r="I164" i="41"/>
  <c r="F165" i="18"/>
  <c r="G165" i="18" s="1"/>
  <c r="B166" i="18"/>
  <c r="E166" i="18" s="1"/>
  <c r="H165" i="18"/>
  <c r="D165" i="18"/>
  <c r="C165" i="18"/>
  <c r="B168" i="9"/>
  <c r="H167" i="9"/>
  <c r="F167" i="9"/>
  <c r="G167" i="9" s="1"/>
  <c r="C167" i="9"/>
  <c r="D167" i="9"/>
  <c r="E167" i="4"/>
  <c r="I164" i="19"/>
  <c r="J164" i="19" s="1"/>
  <c r="H165" i="19"/>
  <c r="F165" i="19"/>
  <c r="G165" i="19" s="1"/>
  <c r="B166" i="19"/>
  <c r="D165" i="19"/>
  <c r="C165" i="19"/>
  <c r="F165" i="17"/>
  <c r="G165" i="17" s="1"/>
  <c r="B166" i="17"/>
  <c r="E166" i="17" s="1"/>
  <c r="H165" i="17"/>
  <c r="C165" i="17"/>
  <c r="D165" i="17"/>
  <c r="H166" i="8"/>
  <c r="F166" i="8"/>
  <c r="G166" i="8" s="1"/>
  <c r="B167" i="8"/>
  <c r="D166" i="8"/>
  <c r="C166" i="8"/>
  <c r="F165" i="41"/>
  <c r="G165" i="41" s="1"/>
  <c r="B166" i="41"/>
  <c r="H165" i="41"/>
  <c r="D165" i="41"/>
  <c r="C165" i="41"/>
  <c r="F165" i="39"/>
  <c r="G165" i="39" s="1"/>
  <c r="B166" i="39"/>
  <c r="H165" i="39"/>
  <c r="C165" i="39"/>
  <c r="D165" i="39"/>
  <c r="O162" i="26"/>
  <c r="P162" i="26" s="1"/>
  <c r="Q162" i="26" s="1"/>
  <c r="K166" i="4" l="1"/>
  <c r="L166" i="4" s="1"/>
  <c r="M166" i="4" s="1"/>
  <c r="M164" i="40"/>
  <c r="K164" i="19"/>
  <c r="L164" i="19" s="1"/>
  <c r="M164" i="19" s="1"/>
  <c r="J164" i="41"/>
  <c r="K164" i="41" s="1"/>
  <c r="L164" i="41" s="1"/>
  <c r="M164" i="41" s="1"/>
  <c r="J164" i="39"/>
  <c r="K164" i="39" s="1"/>
  <c r="L164" i="39" s="1"/>
  <c r="M164" i="39" s="1"/>
  <c r="J164" i="42"/>
  <c r="K164" i="42" s="1"/>
  <c r="L164" i="42" s="1"/>
  <c r="M164" i="42" s="1"/>
  <c r="J165" i="8"/>
  <c r="K165" i="8" s="1"/>
  <c r="L165" i="8" s="1"/>
  <c r="M165" i="8" s="1"/>
  <c r="J166" i="9"/>
  <c r="K166" i="9" s="1"/>
  <c r="L166" i="9" s="1"/>
  <c r="M166" i="9" s="1"/>
  <c r="O18" i="9"/>
  <c r="V18" i="9"/>
  <c r="F168" i="26"/>
  <c r="B169" i="26"/>
  <c r="C168" i="26"/>
  <c r="H168" i="26"/>
  <c r="I168" i="26" s="1"/>
  <c r="D168" i="26"/>
  <c r="E168" i="26"/>
  <c r="G167" i="25"/>
  <c r="O166" i="25"/>
  <c r="P166" i="25" s="1"/>
  <c r="Q166" i="25" s="1"/>
  <c r="C167" i="25"/>
  <c r="F167" i="25"/>
  <c r="J167" i="25" s="1"/>
  <c r="B168" i="25"/>
  <c r="H167" i="25"/>
  <c r="I167" i="25" s="1"/>
  <c r="D167" i="25"/>
  <c r="I166" i="8"/>
  <c r="J166" i="8" s="1"/>
  <c r="G167" i="4"/>
  <c r="I165" i="40"/>
  <c r="J165" i="40" s="1"/>
  <c r="K165" i="40" s="1"/>
  <c r="L165" i="40" s="1"/>
  <c r="M165" i="40" s="1"/>
  <c r="I165" i="17"/>
  <c r="J165" i="17" s="1"/>
  <c r="K165" i="17" s="1"/>
  <c r="L165" i="17" s="1"/>
  <c r="M165" i="17" s="1"/>
  <c r="I167" i="4"/>
  <c r="H168" i="4"/>
  <c r="F168" i="4"/>
  <c r="B169" i="4"/>
  <c r="C168" i="4"/>
  <c r="D168" i="4"/>
  <c r="F167" i="8"/>
  <c r="B168" i="8"/>
  <c r="E168" i="8" s="1"/>
  <c r="H167" i="8"/>
  <c r="D167" i="8"/>
  <c r="C167" i="8"/>
  <c r="I165" i="41"/>
  <c r="J165" i="41" s="1"/>
  <c r="E167" i="8"/>
  <c r="B167" i="18"/>
  <c r="H166" i="18"/>
  <c r="F166" i="18"/>
  <c r="G166" i="18" s="1"/>
  <c r="D166" i="18"/>
  <c r="C166" i="18"/>
  <c r="B167" i="39"/>
  <c r="E167" i="39" s="1"/>
  <c r="H166" i="39"/>
  <c r="F166" i="39"/>
  <c r="D166" i="39"/>
  <c r="C166" i="39"/>
  <c r="B167" i="41"/>
  <c r="E167" i="41" s="1"/>
  <c r="H166" i="41"/>
  <c r="F166" i="41"/>
  <c r="C166" i="41"/>
  <c r="D166" i="41"/>
  <c r="F166" i="19"/>
  <c r="B167" i="19"/>
  <c r="E167" i="19" s="1"/>
  <c r="H166" i="19"/>
  <c r="C166" i="19"/>
  <c r="D166" i="19"/>
  <c r="I167" i="9"/>
  <c r="J167" i="9" s="1"/>
  <c r="H168" i="9"/>
  <c r="F168" i="9"/>
  <c r="B169" i="9"/>
  <c r="E169" i="9" s="1"/>
  <c r="D168" i="9"/>
  <c r="C168" i="9"/>
  <c r="I165" i="39"/>
  <c r="J165" i="39" s="1"/>
  <c r="E166" i="39"/>
  <c r="E166" i="41"/>
  <c r="F166" i="17"/>
  <c r="G166" i="17" s="1"/>
  <c r="B167" i="17"/>
  <c r="E167" i="17" s="1"/>
  <c r="H166" i="17"/>
  <c r="C166" i="17"/>
  <c r="D166" i="17"/>
  <c r="I165" i="19"/>
  <c r="J165" i="19" s="1"/>
  <c r="K165" i="19" s="1"/>
  <c r="L165" i="19" s="1"/>
  <c r="E166" i="19"/>
  <c r="E168" i="9"/>
  <c r="I165" i="18"/>
  <c r="J165" i="18" s="1"/>
  <c r="K165" i="18" s="1"/>
  <c r="L165" i="18" s="1"/>
  <c r="M165" i="18" s="1"/>
  <c r="I165" i="42"/>
  <c r="J165" i="42" s="1"/>
  <c r="H166" i="42"/>
  <c r="F166" i="42"/>
  <c r="G166" i="42" s="1"/>
  <c r="B167" i="42"/>
  <c r="E167" i="42" s="1"/>
  <c r="C166" i="42"/>
  <c r="D166" i="42"/>
  <c r="H166" i="40"/>
  <c r="F166" i="40"/>
  <c r="G166" i="40" s="1"/>
  <c r="B167" i="40"/>
  <c r="E167" i="40" s="1"/>
  <c r="C166" i="40"/>
  <c r="D166" i="40"/>
  <c r="E168" i="4"/>
  <c r="O163" i="26"/>
  <c r="P163" i="26" s="1"/>
  <c r="Q163" i="26" s="1"/>
  <c r="K165" i="42" l="1"/>
  <c r="L165" i="42" s="1"/>
  <c r="M165" i="42" s="1"/>
  <c r="K166" i="8"/>
  <c r="L166" i="8" s="1"/>
  <c r="M166" i="8" s="1"/>
  <c r="M165" i="19"/>
  <c r="K165" i="41"/>
  <c r="L165" i="41" s="1"/>
  <c r="M165" i="41" s="1"/>
  <c r="K165" i="39"/>
  <c r="L165" i="39" s="1"/>
  <c r="M165" i="39" s="1"/>
  <c r="K167" i="9"/>
  <c r="L167" i="9" s="1"/>
  <c r="M167" i="9" s="1"/>
  <c r="J167" i="4"/>
  <c r="K167" i="4" s="1"/>
  <c r="L167" i="4" s="1"/>
  <c r="M167" i="4" s="1"/>
  <c r="G166" i="41"/>
  <c r="I166" i="42"/>
  <c r="J166" i="42" s="1"/>
  <c r="K166" i="42" s="1"/>
  <c r="L166" i="42" s="1"/>
  <c r="G168" i="4"/>
  <c r="I168" i="9"/>
  <c r="T18" i="9"/>
  <c r="P18" i="9"/>
  <c r="I166" i="40"/>
  <c r="J166" i="40" s="1"/>
  <c r="K166" i="40" s="1"/>
  <c r="L166" i="40" s="1"/>
  <c r="M166" i="40" s="1"/>
  <c r="J168" i="26"/>
  <c r="G168" i="26"/>
  <c r="H169" i="26"/>
  <c r="I169" i="26" s="1"/>
  <c r="D169" i="26"/>
  <c r="F169" i="26"/>
  <c r="C169" i="26"/>
  <c r="B170" i="26"/>
  <c r="E169" i="26"/>
  <c r="O167" i="25"/>
  <c r="P167" i="25" s="1"/>
  <c r="Q167" i="25" s="1"/>
  <c r="H168" i="25"/>
  <c r="I168" i="25" s="1"/>
  <c r="D168" i="25"/>
  <c r="C168" i="25"/>
  <c r="F168" i="25"/>
  <c r="B169" i="25"/>
  <c r="E168" i="25"/>
  <c r="I166" i="18"/>
  <c r="J166" i="18" s="1"/>
  <c r="K166" i="18" s="1"/>
  <c r="L166" i="18" s="1"/>
  <c r="M166" i="18" s="1"/>
  <c r="I168" i="4"/>
  <c r="I166" i="19"/>
  <c r="I166" i="39"/>
  <c r="I167" i="8"/>
  <c r="F167" i="40"/>
  <c r="G167" i="40" s="1"/>
  <c r="B168" i="40"/>
  <c r="H167" i="40"/>
  <c r="C167" i="40"/>
  <c r="D167" i="40"/>
  <c r="G168" i="9"/>
  <c r="I166" i="17"/>
  <c r="J166" i="17" s="1"/>
  <c r="K166" i="17" s="1"/>
  <c r="L166" i="17" s="1"/>
  <c r="M166" i="17" s="1"/>
  <c r="G166" i="39"/>
  <c r="I166" i="41"/>
  <c r="J166" i="41" s="1"/>
  <c r="K166" i="41" s="1"/>
  <c r="L166" i="41" s="1"/>
  <c r="H167" i="41"/>
  <c r="F167" i="41"/>
  <c r="G167" i="41" s="1"/>
  <c r="B168" i="41"/>
  <c r="E168" i="41" s="1"/>
  <c r="C167" i="41"/>
  <c r="D167" i="41"/>
  <c r="H167" i="18"/>
  <c r="F167" i="18"/>
  <c r="B168" i="18"/>
  <c r="E168" i="18" s="1"/>
  <c r="D167" i="18"/>
  <c r="C167" i="18"/>
  <c r="F169" i="4"/>
  <c r="B170" i="4"/>
  <c r="E170" i="4" s="1"/>
  <c r="H169" i="4"/>
  <c r="C169" i="4"/>
  <c r="D169" i="4"/>
  <c r="G166" i="19"/>
  <c r="E167" i="18"/>
  <c r="E169" i="4"/>
  <c r="B168" i="42"/>
  <c r="E168" i="42" s="1"/>
  <c r="F167" i="42"/>
  <c r="G167" i="42" s="1"/>
  <c r="H167" i="42"/>
  <c r="D167" i="42"/>
  <c r="C167" i="42"/>
  <c r="B168" i="17"/>
  <c r="E168" i="17" s="1"/>
  <c r="H167" i="17"/>
  <c r="F167" i="17"/>
  <c r="G167" i="17" s="1"/>
  <c r="D167" i="17"/>
  <c r="C167" i="17"/>
  <c r="F169" i="9"/>
  <c r="G169" i="9" s="1"/>
  <c r="B170" i="9"/>
  <c r="E170" i="9" s="1"/>
  <c r="H169" i="9"/>
  <c r="D169" i="9"/>
  <c r="C169" i="9"/>
  <c r="F167" i="19"/>
  <c r="G167" i="19" s="1"/>
  <c r="B168" i="19"/>
  <c r="E168" i="19" s="1"/>
  <c r="H167" i="19"/>
  <c r="C167" i="19"/>
  <c r="D167" i="19"/>
  <c r="H167" i="39"/>
  <c r="F167" i="39"/>
  <c r="G167" i="39" s="1"/>
  <c r="B168" i="39"/>
  <c r="E168" i="39" s="1"/>
  <c r="C167" i="39"/>
  <c r="D167" i="39"/>
  <c r="G167" i="8"/>
  <c r="F168" i="8"/>
  <c r="G168" i="8" s="1"/>
  <c r="B169" i="8"/>
  <c r="E169" i="8" s="1"/>
  <c r="H168" i="8"/>
  <c r="D168" i="8"/>
  <c r="C168" i="8"/>
  <c r="O164" i="26"/>
  <c r="P164" i="26" s="1"/>
  <c r="Q164" i="26" s="1"/>
  <c r="M166" i="42" l="1"/>
  <c r="M166" i="41"/>
  <c r="J166" i="39"/>
  <c r="K166" i="39" s="1"/>
  <c r="L166" i="39" s="1"/>
  <c r="M166" i="39" s="1"/>
  <c r="J166" i="19"/>
  <c r="K166" i="19" s="1"/>
  <c r="L166" i="19" s="1"/>
  <c r="M166" i="19" s="1"/>
  <c r="J167" i="8"/>
  <c r="K167" i="8" s="1"/>
  <c r="L167" i="8" s="1"/>
  <c r="M167" i="8" s="1"/>
  <c r="J168" i="9"/>
  <c r="K168" i="9" s="1"/>
  <c r="L168" i="9" s="1"/>
  <c r="M168" i="9" s="1"/>
  <c r="J168" i="4"/>
  <c r="K168" i="4" s="1"/>
  <c r="L168" i="4" s="1"/>
  <c r="M168" i="4" s="1"/>
  <c r="I167" i="18"/>
  <c r="S18" i="9"/>
  <c r="Q18" i="9"/>
  <c r="G167" i="18"/>
  <c r="I167" i="17"/>
  <c r="J167" i="17" s="1"/>
  <c r="K167" i="17" s="1"/>
  <c r="L167" i="17" s="1"/>
  <c r="M167" i="17" s="1"/>
  <c r="H170" i="26"/>
  <c r="I170" i="26" s="1"/>
  <c r="D170" i="26"/>
  <c r="B171" i="26"/>
  <c r="C170" i="26"/>
  <c r="F170" i="26"/>
  <c r="J169" i="26"/>
  <c r="G169" i="26"/>
  <c r="E170" i="26"/>
  <c r="B170" i="25"/>
  <c r="E170" i="25" s="1"/>
  <c r="H169" i="25"/>
  <c r="I169" i="25" s="1"/>
  <c r="D169" i="25"/>
  <c r="C169" i="25"/>
  <c r="F169" i="25"/>
  <c r="E169" i="25"/>
  <c r="G168" i="25"/>
  <c r="J168" i="25"/>
  <c r="O168" i="25" s="1"/>
  <c r="P168" i="25" s="1"/>
  <c r="Q168" i="25" s="1"/>
  <c r="I167" i="41"/>
  <c r="J167" i="41" s="1"/>
  <c r="K167" i="41" s="1"/>
  <c r="L167" i="41" s="1"/>
  <c r="M167" i="41" s="1"/>
  <c r="I167" i="39"/>
  <c r="J167" i="39" s="1"/>
  <c r="I169" i="9"/>
  <c r="J169" i="9" s="1"/>
  <c r="I169" i="4"/>
  <c r="I167" i="42"/>
  <c r="J167" i="42" s="1"/>
  <c r="K167" i="42" s="1"/>
  <c r="L167" i="42" s="1"/>
  <c r="M167" i="42" s="1"/>
  <c r="I168" i="8"/>
  <c r="J168" i="8" s="1"/>
  <c r="F168" i="40"/>
  <c r="B169" i="40"/>
  <c r="E169" i="40" s="1"/>
  <c r="H168" i="40"/>
  <c r="C168" i="40"/>
  <c r="D168" i="40"/>
  <c r="F168" i="39"/>
  <c r="G168" i="39" s="1"/>
  <c r="B169" i="39"/>
  <c r="E169" i="39" s="1"/>
  <c r="H168" i="39"/>
  <c r="C168" i="39"/>
  <c r="D168" i="39"/>
  <c r="B169" i="19"/>
  <c r="E169" i="19" s="1"/>
  <c r="H168" i="19"/>
  <c r="F168" i="19"/>
  <c r="G168" i="19" s="1"/>
  <c r="D168" i="19"/>
  <c r="C168" i="19"/>
  <c r="G169" i="4"/>
  <c r="F168" i="42"/>
  <c r="G168" i="42" s="1"/>
  <c r="H168" i="42"/>
  <c r="B169" i="42"/>
  <c r="E169" i="42" s="1"/>
  <c r="D168" i="42"/>
  <c r="C168" i="42"/>
  <c r="B170" i="8"/>
  <c r="E170" i="8" s="1"/>
  <c r="H169" i="8"/>
  <c r="F169" i="8"/>
  <c r="G169" i="8" s="1"/>
  <c r="D169" i="8"/>
  <c r="C169" i="8"/>
  <c r="I167" i="40"/>
  <c r="J167" i="40" s="1"/>
  <c r="K167" i="40" s="1"/>
  <c r="L167" i="40" s="1"/>
  <c r="M167" i="40" s="1"/>
  <c r="E168" i="40"/>
  <c r="I167" i="19"/>
  <c r="J167" i="19" s="1"/>
  <c r="F170" i="9"/>
  <c r="G170" i="9" s="1"/>
  <c r="B171" i="9"/>
  <c r="H170" i="9"/>
  <c r="C170" i="9"/>
  <c r="D170" i="9"/>
  <c r="H168" i="17"/>
  <c r="F168" i="17"/>
  <c r="G168" i="17" s="1"/>
  <c r="B169" i="17"/>
  <c r="D168" i="17"/>
  <c r="C168" i="17"/>
  <c r="F170" i="4"/>
  <c r="G170" i="4" s="1"/>
  <c r="B171" i="4"/>
  <c r="H170" i="4"/>
  <c r="C170" i="4"/>
  <c r="D170" i="4"/>
  <c r="F168" i="18"/>
  <c r="G168" i="18" s="1"/>
  <c r="B169" i="18"/>
  <c r="E169" i="18" s="1"/>
  <c r="H168" i="18"/>
  <c r="C168" i="18"/>
  <c r="D168" i="18"/>
  <c r="F168" i="41"/>
  <c r="G168" i="41" s="1"/>
  <c r="B169" i="41"/>
  <c r="H168" i="41"/>
  <c r="D168" i="41"/>
  <c r="C168" i="41"/>
  <c r="O165" i="26"/>
  <c r="P165" i="26" s="1"/>
  <c r="Q165" i="26" s="1"/>
  <c r="K167" i="19" l="1"/>
  <c r="L167" i="19" s="1"/>
  <c r="M167" i="19" s="1"/>
  <c r="K167" i="39"/>
  <c r="L167" i="39" s="1"/>
  <c r="M167" i="39" s="1"/>
  <c r="K168" i="8"/>
  <c r="L168" i="8" s="1"/>
  <c r="M168" i="8" s="1"/>
  <c r="J167" i="18"/>
  <c r="K167" i="18" s="1"/>
  <c r="L167" i="18" s="1"/>
  <c r="M167" i="18" s="1"/>
  <c r="K169" i="9"/>
  <c r="L169" i="9" s="1"/>
  <c r="M169" i="9" s="1"/>
  <c r="J169" i="4"/>
  <c r="K169" i="4" s="1"/>
  <c r="L169" i="4" s="1"/>
  <c r="M169" i="4" s="1"/>
  <c r="I168" i="19"/>
  <c r="J168" i="19" s="1"/>
  <c r="K168" i="19" s="1"/>
  <c r="L168" i="19" s="1"/>
  <c r="V19" i="9"/>
  <c r="O19" i="9"/>
  <c r="G168" i="40"/>
  <c r="B172" i="26"/>
  <c r="E172" i="26" s="1"/>
  <c r="C171" i="26"/>
  <c r="F171" i="26"/>
  <c r="H171" i="26"/>
  <c r="I171" i="26" s="1"/>
  <c r="D171" i="26"/>
  <c r="E171" i="26"/>
  <c r="G170" i="26"/>
  <c r="J170" i="26"/>
  <c r="G169" i="25"/>
  <c r="J169" i="25"/>
  <c r="O169" i="25" s="1"/>
  <c r="P169" i="25" s="1"/>
  <c r="Q169" i="25" s="1"/>
  <c r="G170" i="25"/>
  <c r="F170" i="25"/>
  <c r="J170" i="25" s="1"/>
  <c r="B171" i="25"/>
  <c r="H170" i="25"/>
  <c r="I170" i="25" s="1"/>
  <c r="D170" i="25"/>
  <c r="C170" i="25"/>
  <c r="I168" i="39"/>
  <c r="J168" i="39" s="1"/>
  <c r="K168" i="39" s="1"/>
  <c r="L168" i="39" s="1"/>
  <c r="I169" i="8"/>
  <c r="J169" i="8" s="1"/>
  <c r="K169" i="8" s="1"/>
  <c r="L169" i="8" s="1"/>
  <c r="I168" i="18"/>
  <c r="J168" i="18" s="1"/>
  <c r="I168" i="41"/>
  <c r="J168" i="41" s="1"/>
  <c r="K168" i="41" s="1"/>
  <c r="L168" i="41" s="1"/>
  <c r="M168" i="41" s="1"/>
  <c r="I170" i="9"/>
  <c r="J170" i="9" s="1"/>
  <c r="K170" i="9" s="1"/>
  <c r="L170" i="9" s="1"/>
  <c r="I168" i="42"/>
  <c r="J168" i="42" s="1"/>
  <c r="K168" i="42" s="1"/>
  <c r="L168" i="42" s="1"/>
  <c r="M168" i="42" s="1"/>
  <c r="B172" i="9"/>
  <c r="H171" i="9"/>
  <c r="F171" i="9"/>
  <c r="C171" i="9"/>
  <c r="D171" i="9"/>
  <c r="H170" i="8"/>
  <c r="F170" i="8"/>
  <c r="G170" i="8" s="1"/>
  <c r="B171" i="8"/>
  <c r="E171" i="8" s="1"/>
  <c r="C170" i="8"/>
  <c r="D170" i="8"/>
  <c r="H169" i="19"/>
  <c r="F169" i="19"/>
  <c r="G169" i="19" s="1"/>
  <c r="B170" i="19"/>
  <c r="E170" i="19" s="1"/>
  <c r="D169" i="19"/>
  <c r="C169" i="19"/>
  <c r="F169" i="39"/>
  <c r="G169" i="39" s="1"/>
  <c r="B170" i="39"/>
  <c r="E170" i="39" s="1"/>
  <c r="H169" i="39"/>
  <c r="C169" i="39"/>
  <c r="D169" i="39"/>
  <c r="I168" i="40"/>
  <c r="F169" i="41"/>
  <c r="B170" i="41"/>
  <c r="E170" i="41" s="1"/>
  <c r="H169" i="41"/>
  <c r="D169" i="41"/>
  <c r="C169" i="41"/>
  <c r="B172" i="4"/>
  <c r="E172" i="4" s="1"/>
  <c r="H171" i="4"/>
  <c r="F171" i="4"/>
  <c r="D171" i="4"/>
  <c r="C171" i="4"/>
  <c r="F169" i="17"/>
  <c r="B170" i="17"/>
  <c r="E170" i="17" s="1"/>
  <c r="H169" i="17"/>
  <c r="D169" i="17"/>
  <c r="C169" i="17"/>
  <c r="F169" i="18"/>
  <c r="G169" i="18" s="1"/>
  <c r="B170" i="18"/>
  <c r="E170" i="18" s="1"/>
  <c r="H169" i="18"/>
  <c r="C169" i="18"/>
  <c r="D169" i="18"/>
  <c r="B170" i="40"/>
  <c r="E170" i="40" s="1"/>
  <c r="H169" i="40"/>
  <c r="F169" i="40"/>
  <c r="G169" i="40" s="1"/>
  <c r="C169" i="40"/>
  <c r="D169" i="40"/>
  <c r="E169" i="41"/>
  <c r="E171" i="9"/>
  <c r="I170" i="4"/>
  <c r="J170" i="4" s="1"/>
  <c r="E171" i="4"/>
  <c r="I168" i="17"/>
  <c r="J168" i="17" s="1"/>
  <c r="K168" i="17" s="1"/>
  <c r="L168" i="17" s="1"/>
  <c r="M168" i="17" s="1"/>
  <c r="E169" i="17"/>
  <c r="B170" i="42"/>
  <c r="E170" i="42" s="1"/>
  <c r="H169" i="42"/>
  <c r="F169" i="42"/>
  <c r="G169" i="42" s="1"/>
  <c r="C169" i="42"/>
  <c r="D169" i="42"/>
  <c r="O166" i="26"/>
  <c r="P166" i="26" s="1"/>
  <c r="Q166" i="26" s="1"/>
  <c r="M168" i="39" l="1"/>
  <c r="M168" i="19"/>
  <c r="M169" i="8"/>
  <c r="K168" i="18"/>
  <c r="L168" i="18" s="1"/>
  <c r="M168" i="18" s="1"/>
  <c r="M170" i="9"/>
  <c r="J168" i="40"/>
  <c r="K168" i="40" s="1"/>
  <c r="L168" i="40" s="1"/>
  <c r="M168" i="40" s="1"/>
  <c r="K170" i="4"/>
  <c r="L170" i="4" s="1"/>
  <c r="M170" i="4" s="1"/>
  <c r="I169" i="19"/>
  <c r="J169" i="19" s="1"/>
  <c r="K169" i="19" s="1"/>
  <c r="L169" i="19" s="1"/>
  <c r="M169" i="19" s="1"/>
  <c r="T19" i="9"/>
  <c r="P19" i="9"/>
  <c r="G172" i="26"/>
  <c r="G171" i="26"/>
  <c r="J171" i="26"/>
  <c r="F172" i="26"/>
  <c r="J172" i="26" s="1"/>
  <c r="B173" i="26"/>
  <c r="C172" i="26"/>
  <c r="H172" i="26"/>
  <c r="I172" i="26" s="1"/>
  <c r="D172" i="26"/>
  <c r="O170" i="25"/>
  <c r="P170" i="25" s="1"/>
  <c r="Q170" i="25" s="1"/>
  <c r="C171" i="25"/>
  <c r="F171" i="25"/>
  <c r="B172" i="25"/>
  <c r="E172" i="25" s="1"/>
  <c r="D171" i="25"/>
  <c r="H171" i="25"/>
  <c r="I171" i="25" s="1"/>
  <c r="E171" i="25"/>
  <c r="I169" i="42"/>
  <c r="J169" i="42" s="1"/>
  <c r="K169" i="42" s="1"/>
  <c r="L169" i="42" s="1"/>
  <c r="M169" i="42" s="1"/>
  <c r="G169" i="17"/>
  <c r="G169" i="41"/>
  <c r="G171" i="4"/>
  <c r="G171" i="9"/>
  <c r="I171" i="4"/>
  <c r="I170" i="8"/>
  <c r="J170" i="8" s="1"/>
  <c r="K170" i="8" s="1"/>
  <c r="L170" i="8" s="1"/>
  <c r="M170" i="8" s="1"/>
  <c r="I169" i="40"/>
  <c r="J169" i="40" s="1"/>
  <c r="B171" i="18"/>
  <c r="H170" i="18"/>
  <c r="F170" i="18"/>
  <c r="G170" i="18" s="1"/>
  <c r="D170" i="18"/>
  <c r="C170" i="18"/>
  <c r="I169" i="17"/>
  <c r="I169" i="41"/>
  <c r="J169" i="41" s="1"/>
  <c r="K169" i="41" s="1"/>
  <c r="L169" i="41" s="1"/>
  <c r="M169" i="41" s="1"/>
  <c r="I169" i="39"/>
  <c r="J169" i="39" s="1"/>
  <c r="K169" i="39" s="1"/>
  <c r="L169" i="39" s="1"/>
  <c r="M169" i="39" s="1"/>
  <c r="I171" i="9"/>
  <c r="H172" i="9"/>
  <c r="F172" i="9"/>
  <c r="B173" i="9"/>
  <c r="E173" i="9" s="1"/>
  <c r="D172" i="9"/>
  <c r="C172" i="9"/>
  <c r="H170" i="40"/>
  <c r="F170" i="40"/>
  <c r="G170" i="40" s="1"/>
  <c r="B171" i="40"/>
  <c r="E171" i="40" s="1"/>
  <c r="D170" i="40"/>
  <c r="C170" i="40"/>
  <c r="I169" i="18"/>
  <c r="J169" i="18" s="1"/>
  <c r="K169" i="18" s="1"/>
  <c r="L169" i="18" s="1"/>
  <c r="B171" i="39"/>
  <c r="E171" i="39" s="1"/>
  <c r="H170" i="39"/>
  <c r="F170" i="39"/>
  <c r="G170" i="39" s="1"/>
  <c r="D170" i="39"/>
  <c r="C170" i="39"/>
  <c r="E172" i="9"/>
  <c r="H170" i="42"/>
  <c r="B171" i="42"/>
  <c r="E171" i="42" s="1"/>
  <c r="F170" i="42"/>
  <c r="G170" i="42" s="1"/>
  <c r="D170" i="42"/>
  <c r="C170" i="42"/>
  <c r="F170" i="17"/>
  <c r="G170" i="17" s="1"/>
  <c r="B171" i="17"/>
  <c r="E171" i="17" s="1"/>
  <c r="H170" i="17"/>
  <c r="C170" i="17"/>
  <c r="D170" i="17"/>
  <c r="H172" i="4"/>
  <c r="F172" i="4"/>
  <c r="G172" i="4" s="1"/>
  <c r="B173" i="4"/>
  <c r="C172" i="4"/>
  <c r="D172" i="4"/>
  <c r="B171" i="41"/>
  <c r="H170" i="41"/>
  <c r="F170" i="41"/>
  <c r="G170" i="41" s="1"/>
  <c r="C170" i="41"/>
  <c r="D170" i="41"/>
  <c r="F170" i="19"/>
  <c r="G170" i="19" s="1"/>
  <c r="B171" i="19"/>
  <c r="E171" i="19" s="1"/>
  <c r="H170" i="19"/>
  <c r="C170" i="19"/>
  <c r="D170" i="19"/>
  <c r="F171" i="8"/>
  <c r="G171" i="8" s="1"/>
  <c r="B172" i="8"/>
  <c r="H171" i="8"/>
  <c r="C171" i="8"/>
  <c r="D171" i="8"/>
  <c r="O167" i="26"/>
  <c r="P167" i="26" s="1"/>
  <c r="Q167" i="26" s="1"/>
  <c r="M169" i="18" l="1"/>
  <c r="K169" i="40"/>
  <c r="L169" i="40" s="1"/>
  <c r="M169" i="40" s="1"/>
  <c r="J169" i="17"/>
  <c r="K169" i="17" s="1"/>
  <c r="L169" i="17" s="1"/>
  <c r="M169" i="17" s="1"/>
  <c r="J171" i="9"/>
  <c r="K171" i="9" s="1"/>
  <c r="L171" i="9" s="1"/>
  <c r="M171" i="9" s="1"/>
  <c r="J171" i="4"/>
  <c r="K171" i="4" s="1"/>
  <c r="L171" i="4" s="1"/>
  <c r="M171" i="4" s="1"/>
  <c r="I170" i="42"/>
  <c r="J170" i="42" s="1"/>
  <c r="K170" i="42" s="1"/>
  <c r="L170" i="42" s="1"/>
  <c r="M170" i="42" s="1"/>
  <c r="I170" i="41"/>
  <c r="J170" i="41" s="1"/>
  <c r="K170" i="41" s="1"/>
  <c r="L170" i="41" s="1"/>
  <c r="M170" i="41" s="1"/>
  <c r="S19" i="9"/>
  <c r="Q19" i="9"/>
  <c r="H173" i="26"/>
  <c r="I173" i="26" s="1"/>
  <c r="D173" i="26"/>
  <c r="F173" i="26"/>
  <c r="B174" i="26"/>
  <c r="E174" i="26" s="1"/>
  <c r="C173" i="26"/>
  <c r="E173" i="26"/>
  <c r="G172" i="25"/>
  <c r="G171" i="25"/>
  <c r="J171" i="25"/>
  <c r="O171" i="25" s="1"/>
  <c r="P171" i="25" s="1"/>
  <c r="Q171" i="25" s="1"/>
  <c r="H172" i="25"/>
  <c r="I172" i="25" s="1"/>
  <c r="D172" i="25"/>
  <c r="C172" i="25"/>
  <c r="F172" i="25"/>
  <c r="J172" i="25" s="1"/>
  <c r="B173" i="25"/>
  <c r="E173" i="25" s="1"/>
  <c r="I170" i="39"/>
  <c r="J170" i="39" s="1"/>
  <c r="K170" i="39" s="1"/>
  <c r="L170" i="39" s="1"/>
  <c r="M170" i="39" s="1"/>
  <c r="I170" i="18"/>
  <c r="J170" i="18" s="1"/>
  <c r="K170" i="18" s="1"/>
  <c r="L170" i="18" s="1"/>
  <c r="M170" i="18" s="1"/>
  <c r="I172" i="9"/>
  <c r="G172" i="9"/>
  <c r="I170" i="17"/>
  <c r="J170" i="17" s="1"/>
  <c r="I172" i="4"/>
  <c r="J172" i="4" s="1"/>
  <c r="F172" i="8"/>
  <c r="B173" i="8"/>
  <c r="E173" i="8" s="1"/>
  <c r="H172" i="8"/>
  <c r="D172" i="8"/>
  <c r="C172" i="8"/>
  <c r="H171" i="41"/>
  <c r="B172" i="41"/>
  <c r="F171" i="41"/>
  <c r="D171" i="41"/>
  <c r="C171" i="41"/>
  <c r="I171" i="8"/>
  <c r="J171" i="8" s="1"/>
  <c r="K171" i="8" s="1"/>
  <c r="L171" i="8" s="1"/>
  <c r="M171" i="8" s="1"/>
  <c r="E172" i="8"/>
  <c r="I170" i="19"/>
  <c r="J170" i="19" s="1"/>
  <c r="K170" i="19" s="1"/>
  <c r="L170" i="19" s="1"/>
  <c r="M170" i="19" s="1"/>
  <c r="B172" i="17"/>
  <c r="H171" i="17"/>
  <c r="F171" i="17"/>
  <c r="G171" i="17" s="1"/>
  <c r="D171" i="17"/>
  <c r="C171" i="17"/>
  <c r="I170" i="40"/>
  <c r="J170" i="40" s="1"/>
  <c r="K170" i="40" s="1"/>
  <c r="L170" i="40" s="1"/>
  <c r="F173" i="4"/>
  <c r="B174" i="4"/>
  <c r="E174" i="4" s="1"/>
  <c r="H173" i="4"/>
  <c r="C173" i="4"/>
  <c r="D173" i="4"/>
  <c r="H171" i="18"/>
  <c r="F171" i="18"/>
  <c r="B172" i="18"/>
  <c r="D171" i="18"/>
  <c r="C171" i="18"/>
  <c r="F171" i="19"/>
  <c r="G171" i="19" s="1"/>
  <c r="B172" i="19"/>
  <c r="H171" i="19"/>
  <c r="C171" i="19"/>
  <c r="D171" i="19"/>
  <c r="F171" i="42"/>
  <c r="G171" i="42" s="1"/>
  <c r="H171" i="42"/>
  <c r="B172" i="42"/>
  <c r="E172" i="42" s="1"/>
  <c r="D171" i="42"/>
  <c r="C171" i="42"/>
  <c r="F171" i="40"/>
  <c r="G171" i="40" s="1"/>
  <c r="B172" i="40"/>
  <c r="E172" i="40" s="1"/>
  <c r="H171" i="40"/>
  <c r="C171" i="40"/>
  <c r="D171" i="40"/>
  <c r="E171" i="41"/>
  <c r="E173" i="4"/>
  <c r="H171" i="39"/>
  <c r="F171" i="39"/>
  <c r="G171" i="39" s="1"/>
  <c r="B172" i="39"/>
  <c r="E172" i="39" s="1"/>
  <c r="D171" i="39"/>
  <c r="C171" i="39"/>
  <c r="F173" i="9"/>
  <c r="G173" i="9" s="1"/>
  <c r="B174" i="9"/>
  <c r="E174" i="9" s="1"/>
  <c r="H173" i="9"/>
  <c r="D173" i="9"/>
  <c r="C173" i="9"/>
  <c r="E171" i="18"/>
  <c r="O168" i="26"/>
  <c r="P168" i="26" s="1"/>
  <c r="Q168" i="26" s="1"/>
  <c r="K170" i="17" l="1"/>
  <c r="L170" i="17" s="1"/>
  <c r="M170" i="17" s="1"/>
  <c r="M170" i="40"/>
  <c r="K172" i="4"/>
  <c r="L172" i="4" s="1"/>
  <c r="M172" i="4" s="1"/>
  <c r="J172" i="9"/>
  <c r="K172" i="9" s="1"/>
  <c r="L172" i="9" s="1"/>
  <c r="M172" i="9" s="1"/>
  <c r="G171" i="41"/>
  <c r="O20" i="9"/>
  <c r="V20" i="9"/>
  <c r="J173" i="26"/>
  <c r="G173" i="26"/>
  <c r="G174" i="26"/>
  <c r="H174" i="26"/>
  <c r="I174" i="26" s="1"/>
  <c r="D174" i="26"/>
  <c r="B175" i="26"/>
  <c r="C174" i="26"/>
  <c r="F174" i="26"/>
  <c r="J174" i="26" s="1"/>
  <c r="O172" i="25"/>
  <c r="P172" i="25" s="1"/>
  <c r="Q172" i="25" s="1"/>
  <c r="B174" i="25"/>
  <c r="E174" i="25" s="1"/>
  <c r="H173" i="25"/>
  <c r="I173" i="25" s="1"/>
  <c r="D173" i="25"/>
  <c r="C173" i="25"/>
  <c r="F173" i="25"/>
  <c r="J173" i="25" s="1"/>
  <c r="G173" i="25"/>
  <c r="I171" i="17"/>
  <c r="J171" i="17" s="1"/>
  <c r="K171" i="17" s="1"/>
  <c r="L171" i="17" s="1"/>
  <c r="G171" i="18"/>
  <c r="I173" i="9"/>
  <c r="J173" i="9" s="1"/>
  <c r="I173" i="4"/>
  <c r="I171" i="19"/>
  <c r="J171" i="19" s="1"/>
  <c r="K171" i="19" s="1"/>
  <c r="L171" i="19" s="1"/>
  <c r="M171" i="19" s="1"/>
  <c r="G172" i="8"/>
  <c r="G173" i="4"/>
  <c r="I172" i="8"/>
  <c r="I171" i="39"/>
  <c r="J171" i="39" s="1"/>
  <c r="K171" i="39" s="1"/>
  <c r="L171" i="39" s="1"/>
  <c r="M171" i="39" s="1"/>
  <c r="I171" i="40"/>
  <c r="J171" i="40" s="1"/>
  <c r="K171" i="40" s="1"/>
  <c r="L171" i="40" s="1"/>
  <c r="M171" i="40" s="1"/>
  <c r="B173" i="19"/>
  <c r="E173" i="19" s="1"/>
  <c r="H172" i="19"/>
  <c r="F172" i="19"/>
  <c r="D172" i="19"/>
  <c r="C172" i="19"/>
  <c r="F174" i="4"/>
  <c r="G174" i="4" s="1"/>
  <c r="B175" i="4"/>
  <c r="E175" i="4" s="1"/>
  <c r="H174" i="4"/>
  <c r="D174" i="4"/>
  <c r="C174" i="4"/>
  <c r="H172" i="17"/>
  <c r="F172" i="17"/>
  <c r="B173" i="17"/>
  <c r="E173" i="17" s="1"/>
  <c r="D172" i="17"/>
  <c r="C172" i="17"/>
  <c r="F172" i="42"/>
  <c r="G172" i="42" s="1"/>
  <c r="B173" i="42"/>
  <c r="H172" i="42"/>
  <c r="D172" i="42"/>
  <c r="C172" i="42"/>
  <c r="F172" i="18"/>
  <c r="B173" i="18"/>
  <c r="E173" i="18" s="1"/>
  <c r="H172" i="18"/>
  <c r="D172" i="18"/>
  <c r="C172" i="18"/>
  <c r="F172" i="41"/>
  <c r="B173" i="41"/>
  <c r="H172" i="41"/>
  <c r="D172" i="41"/>
  <c r="C172" i="41"/>
  <c r="F172" i="39"/>
  <c r="G172" i="39" s="1"/>
  <c r="B173" i="39"/>
  <c r="E173" i="39" s="1"/>
  <c r="H172" i="39"/>
  <c r="C172" i="39"/>
  <c r="D172" i="39"/>
  <c r="F172" i="40"/>
  <c r="G172" i="40" s="1"/>
  <c r="B173" i="40"/>
  <c r="E173" i="40" s="1"/>
  <c r="H172" i="40"/>
  <c r="D172" i="40"/>
  <c r="C172" i="40"/>
  <c r="E172" i="19"/>
  <c r="E172" i="17"/>
  <c r="I171" i="41"/>
  <c r="E172" i="41"/>
  <c r="F174" i="9"/>
  <c r="G174" i="9" s="1"/>
  <c r="B175" i="9"/>
  <c r="H174" i="9"/>
  <c r="C174" i="9"/>
  <c r="D174" i="9"/>
  <c r="I171" i="42"/>
  <c r="J171" i="42" s="1"/>
  <c r="K171" i="42" s="1"/>
  <c r="L171" i="42" s="1"/>
  <c r="M171" i="42" s="1"/>
  <c r="I171" i="18"/>
  <c r="E172" i="18"/>
  <c r="B174" i="8"/>
  <c r="E174" i="8" s="1"/>
  <c r="H173" i="8"/>
  <c r="F173" i="8"/>
  <c r="G173" i="8" s="1"/>
  <c r="C173" i="8"/>
  <c r="D173" i="8"/>
  <c r="O169" i="26"/>
  <c r="P169" i="26" s="1"/>
  <c r="Q169" i="26" s="1"/>
  <c r="M171" i="17" l="1"/>
  <c r="J171" i="41"/>
  <c r="K171" i="41" s="1"/>
  <c r="L171" i="41" s="1"/>
  <c r="M171" i="41" s="1"/>
  <c r="J171" i="18"/>
  <c r="K171" i="18" s="1"/>
  <c r="L171" i="18" s="1"/>
  <c r="M171" i="18" s="1"/>
  <c r="K173" i="9"/>
  <c r="L173" i="9" s="1"/>
  <c r="M173" i="9" s="1"/>
  <c r="J172" i="8"/>
  <c r="K172" i="8" s="1"/>
  <c r="L172" i="8" s="1"/>
  <c r="M172" i="8" s="1"/>
  <c r="J173" i="4"/>
  <c r="K173" i="4" s="1"/>
  <c r="L173" i="4" s="1"/>
  <c r="M173" i="4" s="1"/>
  <c r="G172" i="19"/>
  <c r="I172" i="19"/>
  <c r="G172" i="41"/>
  <c r="T20" i="9"/>
  <c r="P20" i="9"/>
  <c r="B176" i="26"/>
  <c r="E176" i="26" s="1"/>
  <c r="C175" i="26"/>
  <c r="F175" i="26"/>
  <c r="H175" i="26"/>
  <c r="I175" i="26" s="1"/>
  <c r="D175" i="26"/>
  <c r="E175" i="26"/>
  <c r="G174" i="25"/>
  <c r="O173" i="25"/>
  <c r="P173" i="25" s="1"/>
  <c r="Q173" i="25" s="1"/>
  <c r="F174" i="25"/>
  <c r="J174" i="25" s="1"/>
  <c r="B175" i="25"/>
  <c r="E175" i="25" s="1"/>
  <c r="D174" i="25"/>
  <c r="H174" i="25"/>
  <c r="I174" i="25" s="1"/>
  <c r="C174" i="25"/>
  <c r="I172" i="39"/>
  <c r="J172" i="39" s="1"/>
  <c r="K172" i="39" s="1"/>
  <c r="L172" i="39" s="1"/>
  <c r="M172" i="39" s="1"/>
  <c r="G172" i="18"/>
  <c r="I174" i="9"/>
  <c r="J174" i="9" s="1"/>
  <c r="K174" i="9" s="1"/>
  <c r="L174" i="9" s="1"/>
  <c r="I172" i="40"/>
  <c r="J172" i="40" s="1"/>
  <c r="K172" i="40" s="1"/>
  <c r="L172" i="40" s="1"/>
  <c r="M172" i="40" s="1"/>
  <c r="I172" i="18"/>
  <c r="F173" i="41"/>
  <c r="B174" i="41"/>
  <c r="H173" i="41"/>
  <c r="D173" i="41"/>
  <c r="C173" i="41"/>
  <c r="B174" i="42"/>
  <c r="H173" i="42"/>
  <c r="F173" i="42"/>
  <c r="C173" i="42"/>
  <c r="D173" i="42"/>
  <c r="I172" i="17"/>
  <c r="I173" i="8"/>
  <c r="J173" i="8" s="1"/>
  <c r="F173" i="39"/>
  <c r="G173" i="39" s="1"/>
  <c r="B174" i="39"/>
  <c r="H173" i="39"/>
  <c r="D173" i="39"/>
  <c r="C173" i="39"/>
  <c r="I172" i="41"/>
  <c r="I172" i="42"/>
  <c r="J172" i="42" s="1"/>
  <c r="K172" i="42" s="1"/>
  <c r="L172" i="42" s="1"/>
  <c r="M172" i="42" s="1"/>
  <c r="B176" i="4"/>
  <c r="H175" i="4"/>
  <c r="F175" i="4"/>
  <c r="G175" i="4" s="1"/>
  <c r="D175" i="4"/>
  <c r="C175" i="4"/>
  <c r="H173" i="19"/>
  <c r="F173" i="19"/>
  <c r="G173" i="19" s="1"/>
  <c r="B174" i="19"/>
  <c r="E174" i="19" s="1"/>
  <c r="C173" i="19"/>
  <c r="D173" i="19"/>
  <c r="B176" i="9"/>
  <c r="E176" i="9" s="1"/>
  <c r="H175" i="9"/>
  <c r="F175" i="9"/>
  <c r="D175" i="9"/>
  <c r="C175" i="9"/>
  <c r="H174" i="8"/>
  <c r="F174" i="8"/>
  <c r="G174" i="8" s="1"/>
  <c r="B175" i="8"/>
  <c r="E175" i="8" s="1"/>
  <c r="D174" i="8"/>
  <c r="C174" i="8"/>
  <c r="E175" i="9"/>
  <c r="G172" i="17"/>
  <c r="E173" i="41"/>
  <c r="F173" i="18"/>
  <c r="G173" i="18" s="1"/>
  <c r="B174" i="18"/>
  <c r="E174" i="18" s="1"/>
  <c r="H173" i="18"/>
  <c r="C173" i="18"/>
  <c r="D173" i="18"/>
  <c r="E173" i="42"/>
  <c r="F173" i="17"/>
  <c r="G173" i="17" s="1"/>
  <c r="B174" i="17"/>
  <c r="E174" i="17" s="1"/>
  <c r="H173" i="17"/>
  <c r="D173" i="17"/>
  <c r="C173" i="17"/>
  <c r="I174" i="4"/>
  <c r="J174" i="4" s="1"/>
  <c r="B174" i="40"/>
  <c r="E174" i="40" s="1"/>
  <c r="H173" i="40"/>
  <c r="F173" i="40"/>
  <c r="G173" i="40" s="1"/>
  <c r="D173" i="40"/>
  <c r="C173" i="40"/>
  <c r="O170" i="26"/>
  <c r="P170" i="26" s="1"/>
  <c r="Q170" i="26" s="1"/>
  <c r="J172" i="41" l="1"/>
  <c r="K172" i="41" s="1"/>
  <c r="L172" i="41" s="1"/>
  <c r="M172" i="41" s="1"/>
  <c r="M174" i="9"/>
  <c r="K173" i="8"/>
  <c r="L173" i="8" s="1"/>
  <c r="M173" i="8" s="1"/>
  <c r="K174" i="4"/>
  <c r="L174" i="4" s="1"/>
  <c r="M174" i="4" s="1"/>
  <c r="J172" i="19"/>
  <c r="K172" i="19" s="1"/>
  <c r="L172" i="19" s="1"/>
  <c r="M172" i="19" s="1"/>
  <c r="J172" i="17"/>
  <c r="K172" i="17" s="1"/>
  <c r="L172" i="17" s="1"/>
  <c r="M172" i="17" s="1"/>
  <c r="J172" i="18"/>
  <c r="K172" i="18" s="1"/>
  <c r="L172" i="18" s="1"/>
  <c r="M172" i="18" s="1"/>
  <c r="I174" i="8"/>
  <c r="J174" i="8" s="1"/>
  <c r="K174" i="8" s="1"/>
  <c r="L174" i="8" s="1"/>
  <c r="G173" i="42"/>
  <c r="S20" i="9"/>
  <c r="Q20" i="9"/>
  <c r="G173" i="41"/>
  <c r="I173" i="19"/>
  <c r="J173" i="19" s="1"/>
  <c r="G175" i="26"/>
  <c r="J175" i="26"/>
  <c r="G176" i="26"/>
  <c r="F176" i="26"/>
  <c r="J176" i="26" s="1"/>
  <c r="B177" i="26"/>
  <c r="C176" i="26"/>
  <c r="D176" i="26"/>
  <c r="H176" i="26"/>
  <c r="I176" i="26" s="1"/>
  <c r="G175" i="25"/>
  <c r="O174" i="25"/>
  <c r="P174" i="25" s="1"/>
  <c r="Q174" i="25" s="1"/>
  <c r="C175" i="25"/>
  <c r="F175" i="25"/>
  <c r="J175" i="25" s="1"/>
  <c r="B176" i="25"/>
  <c r="H175" i="25"/>
  <c r="I175" i="25" s="1"/>
  <c r="D175" i="25"/>
  <c r="I173" i="40"/>
  <c r="J173" i="40" s="1"/>
  <c r="K173" i="40" s="1"/>
  <c r="L173" i="40" s="1"/>
  <c r="M173" i="40" s="1"/>
  <c r="I173" i="42"/>
  <c r="I175" i="9"/>
  <c r="I175" i="4"/>
  <c r="J175" i="4" s="1"/>
  <c r="K175" i="4" s="1"/>
  <c r="L175" i="4" s="1"/>
  <c r="I173" i="17"/>
  <c r="J173" i="17" s="1"/>
  <c r="I173" i="41"/>
  <c r="H176" i="4"/>
  <c r="F176" i="4"/>
  <c r="B177" i="4"/>
  <c r="D176" i="4"/>
  <c r="C176" i="4"/>
  <c r="B175" i="39"/>
  <c r="E175" i="39" s="1"/>
  <c r="H174" i="39"/>
  <c r="F174" i="39"/>
  <c r="D174" i="39"/>
  <c r="C174" i="39"/>
  <c r="H174" i="42"/>
  <c r="B175" i="42"/>
  <c r="E175" i="42" s="1"/>
  <c r="F174" i="42"/>
  <c r="C174" i="42"/>
  <c r="D174" i="42"/>
  <c r="B175" i="41"/>
  <c r="E175" i="41" s="1"/>
  <c r="H174" i="41"/>
  <c r="F174" i="41"/>
  <c r="C174" i="41"/>
  <c r="D174" i="41"/>
  <c r="H174" i="40"/>
  <c r="F174" i="40"/>
  <c r="G174" i="40" s="1"/>
  <c r="B175" i="40"/>
  <c r="E175" i="40" s="1"/>
  <c r="D174" i="40"/>
  <c r="C174" i="40"/>
  <c r="B175" i="18"/>
  <c r="E175" i="18" s="1"/>
  <c r="H174" i="18"/>
  <c r="F174" i="18"/>
  <c r="G174" i="18" s="1"/>
  <c r="D174" i="18"/>
  <c r="C174" i="18"/>
  <c r="G175" i="9"/>
  <c r="I173" i="39"/>
  <c r="J173" i="39" s="1"/>
  <c r="K173" i="39" s="1"/>
  <c r="L173" i="39" s="1"/>
  <c r="M173" i="39" s="1"/>
  <c r="F174" i="17"/>
  <c r="G174" i="17" s="1"/>
  <c r="B175" i="17"/>
  <c r="E175" i="17" s="1"/>
  <c r="H174" i="17"/>
  <c r="D174" i="17"/>
  <c r="C174" i="17"/>
  <c r="E176" i="4"/>
  <c r="E174" i="39"/>
  <c r="E174" i="42"/>
  <c r="E174" i="41"/>
  <c r="I173" i="18"/>
  <c r="J173" i="18" s="1"/>
  <c r="F175" i="8"/>
  <c r="G175" i="8" s="1"/>
  <c r="B176" i="8"/>
  <c r="E176" i="8" s="1"/>
  <c r="H175" i="8"/>
  <c r="D175" i="8"/>
  <c r="C175" i="8"/>
  <c r="H176" i="9"/>
  <c r="F176" i="9"/>
  <c r="G176" i="9" s="1"/>
  <c r="B177" i="9"/>
  <c r="D176" i="9"/>
  <c r="C176" i="9"/>
  <c r="F174" i="19"/>
  <c r="G174" i="19" s="1"/>
  <c r="B175" i="19"/>
  <c r="E175" i="19" s="1"/>
  <c r="H174" i="19"/>
  <c r="D174" i="19"/>
  <c r="C174" i="19"/>
  <c r="O171" i="26"/>
  <c r="P171" i="26" s="1"/>
  <c r="Q171" i="26" s="1"/>
  <c r="K173" i="18" l="1"/>
  <c r="L173" i="18" s="1"/>
  <c r="M173" i="18" s="1"/>
  <c r="M174" i="8"/>
  <c r="M175" i="4"/>
  <c r="K173" i="17"/>
  <c r="L173" i="17" s="1"/>
  <c r="M173" i="17" s="1"/>
  <c r="K173" i="19"/>
  <c r="L173" i="19" s="1"/>
  <c r="M173" i="19" s="1"/>
  <c r="J173" i="41"/>
  <c r="K173" i="41" s="1"/>
  <c r="L173" i="41" s="1"/>
  <c r="M173" i="41" s="1"/>
  <c r="J173" i="42"/>
  <c r="K173" i="42" s="1"/>
  <c r="L173" i="42" s="1"/>
  <c r="M173" i="42" s="1"/>
  <c r="J175" i="9"/>
  <c r="K175" i="9" s="1"/>
  <c r="L175" i="9" s="1"/>
  <c r="M175" i="9" s="1"/>
  <c r="I176" i="4"/>
  <c r="V21" i="9"/>
  <c r="O21" i="9"/>
  <c r="G174" i="39"/>
  <c r="G174" i="41"/>
  <c r="H177" i="26"/>
  <c r="I177" i="26" s="1"/>
  <c r="D177" i="26"/>
  <c r="F177" i="26"/>
  <c r="B178" i="26"/>
  <c r="E178" i="26" s="1"/>
  <c r="C177" i="26"/>
  <c r="E177" i="26"/>
  <c r="O175" i="25"/>
  <c r="P175" i="25" s="1"/>
  <c r="Q175" i="25" s="1"/>
  <c r="I174" i="42"/>
  <c r="H176" i="25"/>
  <c r="I176" i="25" s="1"/>
  <c r="D176" i="25"/>
  <c r="C176" i="25"/>
  <c r="F176" i="25"/>
  <c r="B177" i="25"/>
  <c r="E177" i="25" s="1"/>
  <c r="E176" i="25"/>
  <c r="I174" i="41"/>
  <c r="G176" i="4"/>
  <c r="I175" i="8"/>
  <c r="J175" i="8" s="1"/>
  <c r="K175" i="8" s="1"/>
  <c r="L175" i="8" s="1"/>
  <c r="M175" i="8" s="1"/>
  <c r="I174" i="39"/>
  <c r="G174" i="42"/>
  <c r="I174" i="18"/>
  <c r="J174" i="18" s="1"/>
  <c r="K174" i="18" s="1"/>
  <c r="L174" i="18" s="1"/>
  <c r="I174" i="19"/>
  <c r="J174" i="19" s="1"/>
  <c r="K174" i="19" s="1"/>
  <c r="L174" i="19" s="1"/>
  <c r="I174" i="17"/>
  <c r="J174" i="17" s="1"/>
  <c r="K174" i="17" s="1"/>
  <c r="L174" i="17" s="1"/>
  <c r="I174" i="40"/>
  <c r="J174" i="40" s="1"/>
  <c r="K174" i="40" s="1"/>
  <c r="L174" i="40" s="1"/>
  <c r="M174" i="40" s="1"/>
  <c r="F177" i="4"/>
  <c r="B178" i="4"/>
  <c r="E178" i="4" s="1"/>
  <c r="H177" i="4"/>
  <c r="D177" i="4"/>
  <c r="C177" i="4"/>
  <c r="F177" i="9"/>
  <c r="B178" i="9"/>
  <c r="H177" i="9"/>
  <c r="C177" i="9"/>
  <c r="D177" i="9"/>
  <c r="I176" i="9"/>
  <c r="J176" i="9" s="1"/>
  <c r="E177" i="9"/>
  <c r="F175" i="40"/>
  <c r="G175" i="40" s="1"/>
  <c r="B176" i="40"/>
  <c r="H175" i="40"/>
  <c r="D175" i="40"/>
  <c r="C175" i="40"/>
  <c r="F175" i="42"/>
  <c r="G175" i="42" s="1"/>
  <c r="H175" i="42"/>
  <c r="B176" i="42"/>
  <c r="E176" i="42" s="1"/>
  <c r="D175" i="42"/>
  <c r="C175" i="42"/>
  <c r="H175" i="39"/>
  <c r="F175" i="39"/>
  <c r="G175" i="39" s="1"/>
  <c r="B176" i="39"/>
  <c r="E176" i="39" s="1"/>
  <c r="C175" i="39"/>
  <c r="D175" i="39"/>
  <c r="F175" i="19"/>
  <c r="G175" i="19" s="1"/>
  <c r="B176" i="19"/>
  <c r="E176" i="19" s="1"/>
  <c r="H175" i="19"/>
  <c r="D175" i="19"/>
  <c r="C175" i="19"/>
  <c r="F176" i="8"/>
  <c r="G176" i="8" s="1"/>
  <c r="B177" i="8"/>
  <c r="H176" i="8"/>
  <c r="C176" i="8"/>
  <c r="D176" i="8"/>
  <c r="B176" i="17"/>
  <c r="H175" i="17"/>
  <c r="F175" i="17"/>
  <c r="G175" i="17" s="1"/>
  <c r="C175" i="17"/>
  <c r="D175" i="17"/>
  <c r="H175" i="18"/>
  <c r="F175" i="18"/>
  <c r="G175" i="18" s="1"/>
  <c r="B176" i="18"/>
  <c r="E176" i="18" s="1"/>
  <c r="D175" i="18"/>
  <c r="C175" i="18"/>
  <c r="H175" i="41"/>
  <c r="F175" i="41"/>
  <c r="G175" i="41" s="1"/>
  <c r="B176" i="41"/>
  <c r="E176" i="41" s="1"/>
  <c r="D175" i="41"/>
  <c r="C175" i="41"/>
  <c r="E177" i="4"/>
  <c r="O172" i="26"/>
  <c r="P172" i="26" s="1"/>
  <c r="Q172" i="26" s="1"/>
  <c r="J176" i="4" l="1"/>
  <c r="K176" i="4" s="1"/>
  <c r="L176" i="4" s="1"/>
  <c r="M176" i="4" s="1"/>
  <c r="M174" i="18"/>
  <c r="M174" i="17"/>
  <c r="M174" i="19"/>
  <c r="K176" i="9"/>
  <c r="L176" i="9" s="1"/>
  <c r="M176" i="9" s="1"/>
  <c r="J174" i="41"/>
  <c r="K174" i="41" s="1"/>
  <c r="L174" i="41" s="1"/>
  <c r="M174" i="41" s="1"/>
  <c r="J174" i="42"/>
  <c r="K174" i="42" s="1"/>
  <c r="L174" i="42" s="1"/>
  <c r="M174" i="42" s="1"/>
  <c r="J174" i="39"/>
  <c r="K174" i="39" s="1"/>
  <c r="L174" i="39" s="1"/>
  <c r="M174" i="39" s="1"/>
  <c r="I175" i="41"/>
  <c r="J175" i="41" s="1"/>
  <c r="I175" i="18"/>
  <c r="J175" i="18" s="1"/>
  <c r="K175" i="18" s="1"/>
  <c r="L175" i="18" s="1"/>
  <c r="M175" i="18" s="1"/>
  <c r="T21" i="9"/>
  <c r="P21" i="9"/>
  <c r="G178" i="26"/>
  <c r="J177" i="26"/>
  <c r="G177" i="26"/>
  <c r="H178" i="26"/>
  <c r="I178" i="26" s="1"/>
  <c r="D178" i="26"/>
  <c r="B179" i="26"/>
  <c r="C178" i="26"/>
  <c r="F178" i="26"/>
  <c r="J178" i="26" s="1"/>
  <c r="G177" i="25"/>
  <c r="G176" i="25"/>
  <c r="J176" i="25"/>
  <c r="O176" i="25" s="1"/>
  <c r="P176" i="25" s="1"/>
  <c r="Q176" i="25" s="1"/>
  <c r="B178" i="25"/>
  <c r="E178" i="25" s="1"/>
  <c r="H177" i="25"/>
  <c r="I177" i="25" s="1"/>
  <c r="D177" i="25"/>
  <c r="C177" i="25"/>
  <c r="F177" i="25"/>
  <c r="J177" i="25" s="1"/>
  <c r="I175" i="17"/>
  <c r="J175" i="17" s="1"/>
  <c r="K175" i="17" s="1"/>
  <c r="L175" i="17" s="1"/>
  <c r="M175" i="17" s="1"/>
  <c r="G177" i="4"/>
  <c r="I176" i="8"/>
  <c r="J176" i="8" s="1"/>
  <c r="K176" i="8" s="1"/>
  <c r="L176" i="8" s="1"/>
  <c r="M176" i="8" s="1"/>
  <c r="I177" i="9"/>
  <c r="I175" i="40"/>
  <c r="J175" i="40" s="1"/>
  <c r="K175" i="40" s="1"/>
  <c r="L175" i="40" s="1"/>
  <c r="M175" i="40" s="1"/>
  <c r="I175" i="39"/>
  <c r="J175" i="39" s="1"/>
  <c r="B178" i="8"/>
  <c r="E178" i="8" s="1"/>
  <c r="H177" i="8"/>
  <c r="F177" i="8"/>
  <c r="C177" i="8"/>
  <c r="D177" i="8"/>
  <c r="F176" i="41"/>
  <c r="G176" i="41" s="1"/>
  <c r="B177" i="41"/>
  <c r="E177" i="41" s="1"/>
  <c r="H176" i="41"/>
  <c r="C176" i="41"/>
  <c r="D176" i="41"/>
  <c r="I175" i="19"/>
  <c r="J175" i="19" s="1"/>
  <c r="K175" i="19" s="1"/>
  <c r="L175" i="19" s="1"/>
  <c r="M175" i="19" s="1"/>
  <c r="F176" i="39"/>
  <c r="G176" i="39" s="1"/>
  <c r="B177" i="39"/>
  <c r="H176" i="39"/>
  <c r="C176" i="39"/>
  <c r="D176" i="39"/>
  <c r="I175" i="42"/>
  <c r="J175" i="42" s="1"/>
  <c r="G177" i="9"/>
  <c r="I177" i="4"/>
  <c r="F176" i="40"/>
  <c r="B177" i="40"/>
  <c r="H176" i="40"/>
  <c r="D176" i="40"/>
  <c r="C176" i="40"/>
  <c r="F178" i="9"/>
  <c r="B179" i="9"/>
  <c r="E179" i="9" s="1"/>
  <c r="H178" i="9"/>
  <c r="D178" i="9"/>
  <c r="C178" i="9"/>
  <c r="F176" i="42"/>
  <c r="G176" i="42" s="1"/>
  <c r="B177" i="42"/>
  <c r="E177" i="42" s="1"/>
  <c r="H176" i="42"/>
  <c r="D176" i="42"/>
  <c r="C176" i="42"/>
  <c r="H176" i="17"/>
  <c r="F176" i="17"/>
  <c r="B177" i="17"/>
  <c r="E177" i="17" s="1"/>
  <c r="C176" i="17"/>
  <c r="D176" i="17"/>
  <c r="F176" i="18"/>
  <c r="G176" i="18" s="1"/>
  <c r="B177" i="18"/>
  <c r="E177" i="18" s="1"/>
  <c r="H176" i="18"/>
  <c r="D176" i="18"/>
  <c r="C176" i="18"/>
  <c r="E176" i="17"/>
  <c r="E177" i="8"/>
  <c r="B177" i="19"/>
  <c r="E177" i="19" s="1"/>
  <c r="H176" i="19"/>
  <c r="F176" i="19"/>
  <c r="G176" i="19" s="1"/>
  <c r="C176" i="19"/>
  <c r="D176" i="19"/>
  <c r="E176" i="40"/>
  <c r="E178" i="9"/>
  <c r="F178" i="4"/>
  <c r="G178" i="4" s="1"/>
  <c r="B179" i="4"/>
  <c r="E179" i="4" s="1"/>
  <c r="H178" i="4"/>
  <c r="D178" i="4"/>
  <c r="C178" i="4"/>
  <c r="O173" i="26"/>
  <c r="P173" i="26" s="1"/>
  <c r="Q173" i="26" s="1"/>
  <c r="J177" i="4" l="1"/>
  <c r="K177" i="4" s="1"/>
  <c r="L177" i="4" s="1"/>
  <c r="M177" i="4" s="1"/>
  <c r="J177" i="9"/>
  <c r="K177" i="9" s="1"/>
  <c r="L177" i="9" s="1"/>
  <c r="M177" i="9" s="1"/>
  <c r="K175" i="41"/>
  <c r="L175" i="41" s="1"/>
  <c r="M175" i="41" s="1"/>
  <c r="K175" i="42"/>
  <c r="L175" i="42" s="1"/>
  <c r="M175" i="42" s="1"/>
  <c r="K175" i="39"/>
  <c r="L175" i="39" s="1"/>
  <c r="M175" i="39" s="1"/>
  <c r="S21" i="9"/>
  <c r="Q21" i="9"/>
  <c r="B180" i="26"/>
  <c r="E180" i="26" s="1"/>
  <c r="C179" i="26"/>
  <c r="F179" i="26"/>
  <c r="H179" i="26"/>
  <c r="I179" i="26" s="1"/>
  <c r="D179" i="26"/>
  <c r="I176" i="39"/>
  <c r="J176" i="39" s="1"/>
  <c r="K176" i="39" s="1"/>
  <c r="L176" i="39" s="1"/>
  <c r="E179" i="26"/>
  <c r="O177" i="25"/>
  <c r="P177" i="25" s="1"/>
  <c r="Q177" i="25" s="1"/>
  <c r="G178" i="25"/>
  <c r="F178" i="25"/>
  <c r="J178" i="25" s="1"/>
  <c r="B179" i="25"/>
  <c r="E179" i="25" s="1"/>
  <c r="H178" i="25"/>
  <c r="I178" i="25" s="1"/>
  <c r="D178" i="25"/>
  <c r="C178" i="25"/>
  <c r="G176" i="40"/>
  <c r="G177" i="8"/>
  <c r="I178" i="9"/>
  <c r="G178" i="9"/>
  <c r="I178" i="4"/>
  <c r="J178" i="4" s="1"/>
  <c r="I176" i="17"/>
  <c r="I176" i="42"/>
  <c r="J176" i="42" s="1"/>
  <c r="K176" i="42" s="1"/>
  <c r="L176" i="42" s="1"/>
  <c r="I176" i="19"/>
  <c r="J176" i="19" s="1"/>
  <c r="K176" i="19" s="1"/>
  <c r="L176" i="19" s="1"/>
  <c r="M176" i="19" s="1"/>
  <c r="I176" i="41"/>
  <c r="J176" i="41" s="1"/>
  <c r="K176" i="41" s="1"/>
  <c r="L176" i="41" s="1"/>
  <c r="I176" i="18"/>
  <c r="J176" i="18" s="1"/>
  <c r="K176" i="18" s="1"/>
  <c r="L176" i="18" s="1"/>
  <c r="M176" i="18" s="1"/>
  <c r="I177" i="8"/>
  <c r="B178" i="40"/>
  <c r="E178" i="40" s="1"/>
  <c r="H177" i="40"/>
  <c r="F177" i="40"/>
  <c r="C177" i="40"/>
  <c r="D177" i="40"/>
  <c r="G176" i="17"/>
  <c r="F177" i="18"/>
  <c r="G177" i="18" s="1"/>
  <c r="B178" i="18"/>
  <c r="E178" i="18" s="1"/>
  <c r="H177" i="18"/>
  <c r="D177" i="18"/>
  <c r="C177" i="18"/>
  <c r="I176" i="40"/>
  <c r="F177" i="39"/>
  <c r="B178" i="39"/>
  <c r="E178" i="39" s="1"/>
  <c r="H177" i="39"/>
  <c r="D177" i="39"/>
  <c r="C177" i="39"/>
  <c r="H177" i="19"/>
  <c r="F177" i="19"/>
  <c r="G177" i="19" s="1"/>
  <c r="B178" i="19"/>
  <c r="D177" i="19"/>
  <c r="C177" i="19"/>
  <c r="B178" i="17"/>
  <c r="E178" i="17" s="1"/>
  <c r="H177" i="17"/>
  <c r="F177" i="17"/>
  <c r="G177" i="17" s="1"/>
  <c r="C177" i="17"/>
  <c r="D177" i="17"/>
  <c r="B178" i="42"/>
  <c r="E178" i="42" s="1"/>
  <c r="H177" i="42"/>
  <c r="F177" i="42"/>
  <c r="G177" i="42" s="1"/>
  <c r="D177" i="42"/>
  <c r="C177" i="42"/>
  <c r="B180" i="9"/>
  <c r="E180" i="9" s="1"/>
  <c r="H179" i="9"/>
  <c r="F179" i="9"/>
  <c r="G179" i="9" s="1"/>
  <c r="D179" i="9"/>
  <c r="C179" i="9"/>
  <c r="E177" i="40"/>
  <c r="B180" i="4"/>
  <c r="E180" i="4" s="1"/>
  <c r="H179" i="4"/>
  <c r="F179" i="4"/>
  <c r="G179" i="4" s="1"/>
  <c r="C179" i="4"/>
  <c r="D179" i="4"/>
  <c r="E177" i="39"/>
  <c r="F177" i="41"/>
  <c r="G177" i="41" s="1"/>
  <c r="B178" i="41"/>
  <c r="E178" i="41" s="1"/>
  <c r="H177" i="41"/>
  <c r="D177" i="41"/>
  <c r="C177" i="41"/>
  <c r="H178" i="8"/>
  <c r="F178" i="8"/>
  <c r="G178" i="8" s="1"/>
  <c r="B179" i="8"/>
  <c r="E179" i="8" s="1"/>
  <c r="C178" i="8"/>
  <c r="D178" i="8"/>
  <c r="O174" i="26"/>
  <c r="P174" i="26" s="1"/>
  <c r="Q174" i="26" s="1"/>
  <c r="K178" i="4" l="1"/>
  <c r="L178" i="4" s="1"/>
  <c r="M178" i="4" s="1"/>
  <c r="J176" i="40"/>
  <c r="K176" i="40" s="1"/>
  <c r="L176" i="40" s="1"/>
  <c r="M176" i="40" s="1"/>
  <c r="J176" i="17"/>
  <c r="K176" i="17" s="1"/>
  <c r="L176" i="17" s="1"/>
  <c r="M176" i="17" s="1"/>
  <c r="J177" i="8"/>
  <c r="K177" i="8" s="1"/>
  <c r="L177" i="8" s="1"/>
  <c r="M177" i="8" s="1"/>
  <c r="J178" i="9"/>
  <c r="K178" i="9" s="1"/>
  <c r="L178" i="9" s="1"/>
  <c r="M178" i="9" s="1"/>
  <c r="M176" i="41"/>
  <c r="M176" i="42"/>
  <c r="M176" i="39"/>
  <c r="O22" i="9"/>
  <c r="V22" i="9"/>
  <c r="I177" i="18"/>
  <c r="J177" i="18" s="1"/>
  <c r="K177" i="18" s="1"/>
  <c r="L177" i="18" s="1"/>
  <c r="M177" i="18" s="1"/>
  <c r="G180" i="26"/>
  <c r="G179" i="26"/>
  <c r="J179" i="26"/>
  <c r="F180" i="26"/>
  <c r="J180" i="26" s="1"/>
  <c r="B181" i="26"/>
  <c r="C180" i="26"/>
  <c r="H180" i="26"/>
  <c r="I180" i="26" s="1"/>
  <c r="D180" i="26"/>
  <c r="O178" i="25"/>
  <c r="P178" i="25" s="1"/>
  <c r="Q178" i="25" s="1"/>
  <c r="G179" i="25"/>
  <c r="C179" i="25"/>
  <c r="F179" i="25"/>
  <c r="J179" i="25" s="1"/>
  <c r="B180" i="25"/>
  <c r="H179" i="25"/>
  <c r="I179" i="25" s="1"/>
  <c r="D179" i="25"/>
  <c r="G177" i="40"/>
  <c r="I177" i="42"/>
  <c r="J177" i="42" s="1"/>
  <c r="K177" i="42" s="1"/>
  <c r="L177" i="42" s="1"/>
  <c r="M177" i="42" s="1"/>
  <c r="I179" i="4"/>
  <c r="J179" i="4" s="1"/>
  <c r="K179" i="4" s="1"/>
  <c r="L179" i="4" s="1"/>
  <c r="I178" i="8"/>
  <c r="J178" i="8" s="1"/>
  <c r="I177" i="40"/>
  <c r="I177" i="41"/>
  <c r="J177" i="41" s="1"/>
  <c r="K177" i="41" s="1"/>
  <c r="L177" i="41" s="1"/>
  <c r="M177" i="41" s="1"/>
  <c r="I179" i="9"/>
  <c r="J179" i="9" s="1"/>
  <c r="G177" i="39"/>
  <c r="F178" i="17"/>
  <c r="G178" i="17" s="1"/>
  <c r="B179" i="17"/>
  <c r="E179" i="17" s="1"/>
  <c r="H178" i="17"/>
  <c r="C178" i="17"/>
  <c r="D178" i="17"/>
  <c r="F178" i="19"/>
  <c r="B179" i="19"/>
  <c r="H178" i="19"/>
  <c r="C178" i="19"/>
  <c r="D178" i="19"/>
  <c r="B179" i="39"/>
  <c r="H178" i="39"/>
  <c r="F178" i="39"/>
  <c r="G178" i="39" s="1"/>
  <c r="D178" i="39"/>
  <c r="C178" i="39"/>
  <c r="H180" i="4"/>
  <c r="F180" i="4"/>
  <c r="G180" i="4" s="1"/>
  <c r="B181" i="4"/>
  <c r="E181" i="4" s="1"/>
  <c r="D180" i="4"/>
  <c r="C180" i="4"/>
  <c r="I177" i="17"/>
  <c r="J177" i="17" s="1"/>
  <c r="I177" i="39"/>
  <c r="B179" i="41"/>
  <c r="H178" i="41"/>
  <c r="F178" i="41"/>
  <c r="G178" i="41" s="1"/>
  <c r="D178" i="41"/>
  <c r="C178" i="41"/>
  <c r="H178" i="42"/>
  <c r="B179" i="42"/>
  <c r="E179" i="42" s="1"/>
  <c r="F178" i="42"/>
  <c r="G178" i="42" s="1"/>
  <c r="C178" i="42"/>
  <c r="D178" i="42"/>
  <c r="I177" i="19"/>
  <c r="J177" i="19" s="1"/>
  <c r="K177" i="19" s="1"/>
  <c r="L177" i="19" s="1"/>
  <c r="M177" i="19" s="1"/>
  <c r="E178" i="19"/>
  <c r="B179" i="18"/>
  <c r="E179" i="18" s="1"/>
  <c r="H178" i="18"/>
  <c r="F178" i="18"/>
  <c r="G178" i="18" s="1"/>
  <c r="D178" i="18"/>
  <c r="C178" i="18"/>
  <c r="F179" i="8"/>
  <c r="G179" i="8" s="1"/>
  <c r="B180" i="8"/>
  <c r="H179" i="8"/>
  <c r="C179" i="8"/>
  <c r="D179" i="8"/>
  <c r="H180" i="9"/>
  <c r="F180" i="9"/>
  <c r="G180" i="9" s="1"/>
  <c r="B181" i="9"/>
  <c r="E181" i="9" s="1"/>
  <c r="D180" i="9"/>
  <c r="C180" i="9"/>
  <c r="H178" i="40"/>
  <c r="F178" i="40"/>
  <c r="G178" i="40" s="1"/>
  <c r="B179" i="40"/>
  <c r="E179" i="40" s="1"/>
  <c r="C178" i="40"/>
  <c r="D178" i="40"/>
  <c r="O175" i="26"/>
  <c r="P175" i="26" s="1"/>
  <c r="Q175" i="26" s="1"/>
  <c r="J177" i="40" l="1"/>
  <c r="K177" i="40" s="1"/>
  <c r="L177" i="40" s="1"/>
  <c r="M177" i="40" s="1"/>
  <c r="M179" i="4"/>
  <c r="K178" i="8"/>
  <c r="L178" i="8" s="1"/>
  <c r="M178" i="8" s="1"/>
  <c r="K177" i="17"/>
  <c r="L177" i="17" s="1"/>
  <c r="M177" i="17" s="1"/>
  <c r="K179" i="9"/>
  <c r="L179" i="9" s="1"/>
  <c r="M179" i="9" s="1"/>
  <c r="J177" i="39"/>
  <c r="K177" i="39" s="1"/>
  <c r="L177" i="39" s="1"/>
  <c r="M177" i="39" s="1"/>
  <c r="I180" i="4"/>
  <c r="J180" i="4" s="1"/>
  <c r="K180" i="4" s="1"/>
  <c r="L180" i="4" s="1"/>
  <c r="M180" i="4" s="1"/>
  <c r="T22" i="9"/>
  <c r="P22" i="9"/>
  <c r="H181" i="26"/>
  <c r="I181" i="26" s="1"/>
  <c r="D181" i="26"/>
  <c r="B182" i="26"/>
  <c r="C181" i="26"/>
  <c r="F181" i="26"/>
  <c r="E181" i="26"/>
  <c r="H180" i="25"/>
  <c r="I180" i="25" s="1"/>
  <c r="D180" i="25"/>
  <c r="C180" i="25"/>
  <c r="B181" i="25"/>
  <c r="F180" i="25"/>
  <c r="E180" i="25"/>
  <c r="O179" i="25"/>
  <c r="P179" i="25" s="1"/>
  <c r="Q179" i="25" s="1"/>
  <c r="I178" i="39"/>
  <c r="J178" i="39" s="1"/>
  <c r="I178" i="42"/>
  <c r="J178" i="42" s="1"/>
  <c r="K178" i="42" s="1"/>
  <c r="L178" i="42" s="1"/>
  <c r="M178" i="42" s="1"/>
  <c r="I180" i="9"/>
  <c r="J180" i="9" s="1"/>
  <c r="K180" i="9" s="1"/>
  <c r="L180" i="9" s="1"/>
  <c r="I178" i="18"/>
  <c r="J178" i="18" s="1"/>
  <c r="K178" i="18" s="1"/>
  <c r="L178" i="18" s="1"/>
  <c r="M178" i="18" s="1"/>
  <c r="I178" i="40"/>
  <c r="J178" i="40" s="1"/>
  <c r="I178" i="41"/>
  <c r="J178" i="41" s="1"/>
  <c r="K178" i="41" s="1"/>
  <c r="L178" i="41" s="1"/>
  <c r="M178" i="41" s="1"/>
  <c r="G178" i="19"/>
  <c r="I178" i="17"/>
  <c r="J178" i="17" s="1"/>
  <c r="K178" i="17" s="1"/>
  <c r="L178" i="17" s="1"/>
  <c r="F179" i="42"/>
  <c r="G179" i="42" s="1"/>
  <c r="B180" i="42"/>
  <c r="E180" i="42" s="1"/>
  <c r="H179" i="42"/>
  <c r="C179" i="42"/>
  <c r="D179" i="42"/>
  <c r="H179" i="41"/>
  <c r="B180" i="41"/>
  <c r="E180" i="41" s="1"/>
  <c r="F179" i="41"/>
  <c r="C179" i="41"/>
  <c r="D179" i="41"/>
  <c r="F180" i="8"/>
  <c r="B181" i="8"/>
  <c r="E181" i="8" s="1"/>
  <c r="H180" i="8"/>
  <c r="D180" i="8"/>
  <c r="C180" i="8"/>
  <c r="H179" i="18"/>
  <c r="F179" i="18"/>
  <c r="G179" i="18" s="1"/>
  <c r="B180" i="18"/>
  <c r="D179" i="18"/>
  <c r="C179" i="18"/>
  <c r="E179" i="41"/>
  <c r="H179" i="39"/>
  <c r="F179" i="39"/>
  <c r="B180" i="39"/>
  <c r="D179" i="39"/>
  <c r="C179" i="39"/>
  <c r="F179" i="19"/>
  <c r="B180" i="19"/>
  <c r="E180" i="19" s="1"/>
  <c r="H179" i="19"/>
  <c r="D179" i="19"/>
  <c r="C179" i="19"/>
  <c r="F179" i="40"/>
  <c r="G179" i="40" s="1"/>
  <c r="B180" i="40"/>
  <c r="E180" i="40" s="1"/>
  <c r="H179" i="40"/>
  <c r="D179" i="40"/>
  <c r="C179" i="40"/>
  <c r="F181" i="9"/>
  <c r="G181" i="9" s="1"/>
  <c r="B182" i="9"/>
  <c r="E182" i="9" s="1"/>
  <c r="H181" i="9"/>
  <c r="D181" i="9"/>
  <c r="C181" i="9"/>
  <c r="I179" i="8"/>
  <c r="J179" i="8" s="1"/>
  <c r="K179" i="8" s="1"/>
  <c r="L179" i="8" s="1"/>
  <c r="E180" i="8"/>
  <c r="F181" i="4"/>
  <c r="G181" i="4" s="1"/>
  <c r="B182" i="4"/>
  <c r="E182" i="4" s="1"/>
  <c r="H181" i="4"/>
  <c r="D181" i="4"/>
  <c r="C181" i="4"/>
  <c r="E179" i="39"/>
  <c r="I178" i="19"/>
  <c r="E179" i="19"/>
  <c r="F179" i="17"/>
  <c r="G179" i="17" s="1"/>
  <c r="B180" i="17"/>
  <c r="E180" i="17" s="1"/>
  <c r="H179" i="17"/>
  <c r="D179" i="17"/>
  <c r="C179" i="17"/>
  <c r="O176" i="26"/>
  <c r="P176" i="26" s="1"/>
  <c r="Q176" i="26" s="1"/>
  <c r="K178" i="40" l="1"/>
  <c r="L178" i="40" s="1"/>
  <c r="M178" i="40" s="1"/>
  <c r="J178" i="19"/>
  <c r="K178" i="19" s="1"/>
  <c r="L178" i="19" s="1"/>
  <c r="M178" i="19" s="1"/>
  <c r="M179" i="8"/>
  <c r="M178" i="17"/>
  <c r="M180" i="9"/>
  <c r="K178" i="39"/>
  <c r="L178" i="39" s="1"/>
  <c r="M178" i="39" s="1"/>
  <c r="S22" i="9"/>
  <c r="Q22" i="9"/>
  <c r="G179" i="19"/>
  <c r="G181" i="26"/>
  <c r="J181" i="26"/>
  <c r="H182" i="26"/>
  <c r="I182" i="26" s="1"/>
  <c r="D182" i="26"/>
  <c r="C182" i="26"/>
  <c r="F182" i="26"/>
  <c r="E182" i="26"/>
  <c r="G180" i="25"/>
  <c r="J180" i="25"/>
  <c r="O180" i="25" s="1"/>
  <c r="P180" i="25" s="1"/>
  <c r="Q180" i="25" s="1"/>
  <c r="B182" i="25"/>
  <c r="E182" i="25" s="1"/>
  <c r="H181" i="25"/>
  <c r="I181" i="25" s="1"/>
  <c r="D181" i="25"/>
  <c r="C181" i="25"/>
  <c r="F181" i="25"/>
  <c r="E181" i="25"/>
  <c r="I179" i="41"/>
  <c r="G180" i="8"/>
  <c r="I179" i="19"/>
  <c r="I180" i="8"/>
  <c r="I181" i="4"/>
  <c r="J181" i="4" s="1"/>
  <c r="K181" i="4" s="1"/>
  <c r="L181" i="4" s="1"/>
  <c r="M181" i="4" s="1"/>
  <c r="I179" i="40"/>
  <c r="J179" i="40" s="1"/>
  <c r="K179" i="40" s="1"/>
  <c r="L179" i="40" s="1"/>
  <c r="F180" i="39"/>
  <c r="B181" i="39"/>
  <c r="H180" i="39"/>
  <c r="C180" i="39"/>
  <c r="D180" i="39"/>
  <c r="F180" i="18"/>
  <c r="B181" i="18"/>
  <c r="E181" i="18" s="1"/>
  <c r="H180" i="18"/>
  <c r="D180" i="18"/>
  <c r="C180" i="18"/>
  <c r="F180" i="41"/>
  <c r="G180" i="41" s="1"/>
  <c r="B181" i="41"/>
  <c r="H180" i="41"/>
  <c r="D180" i="41"/>
  <c r="C180" i="41"/>
  <c r="I179" i="42"/>
  <c r="J179" i="42" s="1"/>
  <c r="K179" i="42" s="1"/>
  <c r="L179" i="42" s="1"/>
  <c r="M179" i="42" s="1"/>
  <c r="B181" i="17"/>
  <c r="E181" i="17" s="1"/>
  <c r="H180" i="17"/>
  <c r="F180" i="17"/>
  <c r="G180" i="17" s="1"/>
  <c r="C180" i="17"/>
  <c r="D180" i="17"/>
  <c r="F182" i="9"/>
  <c r="G182" i="9" s="1"/>
  <c r="H182" i="9"/>
  <c r="C182" i="9"/>
  <c r="D182" i="9"/>
  <c r="I179" i="17"/>
  <c r="J179" i="17" s="1"/>
  <c r="K179" i="17" s="1"/>
  <c r="L179" i="17" s="1"/>
  <c r="M179" i="17" s="1"/>
  <c r="G179" i="39"/>
  <c r="F182" i="4"/>
  <c r="G182" i="4" s="1"/>
  <c r="H182" i="4"/>
  <c r="C182" i="4"/>
  <c r="D182" i="4"/>
  <c r="I181" i="9"/>
  <c r="J181" i="9" s="1"/>
  <c r="K181" i="9" s="1"/>
  <c r="L181" i="9" s="1"/>
  <c r="M181" i="9" s="1"/>
  <c r="I179" i="39"/>
  <c r="E180" i="39"/>
  <c r="G179" i="41"/>
  <c r="I179" i="18"/>
  <c r="J179" i="18" s="1"/>
  <c r="K179" i="18" s="1"/>
  <c r="L179" i="18" s="1"/>
  <c r="M179" i="18" s="1"/>
  <c r="E180" i="18"/>
  <c r="F180" i="42"/>
  <c r="G180" i="42" s="1"/>
  <c r="B181" i="42"/>
  <c r="E181" i="42" s="1"/>
  <c r="H180" i="42"/>
  <c r="C180" i="42"/>
  <c r="D180" i="42"/>
  <c r="F180" i="40"/>
  <c r="G180" i="40" s="1"/>
  <c r="B181" i="40"/>
  <c r="E181" i="40" s="1"/>
  <c r="H180" i="40"/>
  <c r="D180" i="40"/>
  <c r="C180" i="40"/>
  <c r="B181" i="19"/>
  <c r="E181" i="19" s="1"/>
  <c r="H180" i="19"/>
  <c r="F180" i="19"/>
  <c r="G180" i="19" s="1"/>
  <c r="C180" i="19"/>
  <c r="D180" i="19"/>
  <c r="B182" i="8"/>
  <c r="E182" i="8" s="1"/>
  <c r="H181" i="8"/>
  <c r="F181" i="8"/>
  <c r="G181" i="8" s="1"/>
  <c r="C181" i="8"/>
  <c r="D181" i="8"/>
  <c r="O177" i="26"/>
  <c r="P177" i="26" s="1"/>
  <c r="Q177" i="26" s="1"/>
  <c r="M179" i="40" l="1"/>
  <c r="J179" i="39"/>
  <c r="K179" i="39" s="1"/>
  <c r="L179" i="39" s="1"/>
  <c r="M179" i="39" s="1"/>
  <c r="J179" i="19"/>
  <c r="K179" i="19" s="1"/>
  <c r="L179" i="19" s="1"/>
  <c r="M179" i="19" s="1"/>
  <c r="J179" i="41"/>
  <c r="K179" i="41" s="1"/>
  <c r="L179" i="41" s="1"/>
  <c r="M179" i="41" s="1"/>
  <c r="G180" i="39"/>
  <c r="J180" i="8"/>
  <c r="K180" i="8" s="1"/>
  <c r="L180" i="8" s="1"/>
  <c r="M180" i="8" s="1"/>
  <c r="V23" i="9"/>
  <c r="O23" i="9"/>
  <c r="G182" i="26"/>
  <c r="J182" i="26"/>
  <c r="G182" i="25"/>
  <c r="J181" i="25"/>
  <c r="O181" i="25" s="1"/>
  <c r="P181" i="25" s="1"/>
  <c r="Q181" i="25" s="1"/>
  <c r="G181" i="25"/>
  <c r="F182" i="25"/>
  <c r="J182" i="25" s="1"/>
  <c r="D182" i="25"/>
  <c r="C182" i="25"/>
  <c r="H182" i="25"/>
  <c r="I182" i="25" s="1"/>
  <c r="G180" i="18"/>
  <c r="I180" i="17"/>
  <c r="J180" i="17" s="1"/>
  <c r="K180" i="17" s="1"/>
  <c r="L180" i="17" s="1"/>
  <c r="M180" i="17" s="1"/>
  <c r="I181" i="8"/>
  <c r="J181" i="8" s="1"/>
  <c r="I182" i="4"/>
  <c r="J182" i="4" s="1"/>
  <c r="K182" i="4" s="1"/>
  <c r="L182" i="4" s="1"/>
  <c r="M182" i="4" s="1"/>
  <c r="N2" i="4" s="1"/>
  <c r="I180" i="41"/>
  <c r="J180" i="41" s="1"/>
  <c r="I180" i="19"/>
  <c r="J180" i="19" s="1"/>
  <c r="I180" i="40"/>
  <c r="J180" i="40" s="1"/>
  <c r="K180" i="40" s="1"/>
  <c r="L180" i="40" s="1"/>
  <c r="M180" i="40" s="1"/>
  <c r="I180" i="42"/>
  <c r="J180" i="42" s="1"/>
  <c r="K180" i="42" s="1"/>
  <c r="L180" i="42" s="1"/>
  <c r="M180" i="42" s="1"/>
  <c r="I182" i="9"/>
  <c r="J182" i="9" s="1"/>
  <c r="K182" i="9" s="1"/>
  <c r="L182" i="9" s="1"/>
  <c r="M182" i="9" s="1"/>
  <c r="H181" i="17"/>
  <c r="F181" i="17"/>
  <c r="G181" i="17" s="1"/>
  <c r="B182" i="17"/>
  <c r="C181" i="17"/>
  <c r="D181" i="17"/>
  <c r="F181" i="41"/>
  <c r="B182" i="41"/>
  <c r="H181" i="41"/>
  <c r="C181" i="41"/>
  <c r="D181" i="41"/>
  <c r="F181" i="39"/>
  <c r="B182" i="39"/>
  <c r="E182" i="39" s="1"/>
  <c r="H181" i="39"/>
  <c r="C181" i="39"/>
  <c r="D181" i="39"/>
  <c r="H182" i="8"/>
  <c r="F182" i="8"/>
  <c r="G182" i="8" s="1"/>
  <c r="D182" i="8"/>
  <c r="C182" i="8"/>
  <c r="B182" i="42"/>
  <c r="H181" i="42"/>
  <c r="F181" i="42"/>
  <c r="G181" i="42" s="1"/>
  <c r="D181" i="42"/>
  <c r="C181" i="42"/>
  <c r="F181" i="18"/>
  <c r="G181" i="18" s="1"/>
  <c r="B182" i="18"/>
  <c r="E182" i="18" s="1"/>
  <c r="H181" i="18"/>
  <c r="D181" i="18"/>
  <c r="C181" i="18"/>
  <c r="H181" i="19"/>
  <c r="F181" i="19"/>
  <c r="G181" i="19" s="1"/>
  <c r="B182" i="19"/>
  <c r="E182" i="19" s="1"/>
  <c r="C181" i="19"/>
  <c r="D181" i="19"/>
  <c r="B182" i="40"/>
  <c r="H181" i="40"/>
  <c r="F181" i="40"/>
  <c r="G181" i="40" s="1"/>
  <c r="D181" i="40"/>
  <c r="C181" i="40"/>
  <c r="E181" i="41"/>
  <c r="I180" i="18"/>
  <c r="I180" i="39"/>
  <c r="E181" i="39"/>
  <c r="O178" i="26"/>
  <c r="P178" i="26" s="1"/>
  <c r="Q178" i="26" s="1"/>
  <c r="U122" i="4" l="1"/>
  <c r="U181" i="4"/>
  <c r="U182" i="4"/>
  <c r="U180" i="4"/>
  <c r="U178" i="4"/>
  <c r="U176" i="4"/>
  <c r="U174" i="4"/>
  <c r="U172" i="4"/>
  <c r="U170" i="4"/>
  <c r="U168" i="4"/>
  <c r="U166" i="4"/>
  <c r="U164" i="4"/>
  <c r="U162" i="4"/>
  <c r="U160" i="4"/>
  <c r="U158" i="4"/>
  <c r="U156" i="4"/>
  <c r="U154" i="4"/>
  <c r="U152" i="4"/>
  <c r="U150" i="4"/>
  <c r="U148" i="4"/>
  <c r="U146" i="4"/>
  <c r="U144" i="4"/>
  <c r="U142" i="4"/>
  <c r="U140" i="4"/>
  <c r="U138" i="4"/>
  <c r="U136" i="4"/>
  <c r="U134" i="4"/>
  <c r="U132" i="4"/>
  <c r="U130" i="4"/>
  <c r="U128" i="4"/>
  <c r="U126" i="4"/>
  <c r="U124" i="4"/>
  <c r="U175" i="4"/>
  <c r="U167" i="4"/>
  <c r="U159" i="4"/>
  <c r="U153" i="4"/>
  <c r="U137" i="4"/>
  <c r="U147" i="4"/>
  <c r="U123" i="4"/>
  <c r="U169" i="4"/>
  <c r="U133" i="4"/>
  <c r="U125" i="4"/>
  <c r="U143" i="4"/>
  <c r="U173" i="4"/>
  <c r="U165" i="4"/>
  <c r="U157" i="4"/>
  <c r="U141" i="4"/>
  <c r="U131" i="4"/>
  <c r="U127" i="4"/>
  <c r="U151" i="4"/>
  <c r="U135" i="4"/>
  <c r="U171" i="4"/>
  <c r="U179" i="4"/>
  <c r="U163" i="4"/>
  <c r="U145" i="4"/>
  <c r="U155" i="4"/>
  <c r="U139" i="4"/>
  <c r="U177" i="4"/>
  <c r="U161" i="4"/>
  <c r="U149" i="4"/>
  <c r="U129" i="4"/>
  <c r="U105" i="4"/>
  <c r="U65" i="4"/>
  <c r="U66" i="4"/>
  <c r="U13" i="4"/>
  <c r="U56" i="4"/>
  <c r="U94" i="4"/>
  <c r="U19" i="4"/>
  <c r="U59" i="4"/>
  <c r="U7" i="4"/>
  <c r="U26" i="4"/>
  <c r="U92" i="4"/>
  <c r="U55" i="4"/>
  <c r="U53" i="4"/>
  <c r="U43" i="4"/>
  <c r="U89" i="4"/>
  <c r="U31" i="4"/>
  <c r="U70" i="4"/>
  <c r="U110" i="4"/>
  <c r="U16" i="4"/>
  <c r="U25" i="4"/>
  <c r="U68" i="4"/>
  <c r="C16" i="50"/>
  <c r="U47" i="4"/>
  <c r="U46" i="4"/>
  <c r="U27" i="4"/>
  <c r="U118" i="4"/>
  <c r="U103" i="4"/>
  <c r="U115" i="4"/>
  <c r="U116" i="4"/>
  <c r="U15" i="4"/>
  <c r="U88" i="4"/>
  <c r="U37" i="4"/>
  <c r="U83" i="4"/>
  <c r="U74" i="4"/>
  <c r="U9" i="4"/>
  <c r="U82" i="4"/>
  <c r="U96" i="4"/>
  <c r="U17" i="4"/>
  <c r="U85" i="4"/>
  <c r="U64" i="4"/>
  <c r="U75" i="4"/>
  <c r="U76" i="4"/>
  <c r="U49" i="4"/>
  <c r="U44" i="4"/>
  <c r="U34" i="4"/>
  <c r="U99" i="4"/>
  <c r="U54" i="4"/>
  <c r="U120" i="4"/>
  <c r="U111" i="4"/>
  <c r="U5" i="4"/>
  <c r="P3" i="4"/>
  <c r="U67" i="4"/>
  <c r="U8" i="4"/>
  <c r="U12" i="4"/>
  <c r="U4" i="4"/>
  <c r="U11" i="4"/>
  <c r="U104" i="4"/>
  <c r="U101" i="4"/>
  <c r="U112" i="4"/>
  <c r="U107" i="4"/>
  <c r="U39" i="4"/>
  <c r="U87" i="4"/>
  <c r="U36" i="4"/>
  <c r="U50" i="4"/>
  <c r="U24" i="4"/>
  <c r="U23" i="4"/>
  <c r="U90" i="4"/>
  <c r="U29" i="4"/>
  <c r="U51" i="4"/>
  <c r="U58" i="4"/>
  <c r="U20" i="4"/>
  <c r="U73" i="4"/>
  <c r="U102" i="4"/>
  <c r="U22" i="4"/>
  <c r="U95" i="4"/>
  <c r="U100" i="4"/>
  <c r="U71" i="4"/>
  <c r="U57" i="4"/>
  <c r="U78" i="4"/>
  <c r="U40" i="4"/>
  <c r="U38" i="4"/>
  <c r="U3" i="4"/>
  <c r="U98" i="4"/>
  <c r="U121" i="4"/>
  <c r="U80" i="4"/>
  <c r="U32" i="4"/>
  <c r="U14" i="4"/>
  <c r="U113" i="4"/>
  <c r="U108" i="4"/>
  <c r="U117" i="4"/>
  <c r="U63" i="4"/>
  <c r="U41" i="4"/>
  <c r="U18" i="4"/>
  <c r="U33" i="4"/>
  <c r="U30" i="4"/>
  <c r="U52" i="4"/>
  <c r="U69" i="4"/>
  <c r="U84" i="4"/>
  <c r="U81" i="4"/>
  <c r="U91" i="4"/>
  <c r="U28" i="4"/>
  <c r="U21" i="4"/>
  <c r="U106" i="4"/>
  <c r="U119" i="4"/>
  <c r="U48" i="4"/>
  <c r="U79" i="4"/>
  <c r="U35" i="4"/>
  <c r="U60" i="4"/>
  <c r="U62" i="4"/>
  <c r="U86" i="4"/>
  <c r="U45" i="4"/>
  <c r="U114" i="4"/>
  <c r="U109" i="4"/>
  <c r="U93" i="4"/>
  <c r="U10" i="4"/>
  <c r="U97" i="4"/>
  <c r="U42" i="4"/>
  <c r="U77" i="4"/>
  <c r="U6" i="4"/>
  <c r="U72" i="4"/>
  <c r="U61" i="4"/>
  <c r="K180" i="41"/>
  <c r="L180" i="41" s="1"/>
  <c r="M180" i="41" s="1"/>
  <c r="K180" i="19"/>
  <c r="L180" i="19" s="1"/>
  <c r="M180" i="19" s="1"/>
  <c r="J180" i="39"/>
  <c r="K180" i="39" s="1"/>
  <c r="L180" i="39" s="1"/>
  <c r="M180" i="39" s="1"/>
  <c r="J180" i="18"/>
  <c r="K180" i="18" s="1"/>
  <c r="L180" i="18" s="1"/>
  <c r="M180" i="18" s="1"/>
  <c r="K181" i="8"/>
  <c r="L181" i="8" s="1"/>
  <c r="M181" i="8" s="1"/>
  <c r="G181" i="41"/>
  <c r="T23" i="9"/>
  <c r="P23" i="9"/>
  <c r="O182" i="25"/>
  <c r="P182" i="25" s="1"/>
  <c r="Q182" i="25" s="1"/>
  <c r="G181" i="39"/>
  <c r="I181" i="19"/>
  <c r="J181" i="19" s="1"/>
  <c r="K181" i="19" s="1"/>
  <c r="L181" i="19" s="1"/>
  <c r="I181" i="40"/>
  <c r="J181" i="40" s="1"/>
  <c r="K181" i="40" s="1"/>
  <c r="L181" i="40" s="1"/>
  <c r="M181" i="40" s="1"/>
  <c r="I181" i="18"/>
  <c r="J181" i="18" s="1"/>
  <c r="I181" i="42"/>
  <c r="J181" i="42" s="1"/>
  <c r="K181" i="42" s="1"/>
  <c r="L181" i="42" s="1"/>
  <c r="M181" i="42" s="1"/>
  <c r="I181" i="17"/>
  <c r="J181" i="17" s="1"/>
  <c r="K181" i="17" s="1"/>
  <c r="L181" i="17" s="1"/>
  <c r="M181" i="17" s="1"/>
  <c r="I181" i="39"/>
  <c r="H182" i="41"/>
  <c r="F182" i="41"/>
  <c r="D182" i="41"/>
  <c r="C182" i="41"/>
  <c r="F182" i="17"/>
  <c r="H182" i="17"/>
  <c r="D182" i="17"/>
  <c r="C182" i="17"/>
  <c r="H182" i="39"/>
  <c r="F182" i="39"/>
  <c r="G182" i="39" s="1"/>
  <c r="D182" i="39"/>
  <c r="C182" i="39"/>
  <c r="H182" i="40"/>
  <c r="F182" i="40"/>
  <c r="C182" i="40"/>
  <c r="D182" i="40"/>
  <c r="H182" i="42"/>
  <c r="F182" i="42"/>
  <c r="C182" i="42"/>
  <c r="D182" i="42"/>
  <c r="E182" i="40"/>
  <c r="H182" i="18"/>
  <c r="F182" i="18"/>
  <c r="G182" i="18" s="1"/>
  <c r="D182" i="18"/>
  <c r="C182" i="18"/>
  <c r="I182" i="8"/>
  <c r="J182" i="8" s="1"/>
  <c r="K182" i="8" s="1"/>
  <c r="L182" i="8" s="1"/>
  <c r="I181" i="41"/>
  <c r="E182" i="41"/>
  <c r="E182" i="17"/>
  <c r="F182" i="19"/>
  <c r="G182" i="19" s="1"/>
  <c r="H182" i="19"/>
  <c r="D182" i="19"/>
  <c r="C182" i="19"/>
  <c r="E182" i="42"/>
  <c r="O179" i="26"/>
  <c r="P179" i="26" s="1"/>
  <c r="Q179" i="26" s="1"/>
  <c r="Q3" i="4" l="1"/>
  <c r="S3" i="4"/>
  <c r="M181" i="19"/>
  <c r="K181" i="18"/>
  <c r="L181" i="18" s="1"/>
  <c r="M181" i="18" s="1"/>
  <c r="J181" i="41"/>
  <c r="K181" i="41" s="1"/>
  <c r="L181" i="41" s="1"/>
  <c r="M181" i="41" s="1"/>
  <c r="J181" i="39"/>
  <c r="K181" i="39" s="1"/>
  <c r="L181" i="39" s="1"/>
  <c r="M181" i="39" s="1"/>
  <c r="G182" i="17"/>
  <c r="M182" i="8"/>
  <c r="N2" i="8" s="1"/>
  <c r="G182" i="42"/>
  <c r="S23" i="9"/>
  <c r="Q23" i="9"/>
  <c r="G182" i="41"/>
  <c r="I182" i="39"/>
  <c r="J182" i="39" s="1"/>
  <c r="I182" i="40"/>
  <c r="I182" i="17"/>
  <c r="I182" i="42"/>
  <c r="I182" i="19"/>
  <c r="J182" i="19" s="1"/>
  <c r="K182" i="19" s="1"/>
  <c r="L182" i="19" s="1"/>
  <c r="M182" i="19" s="1"/>
  <c r="N2" i="19" s="1"/>
  <c r="I182" i="18"/>
  <c r="J182" i="18" s="1"/>
  <c r="K182" i="18" s="1"/>
  <c r="L182" i="18" s="1"/>
  <c r="I182" i="41"/>
  <c r="G182" i="40"/>
  <c r="O180" i="26"/>
  <c r="P180" i="26" s="1"/>
  <c r="Q180" i="26" s="1"/>
  <c r="B17" i="20" l="1"/>
  <c r="G17" i="27" s="1"/>
  <c r="P3" i="19"/>
  <c r="Q3" i="19" s="1"/>
  <c r="O4" i="19" s="1"/>
  <c r="P4" i="19" s="1"/>
  <c r="Q4" i="19" s="1"/>
  <c r="O5" i="19" s="1"/>
  <c r="P5" i="19" s="1"/>
  <c r="Q5" i="19" s="1"/>
  <c r="O6" i="19" s="1"/>
  <c r="P6" i="19" s="1"/>
  <c r="Q6" i="19" s="1"/>
  <c r="O7" i="19" s="1"/>
  <c r="P7" i="19" s="1"/>
  <c r="Q7" i="19" s="1"/>
  <c r="O8" i="19" s="1"/>
  <c r="P8" i="19" s="1"/>
  <c r="Q8" i="19" s="1"/>
  <c r="O9" i="19" s="1"/>
  <c r="P9" i="19" s="1"/>
  <c r="Q9" i="19" s="1"/>
  <c r="O10" i="19" s="1"/>
  <c r="P10" i="19" s="1"/>
  <c r="Q10" i="19" s="1"/>
  <c r="O11" i="19" s="1"/>
  <c r="P11" i="19" s="1"/>
  <c r="Q11" i="19" s="1"/>
  <c r="O12" i="19" s="1"/>
  <c r="P12" i="19" s="1"/>
  <c r="Q12" i="19" s="1"/>
  <c r="O13" i="19" s="1"/>
  <c r="P13" i="19" s="1"/>
  <c r="Q13" i="19" s="1"/>
  <c r="O14" i="19" s="1"/>
  <c r="P14" i="19" s="1"/>
  <c r="Q14" i="19" s="1"/>
  <c r="O15" i="19" s="1"/>
  <c r="P15" i="19" s="1"/>
  <c r="Q15" i="19" s="1"/>
  <c r="O16" i="19" s="1"/>
  <c r="P16" i="19" s="1"/>
  <c r="Q16" i="19" s="1"/>
  <c r="O17" i="19" s="1"/>
  <c r="P17" i="19" s="1"/>
  <c r="Q17" i="19" s="1"/>
  <c r="O18" i="19" s="1"/>
  <c r="P18" i="19" s="1"/>
  <c r="Q18" i="19" s="1"/>
  <c r="O19" i="19" s="1"/>
  <c r="P19" i="19" s="1"/>
  <c r="Q19" i="19" s="1"/>
  <c r="O20" i="19" s="1"/>
  <c r="P20" i="19" s="1"/>
  <c r="Q20" i="19" s="1"/>
  <c r="O21" i="19" s="1"/>
  <c r="P21" i="19" s="1"/>
  <c r="Q21" i="19" s="1"/>
  <c r="O22" i="19" s="1"/>
  <c r="P22" i="19" s="1"/>
  <c r="Q22" i="19" s="1"/>
  <c r="O23" i="19" s="1"/>
  <c r="P23" i="19" s="1"/>
  <c r="Q23" i="19" s="1"/>
  <c r="O24" i="19" s="1"/>
  <c r="P24" i="19" s="1"/>
  <c r="Q24" i="19" s="1"/>
  <c r="O25" i="19" s="1"/>
  <c r="P25" i="19" s="1"/>
  <c r="Q25" i="19" s="1"/>
  <c r="O26" i="19" s="1"/>
  <c r="P26" i="19" s="1"/>
  <c r="Q26" i="19" s="1"/>
  <c r="O27" i="19" s="1"/>
  <c r="P27" i="19" s="1"/>
  <c r="Q27" i="19" s="1"/>
  <c r="O28" i="19" s="1"/>
  <c r="P28" i="19" s="1"/>
  <c r="Q28" i="19" s="1"/>
  <c r="O29" i="19" s="1"/>
  <c r="P29" i="19" s="1"/>
  <c r="Q29" i="19" s="1"/>
  <c r="O30" i="19" s="1"/>
  <c r="P30" i="19" s="1"/>
  <c r="Q30" i="19" s="1"/>
  <c r="O31" i="19" s="1"/>
  <c r="P31" i="19" s="1"/>
  <c r="Q31" i="19" s="1"/>
  <c r="O32" i="19" s="1"/>
  <c r="P32" i="19" s="1"/>
  <c r="Q32" i="19" s="1"/>
  <c r="O33" i="19" s="1"/>
  <c r="P33" i="19" s="1"/>
  <c r="Q33" i="19" s="1"/>
  <c r="O34" i="19" s="1"/>
  <c r="P34" i="19" s="1"/>
  <c r="Q34" i="19" s="1"/>
  <c r="O35" i="19" s="1"/>
  <c r="P35" i="19" s="1"/>
  <c r="Q35" i="19" s="1"/>
  <c r="O36" i="19" s="1"/>
  <c r="P36" i="19" s="1"/>
  <c r="Q36" i="19" s="1"/>
  <c r="O37" i="19" s="1"/>
  <c r="P37" i="19" s="1"/>
  <c r="Q37" i="19" s="1"/>
  <c r="O38" i="19" s="1"/>
  <c r="P38" i="19" s="1"/>
  <c r="Q38" i="19" s="1"/>
  <c r="O39" i="19" s="1"/>
  <c r="P39" i="19" s="1"/>
  <c r="Q39" i="19" s="1"/>
  <c r="O40" i="19" s="1"/>
  <c r="P40" i="19" s="1"/>
  <c r="Q40" i="19" s="1"/>
  <c r="O41" i="19" s="1"/>
  <c r="P41" i="19" s="1"/>
  <c r="Q41" i="19" s="1"/>
  <c r="O42" i="19" s="1"/>
  <c r="P42" i="19" s="1"/>
  <c r="Q42" i="19" s="1"/>
  <c r="O43" i="19" s="1"/>
  <c r="P43" i="19" s="1"/>
  <c r="Q43" i="19" s="1"/>
  <c r="O44" i="19" s="1"/>
  <c r="P44" i="19" s="1"/>
  <c r="Q44" i="19" s="1"/>
  <c r="O45" i="19" s="1"/>
  <c r="P45" i="19" s="1"/>
  <c r="Q45" i="19" s="1"/>
  <c r="O46" i="19" s="1"/>
  <c r="P46" i="19" s="1"/>
  <c r="Q46" i="19" s="1"/>
  <c r="O47" i="19" s="1"/>
  <c r="P47" i="19" s="1"/>
  <c r="Q47" i="19" s="1"/>
  <c r="O48" i="19" s="1"/>
  <c r="P48" i="19" s="1"/>
  <c r="Q48" i="19" s="1"/>
  <c r="O49" i="19" s="1"/>
  <c r="P49" i="19" s="1"/>
  <c r="Q49" i="19" s="1"/>
  <c r="O50" i="19" s="1"/>
  <c r="P50" i="19" s="1"/>
  <c r="Q50" i="19" s="1"/>
  <c r="O51" i="19" s="1"/>
  <c r="P51" i="19" s="1"/>
  <c r="Q51" i="19" s="1"/>
  <c r="O52" i="19" s="1"/>
  <c r="P52" i="19" s="1"/>
  <c r="Q52" i="19" s="1"/>
  <c r="O53" i="19" s="1"/>
  <c r="P53" i="19" s="1"/>
  <c r="Q53" i="19" s="1"/>
  <c r="O54" i="19" s="1"/>
  <c r="P54" i="19" s="1"/>
  <c r="Q54" i="19" s="1"/>
  <c r="O55" i="19" s="1"/>
  <c r="P55" i="19" s="1"/>
  <c r="Q55" i="19" s="1"/>
  <c r="O56" i="19" s="1"/>
  <c r="P56" i="19" s="1"/>
  <c r="Q56" i="19" s="1"/>
  <c r="O57" i="19" s="1"/>
  <c r="P57" i="19" s="1"/>
  <c r="Q57" i="19" s="1"/>
  <c r="O58" i="19" s="1"/>
  <c r="P58" i="19" s="1"/>
  <c r="Q58" i="19" s="1"/>
  <c r="O59" i="19" s="1"/>
  <c r="P59" i="19" s="1"/>
  <c r="Q59" i="19" s="1"/>
  <c r="O60" i="19" s="1"/>
  <c r="P60" i="19" s="1"/>
  <c r="Q60" i="19" s="1"/>
  <c r="O61" i="19" s="1"/>
  <c r="P61" i="19" s="1"/>
  <c r="Q61" i="19" s="1"/>
  <c r="O62" i="19" s="1"/>
  <c r="P62" i="19" s="1"/>
  <c r="Q62" i="19" s="1"/>
  <c r="O63" i="19" s="1"/>
  <c r="P63" i="19" s="1"/>
  <c r="Q63" i="19" s="1"/>
  <c r="O64" i="19" s="1"/>
  <c r="P64" i="19" s="1"/>
  <c r="Q64" i="19" s="1"/>
  <c r="O65" i="19" s="1"/>
  <c r="P65" i="19" s="1"/>
  <c r="Q65" i="19" s="1"/>
  <c r="O66" i="19" s="1"/>
  <c r="P66" i="19" s="1"/>
  <c r="Q66" i="19" s="1"/>
  <c r="O67" i="19" s="1"/>
  <c r="P67" i="19" s="1"/>
  <c r="Q67" i="19" s="1"/>
  <c r="O68" i="19" s="1"/>
  <c r="P68" i="19" s="1"/>
  <c r="Q68" i="19" s="1"/>
  <c r="O69" i="19" s="1"/>
  <c r="P69" i="19" s="1"/>
  <c r="Q69" i="19" s="1"/>
  <c r="O70" i="19" s="1"/>
  <c r="P70" i="19" s="1"/>
  <c r="Q70" i="19" s="1"/>
  <c r="O71" i="19" s="1"/>
  <c r="P71" i="19" s="1"/>
  <c r="Q71" i="19" s="1"/>
  <c r="O72" i="19" s="1"/>
  <c r="P72" i="19" s="1"/>
  <c r="Q72" i="19" s="1"/>
  <c r="O73" i="19" s="1"/>
  <c r="P73" i="19" s="1"/>
  <c r="Q73" i="19" s="1"/>
  <c r="O74" i="19" s="1"/>
  <c r="P74" i="19" s="1"/>
  <c r="Q74" i="19" s="1"/>
  <c r="O75" i="19" s="1"/>
  <c r="P75" i="19" s="1"/>
  <c r="Q75" i="19" s="1"/>
  <c r="O76" i="19" s="1"/>
  <c r="P76" i="19" s="1"/>
  <c r="Q76" i="19" s="1"/>
  <c r="O77" i="19" s="1"/>
  <c r="P77" i="19" s="1"/>
  <c r="Q77" i="19" s="1"/>
  <c r="O78" i="19" s="1"/>
  <c r="P78" i="19" s="1"/>
  <c r="Q78" i="19" s="1"/>
  <c r="O79" i="19" s="1"/>
  <c r="P79" i="19" s="1"/>
  <c r="Q79" i="19" s="1"/>
  <c r="O80" i="19" s="1"/>
  <c r="P80" i="19" s="1"/>
  <c r="Q80" i="19" s="1"/>
  <c r="O81" i="19" s="1"/>
  <c r="P81" i="19" s="1"/>
  <c r="Q81" i="19" s="1"/>
  <c r="O82" i="19" s="1"/>
  <c r="P82" i="19" s="1"/>
  <c r="Q82" i="19" s="1"/>
  <c r="O83" i="19" s="1"/>
  <c r="P83" i="19" s="1"/>
  <c r="Q83" i="19" s="1"/>
  <c r="O84" i="19" s="1"/>
  <c r="P84" i="19" s="1"/>
  <c r="Q84" i="19" s="1"/>
  <c r="O85" i="19" s="1"/>
  <c r="P85" i="19" s="1"/>
  <c r="Q85" i="19" s="1"/>
  <c r="O86" i="19" s="1"/>
  <c r="P86" i="19" s="1"/>
  <c r="Q86" i="19" s="1"/>
  <c r="O87" i="19" s="1"/>
  <c r="P87" i="19" s="1"/>
  <c r="Q87" i="19" s="1"/>
  <c r="O88" i="19" s="1"/>
  <c r="P88" i="19" s="1"/>
  <c r="Q88" i="19" s="1"/>
  <c r="O89" i="19" s="1"/>
  <c r="P89" i="19" s="1"/>
  <c r="Q89" i="19" s="1"/>
  <c r="O90" i="19" s="1"/>
  <c r="P90" i="19" s="1"/>
  <c r="Q90" i="19" s="1"/>
  <c r="O91" i="19" s="1"/>
  <c r="P91" i="19" s="1"/>
  <c r="Q91" i="19" s="1"/>
  <c r="O92" i="19" s="1"/>
  <c r="P92" i="19" s="1"/>
  <c r="Q92" i="19" s="1"/>
  <c r="O93" i="19" s="1"/>
  <c r="P93" i="19" s="1"/>
  <c r="Q93" i="19" s="1"/>
  <c r="O94" i="19" s="1"/>
  <c r="P94" i="19" s="1"/>
  <c r="Q94" i="19" s="1"/>
  <c r="O95" i="19" s="1"/>
  <c r="P95" i="19" s="1"/>
  <c r="Q95" i="19" s="1"/>
  <c r="O96" i="19" s="1"/>
  <c r="P96" i="19" s="1"/>
  <c r="Q96" i="19" s="1"/>
  <c r="O97" i="19" s="1"/>
  <c r="P97" i="19" s="1"/>
  <c r="Q97" i="19" s="1"/>
  <c r="O98" i="19" s="1"/>
  <c r="P98" i="19" s="1"/>
  <c r="Q98" i="19" s="1"/>
  <c r="O99" i="19" s="1"/>
  <c r="P99" i="19" s="1"/>
  <c r="Q99" i="19" s="1"/>
  <c r="O100" i="19" s="1"/>
  <c r="P100" i="19" s="1"/>
  <c r="Q100" i="19" s="1"/>
  <c r="O101" i="19" s="1"/>
  <c r="P101" i="19" s="1"/>
  <c r="Q101" i="19" s="1"/>
  <c r="O102" i="19" s="1"/>
  <c r="P102" i="19" s="1"/>
  <c r="Q102" i="19" s="1"/>
  <c r="O103" i="19" s="1"/>
  <c r="P103" i="19" s="1"/>
  <c r="Q103" i="19" s="1"/>
  <c r="O104" i="19" s="1"/>
  <c r="P104" i="19" s="1"/>
  <c r="Q104" i="19" s="1"/>
  <c r="O105" i="19" s="1"/>
  <c r="P105" i="19" s="1"/>
  <c r="Q105" i="19" s="1"/>
  <c r="O106" i="19" s="1"/>
  <c r="P106" i="19" s="1"/>
  <c r="Q106" i="19" s="1"/>
  <c r="O107" i="19" s="1"/>
  <c r="P107" i="19" s="1"/>
  <c r="Q107" i="19" s="1"/>
  <c r="O108" i="19" s="1"/>
  <c r="P108" i="19" s="1"/>
  <c r="Q108" i="19" s="1"/>
  <c r="O109" i="19" s="1"/>
  <c r="P109" i="19" s="1"/>
  <c r="Q109" i="19" s="1"/>
  <c r="O110" i="19" s="1"/>
  <c r="P110" i="19" s="1"/>
  <c r="Q110" i="19" s="1"/>
  <c r="O111" i="19" s="1"/>
  <c r="P111" i="19" s="1"/>
  <c r="Q111" i="19" s="1"/>
  <c r="O112" i="19" s="1"/>
  <c r="P112" i="19" s="1"/>
  <c r="Q112" i="19" s="1"/>
  <c r="O113" i="19" s="1"/>
  <c r="P113" i="19" s="1"/>
  <c r="Q113" i="19" s="1"/>
  <c r="O114" i="19" s="1"/>
  <c r="P114" i="19" s="1"/>
  <c r="Q114" i="19" s="1"/>
  <c r="O115" i="19" s="1"/>
  <c r="P115" i="19" s="1"/>
  <c r="Q115" i="19" s="1"/>
  <c r="O116" i="19" s="1"/>
  <c r="P116" i="19" s="1"/>
  <c r="Q116" i="19" s="1"/>
  <c r="O117" i="19" s="1"/>
  <c r="P117" i="19" s="1"/>
  <c r="Q117" i="19" s="1"/>
  <c r="O118" i="19" s="1"/>
  <c r="P118" i="19" s="1"/>
  <c r="Q118" i="19" s="1"/>
  <c r="O119" i="19" s="1"/>
  <c r="P119" i="19" s="1"/>
  <c r="Q119" i="19" s="1"/>
  <c r="O120" i="19" s="1"/>
  <c r="P120" i="19" s="1"/>
  <c r="Q120" i="19" s="1"/>
  <c r="O121" i="19" s="1"/>
  <c r="P121" i="19" s="1"/>
  <c r="Q121" i="19" s="1"/>
  <c r="O122" i="19" s="1"/>
  <c r="P122" i="19" s="1"/>
  <c r="Q122" i="19" s="1"/>
  <c r="O123" i="19" s="1"/>
  <c r="P123" i="19" s="1"/>
  <c r="Q123" i="19" s="1"/>
  <c r="O124" i="19" s="1"/>
  <c r="P124" i="19" s="1"/>
  <c r="Q124" i="19" s="1"/>
  <c r="O125" i="19" s="1"/>
  <c r="P125" i="19" s="1"/>
  <c r="Q125" i="19" s="1"/>
  <c r="O126" i="19" s="1"/>
  <c r="P126" i="19" s="1"/>
  <c r="Q126" i="19" s="1"/>
  <c r="O127" i="19" s="1"/>
  <c r="P127" i="19" s="1"/>
  <c r="Q127" i="19" s="1"/>
  <c r="O128" i="19" s="1"/>
  <c r="P128" i="19" s="1"/>
  <c r="Q128" i="19" s="1"/>
  <c r="O129" i="19" s="1"/>
  <c r="P129" i="19" s="1"/>
  <c r="Q129" i="19" s="1"/>
  <c r="O130" i="19" s="1"/>
  <c r="P130" i="19" s="1"/>
  <c r="Q130" i="19" s="1"/>
  <c r="O131" i="19" s="1"/>
  <c r="P131" i="19" s="1"/>
  <c r="Q131" i="19" s="1"/>
  <c r="O132" i="19" s="1"/>
  <c r="P132" i="19" s="1"/>
  <c r="Q132" i="19" s="1"/>
  <c r="O133" i="19" s="1"/>
  <c r="P133" i="19" s="1"/>
  <c r="Q133" i="19" s="1"/>
  <c r="O134" i="19" s="1"/>
  <c r="P134" i="19" s="1"/>
  <c r="Q134" i="19" s="1"/>
  <c r="O135" i="19" s="1"/>
  <c r="P135" i="19" s="1"/>
  <c r="Q135" i="19" s="1"/>
  <c r="O136" i="19" s="1"/>
  <c r="P136" i="19" s="1"/>
  <c r="Q136" i="19" s="1"/>
  <c r="O137" i="19" s="1"/>
  <c r="P137" i="19" s="1"/>
  <c r="Q137" i="19" s="1"/>
  <c r="O138" i="19" s="1"/>
  <c r="P138" i="19" s="1"/>
  <c r="Q138" i="19" s="1"/>
  <c r="O139" i="19" s="1"/>
  <c r="P139" i="19" s="1"/>
  <c r="Q139" i="19" s="1"/>
  <c r="O140" i="19" s="1"/>
  <c r="P140" i="19" s="1"/>
  <c r="Q140" i="19" s="1"/>
  <c r="O141" i="19" s="1"/>
  <c r="P141" i="19" s="1"/>
  <c r="Q141" i="19" s="1"/>
  <c r="O142" i="19" s="1"/>
  <c r="P142" i="19" s="1"/>
  <c r="Q142" i="19" s="1"/>
  <c r="O143" i="19" s="1"/>
  <c r="P143" i="19" s="1"/>
  <c r="Q143" i="19" s="1"/>
  <c r="O144" i="19" s="1"/>
  <c r="P144" i="19" s="1"/>
  <c r="Q144" i="19" s="1"/>
  <c r="O145" i="19" s="1"/>
  <c r="P145" i="19" s="1"/>
  <c r="Q145" i="19" s="1"/>
  <c r="O146" i="19" s="1"/>
  <c r="P146" i="19" s="1"/>
  <c r="Q146" i="19" s="1"/>
  <c r="O147" i="19" s="1"/>
  <c r="P147" i="19" s="1"/>
  <c r="Q147" i="19" s="1"/>
  <c r="O148" i="19" s="1"/>
  <c r="P148" i="19" s="1"/>
  <c r="Q148" i="19" s="1"/>
  <c r="O149" i="19" s="1"/>
  <c r="P149" i="19" s="1"/>
  <c r="Q149" i="19" s="1"/>
  <c r="O150" i="19" s="1"/>
  <c r="P150" i="19" s="1"/>
  <c r="Q150" i="19" s="1"/>
  <c r="O151" i="19" s="1"/>
  <c r="P151" i="19" s="1"/>
  <c r="Q151" i="19" s="1"/>
  <c r="O152" i="19" s="1"/>
  <c r="P152" i="19" s="1"/>
  <c r="Q152" i="19" s="1"/>
  <c r="O153" i="19" s="1"/>
  <c r="P153" i="19" s="1"/>
  <c r="Q153" i="19" s="1"/>
  <c r="O154" i="19" s="1"/>
  <c r="P154" i="19" s="1"/>
  <c r="Q154" i="19" s="1"/>
  <c r="O155" i="19" s="1"/>
  <c r="P155" i="19" s="1"/>
  <c r="Q155" i="19" s="1"/>
  <c r="O156" i="19" s="1"/>
  <c r="P156" i="19" s="1"/>
  <c r="Q156" i="19" s="1"/>
  <c r="O157" i="19" s="1"/>
  <c r="P157" i="19" s="1"/>
  <c r="Q157" i="19" s="1"/>
  <c r="O158" i="19" s="1"/>
  <c r="P158" i="19" s="1"/>
  <c r="Q158" i="19" s="1"/>
  <c r="O159" i="19" s="1"/>
  <c r="P159" i="19" s="1"/>
  <c r="Q159" i="19" s="1"/>
  <c r="O160" i="19" s="1"/>
  <c r="P160" i="19" s="1"/>
  <c r="Q160" i="19" s="1"/>
  <c r="O161" i="19" s="1"/>
  <c r="P161" i="19" s="1"/>
  <c r="Q161" i="19" s="1"/>
  <c r="O162" i="19" s="1"/>
  <c r="P162" i="19" s="1"/>
  <c r="Q162" i="19" s="1"/>
  <c r="O163" i="19" s="1"/>
  <c r="P163" i="19" s="1"/>
  <c r="Q163" i="19" s="1"/>
  <c r="O164" i="19" s="1"/>
  <c r="P164" i="19" s="1"/>
  <c r="Q164" i="19" s="1"/>
  <c r="O165" i="19" s="1"/>
  <c r="P165" i="19" s="1"/>
  <c r="Q165" i="19" s="1"/>
  <c r="O166" i="19" s="1"/>
  <c r="P166" i="19" s="1"/>
  <c r="Q166" i="19" s="1"/>
  <c r="O167" i="19" s="1"/>
  <c r="P167" i="19" s="1"/>
  <c r="Q167" i="19" s="1"/>
  <c r="O168" i="19" s="1"/>
  <c r="P168" i="19" s="1"/>
  <c r="Q168" i="19" s="1"/>
  <c r="O169" i="19" s="1"/>
  <c r="P169" i="19" s="1"/>
  <c r="Q169" i="19" s="1"/>
  <c r="O170" i="19" s="1"/>
  <c r="P170" i="19" s="1"/>
  <c r="Q170" i="19" s="1"/>
  <c r="O171" i="19" s="1"/>
  <c r="P171" i="19" s="1"/>
  <c r="Q171" i="19" s="1"/>
  <c r="O172" i="19" s="1"/>
  <c r="P172" i="19" s="1"/>
  <c r="Q172" i="19" s="1"/>
  <c r="O173" i="19" s="1"/>
  <c r="P173" i="19" s="1"/>
  <c r="Q173" i="19" s="1"/>
  <c r="O174" i="19" s="1"/>
  <c r="P174" i="19" s="1"/>
  <c r="Q174" i="19" s="1"/>
  <c r="O175" i="19" s="1"/>
  <c r="P175" i="19" s="1"/>
  <c r="Q175" i="19" s="1"/>
  <c r="O176" i="19" s="1"/>
  <c r="P176" i="19" s="1"/>
  <c r="Q176" i="19" s="1"/>
  <c r="O177" i="19" s="1"/>
  <c r="P177" i="19" s="1"/>
  <c r="Q177" i="19" s="1"/>
  <c r="O178" i="19" s="1"/>
  <c r="P178" i="19" s="1"/>
  <c r="Q178" i="19" s="1"/>
  <c r="O179" i="19" s="1"/>
  <c r="P179" i="19" s="1"/>
  <c r="Q179" i="19" s="1"/>
  <c r="O180" i="19" s="1"/>
  <c r="P180" i="19" s="1"/>
  <c r="Q180" i="19" s="1"/>
  <c r="O4" i="4"/>
  <c r="V4" i="4"/>
  <c r="U168" i="8"/>
  <c r="U146" i="8"/>
  <c r="U179" i="8"/>
  <c r="U163" i="8"/>
  <c r="U147" i="8"/>
  <c r="U131" i="8"/>
  <c r="U124" i="8"/>
  <c r="U119" i="8"/>
  <c r="U103" i="8"/>
  <c r="U112" i="8"/>
  <c r="U82" i="8"/>
  <c r="U15" i="8"/>
  <c r="U44" i="8"/>
  <c r="U46" i="8"/>
  <c r="U5" i="8"/>
  <c r="U37" i="8"/>
  <c r="U10" i="8"/>
  <c r="U76" i="8"/>
  <c r="U84" i="8"/>
  <c r="U32" i="8"/>
  <c r="U31" i="8"/>
  <c r="U34" i="8"/>
  <c r="U182" i="8"/>
  <c r="U166" i="8"/>
  <c r="U140" i="8"/>
  <c r="U177" i="8"/>
  <c r="U161" i="8"/>
  <c r="U145" i="8"/>
  <c r="U129" i="8"/>
  <c r="U156" i="8"/>
  <c r="U117" i="8"/>
  <c r="U101" i="8"/>
  <c r="U110" i="8"/>
  <c r="U23" i="8"/>
  <c r="U40" i="8"/>
  <c r="U88" i="8"/>
  <c r="U89" i="8"/>
  <c r="U98" i="8"/>
  <c r="U54" i="8"/>
  <c r="U63" i="8"/>
  <c r="U11" i="8"/>
  <c r="U8" i="8"/>
  <c r="U19" i="8"/>
  <c r="U64" i="8"/>
  <c r="U49" i="8"/>
  <c r="U180" i="8"/>
  <c r="U164" i="8"/>
  <c r="U134" i="8"/>
  <c r="U175" i="8"/>
  <c r="U159" i="8"/>
  <c r="U143" i="8"/>
  <c r="U127" i="8"/>
  <c r="U144" i="8"/>
  <c r="U115" i="8"/>
  <c r="U99" i="8"/>
  <c r="U108" i="8"/>
  <c r="U22" i="8"/>
  <c r="U35" i="8"/>
  <c r="U18" i="8"/>
  <c r="U20" i="8"/>
  <c r="U17" i="8"/>
  <c r="U81" i="8"/>
  <c r="U79" i="8"/>
  <c r="U52" i="8"/>
  <c r="U70" i="8"/>
  <c r="U74" i="8"/>
  <c r="U50" i="8"/>
  <c r="U6" i="8"/>
  <c r="U178" i="8"/>
  <c r="U162" i="8"/>
  <c r="U126" i="8"/>
  <c r="U173" i="8"/>
  <c r="U157" i="8"/>
  <c r="U141" i="8"/>
  <c r="U125" i="8"/>
  <c r="U136" i="8"/>
  <c r="U113" i="8"/>
  <c r="U122" i="8"/>
  <c r="U106" i="8"/>
  <c r="U78" i="8"/>
  <c r="U57" i="8"/>
  <c r="U7" i="8"/>
  <c r="U13" i="8"/>
  <c r="U48" i="8"/>
  <c r="U73" i="8"/>
  <c r="U25" i="8"/>
  <c r="U83" i="8"/>
  <c r="U51" i="8"/>
  <c r="U45" i="8"/>
  <c r="U80" i="8"/>
  <c r="P3" i="8"/>
  <c r="U176" i="8"/>
  <c r="U160" i="8"/>
  <c r="U123" i="8"/>
  <c r="U171" i="8"/>
  <c r="U155" i="8"/>
  <c r="U139" i="8"/>
  <c r="U154" i="8"/>
  <c r="U128" i="8"/>
  <c r="U111" i="8"/>
  <c r="U120" i="8"/>
  <c r="U104" i="8"/>
  <c r="U65" i="8"/>
  <c r="U77" i="8"/>
  <c r="U43" i="8"/>
  <c r="U27" i="8"/>
  <c r="U75" i="8"/>
  <c r="U14" i="8"/>
  <c r="U24" i="8"/>
  <c r="U28" i="8"/>
  <c r="U69" i="8"/>
  <c r="U72" i="8"/>
  <c r="U47" i="8"/>
  <c r="U94" i="8"/>
  <c r="U174" i="8"/>
  <c r="U158" i="8"/>
  <c r="U148" i="8"/>
  <c r="U169" i="8"/>
  <c r="U153" i="8"/>
  <c r="U137" i="8"/>
  <c r="U142" i="8"/>
  <c r="U109" i="8"/>
  <c r="U118" i="8"/>
  <c r="U102" i="8"/>
  <c r="U92" i="8"/>
  <c r="U21" i="8"/>
  <c r="U85" i="8"/>
  <c r="U60" i="8"/>
  <c r="U55" i="8"/>
  <c r="U93" i="8"/>
  <c r="U56" i="8"/>
  <c r="U16" i="8"/>
  <c r="D16" i="50"/>
  <c r="U4" i="8"/>
  <c r="U59" i="8"/>
  <c r="U61" i="8"/>
  <c r="U170" i="8"/>
  <c r="U165" i="8"/>
  <c r="U133" i="8"/>
  <c r="U121" i="8"/>
  <c r="U114" i="8"/>
  <c r="U66" i="8"/>
  <c r="U95" i="8"/>
  <c r="U3" i="8"/>
  <c r="U62" i="8"/>
  <c r="U97" i="8"/>
  <c r="U38" i="8"/>
  <c r="U172" i="8"/>
  <c r="U152" i="8"/>
  <c r="U130" i="8"/>
  <c r="U167" i="8"/>
  <c r="U151" i="8"/>
  <c r="U135" i="8"/>
  <c r="U138" i="8"/>
  <c r="U36" i="8"/>
  <c r="U107" i="8"/>
  <c r="U116" i="8"/>
  <c r="U100" i="8"/>
  <c r="U67" i="8"/>
  <c r="U9" i="8"/>
  <c r="U41" i="8"/>
  <c r="U53" i="8"/>
  <c r="U91" i="8"/>
  <c r="U96" i="8"/>
  <c r="U30" i="8"/>
  <c r="U68" i="8"/>
  <c r="U42" i="8"/>
  <c r="U12" i="8"/>
  <c r="U39" i="8"/>
  <c r="U71" i="8"/>
  <c r="U150" i="8"/>
  <c r="U181" i="8"/>
  <c r="U149" i="8"/>
  <c r="U132" i="8"/>
  <c r="U105" i="8"/>
  <c r="U29" i="8"/>
  <c r="U33" i="8"/>
  <c r="U26" i="8"/>
  <c r="U90" i="8"/>
  <c r="U87" i="8"/>
  <c r="U86" i="8"/>
  <c r="U58" i="8"/>
  <c r="M182" i="18"/>
  <c r="N2" i="18" s="1"/>
  <c r="K182" i="39"/>
  <c r="L182" i="39" s="1"/>
  <c r="M182" i="39" s="1"/>
  <c r="N2" i="39" s="1"/>
  <c r="J182" i="17"/>
  <c r="K182" i="17" s="1"/>
  <c r="L182" i="17" s="1"/>
  <c r="M182" i="17" s="1"/>
  <c r="J182" i="42"/>
  <c r="K182" i="42" s="1"/>
  <c r="L182" i="42" s="1"/>
  <c r="M182" i="42" s="1"/>
  <c r="N2" i="42" s="1"/>
  <c r="J182" i="41"/>
  <c r="K182" i="41" s="1"/>
  <c r="L182" i="41" s="1"/>
  <c r="M182" i="41" s="1"/>
  <c r="N2" i="41" s="1"/>
  <c r="J182" i="40"/>
  <c r="K182" i="40" s="1"/>
  <c r="L182" i="40" s="1"/>
  <c r="M182" i="40" s="1"/>
  <c r="N2" i="40" s="1"/>
  <c r="O24" i="9"/>
  <c r="V24" i="9"/>
  <c r="O181" i="26"/>
  <c r="P181" i="26" s="1"/>
  <c r="Q181" i="26" s="1"/>
  <c r="P3" i="39" l="1"/>
  <c r="Q3" i="39" s="1"/>
  <c r="O4" i="39" s="1"/>
  <c r="P4" i="39" s="1"/>
  <c r="Q4" i="39" s="1"/>
  <c r="O5" i="39" s="1"/>
  <c r="P5" i="39" s="1"/>
  <c r="Q5" i="39" s="1"/>
  <c r="O6" i="39" s="1"/>
  <c r="P6" i="39" s="1"/>
  <c r="Q6" i="39" s="1"/>
  <c r="O7" i="39" s="1"/>
  <c r="P7" i="39" s="1"/>
  <c r="Q7" i="39" s="1"/>
  <c r="O8" i="39" s="1"/>
  <c r="P8" i="39" s="1"/>
  <c r="Q8" i="39" s="1"/>
  <c r="O9" i="39" s="1"/>
  <c r="P9" i="39" s="1"/>
  <c r="Q9" i="39" s="1"/>
  <c r="O10" i="39" s="1"/>
  <c r="P10" i="39" s="1"/>
  <c r="Q10" i="39" s="1"/>
  <c r="O11" i="39" s="1"/>
  <c r="P11" i="39" s="1"/>
  <c r="Q11" i="39" s="1"/>
  <c r="O12" i="39" s="1"/>
  <c r="P12" i="39" s="1"/>
  <c r="Q12" i="39" s="1"/>
  <c r="O13" i="39" s="1"/>
  <c r="P13" i="39" s="1"/>
  <c r="Q13" i="39" s="1"/>
  <c r="O14" i="39" s="1"/>
  <c r="P14" i="39" s="1"/>
  <c r="Q14" i="39" s="1"/>
  <c r="O15" i="39" s="1"/>
  <c r="P15" i="39" s="1"/>
  <c r="Q15" i="39" s="1"/>
  <c r="O16" i="39" s="1"/>
  <c r="P16" i="39" s="1"/>
  <c r="Q16" i="39" s="1"/>
  <c r="O17" i="39" s="1"/>
  <c r="P17" i="39" s="1"/>
  <c r="Q17" i="39" s="1"/>
  <c r="O18" i="39" s="1"/>
  <c r="P18" i="39" s="1"/>
  <c r="Q18" i="39" s="1"/>
  <c r="O19" i="39" s="1"/>
  <c r="P19" i="39" s="1"/>
  <c r="Q19" i="39" s="1"/>
  <c r="O20" i="39" s="1"/>
  <c r="P20" i="39" s="1"/>
  <c r="Q20" i="39" s="1"/>
  <c r="O21" i="39" s="1"/>
  <c r="P21" i="39" s="1"/>
  <c r="Q21" i="39" s="1"/>
  <c r="O22" i="39" s="1"/>
  <c r="P22" i="39" s="1"/>
  <c r="Q22" i="39" s="1"/>
  <c r="O23" i="39" s="1"/>
  <c r="P23" i="39" s="1"/>
  <c r="Q23" i="39" s="1"/>
  <c r="O24" i="39" s="1"/>
  <c r="P24" i="39" s="1"/>
  <c r="Q24" i="39" s="1"/>
  <c r="O25" i="39" s="1"/>
  <c r="P25" i="39" s="1"/>
  <c r="Q25" i="39" s="1"/>
  <c r="O26" i="39" s="1"/>
  <c r="P26" i="39" s="1"/>
  <c r="Q26" i="39" s="1"/>
  <c r="O27" i="39" s="1"/>
  <c r="P27" i="39" s="1"/>
  <c r="Q27" i="39" s="1"/>
  <c r="O28" i="39" s="1"/>
  <c r="P28" i="39" s="1"/>
  <c r="Q28" i="39" s="1"/>
  <c r="O29" i="39" s="1"/>
  <c r="P29" i="39" s="1"/>
  <c r="Q29" i="39" s="1"/>
  <c r="O30" i="39" s="1"/>
  <c r="P30" i="39" s="1"/>
  <c r="Q30" i="39" s="1"/>
  <c r="O31" i="39" s="1"/>
  <c r="P31" i="39" s="1"/>
  <c r="Q31" i="39" s="1"/>
  <c r="O32" i="39" s="1"/>
  <c r="P32" i="39" s="1"/>
  <c r="Q32" i="39" s="1"/>
  <c r="O33" i="39" s="1"/>
  <c r="P33" i="39" s="1"/>
  <c r="Q33" i="39" s="1"/>
  <c r="O34" i="39" s="1"/>
  <c r="P34" i="39" s="1"/>
  <c r="Q34" i="39" s="1"/>
  <c r="O35" i="39" s="1"/>
  <c r="P35" i="39" s="1"/>
  <c r="Q35" i="39" s="1"/>
  <c r="O36" i="39" s="1"/>
  <c r="P36" i="39" s="1"/>
  <c r="Q36" i="39" s="1"/>
  <c r="O37" i="39" s="1"/>
  <c r="P37" i="39" s="1"/>
  <c r="Q37" i="39" s="1"/>
  <c r="O38" i="39" s="1"/>
  <c r="P38" i="39" s="1"/>
  <c r="Q38" i="39" s="1"/>
  <c r="O39" i="39" s="1"/>
  <c r="P39" i="39" s="1"/>
  <c r="Q39" i="39" s="1"/>
  <c r="O40" i="39" s="1"/>
  <c r="P40" i="39" s="1"/>
  <c r="Q40" i="39" s="1"/>
  <c r="O41" i="39" s="1"/>
  <c r="P41" i="39" s="1"/>
  <c r="Q41" i="39" s="1"/>
  <c r="O42" i="39" s="1"/>
  <c r="P42" i="39" s="1"/>
  <c r="Q42" i="39" s="1"/>
  <c r="O43" i="39" s="1"/>
  <c r="P43" i="39" s="1"/>
  <c r="Q43" i="39" s="1"/>
  <c r="O44" i="39" s="1"/>
  <c r="P44" i="39" s="1"/>
  <c r="Q44" i="39" s="1"/>
  <c r="O45" i="39" s="1"/>
  <c r="P45" i="39" s="1"/>
  <c r="Q45" i="39" s="1"/>
  <c r="O46" i="39" s="1"/>
  <c r="P46" i="39" s="1"/>
  <c r="Q46" i="39" s="1"/>
  <c r="O47" i="39" s="1"/>
  <c r="P47" i="39" s="1"/>
  <c r="Q47" i="39" s="1"/>
  <c r="O48" i="39" s="1"/>
  <c r="P48" i="39" s="1"/>
  <c r="Q48" i="39" s="1"/>
  <c r="O49" i="39" s="1"/>
  <c r="P49" i="39" s="1"/>
  <c r="Q49" i="39" s="1"/>
  <c r="O50" i="39" s="1"/>
  <c r="P50" i="39" s="1"/>
  <c r="Q50" i="39" s="1"/>
  <c r="O51" i="39" s="1"/>
  <c r="P51" i="39" s="1"/>
  <c r="Q51" i="39" s="1"/>
  <c r="O52" i="39" s="1"/>
  <c r="P52" i="39" s="1"/>
  <c r="Q52" i="39" s="1"/>
  <c r="O53" i="39" s="1"/>
  <c r="P53" i="39" s="1"/>
  <c r="Q53" i="39" s="1"/>
  <c r="O54" i="39" s="1"/>
  <c r="P54" i="39" s="1"/>
  <c r="Q54" i="39" s="1"/>
  <c r="O55" i="39" s="1"/>
  <c r="P55" i="39" s="1"/>
  <c r="Q55" i="39" s="1"/>
  <c r="O56" i="39" s="1"/>
  <c r="P56" i="39" s="1"/>
  <c r="Q56" i="39" s="1"/>
  <c r="O57" i="39" s="1"/>
  <c r="P57" i="39" s="1"/>
  <c r="Q57" i="39" s="1"/>
  <c r="O58" i="39" s="1"/>
  <c r="P58" i="39" s="1"/>
  <c r="Q58" i="39" s="1"/>
  <c r="O59" i="39" s="1"/>
  <c r="P59" i="39" s="1"/>
  <c r="Q59" i="39" s="1"/>
  <c r="O60" i="39" s="1"/>
  <c r="P60" i="39" s="1"/>
  <c r="Q60" i="39" s="1"/>
  <c r="O61" i="39" s="1"/>
  <c r="P61" i="39" s="1"/>
  <c r="Q61" i="39" s="1"/>
  <c r="O62" i="39" s="1"/>
  <c r="P62" i="39" s="1"/>
  <c r="Q62" i="39" s="1"/>
  <c r="O63" i="39" s="1"/>
  <c r="P63" i="39" s="1"/>
  <c r="Q63" i="39" s="1"/>
  <c r="O64" i="39" s="1"/>
  <c r="P64" i="39" s="1"/>
  <c r="Q64" i="39" s="1"/>
  <c r="O65" i="39" s="1"/>
  <c r="P65" i="39" s="1"/>
  <c r="Q65" i="39" s="1"/>
  <c r="O66" i="39" s="1"/>
  <c r="P66" i="39" s="1"/>
  <c r="Q66" i="39" s="1"/>
  <c r="O67" i="39" s="1"/>
  <c r="P67" i="39" s="1"/>
  <c r="Q67" i="39" s="1"/>
  <c r="O68" i="39" s="1"/>
  <c r="P68" i="39" s="1"/>
  <c r="Q68" i="39" s="1"/>
  <c r="O69" i="39" s="1"/>
  <c r="P69" i="39" s="1"/>
  <c r="Q69" i="39" s="1"/>
  <c r="O70" i="39" s="1"/>
  <c r="P70" i="39" s="1"/>
  <c r="Q70" i="39" s="1"/>
  <c r="O71" i="39" s="1"/>
  <c r="P71" i="39" s="1"/>
  <c r="Q71" i="39" s="1"/>
  <c r="O72" i="39" s="1"/>
  <c r="P72" i="39" s="1"/>
  <c r="Q72" i="39" s="1"/>
  <c r="O73" i="39" s="1"/>
  <c r="P73" i="39" s="1"/>
  <c r="Q73" i="39" s="1"/>
  <c r="O74" i="39" s="1"/>
  <c r="P74" i="39" s="1"/>
  <c r="Q74" i="39" s="1"/>
  <c r="O75" i="39" s="1"/>
  <c r="P75" i="39" s="1"/>
  <c r="Q75" i="39" s="1"/>
  <c r="O76" i="39" s="1"/>
  <c r="P76" i="39" s="1"/>
  <c r="Q76" i="39" s="1"/>
  <c r="O77" i="39" s="1"/>
  <c r="P77" i="39" s="1"/>
  <c r="Q77" i="39" s="1"/>
  <c r="O78" i="39" s="1"/>
  <c r="P78" i="39" s="1"/>
  <c r="Q78" i="39" s="1"/>
  <c r="O79" i="39" s="1"/>
  <c r="P79" i="39" s="1"/>
  <c r="Q79" i="39" s="1"/>
  <c r="O80" i="39" s="1"/>
  <c r="P80" i="39" s="1"/>
  <c r="Q80" i="39" s="1"/>
  <c r="O81" i="39" s="1"/>
  <c r="P81" i="39" s="1"/>
  <c r="Q81" i="39" s="1"/>
  <c r="O82" i="39" s="1"/>
  <c r="P82" i="39" s="1"/>
  <c r="Q82" i="39" s="1"/>
  <c r="O83" i="39" s="1"/>
  <c r="P83" i="39" s="1"/>
  <c r="Q83" i="39" s="1"/>
  <c r="O84" i="39" s="1"/>
  <c r="P84" i="39" s="1"/>
  <c r="Q84" i="39" s="1"/>
  <c r="O85" i="39" s="1"/>
  <c r="P85" i="39" s="1"/>
  <c r="Q85" i="39" s="1"/>
  <c r="O86" i="39" s="1"/>
  <c r="P86" i="39" s="1"/>
  <c r="Q86" i="39" s="1"/>
  <c r="O87" i="39" s="1"/>
  <c r="P87" i="39" s="1"/>
  <c r="Q87" i="39" s="1"/>
  <c r="O88" i="39" s="1"/>
  <c r="P88" i="39" s="1"/>
  <c r="Q88" i="39" s="1"/>
  <c r="O89" i="39" s="1"/>
  <c r="P89" i="39" s="1"/>
  <c r="Q89" i="39" s="1"/>
  <c r="O90" i="39" s="1"/>
  <c r="P90" i="39" s="1"/>
  <c r="Q90" i="39" s="1"/>
  <c r="O91" i="39" s="1"/>
  <c r="P91" i="39" s="1"/>
  <c r="Q91" i="39" s="1"/>
  <c r="O92" i="39" s="1"/>
  <c r="P92" i="39" s="1"/>
  <c r="Q92" i="39" s="1"/>
  <c r="O93" i="39" s="1"/>
  <c r="P93" i="39" s="1"/>
  <c r="Q93" i="39" s="1"/>
  <c r="O94" i="39" s="1"/>
  <c r="P94" i="39" s="1"/>
  <c r="Q94" i="39" s="1"/>
  <c r="O95" i="39" s="1"/>
  <c r="P95" i="39" s="1"/>
  <c r="Q95" i="39" s="1"/>
  <c r="O96" i="39" s="1"/>
  <c r="P96" i="39" s="1"/>
  <c r="Q96" i="39" s="1"/>
  <c r="O97" i="39" s="1"/>
  <c r="P97" i="39" s="1"/>
  <c r="Q97" i="39" s="1"/>
  <c r="O98" i="39" s="1"/>
  <c r="P98" i="39" s="1"/>
  <c r="Q98" i="39" s="1"/>
  <c r="O99" i="39" s="1"/>
  <c r="P99" i="39" s="1"/>
  <c r="Q99" i="39" s="1"/>
  <c r="O100" i="39" s="1"/>
  <c r="P100" i="39" s="1"/>
  <c r="Q100" i="39" s="1"/>
  <c r="O101" i="39" s="1"/>
  <c r="P101" i="39" s="1"/>
  <c r="Q101" i="39" s="1"/>
  <c r="O102" i="39" s="1"/>
  <c r="P102" i="39" s="1"/>
  <c r="Q102" i="39" s="1"/>
  <c r="O103" i="39" s="1"/>
  <c r="P103" i="39" s="1"/>
  <c r="Q103" i="39" s="1"/>
  <c r="O104" i="39" s="1"/>
  <c r="P104" i="39" s="1"/>
  <c r="Q104" i="39" s="1"/>
  <c r="O105" i="39" s="1"/>
  <c r="P105" i="39" s="1"/>
  <c r="Q105" i="39" s="1"/>
  <c r="O106" i="39" s="1"/>
  <c r="P106" i="39" s="1"/>
  <c r="Q106" i="39" s="1"/>
  <c r="O107" i="39" s="1"/>
  <c r="P107" i="39" s="1"/>
  <c r="Q107" i="39" s="1"/>
  <c r="O108" i="39" s="1"/>
  <c r="P108" i="39" s="1"/>
  <c r="Q108" i="39" s="1"/>
  <c r="O109" i="39" s="1"/>
  <c r="P109" i="39" s="1"/>
  <c r="Q109" i="39" s="1"/>
  <c r="O110" i="39" s="1"/>
  <c r="P110" i="39" s="1"/>
  <c r="Q110" i="39" s="1"/>
  <c r="O111" i="39" s="1"/>
  <c r="P111" i="39" s="1"/>
  <c r="Q111" i="39" s="1"/>
  <c r="O112" i="39" s="1"/>
  <c r="P112" i="39" s="1"/>
  <c r="Q112" i="39" s="1"/>
  <c r="O113" i="39" s="1"/>
  <c r="P113" i="39" s="1"/>
  <c r="Q113" i="39" s="1"/>
  <c r="O114" i="39" s="1"/>
  <c r="P114" i="39" s="1"/>
  <c r="Q114" i="39" s="1"/>
  <c r="O115" i="39" s="1"/>
  <c r="P115" i="39" s="1"/>
  <c r="Q115" i="39" s="1"/>
  <c r="O116" i="39" s="1"/>
  <c r="P116" i="39" s="1"/>
  <c r="Q116" i="39" s="1"/>
  <c r="O117" i="39" s="1"/>
  <c r="P117" i="39" s="1"/>
  <c r="Q117" i="39" s="1"/>
  <c r="O118" i="39" s="1"/>
  <c r="P118" i="39" s="1"/>
  <c r="Q118" i="39" s="1"/>
  <c r="O119" i="39" s="1"/>
  <c r="P119" i="39" s="1"/>
  <c r="Q119" i="39" s="1"/>
  <c r="O120" i="39" s="1"/>
  <c r="P120" i="39" s="1"/>
  <c r="Q120" i="39" s="1"/>
  <c r="O121" i="39" s="1"/>
  <c r="P121" i="39" s="1"/>
  <c r="Q121" i="39" s="1"/>
  <c r="O122" i="39" s="1"/>
  <c r="P122" i="39" s="1"/>
  <c r="Q122" i="39" s="1"/>
  <c r="O123" i="39" s="1"/>
  <c r="P123" i="39" s="1"/>
  <c r="Q123" i="39" s="1"/>
  <c r="O124" i="39" s="1"/>
  <c r="P124" i="39" s="1"/>
  <c r="Q124" i="39" s="1"/>
  <c r="O125" i="39" s="1"/>
  <c r="P125" i="39" s="1"/>
  <c r="Q125" i="39" s="1"/>
  <c r="O126" i="39" s="1"/>
  <c r="P126" i="39" s="1"/>
  <c r="Q126" i="39" s="1"/>
  <c r="O127" i="39" s="1"/>
  <c r="P127" i="39" s="1"/>
  <c r="Q127" i="39" s="1"/>
  <c r="O128" i="39" s="1"/>
  <c r="P128" i="39" s="1"/>
  <c r="Q128" i="39" s="1"/>
  <c r="O129" i="39" s="1"/>
  <c r="P129" i="39" s="1"/>
  <c r="Q129" i="39" s="1"/>
  <c r="O130" i="39" s="1"/>
  <c r="P130" i="39" s="1"/>
  <c r="Q130" i="39" s="1"/>
  <c r="O131" i="39" s="1"/>
  <c r="P131" i="39" s="1"/>
  <c r="Q131" i="39" s="1"/>
  <c r="O132" i="39" s="1"/>
  <c r="P132" i="39" s="1"/>
  <c r="Q132" i="39" s="1"/>
  <c r="O133" i="39" s="1"/>
  <c r="P133" i="39" s="1"/>
  <c r="Q133" i="39" s="1"/>
  <c r="O134" i="39" s="1"/>
  <c r="P134" i="39" s="1"/>
  <c r="Q134" i="39" s="1"/>
  <c r="O135" i="39" s="1"/>
  <c r="P135" i="39" s="1"/>
  <c r="Q135" i="39" s="1"/>
  <c r="O136" i="39" s="1"/>
  <c r="P136" i="39" s="1"/>
  <c r="Q136" i="39" s="1"/>
  <c r="O137" i="39" s="1"/>
  <c r="P137" i="39" s="1"/>
  <c r="Q137" i="39" s="1"/>
  <c r="O138" i="39" s="1"/>
  <c r="P138" i="39" s="1"/>
  <c r="Q138" i="39" s="1"/>
  <c r="O139" i="39" s="1"/>
  <c r="P139" i="39" s="1"/>
  <c r="Q139" i="39" s="1"/>
  <c r="O140" i="39" s="1"/>
  <c r="P140" i="39" s="1"/>
  <c r="Q140" i="39" s="1"/>
  <c r="O141" i="39" s="1"/>
  <c r="P141" i="39" s="1"/>
  <c r="Q141" i="39" s="1"/>
  <c r="O142" i="39" s="1"/>
  <c r="P142" i="39" s="1"/>
  <c r="Q142" i="39" s="1"/>
  <c r="O143" i="39" s="1"/>
  <c r="P143" i="39" s="1"/>
  <c r="Q143" i="39" s="1"/>
  <c r="O144" i="39" s="1"/>
  <c r="P144" i="39" s="1"/>
  <c r="Q144" i="39" s="1"/>
  <c r="O145" i="39" s="1"/>
  <c r="P145" i="39" s="1"/>
  <c r="Q145" i="39" s="1"/>
  <c r="O146" i="39" s="1"/>
  <c r="P146" i="39" s="1"/>
  <c r="Q146" i="39" s="1"/>
  <c r="O147" i="39" s="1"/>
  <c r="P147" i="39" s="1"/>
  <c r="Q147" i="39" s="1"/>
  <c r="O148" i="39" s="1"/>
  <c r="P148" i="39" s="1"/>
  <c r="Q148" i="39" s="1"/>
  <c r="O149" i="39" s="1"/>
  <c r="P149" i="39" s="1"/>
  <c r="Q149" i="39" s="1"/>
  <c r="O150" i="39" s="1"/>
  <c r="P150" i="39" s="1"/>
  <c r="Q150" i="39" s="1"/>
  <c r="O151" i="39" s="1"/>
  <c r="P151" i="39" s="1"/>
  <c r="Q151" i="39" s="1"/>
  <c r="O152" i="39" s="1"/>
  <c r="P152" i="39" s="1"/>
  <c r="Q152" i="39" s="1"/>
  <c r="O153" i="39" s="1"/>
  <c r="P153" i="39" s="1"/>
  <c r="Q153" i="39" s="1"/>
  <c r="O154" i="39" s="1"/>
  <c r="P154" i="39" s="1"/>
  <c r="Q154" i="39" s="1"/>
  <c r="O155" i="39" s="1"/>
  <c r="P155" i="39" s="1"/>
  <c r="Q155" i="39" s="1"/>
  <c r="O156" i="39" s="1"/>
  <c r="P156" i="39" s="1"/>
  <c r="Q156" i="39" s="1"/>
  <c r="O157" i="39" s="1"/>
  <c r="P157" i="39" s="1"/>
  <c r="Q157" i="39" s="1"/>
  <c r="O158" i="39" s="1"/>
  <c r="P158" i="39" s="1"/>
  <c r="Q158" i="39" s="1"/>
  <c r="O159" i="39" s="1"/>
  <c r="P159" i="39" s="1"/>
  <c r="Q159" i="39" s="1"/>
  <c r="O160" i="39" s="1"/>
  <c r="P160" i="39" s="1"/>
  <c r="Q160" i="39" s="1"/>
  <c r="O161" i="39" s="1"/>
  <c r="P161" i="39" s="1"/>
  <c r="Q161" i="39" s="1"/>
  <c r="O162" i="39" s="1"/>
  <c r="P162" i="39" s="1"/>
  <c r="Q162" i="39" s="1"/>
  <c r="O163" i="39" s="1"/>
  <c r="P163" i="39" s="1"/>
  <c r="Q163" i="39" s="1"/>
  <c r="O164" i="39" s="1"/>
  <c r="P164" i="39" s="1"/>
  <c r="Q164" i="39" s="1"/>
  <c r="O165" i="39" s="1"/>
  <c r="P165" i="39" s="1"/>
  <c r="Q165" i="39" s="1"/>
  <c r="O166" i="39" s="1"/>
  <c r="P166" i="39" s="1"/>
  <c r="Q166" i="39" s="1"/>
  <c r="O167" i="39" s="1"/>
  <c r="P167" i="39" s="1"/>
  <c r="Q167" i="39" s="1"/>
  <c r="O168" i="39" s="1"/>
  <c r="P168" i="39" s="1"/>
  <c r="Q168" i="39" s="1"/>
  <c r="O169" i="39" s="1"/>
  <c r="P169" i="39" s="1"/>
  <c r="Q169" i="39" s="1"/>
  <c r="O170" i="39" s="1"/>
  <c r="P170" i="39" s="1"/>
  <c r="Q170" i="39" s="1"/>
  <c r="O171" i="39" s="1"/>
  <c r="P171" i="39" s="1"/>
  <c r="Q171" i="39" s="1"/>
  <c r="O172" i="39" s="1"/>
  <c r="P172" i="39" s="1"/>
  <c r="Q172" i="39" s="1"/>
  <c r="O173" i="39" s="1"/>
  <c r="P173" i="39" s="1"/>
  <c r="Q173" i="39" s="1"/>
  <c r="O174" i="39" s="1"/>
  <c r="P174" i="39" s="1"/>
  <c r="Q174" i="39" s="1"/>
  <c r="O175" i="39" s="1"/>
  <c r="P175" i="39" s="1"/>
  <c r="Q175" i="39" s="1"/>
  <c r="O176" i="39" s="1"/>
  <c r="P176" i="39" s="1"/>
  <c r="Q176" i="39" s="1"/>
  <c r="O177" i="39" s="1"/>
  <c r="P177" i="39" s="1"/>
  <c r="Q177" i="39" s="1"/>
  <c r="O178" i="39" s="1"/>
  <c r="P178" i="39" s="1"/>
  <c r="Q178" i="39" s="1"/>
  <c r="O179" i="39" s="1"/>
  <c r="P179" i="39" s="1"/>
  <c r="Q179" i="39" s="1"/>
  <c r="O180" i="39" s="1"/>
  <c r="P180" i="39" s="1"/>
  <c r="Q180" i="39" s="1"/>
  <c r="O181" i="39" s="1"/>
  <c r="P181" i="39" s="1"/>
  <c r="Q181" i="39" s="1"/>
  <c r="O182" i="39" s="1"/>
  <c r="P182" i="39" s="1"/>
  <c r="Q182" i="39" s="1"/>
  <c r="B19" i="20"/>
  <c r="G19" i="27" s="1"/>
  <c r="P3" i="40"/>
  <c r="Q3" i="40" s="1"/>
  <c r="O4" i="40" s="1"/>
  <c r="P4" i="40" s="1"/>
  <c r="Q4" i="40" s="1"/>
  <c r="O5" i="40" s="1"/>
  <c r="P5" i="40" s="1"/>
  <c r="Q5" i="40" s="1"/>
  <c r="O6" i="40" s="1"/>
  <c r="P6" i="40" s="1"/>
  <c r="Q6" i="40" s="1"/>
  <c r="O7" i="40" s="1"/>
  <c r="P7" i="40" s="1"/>
  <c r="Q7" i="40" s="1"/>
  <c r="O8" i="40" s="1"/>
  <c r="P8" i="40" s="1"/>
  <c r="Q8" i="40" s="1"/>
  <c r="O9" i="40" s="1"/>
  <c r="P9" i="40" s="1"/>
  <c r="Q9" i="40" s="1"/>
  <c r="O10" i="40" s="1"/>
  <c r="P10" i="40" s="1"/>
  <c r="Q10" i="40" s="1"/>
  <c r="O11" i="40" s="1"/>
  <c r="P11" i="40" s="1"/>
  <c r="Q11" i="40" s="1"/>
  <c r="O12" i="40" s="1"/>
  <c r="P12" i="40" s="1"/>
  <c r="Q12" i="40" s="1"/>
  <c r="O13" i="40" s="1"/>
  <c r="P13" i="40" s="1"/>
  <c r="Q13" i="40" s="1"/>
  <c r="O14" i="40" s="1"/>
  <c r="P14" i="40" s="1"/>
  <c r="Q14" i="40" s="1"/>
  <c r="O15" i="40" s="1"/>
  <c r="P15" i="40" s="1"/>
  <c r="Q15" i="40" s="1"/>
  <c r="O16" i="40" s="1"/>
  <c r="P16" i="40" s="1"/>
  <c r="Q16" i="40" s="1"/>
  <c r="O17" i="40" s="1"/>
  <c r="P17" i="40" s="1"/>
  <c r="Q17" i="40" s="1"/>
  <c r="O18" i="40" s="1"/>
  <c r="P18" i="40" s="1"/>
  <c r="Q18" i="40" s="1"/>
  <c r="O19" i="40" s="1"/>
  <c r="P19" i="40" s="1"/>
  <c r="Q19" i="40" s="1"/>
  <c r="O20" i="40" s="1"/>
  <c r="P20" i="40" s="1"/>
  <c r="Q20" i="40" s="1"/>
  <c r="O21" i="40" s="1"/>
  <c r="P21" i="40" s="1"/>
  <c r="Q21" i="40" s="1"/>
  <c r="O22" i="40" s="1"/>
  <c r="P22" i="40" s="1"/>
  <c r="Q22" i="40" s="1"/>
  <c r="O23" i="40" s="1"/>
  <c r="P23" i="40" s="1"/>
  <c r="Q23" i="40" s="1"/>
  <c r="O24" i="40" s="1"/>
  <c r="P24" i="40" s="1"/>
  <c r="Q24" i="40" s="1"/>
  <c r="O25" i="40" s="1"/>
  <c r="P25" i="40" s="1"/>
  <c r="Q25" i="40" s="1"/>
  <c r="O26" i="40" s="1"/>
  <c r="P26" i="40" s="1"/>
  <c r="Q26" i="40" s="1"/>
  <c r="O27" i="40" s="1"/>
  <c r="P27" i="40" s="1"/>
  <c r="Q27" i="40" s="1"/>
  <c r="O28" i="40" s="1"/>
  <c r="P28" i="40" s="1"/>
  <c r="Q28" i="40" s="1"/>
  <c r="O29" i="40" s="1"/>
  <c r="P29" i="40" s="1"/>
  <c r="Q29" i="40" s="1"/>
  <c r="O30" i="40" s="1"/>
  <c r="P30" i="40" s="1"/>
  <c r="Q30" i="40" s="1"/>
  <c r="O31" i="40" s="1"/>
  <c r="P31" i="40" s="1"/>
  <c r="Q31" i="40" s="1"/>
  <c r="O32" i="40" s="1"/>
  <c r="P32" i="40" s="1"/>
  <c r="Q32" i="40" s="1"/>
  <c r="O33" i="40" s="1"/>
  <c r="P33" i="40" s="1"/>
  <c r="Q33" i="40" s="1"/>
  <c r="O34" i="40" s="1"/>
  <c r="P34" i="40" s="1"/>
  <c r="Q34" i="40" s="1"/>
  <c r="O35" i="40" s="1"/>
  <c r="P35" i="40" s="1"/>
  <c r="Q35" i="40" s="1"/>
  <c r="O36" i="40" s="1"/>
  <c r="P36" i="40" s="1"/>
  <c r="Q36" i="40" s="1"/>
  <c r="O37" i="40" s="1"/>
  <c r="P37" i="40" s="1"/>
  <c r="Q37" i="40" s="1"/>
  <c r="O38" i="40" s="1"/>
  <c r="P38" i="40" s="1"/>
  <c r="Q38" i="40" s="1"/>
  <c r="O39" i="40" s="1"/>
  <c r="P39" i="40" s="1"/>
  <c r="Q39" i="40" s="1"/>
  <c r="O40" i="40" s="1"/>
  <c r="P40" i="40" s="1"/>
  <c r="Q40" i="40" s="1"/>
  <c r="O41" i="40" s="1"/>
  <c r="P41" i="40" s="1"/>
  <c r="Q41" i="40" s="1"/>
  <c r="O42" i="40" s="1"/>
  <c r="P42" i="40" s="1"/>
  <c r="Q42" i="40" s="1"/>
  <c r="O43" i="40" s="1"/>
  <c r="P43" i="40" s="1"/>
  <c r="Q43" i="40" s="1"/>
  <c r="O44" i="40" s="1"/>
  <c r="P44" i="40" s="1"/>
  <c r="Q44" i="40" s="1"/>
  <c r="O45" i="40" s="1"/>
  <c r="P45" i="40" s="1"/>
  <c r="Q45" i="40" s="1"/>
  <c r="O46" i="40" s="1"/>
  <c r="P46" i="40" s="1"/>
  <c r="Q46" i="40" s="1"/>
  <c r="O47" i="40" s="1"/>
  <c r="P47" i="40" s="1"/>
  <c r="Q47" i="40" s="1"/>
  <c r="O48" i="40" s="1"/>
  <c r="P48" i="40" s="1"/>
  <c r="Q48" i="40" s="1"/>
  <c r="O49" i="40" s="1"/>
  <c r="P49" i="40" s="1"/>
  <c r="Q49" i="40" s="1"/>
  <c r="O50" i="40" s="1"/>
  <c r="P50" i="40" s="1"/>
  <c r="Q50" i="40" s="1"/>
  <c r="O51" i="40" s="1"/>
  <c r="P51" i="40" s="1"/>
  <c r="Q51" i="40" s="1"/>
  <c r="O52" i="40" s="1"/>
  <c r="P52" i="40" s="1"/>
  <c r="Q52" i="40" s="1"/>
  <c r="O53" i="40" s="1"/>
  <c r="P53" i="40" s="1"/>
  <c r="Q53" i="40" s="1"/>
  <c r="O54" i="40" s="1"/>
  <c r="P54" i="40" s="1"/>
  <c r="Q54" i="40" s="1"/>
  <c r="O55" i="40" s="1"/>
  <c r="P55" i="40" s="1"/>
  <c r="Q55" i="40" s="1"/>
  <c r="O56" i="40" s="1"/>
  <c r="P56" i="40" s="1"/>
  <c r="Q56" i="40" s="1"/>
  <c r="O57" i="40" s="1"/>
  <c r="P57" i="40" s="1"/>
  <c r="Q57" i="40" s="1"/>
  <c r="O58" i="40" s="1"/>
  <c r="P58" i="40" s="1"/>
  <c r="Q58" i="40" s="1"/>
  <c r="O59" i="40" s="1"/>
  <c r="P59" i="40" s="1"/>
  <c r="Q59" i="40" s="1"/>
  <c r="O60" i="40" s="1"/>
  <c r="P60" i="40" s="1"/>
  <c r="Q60" i="40" s="1"/>
  <c r="O61" i="40" s="1"/>
  <c r="P61" i="40" s="1"/>
  <c r="Q61" i="40" s="1"/>
  <c r="O62" i="40" s="1"/>
  <c r="P62" i="40" s="1"/>
  <c r="Q62" i="40" s="1"/>
  <c r="O63" i="40" s="1"/>
  <c r="P63" i="40" s="1"/>
  <c r="Q63" i="40" s="1"/>
  <c r="O64" i="40" s="1"/>
  <c r="P64" i="40" s="1"/>
  <c r="Q64" i="40" s="1"/>
  <c r="O65" i="40" s="1"/>
  <c r="P65" i="40" s="1"/>
  <c r="Q65" i="40" s="1"/>
  <c r="O66" i="40" s="1"/>
  <c r="P66" i="40" s="1"/>
  <c r="Q66" i="40" s="1"/>
  <c r="O67" i="40" s="1"/>
  <c r="P67" i="40" s="1"/>
  <c r="Q67" i="40" s="1"/>
  <c r="O68" i="40" s="1"/>
  <c r="P68" i="40" s="1"/>
  <c r="Q68" i="40" s="1"/>
  <c r="O69" i="40" s="1"/>
  <c r="P69" i="40" s="1"/>
  <c r="Q69" i="40" s="1"/>
  <c r="O70" i="40" s="1"/>
  <c r="P70" i="40" s="1"/>
  <c r="Q70" i="40" s="1"/>
  <c r="O71" i="40" s="1"/>
  <c r="P71" i="40" s="1"/>
  <c r="Q71" i="40" s="1"/>
  <c r="O72" i="40" s="1"/>
  <c r="P72" i="40" s="1"/>
  <c r="Q72" i="40" s="1"/>
  <c r="O73" i="40" s="1"/>
  <c r="P73" i="40" s="1"/>
  <c r="Q73" i="40" s="1"/>
  <c r="O74" i="40" s="1"/>
  <c r="P74" i="40" s="1"/>
  <c r="Q74" i="40" s="1"/>
  <c r="O75" i="40" s="1"/>
  <c r="P75" i="40" s="1"/>
  <c r="Q75" i="40" s="1"/>
  <c r="O76" i="40" s="1"/>
  <c r="P76" i="40" s="1"/>
  <c r="Q76" i="40" s="1"/>
  <c r="O77" i="40" s="1"/>
  <c r="P77" i="40" s="1"/>
  <c r="Q77" i="40" s="1"/>
  <c r="O78" i="40" s="1"/>
  <c r="P78" i="40" s="1"/>
  <c r="Q78" i="40" s="1"/>
  <c r="O79" i="40" s="1"/>
  <c r="P79" i="40" s="1"/>
  <c r="Q79" i="40" s="1"/>
  <c r="O80" i="40" s="1"/>
  <c r="P80" i="40" s="1"/>
  <c r="Q80" i="40" s="1"/>
  <c r="O81" i="40" s="1"/>
  <c r="P81" i="40" s="1"/>
  <c r="Q81" i="40" s="1"/>
  <c r="O82" i="40" s="1"/>
  <c r="P82" i="40" s="1"/>
  <c r="Q82" i="40" s="1"/>
  <c r="O83" i="40" s="1"/>
  <c r="P83" i="40" s="1"/>
  <c r="Q83" i="40" s="1"/>
  <c r="O84" i="40" s="1"/>
  <c r="P84" i="40" s="1"/>
  <c r="Q84" i="40" s="1"/>
  <c r="O85" i="40" s="1"/>
  <c r="P85" i="40" s="1"/>
  <c r="Q85" i="40" s="1"/>
  <c r="O86" i="40" s="1"/>
  <c r="P86" i="40" s="1"/>
  <c r="Q86" i="40" s="1"/>
  <c r="O87" i="40" s="1"/>
  <c r="P87" i="40" s="1"/>
  <c r="Q87" i="40" s="1"/>
  <c r="O88" i="40" s="1"/>
  <c r="P88" i="40" s="1"/>
  <c r="Q88" i="40" s="1"/>
  <c r="O89" i="40" s="1"/>
  <c r="P89" i="40" s="1"/>
  <c r="Q89" i="40" s="1"/>
  <c r="O90" i="40" s="1"/>
  <c r="P90" i="40" s="1"/>
  <c r="Q90" i="40" s="1"/>
  <c r="O91" i="40" s="1"/>
  <c r="P91" i="40" s="1"/>
  <c r="Q91" i="40" s="1"/>
  <c r="O92" i="40" s="1"/>
  <c r="P92" i="40" s="1"/>
  <c r="Q92" i="40" s="1"/>
  <c r="O93" i="40" s="1"/>
  <c r="P93" i="40" s="1"/>
  <c r="Q93" i="40" s="1"/>
  <c r="O94" i="40" s="1"/>
  <c r="P94" i="40" s="1"/>
  <c r="Q94" i="40" s="1"/>
  <c r="O95" i="40" s="1"/>
  <c r="P95" i="40" s="1"/>
  <c r="Q95" i="40" s="1"/>
  <c r="O96" i="40" s="1"/>
  <c r="P96" i="40" s="1"/>
  <c r="Q96" i="40" s="1"/>
  <c r="O97" i="40" s="1"/>
  <c r="P97" i="40" s="1"/>
  <c r="Q97" i="40" s="1"/>
  <c r="O98" i="40" s="1"/>
  <c r="P98" i="40" s="1"/>
  <c r="Q98" i="40" s="1"/>
  <c r="O99" i="40" s="1"/>
  <c r="P99" i="40" s="1"/>
  <c r="Q99" i="40" s="1"/>
  <c r="O100" i="40" s="1"/>
  <c r="P100" i="40" s="1"/>
  <c r="Q100" i="40" s="1"/>
  <c r="O101" i="40" s="1"/>
  <c r="P101" i="40" s="1"/>
  <c r="Q101" i="40" s="1"/>
  <c r="O102" i="40" s="1"/>
  <c r="P102" i="40" s="1"/>
  <c r="Q102" i="40" s="1"/>
  <c r="O103" i="40" s="1"/>
  <c r="P103" i="40" s="1"/>
  <c r="Q103" i="40" s="1"/>
  <c r="O104" i="40" s="1"/>
  <c r="P104" i="40" s="1"/>
  <c r="Q104" i="40" s="1"/>
  <c r="O105" i="40" s="1"/>
  <c r="P105" i="40" s="1"/>
  <c r="Q105" i="40" s="1"/>
  <c r="O106" i="40" s="1"/>
  <c r="P106" i="40" s="1"/>
  <c r="Q106" i="40" s="1"/>
  <c r="O107" i="40" s="1"/>
  <c r="P107" i="40" s="1"/>
  <c r="Q107" i="40" s="1"/>
  <c r="O108" i="40" s="1"/>
  <c r="P108" i="40" s="1"/>
  <c r="Q108" i="40" s="1"/>
  <c r="O109" i="40" s="1"/>
  <c r="P109" i="40" s="1"/>
  <c r="Q109" i="40" s="1"/>
  <c r="O110" i="40" s="1"/>
  <c r="P110" i="40" s="1"/>
  <c r="Q110" i="40" s="1"/>
  <c r="O111" i="40" s="1"/>
  <c r="P111" i="40" s="1"/>
  <c r="Q111" i="40" s="1"/>
  <c r="O112" i="40" s="1"/>
  <c r="P112" i="40" s="1"/>
  <c r="Q112" i="40" s="1"/>
  <c r="O113" i="40" s="1"/>
  <c r="P113" i="40" s="1"/>
  <c r="Q113" i="40" s="1"/>
  <c r="O114" i="40" s="1"/>
  <c r="P114" i="40" s="1"/>
  <c r="Q114" i="40" s="1"/>
  <c r="O115" i="40" s="1"/>
  <c r="P115" i="40" s="1"/>
  <c r="Q115" i="40" s="1"/>
  <c r="O116" i="40" s="1"/>
  <c r="P116" i="40" s="1"/>
  <c r="Q116" i="40" s="1"/>
  <c r="O117" i="40" s="1"/>
  <c r="P117" i="40" s="1"/>
  <c r="Q117" i="40" s="1"/>
  <c r="O118" i="40" s="1"/>
  <c r="P118" i="40" s="1"/>
  <c r="Q118" i="40" s="1"/>
  <c r="O119" i="40" s="1"/>
  <c r="P119" i="40" s="1"/>
  <c r="Q119" i="40" s="1"/>
  <c r="O120" i="40" s="1"/>
  <c r="P120" i="40" s="1"/>
  <c r="Q120" i="40" s="1"/>
  <c r="O121" i="40" s="1"/>
  <c r="P121" i="40" s="1"/>
  <c r="Q121" i="40" s="1"/>
  <c r="O122" i="40" s="1"/>
  <c r="P122" i="40" s="1"/>
  <c r="Q122" i="40" s="1"/>
  <c r="O123" i="40" s="1"/>
  <c r="P123" i="40" s="1"/>
  <c r="Q123" i="40" s="1"/>
  <c r="O124" i="40" s="1"/>
  <c r="P124" i="40" s="1"/>
  <c r="Q124" i="40" s="1"/>
  <c r="O125" i="40" s="1"/>
  <c r="P125" i="40" s="1"/>
  <c r="Q125" i="40" s="1"/>
  <c r="O126" i="40" s="1"/>
  <c r="P126" i="40" s="1"/>
  <c r="Q126" i="40" s="1"/>
  <c r="O127" i="40" s="1"/>
  <c r="P127" i="40" s="1"/>
  <c r="Q127" i="40" s="1"/>
  <c r="O128" i="40" s="1"/>
  <c r="P128" i="40" s="1"/>
  <c r="Q128" i="40" s="1"/>
  <c r="O129" i="40" s="1"/>
  <c r="P129" i="40" s="1"/>
  <c r="Q129" i="40" s="1"/>
  <c r="O130" i="40" s="1"/>
  <c r="P130" i="40" s="1"/>
  <c r="Q130" i="40" s="1"/>
  <c r="O131" i="40" s="1"/>
  <c r="P131" i="40" s="1"/>
  <c r="Q131" i="40" s="1"/>
  <c r="O132" i="40" s="1"/>
  <c r="P132" i="40" s="1"/>
  <c r="Q132" i="40" s="1"/>
  <c r="O133" i="40" s="1"/>
  <c r="P133" i="40" s="1"/>
  <c r="Q133" i="40" s="1"/>
  <c r="O134" i="40" s="1"/>
  <c r="P134" i="40" s="1"/>
  <c r="Q134" i="40" s="1"/>
  <c r="O135" i="40" s="1"/>
  <c r="P135" i="40" s="1"/>
  <c r="Q135" i="40" s="1"/>
  <c r="O136" i="40" s="1"/>
  <c r="P136" i="40" s="1"/>
  <c r="Q136" i="40" s="1"/>
  <c r="O137" i="40" s="1"/>
  <c r="P137" i="40" s="1"/>
  <c r="Q137" i="40" s="1"/>
  <c r="O138" i="40" s="1"/>
  <c r="P138" i="40" s="1"/>
  <c r="Q138" i="40" s="1"/>
  <c r="O139" i="40" s="1"/>
  <c r="P139" i="40" s="1"/>
  <c r="Q139" i="40" s="1"/>
  <c r="O140" i="40" s="1"/>
  <c r="P140" i="40" s="1"/>
  <c r="Q140" i="40" s="1"/>
  <c r="O141" i="40" s="1"/>
  <c r="P141" i="40" s="1"/>
  <c r="Q141" i="40" s="1"/>
  <c r="O142" i="40" s="1"/>
  <c r="P142" i="40" s="1"/>
  <c r="Q142" i="40" s="1"/>
  <c r="O143" i="40" s="1"/>
  <c r="P143" i="40" s="1"/>
  <c r="Q143" i="40" s="1"/>
  <c r="O144" i="40" s="1"/>
  <c r="P144" i="40" s="1"/>
  <c r="Q144" i="40" s="1"/>
  <c r="O145" i="40" s="1"/>
  <c r="P145" i="40" s="1"/>
  <c r="Q145" i="40" s="1"/>
  <c r="O146" i="40" s="1"/>
  <c r="P146" i="40" s="1"/>
  <c r="Q146" i="40" s="1"/>
  <c r="O147" i="40" s="1"/>
  <c r="P147" i="40" s="1"/>
  <c r="Q147" i="40" s="1"/>
  <c r="O148" i="40" s="1"/>
  <c r="P148" i="40" s="1"/>
  <c r="Q148" i="40" s="1"/>
  <c r="O149" i="40" s="1"/>
  <c r="P149" i="40" s="1"/>
  <c r="Q149" i="40" s="1"/>
  <c r="O150" i="40" s="1"/>
  <c r="P150" i="40" s="1"/>
  <c r="Q150" i="40" s="1"/>
  <c r="O151" i="40" s="1"/>
  <c r="P151" i="40" s="1"/>
  <c r="Q151" i="40" s="1"/>
  <c r="O152" i="40" s="1"/>
  <c r="P152" i="40" s="1"/>
  <c r="Q152" i="40" s="1"/>
  <c r="O153" i="40" s="1"/>
  <c r="P153" i="40" s="1"/>
  <c r="Q153" i="40" s="1"/>
  <c r="O154" i="40" s="1"/>
  <c r="P154" i="40" s="1"/>
  <c r="Q154" i="40" s="1"/>
  <c r="O155" i="40" s="1"/>
  <c r="P155" i="40" s="1"/>
  <c r="Q155" i="40" s="1"/>
  <c r="O156" i="40" s="1"/>
  <c r="P156" i="40" s="1"/>
  <c r="Q156" i="40" s="1"/>
  <c r="O157" i="40" s="1"/>
  <c r="P157" i="40" s="1"/>
  <c r="Q157" i="40" s="1"/>
  <c r="O158" i="40" s="1"/>
  <c r="P158" i="40" s="1"/>
  <c r="Q158" i="40" s="1"/>
  <c r="O159" i="40" s="1"/>
  <c r="P159" i="40" s="1"/>
  <c r="Q159" i="40" s="1"/>
  <c r="O160" i="40" s="1"/>
  <c r="P160" i="40" s="1"/>
  <c r="Q160" i="40" s="1"/>
  <c r="O161" i="40" s="1"/>
  <c r="P161" i="40" s="1"/>
  <c r="Q161" i="40" s="1"/>
  <c r="O162" i="40" s="1"/>
  <c r="P162" i="40" s="1"/>
  <c r="Q162" i="40" s="1"/>
  <c r="O163" i="40" s="1"/>
  <c r="P163" i="40" s="1"/>
  <c r="Q163" i="40" s="1"/>
  <c r="O164" i="40" s="1"/>
  <c r="P164" i="40" s="1"/>
  <c r="Q164" i="40" s="1"/>
  <c r="O165" i="40" s="1"/>
  <c r="P165" i="40" s="1"/>
  <c r="Q165" i="40" s="1"/>
  <c r="O166" i="40" s="1"/>
  <c r="P166" i="40" s="1"/>
  <c r="Q166" i="40" s="1"/>
  <c r="O167" i="40" s="1"/>
  <c r="P167" i="40" s="1"/>
  <c r="Q167" i="40" s="1"/>
  <c r="O168" i="40" s="1"/>
  <c r="P168" i="40" s="1"/>
  <c r="Q168" i="40" s="1"/>
  <c r="O169" i="40" s="1"/>
  <c r="P169" i="40" s="1"/>
  <c r="Q169" i="40" s="1"/>
  <c r="O170" i="40" s="1"/>
  <c r="P170" i="40" s="1"/>
  <c r="Q170" i="40" s="1"/>
  <c r="O171" i="40" s="1"/>
  <c r="P171" i="40" s="1"/>
  <c r="Q171" i="40" s="1"/>
  <c r="O172" i="40" s="1"/>
  <c r="P172" i="40" s="1"/>
  <c r="Q172" i="40" s="1"/>
  <c r="O173" i="40" s="1"/>
  <c r="P173" i="40" s="1"/>
  <c r="Q173" i="40" s="1"/>
  <c r="O174" i="40" s="1"/>
  <c r="P174" i="40" s="1"/>
  <c r="Q174" i="40" s="1"/>
  <c r="O175" i="40" s="1"/>
  <c r="P175" i="40" s="1"/>
  <c r="Q175" i="40" s="1"/>
  <c r="O176" i="40" s="1"/>
  <c r="P176" i="40" s="1"/>
  <c r="Q176" i="40" s="1"/>
  <c r="O177" i="40" s="1"/>
  <c r="P177" i="40" s="1"/>
  <c r="Q177" i="40" s="1"/>
  <c r="O178" i="40" s="1"/>
  <c r="P178" i="40" s="1"/>
  <c r="Q178" i="40" s="1"/>
  <c r="O179" i="40" s="1"/>
  <c r="P179" i="40" s="1"/>
  <c r="Q179" i="40" s="1"/>
  <c r="O180" i="40" s="1"/>
  <c r="P180" i="40" s="1"/>
  <c r="Q180" i="40" s="1"/>
  <c r="O181" i="40" s="1"/>
  <c r="P181" i="40" s="1"/>
  <c r="Q181" i="40" s="1"/>
  <c r="O182" i="40" s="1"/>
  <c r="P182" i="40" s="1"/>
  <c r="Q182" i="40" s="1"/>
  <c r="B20" i="20"/>
  <c r="G20" i="27" s="1"/>
  <c r="B21" i="20"/>
  <c r="G21" i="27" s="1"/>
  <c r="P3" i="41"/>
  <c r="Q3" i="41" s="1"/>
  <c r="O4" i="41" s="1"/>
  <c r="P4" i="41" s="1"/>
  <c r="Q4" i="41" s="1"/>
  <c r="O5" i="41" s="1"/>
  <c r="P5" i="41" s="1"/>
  <c r="Q5" i="41" s="1"/>
  <c r="O6" i="41" s="1"/>
  <c r="P6" i="41" s="1"/>
  <c r="Q6" i="41" s="1"/>
  <c r="O7" i="41" s="1"/>
  <c r="P7" i="41" s="1"/>
  <c r="Q7" i="41" s="1"/>
  <c r="O8" i="41" s="1"/>
  <c r="P8" i="41" s="1"/>
  <c r="Q8" i="41" s="1"/>
  <c r="O9" i="41" s="1"/>
  <c r="P9" i="41" s="1"/>
  <c r="Q9" i="41" s="1"/>
  <c r="O10" i="41" s="1"/>
  <c r="P10" i="41" s="1"/>
  <c r="Q10" i="41" s="1"/>
  <c r="O11" i="41" s="1"/>
  <c r="P11" i="41" s="1"/>
  <c r="Q11" i="41" s="1"/>
  <c r="O12" i="41" s="1"/>
  <c r="P12" i="41" s="1"/>
  <c r="Q12" i="41" s="1"/>
  <c r="O13" i="41" s="1"/>
  <c r="P13" i="41" s="1"/>
  <c r="Q13" i="41" s="1"/>
  <c r="O14" i="41" s="1"/>
  <c r="P14" i="41" s="1"/>
  <c r="Q14" i="41" s="1"/>
  <c r="O15" i="41" s="1"/>
  <c r="P15" i="41" s="1"/>
  <c r="Q15" i="41" s="1"/>
  <c r="O16" i="41" s="1"/>
  <c r="P16" i="41" s="1"/>
  <c r="Q16" i="41" s="1"/>
  <c r="O17" i="41" s="1"/>
  <c r="P17" i="41" s="1"/>
  <c r="Q17" i="41" s="1"/>
  <c r="O18" i="41" s="1"/>
  <c r="P18" i="41" s="1"/>
  <c r="Q18" i="41" s="1"/>
  <c r="O19" i="41" s="1"/>
  <c r="P19" i="41" s="1"/>
  <c r="Q19" i="41" s="1"/>
  <c r="O20" i="41" s="1"/>
  <c r="P20" i="41" s="1"/>
  <c r="Q20" i="41" s="1"/>
  <c r="O21" i="41" s="1"/>
  <c r="P21" i="41" s="1"/>
  <c r="Q21" i="41" s="1"/>
  <c r="O22" i="41" s="1"/>
  <c r="P22" i="41" s="1"/>
  <c r="Q22" i="41" s="1"/>
  <c r="O23" i="41" s="1"/>
  <c r="P23" i="41" s="1"/>
  <c r="Q23" i="41" s="1"/>
  <c r="O24" i="41" s="1"/>
  <c r="P24" i="41" s="1"/>
  <c r="Q24" i="41" s="1"/>
  <c r="O25" i="41" s="1"/>
  <c r="P25" i="41" s="1"/>
  <c r="Q25" i="41" s="1"/>
  <c r="O26" i="41" s="1"/>
  <c r="P26" i="41" s="1"/>
  <c r="Q26" i="41" s="1"/>
  <c r="O27" i="41" s="1"/>
  <c r="P27" i="41" s="1"/>
  <c r="Q27" i="41" s="1"/>
  <c r="O28" i="41" s="1"/>
  <c r="P28" i="41" s="1"/>
  <c r="Q28" i="41" s="1"/>
  <c r="O29" i="41" s="1"/>
  <c r="P29" i="41" s="1"/>
  <c r="Q29" i="41" s="1"/>
  <c r="O30" i="41" s="1"/>
  <c r="P30" i="41" s="1"/>
  <c r="Q30" i="41" s="1"/>
  <c r="O31" i="41" s="1"/>
  <c r="P31" i="41" s="1"/>
  <c r="Q31" i="41" s="1"/>
  <c r="O32" i="41" s="1"/>
  <c r="P32" i="41" s="1"/>
  <c r="Q32" i="41" s="1"/>
  <c r="O33" i="41" s="1"/>
  <c r="P33" i="41" s="1"/>
  <c r="Q33" i="41" s="1"/>
  <c r="O34" i="41" s="1"/>
  <c r="P34" i="41" s="1"/>
  <c r="Q34" i="41" s="1"/>
  <c r="O35" i="41" s="1"/>
  <c r="P35" i="41" s="1"/>
  <c r="Q35" i="41" s="1"/>
  <c r="O36" i="41" s="1"/>
  <c r="P36" i="41" s="1"/>
  <c r="Q36" i="41" s="1"/>
  <c r="O37" i="41" s="1"/>
  <c r="P37" i="41" s="1"/>
  <c r="Q37" i="41" s="1"/>
  <c r="O38" i="41" s="1"/>
  <c r="P38" i="41" s="1"/>
  <c r="Q38" i="41" s="1"/>
  <c r="O39" i="41" s="1"/>
  <c r="P39" i="41" s="1"/>
  <c r="Q39" i="41" s="1"/>
  <c r="O40" i="41" s="1"/>
  <c r="P40" i="41" s="1"/>
  <c r="Q40" i="41" s="1"/>
  <c r="O41" i="41" s="1"/>
  <c r="P41" i="41" s="1"/>
  <c r="Q41" i="41" s="1"/>
  <c r="O42" i="41" s="1"/>
  <c r="P42" i="41" s="1"/>
  <c r="Q42" i="41" s="1"/>
  <c r="O43" i="41" s="1"/>
  <c r="P43" i="41" s="1"/>
  <c r="Q43" i="41" s="1"/>
  <c r="O44" i="41" s="1"/>
  <c r="P44" i="41" s="1"/>
  <c r="Q44" i="41" s="1"/>
  <c r="O45" i="41" s="1"/>
  <c r="P45" i="41" s="1"/>
  <c r="Q45" i="41" s="1"/>
  <c r="O46" i="41" s="1"/>
  <c r="P46" i="41" s="1"/>
  <c r="Q46" i="41" s="1"/>
  <c r="O47" i="41" s="1"/>
  <c r="P47" i="41" s="1"/>
  <c r="Q47" i="41" s="1"/>
  <c r="O48" i="41" s="1"/>
  <c r="P48" i="41" s="1"/>
  <c r="Q48" i="41" s="1"/>
  <c r="O49" i="41" s="1"/>
  <c r="P49" i="41" s="1"/>
  <c r="Q49" i="41" s="1"/>
  <c r="O50" i="41" s="1"/>
  <c r="P50" i="41" s="1"/>
  <c r="Q50" i="41" s="1"/>
  <c r="O51" i="41" s="1"/>
  <c r="P51" i="41" s="1"/>
  <c r="Q51" i="41" s="1"/>
  <c r="O52" i="41" s="1"/>
  <c r="P52" i="41" s="1"/>
  <c r="Q52" i="41" s="1"/>
  <c r="O53" i="41" s="1"/>
  <c r="P53" i="41" s="1"/>
  <c r="Q53" i="41" s="1"/>
  <c r="O54" i="41" s="1"/>
  <c r="P54" i="41" s="1"/>
  <c r="Q54" i="41" s="1"/>
  <c r="O55" i="41" s="1"/>
  <c r="P55" i="41" s="1"/>
  <c r="Q55" i="41" s="1"/>
  <c r="O56" i="41" s="1"/>
  <c r="P56" i="41" s="1"/>
  <c r="Q56" i="41" s="1"/>
  <c r="O57" i="41" s="1"/>
  <c r="P57" i="41" s="1"/>
  <c r="Q57" i="41" s="1"/>
  <c r="O58" i="41" s="1"/>
  <c r="P58" i="41" s="1"/>
  <c r="Q58" i="41" s="1"/>
  <c r="O59" i="41" s="1"/>
  <c r="P59" i="41" s="1"/>
  <c r="Q59" i="41" s="1"/>
  <c r="O60" i="41" s="1"/>
  <c r="P60" i="41" s="1"/>
  <c r="Q60" i="41" s="1"/>
  <c r="O61" i="41" s="1"/>
  <c r="P61" i="41" s="1"/>
  <c r="Q61" i="41" s="1"/>
  <c r="O62" i="41" s="1"/>
  <c r="P62" i="41" s="1"/>
  <c r="Q62" i="41" s="1"/>
  <c r="O63" i="41" s="1"/>
  <c r="P63" i="41" s="1"/>
  <c r="Q63" i="41" s="1"/>
  <c r="O64" i="41" s="1"/>
  <c r="P64" i="41" s="1"/>
  <c r="Q64" i="41" s="1"/>
  <c r="O65" i="41" s="1"/>
  <c r="P65" i="41" s="1"/>
  <c r="Q65" i="41" s="1"/>
  <c r="O66" i="41" s="1"/>
  <c r="P66" i="41" s="1"/>
  <c r="Q66" i="41" s="1"/>
  <c r="O67" i="41" s="1"/>
  <c r="P67" i="41" s="1"/>
  <c r="Q67" i="41" s="1"/>
  <c r="O68" i="41" s="1"/>
  <c r="P68" i="41" s="1"/>
  <c r="Q68" i="41" s="1"/>
  <c r="O69" i="41" s="1"/>
  <c r="P69" i="41" s="1"/>
  <c r="Q69" i="41" s="1"/>
  <c r="O70" i="41" s="1"/>
  <c r="P70" i="41" s="1"/>
  <c r="Q70" i="41" s="1"/>
  <c r="O71" i="41" s="1"/>
  <c r="P71" i="41" s="1"/>
  <c r="Q71" i="41" s="1"/>
  <c r="O72" i="41" s="1"/>
  <c r="P72" i="41" s="1"/>
  <c r="Q72" i="41" s="1"/>
  <c r="O73" i="41" s="1"/>
  <c r="P73" i="41" s="1"/>
  <c r="Q73" i="41" s="1"/>
  <c r="O74" i="41" s="1"/>
  <c r="P74" i="41" s="1"/>
  <c r="Q74" i="41" s="1"/>
  <c r="O75" i="41" s="1"/>
  <c r="P75" i="41" s="1"/>
  <c r="Q75" i="41" s="1"/>
  <c r="O76" i="41" s="1"/>
  <c r="P76" i="41" s="1"/>
  <c r="Q76" i="41" s="1"/>
  <c r="O77" i="41" s="1"/>
  <c r="P77" i="41" s="1"/>
  <c r="Q77" i="41" s="1"/>
  <c r="O78" i="41" s="1"/>
  <c r="P78" i="41" s="1"/>
  <c r="Q78" i="41" s="1"/>
  <c r="O79" i="41" s="1"/>
  <c r="P79" i="41" s="1"/>
  <c r="Q79" i="41" s="1"/>
  <c r="O80" i="41" s="1"/>
  <c r="P80" i="41" s="1"/>
  <c r="Q80" i="41" s="1"/>
  <c r="O81" i="41" s="1"/>
  <c r="P81" i="41" s="1"/>
  <c r="Q81" i="41" s="1"/>
  <c r="O82" i="41" s="1"/>
  <c r="P82" i="41" s="1"/>
  <c r="Q82" i="41" s="1"/>
  <c r="O83" i="41" s="1"/>
  <c r="P83" i="41" s="1"/>
  <c r="Q83" i="41" s="1"/>
  <c r="O84" i="41" s="1"/>
  <c r="P84" i="41" s="1"/>
  <c r="Q84" i="41" s="1"/>
  <c r="O85" i="41" s="1"/>
  <c r="P85" i="41" s="1"/>
  <c r="Q85" i="41" s="1"/>
  <c r="O86" i="41" s="1"/>
  <c r="P86" i="41" s="1"/>
  <c r="Q86" i="41" s="1"/>
  <c r="O87" i="41" s="1"/>
  <c r="P87" i="41" s="1"/>
  <c r="Q87" i="41" s="1"/>
  <c r="O88" i="41" s="1"/>
  <c r="P88" i="41" s="1"/>
  <c r="Q88" i="41" s="1"/>
  <c r="O89" i="41" s="1"/>
  <c r="P89" i="41" s="1"/>
  <c r="Q89" i="41" s="1"/>
  <c r="O90" i="41" s="1"/>
  <c r="P90" i="41" s="1"/>
  <c r="Q90" i="41" s="1"/>
  <c r="O91" i="41" s="1"/>
  <c r="P91" i="41" s="1"/>
  <c r="Q91" i="41" s="1"/>
  <c r="O92" i="41" s="1"/>
  <c r="P92" i="41" s="1"/>
  <c r="Q92" i="41" s="1"/>
  <c r="O93" i="41" s="1"/>
  <c r="P93" i="41" s="1"/>
  <c r="Q93" i="41" s="1"/>
  <c r="O94" i="41" s="1"/>
  <c r="P94" i="41" s="1"/>
  <c r="Q94" i="41" s="1"/>
  <c r="O95" i="41" s="1"/>
  <c r="P95" i="41" s="1"/>
  <c r="Q95" i="41" s="1"/>
  <c r="O96" i="41" s="1"/>
  <c r="P96" i="41" s="1"/>
  <c r="Q96" i="41" s="1"/>
  <c r="O97" i="41" s="1"/>
  <c r="P97" i="41" s="1"/>
  <c r="Q97" i="41" s="1"/>
  <c r="O98" i="41" s="1"/>
  <c r="P98" i="41" s="1"/>
  <c r="Q98" i="41" s="1"/>
  <c r="O99" i="41" s="1"/>
  <c r="P99" i="41" s="1"/>
  <c r="Q99" i="41" s="1"/>
  <c r="O100" i="41" s="1"/>
  <c r="P100" i="41" s="1"/>
  <c r="Q100" i="41" s="1"/>
  <c r="O101" i="41" s="1"/>
  <c r="P101" i="41" s="1"/>
  <c r="Q101" i="41" s="1"/>
  <c r="O102" i="41" s="1"/>
  <c r="P102" i="41" s="1"/>
  <c r="Q102" i="41" s="1"/>
  <c r="O103" i="41" s="1"/>
  <c r="P103" i="41" s="1"/>
  <c r="Q103" i="41" s="1"/>
  <c r="O104" i="41" s="1"/>
  <c r="P104" i="41" s="1"/>
  <c r="Q104" i="41" s="1"/>
  <c r="O105" i="41" s="1"/>
  <c r="P105" i="41" s="1"/>
  <c r="Q105" i="41" s="1"/>
  <c r="O106" i="41" s="1"/>
  <c r="P106" i="41" s="1"/>
  <c r="Q106" i="41" s="1"/>
  <c r="O107" i="41" s="1"/>
  <c r="P107" i="41" s="1"/>
  <c r="Q107" i="41" s="1"/>
  <c r="O108" i="41" s="1"/>
  <c r="P108" i="41" s="1"/>
  <c r="Q108" i="41" s="1"/>
  <c r="O109" i="41" s="1"/>
  <c r="P109" i="41" s="1"/>
  <c r="Q109" i="41" s="1"/>
  <c r="O110" i="41" s="1"/>
  <c r="P110" i="41" s="1"/>
  <c r="Q110" i="41" s="1"/>
  <c r="O111" i="41" s="1"/>
  <c r="P111" i="41" s="1"/>
  <c r="Q111" i="41" s="1"/>
  <c r="O112" i="41" s="1"/>
  <c r="P112" i="41" s="1"/>
  <c r="Q112" i="41" s="1"/>
  <c r="O113" i="41" s="1"/>
  <c r="P113" i="41" s="1"/>
  <c r="Q113" i="41" s="1"/>
  <c r="O114" i="41" s="1"/>
  <c r="P114" i="41" s="1"/>
  <c r="Q114" i="41" s="1"/>
  <c r="O115" i="41" s="1"/>
  <c r="P115" i="41" s="1"/>
  <c r="Q115" i="41" s="1"/>
  <c r="O116" i="41" s="1"/>
  <c r="P116" i="41" s="1"/>
  <c r="Q116" i="41" s="1"/>
  <c r="O117" i="41" s="1"/>
  <c r="P117" i="41" s="1"/>
  <c r="Q117" i="41" s="1"/>
  <c r="O118" i="41" s="1"/>
  <c r="P118" i="41" s="1"/>
  <c r="Q118" i="41" s="1"/>
  <c r="O119" i="41" s="1"/>
  <c r="P119" i="41" s="1"/>
  <c r="Q119" i="41" s="1"/>
  <c r="O120" i="41" s="1"/>
  <c r="P120" i="41" s="1"/>
  <c r="Q120" i="41" s="1"/>
  <c r="O121" i="41" s="1"/>
  <c r="P121" i="41" s="1"/>
  <c r="Q121" i="41" s="1"/>
  <c r="O122" i="41" s="1"/>
  <c r="P122" i="41" s="1"/>
  <c r="Q122" i="41" s="1"/>
  <c r="O123" i="41" s="1"/>
  <c r="P123" i="41" s="1"/>
  <c r="Q123" i="41" s="1"/>
  <c r="O124" i="41" s="1"/>
  <c r="P124" i="41" s="1"/>
  <c r="Q124" i="41" s="1"/>
  <c r="O125" i="41" s="1"/>
  <c r="P125" i="41" s="1"/>
  <c r="Q125" i="41" s="1"/>
  <c r="O126" i="41" s="1"/>
  <c r="P126" i="41" s="1"/>
  <c r="Q126" i="41" s="1"/>
  <c r="O127" i="41" s="1"/>
  <c r="P127" i="41" s="1"/>
  <c r="Q127" i="41" s="1"/>
  <c r="O128" i="41" s="1"/>
  <c r="P128" i="41" s="1"/>
  <c r="Q128" i="41" s="1"/>
  <c r="O129" i="41" s="1"/>
  <c r="P129" i="41" s="1"/>
  <c r="Q129" i="41" s="1"/>
  <c r="O130" i="41" s="1"/>
  <c r="P130" i="41" s="1"/>
  <c r="Q130" i="41" s="1"/>
  <c r="O131" i="41" s="1"/>
  <c r="P131" i="41" s="1"/>
  <c r="Q131" i="41" s="1"/>
  <c r="O132" i="41" s="1"/>
  <c r="P132" i="41" s="1"/>
  <c r="Q132" i="41" s="1"/>
  <c r="O133" i="41" s="1"/>
  <c r="P133" i="41" s="1"/>
  <c r="Q133" i="41" s="1"/>
  <c r="O134" i="41" s="1"/>
  <c r="P134" i="41" s="1"/>
  <c r="Q134" i="41" s="1"/>
  <c r="O135" i="41" s="1"/>
  <c r="P135" i="41" s="1"/>
  <c r="Q135" i="41" s="1"/>
  <c r="O136" i="41" s="1"/>
  <c r="P136" i="41" s="1"/>
  <c r="Q136" i="41" s="1"/>
  <c r="O137" i="41" s="1"/>
  <c r="P137" i="41" s="1"/>
  <c r="Q137" i="41" s="1"/>
  <c r="O138" i="41" s="1"/>
  <c r="P138" i="41" s="1"/>
  <c r="Q138" i="41" s="1"/>
  <c r="O139" i="41" s="1"/>
  <c r="P139" i="41" s="1"/>
  <c r="Q139" i="41" s="1"/>
  <c r="O140" i="41" s="1"/>
  <c r="P140" i="41" s="1"/>
  <c r="Q140" i="41" s="1"/>
  <c r="O141" i="41" s="1"/>
  <c r="P141" i="41" s="1"/>
  <c r="Q141" i="41" s="1"/>
  <c r="O142" i="41" s="1"/>
  <c r="P142" i="41" s="1"/>
  <c r="Q142" i="41" s="1"/>
  <c r="O143" i="41" s="1"/>
  <c r="P143" i="41" s="1"/>
  <c r="Q143" i="41" s="1"/>
  <c r="O144" i="41" s="1"/>
  <c r="P144" i="41" s="1"/>
  <c r="Q144" i="41" s="1"/>
  <c r="O145" i="41" s="1"/>
  <c r="P145" i="41" s="1"/>
  <c r="Q145" i="41" s="1"/>
  <c r="O146" i="41" s="1"/>
  <c r="P146" i="41" s="1"/>
  <c r="Q146" i="41" s="1"/>
  <c r="O147" i="41" s="1"/>
  <c r="P147" i="41" s="1"/>
  <c r="Q147" i="41" s="1"/>
  <c r="O148" i="41" s="1"/>
  <c r="P148" i="41" s="1"/>
  <c r="Q148" i="41" s="1"/>
  <c r="O149" i="41" s="1"/>
  <c r="P149" i="41" s="1"/>
  <c r="Q149" i="41" s="1"/>
  <c r="O150" i="41" s="1"/>
  <c r="P150" i="41" s="1"/>
  <c r="Q150" i="41" s="1"/>
  <c r="O151" i="41" s="1"/>
  <c r="P151" i="41" s="1"/>
  <c r="Q151" i="41" s="1"/>
  <c r="O152" i="41" s="1"/>
  <c r="P152" i="41" s="1"/>
  <c r="Q152" i="41" s="1"/>
  <c r="O153" i="41" s="1"/>
  <c r="P153" i="41" s="1"/>
  <c r="Q153" i="41" s="1"/>
  <c r="O154" i="41" s="1"/>
  <c r="P154" i="41" s="1"/>
  <c r="Q154" i="41" s="1"/>
  <c r="O155" i="41" s="1"/>
  <c r="P155" i="41" s="1"/>
  <c r="Q155" i="41" s="1"/>
  <c r="O156" i="41" s="1"/>
  <c r="P156" i="41" s="1"/>
  <c r="Q156" i="41" s="1"/>
  <c r="O157" i="41" s="1"/>
  <c r="P157" i="41" s="1"/>
  <c r="Q157" i="41" s="1"/>
  <c r="O158" i="41" s="1"/>
  <c r="P158" i="41" s="1"/>
  <c r="Q158" i="41" s="1"/>
  <c r="O159" i="41" s="1"/>
  <c r="P159" i="41" s="1"/>
  <c r="Q159" i="41" s="1"/>
  <c r="O160" i="41" s="1"/>
  <c r="P160" i="41" s="1"/>
  <c r="Q160" i="41" s="1"/>
  <c r="O161" i="41" s="1"/>
  <c r="P161" i="41" s="1"/>
  <c r="Q161" i="41" s="1"/>
  <c r="O162" i="41" s="1"/>
  <c r="P162" i="41" s="1"/>
  <c r="Q162" i="41" s="1"/>
  <c r="O163" i="41" s="1"/>
  <c r="P163" i="41" s="1"/>
  <c r="Q163" i="41" s="1"/>
  <c r="O164" i="41" s="1"/>
  <c r="P164" i="41" s="1"/>
  <c r="Q164" i="41" s="1"/>
  <c r="O165" i="41" s="1"/>
  <c r="P165" i="41" s="1"/>
  <c r="Q165" i="41" s="1"/>
  <c r="O166" i="41" s="1"/>
  <c r="P166" i="41" s="1"/>
  <c r="Q166" i="41" s="1"/>
  <c r="O167" i="41" s="1"/>
  <c r="P167" i="41" s="1"/>
  <c r="Q167" i="41" s="1"/>
  <c r="O168" i="41" s="1"/>
  <c r="P168" i="41" s="1"/>
  <c r="Q168" i="41" s="1"/>
  <c r="O169" i="41" s="1"/>
  <c r="P169" i="41" s="1"/>
  <c r="Q169" i="41" s="1"/>
  <c r="O170" i="41" s="1"/>
  <c r="P170" i="41" s="1"/>
  <c r="Q170" i="41" s="1"/>
  <c r="O171" i="41" s="1"/>
  <c r="P171" i="41" s="1"/>
  <c r="Q171" i="41" s="1"/>
  <c r="O172" i="41" s="1"/>
  <c r="P172" i="41" s="1"/>
  <c r="Q172" i="41" s="1"/>
  <c r="O173" i="41" s="1"/>
  <c r="P173" i="41" s="1"/>
  <c r="Q173" i="41" s="1"/>
  <c r="O174" i="41" s="1"/>
  <c r="P174" i="41" s="1"/>
  <c r="Q174" i="41" s="1"/>
  <c r="O175" i="41" s="1"/>
  <c r="P175" i="41" s="1"/>
  <c r="Q175" i="41" s="1"/>
  <c r="O176" i="41" s="1"/>
  <c r="P176" i="41" s="1"/>
  <c r="Q176" i="41" s="1"/>
  <c r="O177" i="41" s="1"/>
  <c r="P177" i="41" s="1"/>
  <c r="Q177" i="41" s="1"/>
  <c r="O178" i="41" s="1"/>
  <c r="P178" i="41" s="1"/>
  <c r="Q178" i="41" s="1"/>
  <c r="O179" i="41" s="1"/>
  <c r="P179" i="41" s="1"/>
  <c r="Q179" i="41" s="1"/>
  <c r="O180" i="41" s="1"/>
  <c r="P180" i="41" s="1"/>
  <c r="Q180" i="41" s="1"/>
  <c r="O181" i="41" s="1"/>
  <c r="P181" i="41" s="1"/>
  <c r="Q181" i="41" s="1"/>
  <c r="O182" i="41" s="1"/>
  <c r="P182" i="41" s="1"/>
  <c r="Q182" i="41" s="1"/>
  <c r="P3" i="42"/>
  <c r="Q3" i="42" s="1"/>
  <c r="O4" i="42" s="1"/>
  <c r="P4" i="42" s="1"/>
  <c r="Q4" i="42" s="1"/>
  <c r="O5" i="42" s="1"/>
  <c r="P5" i="42" s="1"/>
  <c r="Q5" i="42" s="1"/>
  <c r="O6" i="42" s="1"/>
  <c r="P6" i="42" s="1"/>
  <c r="Q6" i="42" s="1"/>
  <c r="O7" i="42" s="1"/>
  <c r="P7" i="42" s="1"/>
  <c r="Q7" i="42" s="1"/>
  <c r="O8" i="42" s="1"/>
  <c r="P8" i="42" s="1"/>
  <c r="Q8" i="42" s="1"/>
  <c r="O9" i="42" s="1"/>
  <c r="P9" i="42" s="1"/>
  <c r="Q9" i="42" s="1"/>
  <c r="O10" i="42" s="1"/>
  <c r="P10" i="42" s="1"/>
  <c r="Q10" i="42" s="1"/>
  <c r="O11" i="42" s="1"/>
  <c r="P11" i="42" s="1"/>
  <c r="Q11" i="42" s="1"/>
  <c r="O12" i="42" s="1"/>
  <c r="P12" i="42" s="1"/>
  <c r="Q12" i="42" s="1"/>
  <c r="O13" i="42" s="1"/>
  <c r="P13" i="42" s="1"/>
  <c r="Q13" i="42" s="1"/>
  <c r="O14" i="42" s="1"/>
  <c r="P14" i="42" s="1"/>
  <c r="Q14" i="42" s="1"/>
  <c r="O15" i="42" s="1"/>
  <c r="P15" i="42" s="1"/>
  <c r="Q15" i="42" s="1"/>
  <c r="O16" i="42" s="1"/>
  <c r="P16" i="42" s="1"/>
  <c r="Q16" i="42" s="1"/>
  <c r="O17" i="42" s="1"/>
  <c r="P17" i="42" s="1"/>
  <c r="Q17" i="42" s="1"/>
  <c r="O18" i="42" s="1"/>
  <c r="P18" i="42" s="1"/>
  <c r="Q18" i="42" s="1"/>
  <c r="O19" i="42" s="1"/>
  <c r="P19" i="42" s="1"/>
  <c r="Q19" i="42" s="1"/>
  <c r="O20" i="42" s="1"/>
  <c r="P20" i="42" s="1"/>
  <c r="Q20" i="42" s="1"/>
  <c r="O21" i="42" s="1"/>
  <c r="P21" i="42" s="1"/>
  <c r="Q21" i="42" s="1"/>
  <c r="O22" i="42" s="1"/>
  <c r="P22" i="42" s="1"/>
  <c r="Q22" i="42" s="1"/>
  <c r="O23" i="42" s="1"/>
  <c r="P23" i="42" s="1"/>
  <c r="Q23" i="42" s="1"/>
  <c r="O24" i="42" s="1"/>
  <c r="P24" i="42" s="1"/>
  <c r="Q24" i="42" s="1"/>
  <c r="O25" i="42" s="1"/>
  <c r="P25" i="42" s="1"/>
  <c r="Q25" i="42" s="1"/>
  <c r="O26" i="42" s="1"/>
  <c r="P26" i="42" s="1"/>
  <c r="Q26" i="42" s="1"/>
  <c r="O27" i="42" s="1"/>
  <c r="P27" i="42" s="1"/>
  <c r="Q27" i="42" s="1"/>
  <c r="O28" i="42" s="1"/>
  <c r="P28" i="42" s="1"/>
  <c r="Q28" i="42" s="1"/>
  <c r="O29" i="42" s="1"/>
  <c r="P29" i="42" s="1"/>
  <c r="Q29" i="42" s="1"/>
  <c r="O30" i="42" s="1"/>
  <c r="P30" i="42" s="1"/>
  <c r="Q30" i="42" s="1"/>
  <c r="O31" i="42" s="1"/>
  <c r="P31" i="42" s="1"/>
  <c r="Q31" i="42" s="1"/>
  <c r="O32" i="42" s="1"/>
  <c r="P32" i="42" s="1"/>
  <c r="Q32" i="42" s="1"/>
  <c r="O33" i="42" s="1"/>
  <c r="P33" i="42" s="1"/>
  <c r="Q33" i="42" s="1"/>
  <c r="O34" i="42" s="1"/>
  <c r="P34" i="42" s="1"/>
  <c r="Q34" i="42" s="1"/>
  <c r="O35" i="42" s="1"/>
  <c r="P35" i="42" s="1"/>
  <c r="Q35" i="42" s="1"/>
  <c r="O36" i="42" s="1"/>
  <c r="P36" i="42" s="1"/>
  <c r="Q36" i="42" s="1"/>
  <c r="O37" i="42" s="1"/>
  <c r="P37" i="42" s="1"/>
  <c r="Q37" i="42" s="1"/>
  <c r="O38" i="42" s="1"/>
  <c r="P38" i="42" s="1"/>
  <c r="Q38" i="42" s="1"/>
  <c r="O39" i="42" s="1"/>
  <c r="P39" i="42" s="1"/>
  <c r="Q39" i="42" s="1"/>
  <c r="O40" i="42" s="1"/>
  <c r="P40" i="42" s="1"/>
  <c r="Q40" i="42" s="1"/>
  <c r="O41" i="42" s="1"/>
  <c r="P41" i="42" s="1"/>
  <c r="Q41" i="42" s="1"/>
  <c r="O42" i="42" s="1"/>
  <c r="P42" i="42" s="1"/>
  <c r="Q42" i="42" s="1"/>
  <c r="O43" i="42" s="1"/>
  <c r="P43" i="42" s="1"/>
  <c r="Q43" i="42" s="1"/>
  <c r="O44" i="42" s="1"/>
  <c r="P44" i="42" s="1"/>
  <c r="Q44" i="42" s="1"/>
  <c r="O45" i="42" s="1"/>
  <c r="P45" i="42" s="1"/>
  <c r="Q45" i="42" s="1"/>
  <c r="O46" i="42" s="1"/>
  <c r="P46" i="42" s="1"/>
  <c r="Q46" i="42" s="1"/>
  <c r="O47" i="42" s="1"/>
  <c r="P47" i="42" s="1"/>
  <c r="Q47" i="42" s="1"/>
  <c r="O48" i="42" s="1"/>
  <c r="P48" i="42" s="1"/>
  <c r="Q48" i="42" s="1"/>
  <c r="O49" i="42" s="1"/>
  <c r="P49" i="42" s="1"/>
  <c r="Q49" i="42" s="1"/>
  <c r="O50" i="42" s="1"/>
  <c r="P50" i="42" s="1"/>
  <c r="Q50" i="42" s="1"/>
  <c r="O51" i="42" s="1"/>
  <c r="P51" i="42" s="1"/>
  <c r="Q51" i="42" s="1"/>
  <c r="O52" i="42" s="1"/>
  <c r="P52" i="42" s="1"/>
  <c r="Q52" i="42" s="1"/>
  <c r="O53" i="42" s="1"/>
  <c r="P53" i="42" s="1"/>
  <c r="Q53" i="42" s="1"/>
  <c r="O54" i="42" s="1"/>
  <c r="P54" i="42" s="1"/>
  <c r="Q54" i="42" s="1"/>
  <c r="O55" i="42" s="1"/>
  <c r="P55" i="42" s="1"/>
  <c r="Q55" i="42" s="1"/>
  <c r="O56" i="42" s="1"/>
  <c r="P56" i="42" s="1"/>
  <c r="Q56" i="42" s="1"/>
  <c r="O57" i="42" s="1"/>
  <c r="P57" i="42" s="1"/>
  <c r="Q57" i="42" s="1"/>
  <c r="O58" i="42" s="1"/>
  <c r="P58" i="42" s="1"/>
  <c r="Q58" i="42" s="1"/>
  <c r="O59" i="42" s="1"/>
  <c r="P59" i="42" s="1"/>
  <c r="Q59" i="42" s="1"/>
  <c r="O60" i="42" s="1"/>
  <c r="P60" i="42" s="1"/>
  <c r="Q60" i="42" s="1"/>
  <c r="O61" i="42" s="1"/>
  <c r="P61" i="42" s="1"/>
  <c r="Q61" i="42" s="1"/>
  <c r="O62" i="42" s="1"/>
  <c r="P62" i="42" s="1"/>
  <c r="Q62" i="42" s="1"/>
  <c r="O63" i="42" s="1"/>
  <c r="P63" i="42" s="1"/>
  <c r="Q63" i="42" s="1"/>
  <c r="O64" i="42" s="1"/>
  <c r="P64" i="42" s="1"/>
  <c r="Q64" i="42" s="1"/>
  <c r="O65" i="42" s="1"/>
  <c r="P65" i="42" s="1"/>
  <c r="Q65" i="42" s="1"/>
  <c r="O66" i="42" s="1"/>
  <c r="P66" i="42" s="1"/>
  <c r="Q66" i="42" s="1"/>
  <c r="O67" i="42" s="1"/>
  <c r="P67" i="42" s="1"/>
  <c r="Q67" i="42" s="1"/>
  <c r="O68" i="42" s="1"/>
  <c r="P68" i="42" s="1"/>
  <c r="Q68" i="42" s="1"/>
  <c r="O69" i="42" s="1"/>
  <c r="P69" i="42" s="1"/>
  <c r="Q69" i="42" s="1"/>
  <c r="O70" i="42" s="1"/>
  <c r="P70" i="42" s="1"/>
  <c r="Q70" i="42" s="1"/>
  <c r="O71" i="42" s="1"/>
  <c r="P71" i="42" s="1"/>
  <c r="Q71" i="42" s="1"/>
  <c r="O72" i="42" s="1"/>
  <c r="P72" i="42" s="1"/>
  <c r="Q72" i="42" s="1"/>
  <c r="O73" i="42" s="1"/>
  <c r="P73" i="42" s="1"/>
  <c r="Q73" i="42" s="1"/>
  <c r="O74" i="42" s="1"/>
  <c r="P74" i="42" s="1"/>
  <c r="Q74" i="42" s="1"/>
  <c r="O75" i="42" s="1"/>
  <c r="P75" i="42" s="1"/>
  <c r="Q75" i="42" s="1"/>
  <c r="O76" i="42" s="1"/>
  <c r="P76" i="42" s="1"/>
  <c r="Q76" i="42" s="1"/>
  <c r="O77" i="42" s="1"/>
  <c r="P77" i="42" s="1"/>
  <c r="Q77" i="42" s="1"/>
  <c r="O78" i="42" s="1"/>
  <c r="P78" i="42" s="1"/>
  <c r="Q78" i="42" s="1"/>
  <c r="O79" i="42" s="1"/>
  <c r="P79" i="42" s="1"/>
  <c r="Q79" i="42" s="1"/>
  <c r="O80" i="42" s="1"/>
  <c r="P80" i="42" s="1"/>
  <c r="Q80" i="42" s="1"/>
  <c r="O81" i="42" s="1"/>
  <c r="P81" i="42" s="1"/>
  <c r="Q81" i="42" s="1"/>
  <c r="O82" i="42" s="1"/>
  <c r="P82" i="42" s="1"/>
  <c r="Q82" i="42" s="1"/>
  <c r="O83" i="42" s="1"/>
  <c r="P83" i="42" s="1"/>
  <c r="Q83" i="42" s="1"/>
  <c r="O84" i="42" s="1"/>
  <c r="P84" i="42" s="1"/>
  <c r="Q84" i="42" s="1"/>
  <c r="O85" i="42" s="1"/>
  <c r="P85" i="42" s="1"/>
  <c r="Q85" i="42" s="1"/>
  <c r="O86" i="42" s="1"/>
  <c r="P86" i="42" s="1"/>
  <c r="Q86" i="42" s="1"/>
  <c r="O87" i="42" s="1"/>
  <c r="P87" i="42" s="1"/>
  <c r="Q87" i="42" s="1"/>
  <c r="O88" i="42" s="1"/>
  <c r="P88" i="42" s="1"/>
  <c r="Q88" i="42" s="1"/>
  <c r="O89" i="42" s="1"/>
  <c r="P89" i="42" s="1"/>
  <c r="Q89" i="42" s="1"/>
  <c r="O90" i="42" s="1"/>
  <c r="P90" i="42" s="1"/>
  <c r="Q90" i="42" s="1"/>
  <c r="O91" i="42" s="1"/>
  <c r="P91" i="42" s="1"/>
  <c r="Q91" i="42" s="1"/>
  <c r="O92" i="42" s="1"/>
  <c r="P92" i="42" s="1"/>
  <c r="Q92" i="42" s="1"/>
  <c r="O93" i="42" s="1"/>
  <c r="P93" i="42" s="1"/>
  <c r="Q93" i="42" s="1"/>
  <c r="O94" i="42" s="1"/>
  <c r="P94" i="42" s="1"/>
  <c r="Q94" i="42" s="1"/>
  <c r="O95" i="42" s="1"/>
  <c r="P95" i="42" s="1"/>
  <c r="Q95" i="42" s="1"/>
  <c r="O96" i="42" s="1"/>
  <c r="P96" i="42" s="1"/>
  <c r="Q96" i="42" s="1"/>
  <c r="O97" i="42" s="1"/>
  <c r="P97" i="42" s="1"/>
  <c r="Q97" i="42" s="1"/>
  <c r="O98" i="42" s="1"/>
  <c r="P98" i="42" s="1"/>
  <c r="Q98" i="42" s="1"/>
  <c r="O99" i="42" s="1"/>
  <c r="P99" i="42" s="1"/>
  <c r="Q99" i="42" s="1"/>
  <c r="O100" i="42" s="1"/>
  <c r="P100" i="42" s="1"/>
  <c r="Q100" i="42" s="1"/>
  <c r="O101" i="42" s="1"/>
  <c r="P101" i="42" s="1"/>
  <c r="Q101" i="42" s="1"/>
  <c r="O102" i="42" s="1"/>
  <c r="P102" i="42" s="1"/>
  <c r="Q102" i="42" s="1"/>
  <c r="O103" i="42" s="1"/>
  <c r="P103" i="42" s="1"/>
  <c r="Q103" i="42" s="1"/>
  <c r="O104" i="42" s="1"/>
  <c r="P104" i="42" s="1"/>
  <c r="Q104" i="42" s="1"/>
  <c r="O105" i="42" s="1"/>
  <c r="P105" i="42" s="1"/>
  <c r="Q105" i="42" s="1"/>
  <c r="O106" i="42" s="1"/>
  <c r="P106" i="42" s="1"/>
  <c r="Q106" i="42" s="1"/>
  <c r="O107" i="42" s="1"/>
  <c r="P107" i="42" s="1"/>
  <c r="Q107" i="42" s="1"/>
  <c r="O108" i="42" s="1"/>
  <c r="P108" i="42" s="1"/>
  <c r="Q108" i="42" s="1"/>
  <c r="O109" i="42" s="1"/>
  <c r="P109" i="42" s="1"/>
  <c r="Q109" i="42" s="1"/>
  <c r="O110" i="42" s="1"/>
  <c r="P110" i="42" s="1"/>
  <c r="Q110" i="42" s="1"/>
  <c r="O111" i="42" s="1"/>
  <c r="P111" i="42" s="1"/>
  <c r="Q111" i="42" s="1"/>
  <c r="O112" i="42" s="1"/>
  <c r="P112" i="42" s="1"/>
  <c r="Q112" i="42" s="1"/>
  <c r="O113" i="42" s="1"/>
  <c r="P113" i="42" s="1"/>
  <c r="Q113" i="42" s="1"/>
  <c r="O114" i="42" s="1"/>
  <c r="P114" i="42" s="1"/>
  <c r="Q114" i="42" s="1"/>
  <c r="O115" i="42" s="1"/>
  <c r="P115" i="42" s="1"/>
  <c r="Q115" i="42" s="1"/>
  <c r="O116" i="42" s="1"/>
  <c r="P116" i="42" s="1"/>
  <c r="Q116" i="42" s="1"/>
  <c r="O117" i="42" s="1"/>
  <c r="P117" i="42" s="1"/>
  <c r="Q117" i="42" s="1"/>
  <c r="O118" i="42" s="1"/>
  <c r="P118" i="42" s="1"/>
  <c r="Q118" i="42" s="1"/>
  <c r="O119" i="42" s="1"/>
  <c r="P119" i="42" s="1"/>
  <c r="Q119" i="42" s="1"/>
  <c r="O120" i="42" s="1"/>
  <c r="P120" i="42" s="1"/>
  <c r="Q120" i="42" s="1"/>
  <c r="O121" i="42" s="1"/>
  <c r="P121" i="42" s="1"/>
  <c r="Q121" i="42" s="1"/>
  <c r="O122" i="42" s="1"/>
  <c r="P122" i="42" s="1"/>
  <c r="Q122" i="42" s="1"/>
  <c r="O123" i="42" s="1"/>
  <c r="P123" i="42" s="1"/>
  <c r="Q123" i="42" s="1"/>
  <c r="O124" i="42" s="1"/>
  <c r="P124" i="42" s="1"/>
  <c r="Q124" i="42" s="1"/>
  <c r="O125" i="42" s="1"/>
  <c r="P125" i="42" s="1"/>
  <c r="Q125" i="42" s="1"/>
  <c r="O126" i="42" s="1"/>
  <c r="P126" i="42" s="1"/>
  <c r="Q126" i="42" s="1"/>
  <c r="O127" i="42" s="1"/>
  <c r="P127" i="42" s="1"/>
  <c r="Q127" i="42" s="1"/>
  <c r="O128" i="42" s="1"/>
  <c r="P128" i="42" s="1"/>
  <c r="Q128" i="42" s="1"/>
  <c r="O129" i="42" s="1"/>
  <c r="P129" i="42" s="1"/>
  <c r="Q129" i="42" s="1"/>
  <c r="O130" i="42" s="1"/>
  <c r="P130" i="42" s="1"/>
  <c r="Q130" i="42" s="1"/>
  <c r="O131" i="42" s="1"/>
  <c r="P131" i="42" s="1"/>
  <c r="Q131" i="42" s="1"/>
  <c r="O132" i="42" s="1"/>
  <c r="P132" i="42" s="1"/>
  <c r="Q132" i="42" s="1"/>
  <c r="O133" i="42" s="1"/>
  <c r="P133" i="42" s="1"/>
  <c r="Q133" i="42" s="1"/>
  <c r="O134" i="42" s="1"/>
  <c r="P134" i="42" s="1"/>
  <c r="Q134" i="42" s="1"/>
  <c r="O135" i="42" s="1"/>
  <c r="P135" i="42" s="1"/>
  <c r="Q135" i="42" s="1"/>
  <c r="O136" i="42" s="1"/>
  <c r="P136" i="42" s="1"/>
  <c r="Q136" i="42" s="1"/>
  <c r="O137" i="42" s="1"/>
  <c r="P137" i="42" s="1"/>
  <c r="Q137" i="42" s="1"/>
  <c r="O138" i="42" s="1"/>
  <c r="P138" i="42" s="1"/>
  <c r="Q138" i="42" s="1"/>
  <c r="O139" i="42" s="1"/>
  <c r="P139" i="42" s="1"/>
  <c r="Q139" i="42" s="1"/>
  <c r="O140" i="42" s="1"/>
  <c r="P140" i="42" s="1"/>
  <c r="Q140" i="42" s="1"/>
  <c r="O141" i="42" s="1"/>
  <c r="P141" i="42" s="1"/>
  <c r="Q141" i="42" s="1"/>
  <c r="O142" i="42" s="1"/>
  <c r="P142" i="42" s="1"/>
  <c r="Q142" i="42" s="1"/>
  <c r="O143" i="42" s="1"/>
  <c r="P143" i="42" s="1"/>
  <c r="Q143" i="42" s="1"/>
  <c r="O144" i="42" s="1"/>
  <c r="P144" i="42" s="1"/>
  <c r="Q144" i="42" s="1"/>
  <c r="O145" i="42" s="1"/>
  <c r="P145" i="42" s="1"/>
  <c r="Q145" i="42" s="1"/>
  <c r="O146" i="42" s="1"/>
  <c r="P146" i="42" s="1"/>
  <c r="Q146" i="42" s="1"/>
  <c r="O147" i="42" s="1"/>
  <c r="P147" i="42" s="1"/>
  <c r="Q147" i="42" s="1"/>
  <c r="O148" i="42" s="1"/>
  <c r="P148" i="42" s="1"/>
  <c r="Q148" i="42" s="1"/>
  <c r="O149" i="42" s="1"/>
  <c r="P149" i="42" s="1"/>
  <c r="Q149" i="42" s="1"/>
  <c r="O150" i="42" s="1"/>
  <c r="P150" i="42" s="1"/>
  <c r="Q150" i="42" s="1"/>
  <c r="O151" i="42" s="1"/>
  <c r="P151" i="42" s="1"/>
  <c r="Q151" i="42" s="1"/>
  <c r="O152" i="42" s="1"/>
  <c r="P152" i="42" s="1"/>
  <c r="Q152" i="42" s="1"/>
  <c r="O153" i="42" s="1"/>
  <c r="P153" i="42" s="1"/>
  <c r="Q153" i="42" s="1"/>
  <c r="O154" i="42" s="1"/>
  <c r="P154" i="42" s="1"/>
  <c r="Q154" i="42" s="1"/>
  <c r="O155" i="42" s="1"/>
  <c r="P155" i="42" s="1"/>
  <c r="Q155" i="42" s="1"/>
  <c r="O156" i="42" s="1"/>
  <c r="P156" i="42" s="1"/>
  <c r="Q156" i="42" s="1"/>
  <c r="O157" i="42" s="1"/>
  <c r="P157" i="42" s="1"/>
  <c r="Q157" i="42" s="1"/>
  <c r="O158" i="42" s="1"/>
  <c r="P158" i="42" s="1"/>
  <c r="Q158" i="42" s="1"/>
  <c r="O159" i="42" s="1"/>
  <c r="P159" i="42" s="1"/>
  <c r="Q159" i="42" s="1"/>
  <c r="O160" i="42" s="1"/>
  <c r="P160" i="42" s="1"/>
  <c r="Q160" i="42" s="1"/>
  <c r="O161" i="42" s="1"/>
  <c r="P161" i="42" s="1"/>
  <c r="Q161" i="42" s="1"/>
  <c r="O162" i="42" s="1"/>
  <c r="P162" i="42" s="1"/>
  <c r="Q162" i="42" s="1"/>
  <c r="O163" i="42" s="1"/>
  <c r="P163" i="42" s="1"/>
  <c r="Q163" i="42" s="1"/>
  <c r="O164" i="42" s="1"/>
  <c r="P164" i="42" s="1"/>
  <c r="Q164" i="42" s="1"/>
  <c r="O165" i="42" s="1"/>
  <c r="P165" i="42" s="1"/>
  <c r="Q165" i="42" s="1"/>
  <c r="O166" i="42" s="1"/>
  <c r="P166" i="42" s="1"/>
  <c r="Q166" i="42" s="1"/>
  <c r="O167" i="42" s="1"/>
  <c r="P167" i="42" s="1"/>
  <c r="Q167" i="42" s="1"/>
  <c r="O168" i="42" s="1"/>
  <c r="P168" i="42" s="1"/>
  <c r="Q168" i="42" s="1"/>
  <c r="O169" i="42" s="1"/>
  <c r="P169" i="42" s="1"/>
  <c r="Q169" i="42" s="1"/>
  <c r="O170" i="42" s="1"/>
  <c r="P170" i="42" s="1"/>
  <c r="Q170" i="42" s="1"/>
  <c r="O171" i="42" s="1"/>
  <c r="P171" i="42" s="1"/>
  <c r="Q171" i="42" s="1"/>
  <c r="O172" i="42" s="1"/>
  <c r="P172" i="42" s="1"/>
  <c r="Q172" i="42" s="1"/>
  <c r="O173" i="42" s="1"/>
  <c r="P173" i="42" s="1"/>
  <c r="Q173" i="42" s="1"/>
  <c r="O174" i="42" s="1"/>
  <c r="P174" i="42" s="1"/>
  <c r="Q174" i="42" s="1"/>
  <c r="O175" i="42" s="1"/>
  <c r="P175" i="42" s="1"/>
  <c r="Q175" i="42" s="1"/>
  <c r="O176" i="42" s="1"/>
  <c r="P176" i="42" s="1"/>
  <c r="Q176" i="42" s="1"/>
  <c r="O177" i="42" s="1"/>
  <c r="P177" i="42" s="1"/>
  <c r="Q177" i="42" s="1"/>
  <c r="O178" i="42" s="1"/>
  <c r="P178" i="42" s="1"/>
  <c r="Q178" i="42" s="1"/>
  <c r="O179" i="42" s="1"/>
  <c r="P179" i="42" s="1"/>
  <c r="Q179" i="42" s="1"/>
  <c r="O180" i="42" s="1"/>
  <c r="P180" i="42" s="1"/>
  <c r="Q180" i="42" s="1"/>
  <c r="O181" i="42" s="1"/>
  <c r="P181" i="42" s="1"/>
  <c r="Q181" i="42" s="1"/>
  <c r="O182" i="42" s="1"/>
  <c r="P182" i="42" s="1"/>
  <c r="Q182" i="42" s="1"/>
  <c r="B18" i="20"/>
  <c r="G18" i="27" s="1"/>
  <c r="P3" i="18"/>
  <c r="Q3" i="18" s="1"/>
  <c r="O4" i="18" s="1"/>
  <c r="P4" i="18" s="1"/>
  <c r="Q4" i="18" s="1"/>
  <c r="O5" i="18" s="1"/>
  <c r="P5" i="18" s="1"/>
  <c r="Q5" i="18" s="1"/>
  <c r="O6" i="18" s="1"/>
  <c r="P6" i="18" s="1"/>
  <c r="Q6" i="18" s="1"/>
  <c r="O7" i="18" s="1"/>
  <c r="P7" i="18" s="1"/>
  <c r="Q7" i="18" s="1"/>
  <c r="O8" i="18" s="1"/>
  <c r="P8" i="18" s="1"/>
  <c r="Q8" i="18" s="1"/>
  <c r="O9" i="18" s="1"/>
  <c r="P9" i="18" s="1"/>
  <c r="Q9" i="18" s="1"/>
  <c r="O10" i="18" s="1"/>
  <c r="P10" i="18" s="1"/>
  <c r="Q10" i="18" s="1"/>
  <c r="O11" i="18" s="1"/>
  <c r="P11" i="18" s="1"/>
  <c r="Q11" i="18" s="1"/>
  <c r="O12" i="18" s="1"/>
  <c r="P12" i="18" s="1"/>
  <c r="Q12" i="18" s="1"/>
  <c r="O13" i="18" s="1"/>
  <c r="P13" i="18" s="1"/>
  <c r="Q13" i="18" s="1"/>
  <c r="O14" i="18" s="1"/>
  <c r="P14" i="18" s="1"/>
  <c r="Q14" i="18" s="1"/>
  <c r="O15" i="18" s="1"/>
  <c r="P15" i="18" s="1"/>
  <c r="Q15" i="18" s="1"/>
  <c r="O16" i="18" s="1"/>
  <c r="P16" i="18" s="1"/>
  <c r="Q16" i="18" s="1"/>
  <c r="O17" i="18" s="1"/>
  <c r="P17" i="18" s="1"/>
  <c r="Q17" i="18" s="1"/>
  <c r="O18" i="18" s="1"/>
  <c r="P18" i="18" s="1"/>
  <c r="Q18" i="18" s="1"/>
  <c r="O19" i="18" s="1"/>
  <c r="P19" i="18" s="1"/>
  <c r="Q19" i="18" s="1"/>
  <c r="O20" i="18" s="1"/>
  <c r="P20" i="18" s="1"/>
  <c r="Q20" i="18" s="1"/>
  <c r="O21" i="18" s="1"/>
  <c r="P21" i="18" s="1"/>
  <c r="Q21" i="18" s="1"/>
  <c r="O22" i="18" s="1"/>
  <c r="P22" i="18" s="1"/>
  <c r="Q22" i="18" s="1"/>
  <c r="O23" i="18" s="1"/>
  <c r="P23" i="18" s="1"/>
  <c r="Q23" i="18" s="1"/>
  <c r="O24" i="18" s="1"/>
  <c r="P24" i="18" s="1"/>
  <c r="Q24" i="18" s="1"/>
  <c r="O25" i="18" s="1"/>
  <c r="P25" i="18" s="1"/>
  <c r="Q25" i="18" s="1"/>
  <c r="O26" i="18" s="1"/>
  <c r="P26" i="18" s="1"/>
  <c r="Q26" i="18" s="1"/>
  <c r="O27" i="18" s="1"/>
  <c r="P27" i="18" s="1"/>
  <c r="Q27" i="18" s="1"/>
  <c r="O28" i="18" s="1"/>
  <c r="P28" i="18" s="1"/>
  <c r="Q28" i="18" s="1"/>
  <c r="O29" i="18" s="1"/>
  <c r="P29" i="18" s="1"/>
  <c r="Q29" i="18" s="1"/>
  <c r="O30" i="18" s="1"/>
  <c r="P30" i="18" s="1"/>
  <c r="Q30" i="18" s="1"/>
  <c r="O31" i="18" s="1"/>
  <c r="P31" i="18" s="1"/>
  <c r="Q31" i="18" s="1"/>
  <c r="O32" i="18" s="1"/>
  <c r="P32" i="18" s="1"/>
  <c r="Q32" i="18" s="1"/>
  <c r="O33" i="18" s="1"/>
  <c r="P33" i="18" s="1"/>
  <c r="Q33" i="18" s="1"/>
  <c r="O34" i="18" s="1"/>
  <c r="P34" i="18" s="1"/>
  <c r="Q34" i="18" s="1"/>
  <c r="O35" i="18" s="1"/>
  <c r="P35" i="18" s="1"/>
  <c r="Q35" i="18" s="1"/>
  <c r="O36" i="18" s="1"/>
  <c r="P36" i="18" s="1"/>
  <c r="Q36" i="18" s="1"/>
  <c r="O37" i="18" s="1"/>
  <c r="P37" i="18" s="1"/>
  <c r="Q37" i="18" s="1"/>
  <c r="O38" i="18" s="1"/>
  <c r="P38" i="18" s="1"/>
  <c r="Q38" i="18" s="1"/>
  <c r="O39" i="18" s="1"/>
  <c r="P39" i="18" s="1"/>
  <c r="Q39" i="18" s="1"/>
  <c r="O40" i="18" s="1"/>
  <c r="P40" i="18" s="1"/>
  <c r="Q40" i="18" s="1"/>
  <c r="O41" i="18" s="1"/>
  <c r="P41" i="18" s="1"/>
  <c r="Q41" i="18" s="1"/>
  <c r="O42" i="18" s="1"/>
  <c r="P42" i="18" s="1"/>
  <c r="Q42" i="18" s="1"/>
  <c r="O43" i="18" s="1"/>
  <c r="P43" i="18" s="1"/>
  <c r="Q43" i="18" s="1"/>
  <c r="O44" i="18" s="1"/>
  <c r="P44" i="18" s="1"/>
  <c r="Q44" i="18" s="1"/>
  <c r="O45" i="18" s="1"/>
  <c r="P45" i="18" s="1"/>
  <c r="Q45" i="18" s="1"/>
  <c r="O46" i="18" s="1"/>
  <c r="P46" i="18" s="1"/>
  <c r="Q46" i="18" s="1"/>
  <c r="O47" i="18" s="1"/>
  <c r="P47" i="18" s="1"/>
  <c r="Q47" i="18" s="1"/>
  <c r="O48" i="18" s="1"/>
  <c r="P48" i="18" s="1"/>
  <c r="Q48" i="18" s="1"/>
  <c r="O49" i="18" s="1"/>
  <c r="P49" i="18" s="1"/>
  <c r="Q49" i="18" s="1"/>
  <c r="O50" i="18" s="1"/>
  <c r="P50" i="18" s="1"/>
  <c r="Q50" i="18" s="1"/>
  <c r="O51" i="18" s="1"/>
  <c r="P51" i="18" s="1"/>
  <c r="Q51" i="18" s="1"/>
  <c r="O52" i="18" s="1"/>
  <c r="P52" i="18" s="1"/>
  <c r="Q52" i="18" s="1"/>
  <c r="O53" i="18" s="1"/>
  <c r="P53" i="18" s="1"/>
  <c r="Q53" i="18" s="1"/>
  <c r="O54" i="18" s="1"/>
  <c r="P54" i="18" s="1"/>
  <c r="Q54" i="18" s="1"/>
  <c r="O55" i="18" s="1"/>
  <c r="P55" i="18" s="1"/>
  <c r="Q55" i="18" s="1"/>
  <c r="O56" i="18" s="1"/>
  <c r="P56" i="18" s="1"/>
  <c r="Q56" i="18" s="1"/>
  <c r="O57" i="18" s="1"/>
  <c r="P57" i="18" s="1"/>
  <c r="Q57" i="18" s="1"/>
  <c r="O58" i="18" s="1"/>
  <c r="P58" i="18" s="1"/>
  <c r="Q58" i="18" s="1"/>
  <c r="O59" i="18" s="1"/>
  <c r="P59" i="18" s="1"/>
  <c r="Q59" i="18" s="1"/>
  <c r="O60" i="18" s="1"/>
  <c r="P60" i="18" s="1"/>
  <c r="Q60" i="18" s="1"/>
  <c r="O61" i="18" s="1"/>
  <c r="P61" i="18" s="1"/>
  <c r="Q61" i="18" s="1"/>
  <c r="O62" i="18" s="1"/>
  <c r="P62" i="18" s="1"/>
  <c r="Q62" i="18" s="1"/>
  <c r="O63" i="18" s="1"/>
  <c r="P63" i="18" s="1"/>
  <c r="Q63" i="18" s="1"/>
  <c r="O64" i="18" s="1"/>
  <c r="P64" i="18" s="1"/>
  <c r="Q64" i="18" s="1"/>
  <c r="O65" i="18" s="1"/>
  <c r="P65" i="18" s="1"/>
  <c r="Q65" i="18" s="1"/>
  <c r="O66" i="18" s="1"/>
  <c r="P66" i="18" s="1"/>
  <c r="Q66" i="18" s="1"/>
  <c r="O67" i="18" s="1"/>
  <c r="P67" i="18" s="1"/>
  <c r="Q67" i="18" s="1"/>
  <c r="O68" i="18" s="1"/>
  <c r="P68" i="18" s="1"/>
  <c r="Q68" i="18" s="1"/>
  <c r="O69" i="18" s="1"/>
  <c r="P69" i="18" s="1"/>
  <c r="Q69" i="18" s="1"/>
  <c r="O70" i="18" s="1"/>
  <c r="P70" i="18" s="1"/>
  <c r="Q70" i="18" s="1"/>
  <c r="O71" i="18" s="1"/>
  <c r="P71" i="18" s="1"/>
  <c r="Q71" i="18" s="1"/>
  <c r="O72" i="18" s="1"/>
  <c r="P72" i="18" s="1"/>
  <c r="Q72" i="18" s="1"/>
  <c r="O73" i="18" s="1"/>
  <c r="P73" i="18" s="1"/>
  <c r="Q73" i="18" s="1"/>
  <c r="O74" i="18" s="1"/>
  <c r="P74" i="18" s="1"/>
  <c r="Q74" i="18" s="1"/>
  <c r="O75" i="18" s="1"/>
  <c r="P75" i="18" s="1"/>
  <c r="Q75" i="18" s="1"/>
  <c r="O76" i="18" s="1"/>
  <c r="P76" i="18" s="1"/>
  <c r="Q76" i="18" s="1"/>
  <c r="O77" i="18" s="1"/>
  <c r="P77" i="18" s="1"/>
  <c r="Q77" i="18" s="1"/>
  <c r="O78" i="18" s="1"/>
  <c r="P78" i="18" s="1"/>
  <c r="Q78" i="18" s="1"/>
  <c r="O79" i="18" s="1"/>
  <c r="P79" i="18" s="1"/>
  <c r="Q79" i="18" s="1"/>
  <c r="O80" i="18" s="1"/>
  <c r="P80" i="18" s="1"/>
  <c r="Q80" i="18" s="1"/>
  <c r="O81" i="18" s="1"/>
  <c r="P81" i="18" s="1"/>
  <c r="Q81" i="18" s="1"/>
  <c r="O82" i="18" s="1"/>
  <c r="P82" i="18" s="1"/>
  <c r="Q82" i="18" s="1"/>
  <c r="O83" i="18" s="1"/>
  <c r="P83" i="18" s="1"/>
  <c r="Q83" i="18" s="1"/>
  <c r="O84" i="18" s="1"/>
  <c r="P84" i="18" s="1"/>
  <c r="Q84" i="18" s="1"/>
  <c r="O85" i="18" s="1"/>
  <c r="P85" i="18" s="1"/>
  <c r="Q85" i="18" s="1"/>
  <c r="O86" i="18" s="1"/>
  <c r="P86" i="18" s="1"/>
  <c r="Q86" i="18" s="1"/>
  <c r="O87" i="18" s="1"/>
  <c r="P87" i="18" s="1"/>
  <c r="Q87" i="18" s="1"/>
  <c r="O88" i="18" s="1"/>
  <c r="P88" i="18" s="1"/>
  <c r="Q88" i="18" s="1"/>
  <c r="O89" i="18" s="1"/>
  <c r="P89" i="18" s="1"/>
  <c r="Q89" i="18" s="1"/>
  <c r="O90" i="18" s="1"/>
  <c r="P90" i="18" s="1"/>
  <c r="Q90" i="18" s="1"/>
  <c r="O91" i="18" s="1"/>
  <c r="P91" i="18" s="1"/>
  <c r="Q91" i="18" s="1"/>
  <c r="O92" i="18" s="1"/>
  <c r="P92" i="18" s="1"/>
  <c r="Q92" i="18" s="1"/>
  <c r="O93" i="18" s="1"/>
  <c r="P93" i="18" s="1"/>
  <c r="Q93" i="18" s="1"/>
  <c r="O94" i="18" s="1"/>
  <c r="P94" i="18" s="1"/>
  <c r="Q94" i="18" s="1"/>
  <c r="O95" i="18" s="1"/>
  <c r="P95" i="18" s="1"/>
  <c r="Q95" i="18" s="1"/>
  <c r="O96" i="18" s="1"/>
  <c r="P96" i="18" s="1"/>
  <c r="Q96" i="18" s="1"/>
  <c r="O97" i="18" s="1"/>
  <c r="P97" i="18" s="1"/>
  <c r="Q97" i="18" s="1"/>
  <c r="O98" i="18" s="1"/>
  <c r="P98" i="18" s="1"/>
  <c r="Q98" i="18" s="1"/>
  <c r="O99" i="18" s="1"/>
  <c r="P99" i="18" s="1"/>
  <c r="Q99" i="18" s="1"/>
  <c r="O100" i="18" s="1"/>
  <c r="P100" i="18" s="1"/>
  <c r="Q100" i="18" s="1"/>
  <c r="O101" i="18" s="1"/>
  <c r="P101" i="18" s="1"/>
  <c r="Q101" i="18" s="1"/>
  <c r="O102" i="18" s="1"/>
  <c r="P102" i="18" s="1"/>
  <c r="Q102" i="18" s="1"/>
  <c r="O103" i="18" s="1"/>
  <c r="P103" i="18" s="1"/>
  <c r="Q103" i="18" s="1"/>
  <c r="O104" i="18" s="1"/>
  <c r="P104" i="18" s="1"/>
  <c r="Q104" i="18" s="1"/>
  <c r="O105" i="18" s="1"/>
  <c r="P105" i="18" s="1"/>
  <c r="Q105" i="18" s="1"/>
  <c r="O106" i="18" s="1"/>
  <c r="P106" i="18" s="1"/>
  <c r="Q106" i="18" s="1"/>
  <c r="O107" i="18" s="1"/>
  <c r="P107" i="18" s="1"/>
  <c r="Q107" i="18" s="1"/>
  <c r="O108" i="18" s="1"/>
  <c r="P108" i="18" s="1"/>
  <c r="Q108" i="18" s="1"/>
  <c r="O109" i="18" s="1"/>
  <c r="P109" i="18" s="1"/>
  <c r="Q109" i="18" s="1"/>
  <c r="O110" i="18" s="1"/>
  <c r="P110" i="18" s="1"/>
  <c r="Q110" i="18" s="1"/>
  <c r="O111" i="18" s="1"/>
  <c r="P111" i="18" s="1"/>
  <c r="Q111" i="18" s="1"/>
  <c r="O112" i="18" s="1"/>
  <c r="P112" i="18" s="1"/>
  <c r="Q112" i="18" s="1"/>
  <c r="O113" i="18" s="1"/>
  <c r="P113" i="18" s="1"/>
  <c r="Q113" i="18" s="1"/>
  <c r="O114" i="18" s="1"/>
  <c r="P114" i="18" s="1"/>
  <c r="Q114" i="18" s="1"/>
  <c r="O115" i="18" s="1"/>
  <c r="P115" i="18" s="1"/>
  <c r="Q115" i="18" s="1"/>
  <c r="O116" i="18" s="1"/>
  <c r="P116" i="18" s="1"/>
  <c r="Q116" i="18" s="1"/>
  <c r="O117" i="18" s="1"/>
  <c r="P117" i="18" s="1"/>
  <c r="Q117" i="18" s="1"/>
  <c r="O118" i="18" s="1"/>
  <c r="P118" i="18" s="1"/>
  <c r="Q118" i="18" s="1"/>
  <c r="O119" i="18" s="1"/>
  <c r="P119" i="18" s="1"/>
  <c r="Q119" i="18" s="1"/>
  <c r="O120" i="18" s="1"/>
  <c r="P120" i="18" s="1"/>
  <c r="Q120" i="18" s="1"/>
  <c r="O121" i="18" s="1"/>
  <c r="P121" i="18" s="1"/>
  <c r="Q121" i="18" s="1"/>
  <c r="O122" i="18" s="1"/>
  <c r="P122" i="18" s="1"/>
  <c r="Q122" i="18" s="1"/>
  <c r="O123" i="18" s="1"/>
  <c r="P123" i="18" s="1"/>
  <c r="Q123" i="18" s="1"/>
  <c r="O124" i="18" s="1"/>
  <c r="P124" i="18" s="1"/>
  <c r="Q124" i="18" s="1"/>
  <c r="O125" i="18" s="1"/>
  <c r="P125" i="18" s="1"/>
  <c r="Q125" i="18" s="1"/>
  <c r="O126" i="18" s="1"/>
  <c r="P126" i="18" s="1"/>
  <c r="Q126" i="18" s="1"/>
  <c r="O127" i="18" s="1"/>
  <c r="P127" i="18" s="1"/>
  <c r="Q127" i="18" s="1"/>
  <c r="O128" i="18" s="1"/>
  <c r="P128" i="18" s="1"/>
  <c r="Q128" i="18" s="1"/>
  <c r="O129" i="18" s="1"/>
  <c r="P129" i="18" s="1"/>
  <c r="Q129" i="18" s="1"/>
  <c r="O130" i="18" s="1"/>
  <c r="P130" i="18" s="1"/>
  <c r="Q130" i="18" s="1"/>
  <c r="O131" i="18" s="1"/>
  <c r="P131" i="18" s="1"/>
  <c r="Q131" i="18" s="1"/>
  <c r="O132" i="18" s="1"/>
  <c r="P132" i="18" s="1"/>
  <c r="Q132" i="18" s="1"/>
  <c r="O133" i="18" s="1"/>
  <c r="P133" i="18" s="1"/>
  <c r="Q133" i="18" s="1"/>
  <c r="O134" i="18" s="1"/>
  <c r="P134" i="18" s="1"/>
  <c r="Q134" i="18" s="1"/>
  <c r="O135" i="18" s="1"/>
  <c r="P135" i="18" s="1"/>
  <c r="Q135" i="18" s="1"/>
  <c r="O136" i="18" s="1"/>
  <c r="P136" i="18" s="1"/>
  <c r="Q136" i="18" s="1"/>
  <c r="O137" i="18" s="1"/>
  <c r="P137" i="18" s="1"/>
  <c r="Q137" i="18" s="1"/>
  <c r="O138" i="18" s="1"/>
  <c r="P138" i="18" s="1"/>
  <c r="Q138" i="18" s="1"/>
  <c r="O139" i="18" s="1"/>
  <c r="P139" i="18" s="1"/>
  <c r="Q139" i="18" s="1"/>
  <c r="O140" i="18" s="1"/>
  <c r="P140" i="18" s="1"/>
  <c r="Q140" i="18" s="1"/>
  <c r="O141" i="18" s="1"/>
  <c r="P141" i="18" s="1"/>
  <c r="Q141" i="18" s="1"/>
  <c r="O142" i="18" s="1"/>
  <c r="P142" i="18" s="1"/>
  <c r="Q142" i="18" s="1"/>
  <c r="O143" i="18" s="1"/>
  <c r="P143" i="18" s="1"/>
  <c r="Q143" i="18" s="1"/>
  <c r="O144" i="18" s="1"/>
  <c r="P144" i="18" s="1"/>
  <c r="Q144" i="18" s="1"/>
  <c r="O145" i="18" s="1"/>
  <c r="P145" i="18" s="1"/>
  <c r="Q145" i="18" s="1"/>
  <c r="O146" i="18" s="1"/>
  <c r="P146" i="18" s="1"/>
  <c r="Q146" i="18" s="1"/>
  <c r="O147" i="18" s="1"/>
  <c r="P147" i="18" s="1"/>
  <c r="Q147" i="18" s="1"/>
  <c r="O148" i="18" s="1"/>
  <c r="P148" i="18" s="1"/>
  <c r="Q148" i="18" s="1"/>
  <c r="O149" i="18" s="1"/>
  <c r="P149" i="18" s="1"/>
  <c r="Q149" i="18" s="1"/>
  <c r="O150" i="18" s="1"/>
  <c r="P150" i="18" s="1"/>
  <c r="Q150" i="18" s="1"/>
  <c r="O151" i="18" s="1"/>
  <c r="P151" i="18" s="1"/>
  <c r="Q151" i="18" s="1"/>
  <c r="O152" i="18" s="1"/>
  <c r="P152" i="18" s="1"/>
  <c r="Q152" i="18" s="1"/>
  <c r="O153" i="18" s="1"/>
  <c r="P153" i="18" s="1"/>
  <c r="Q153" i="18" s="1"/>
  <c r="O154" i="18" s="1"/>
  <c r="P154" i="18" s="1"/>
  <c r="Q154" i="18" s="1"/>
  <c r="O155" i="18" s="1"/>
  <c r="P155" i="18" s="1"/>
  <c r="Q155" i="18" s="1"/>
  <c r="O156" i="18" s="1"/>
  <c r="P156" i="18" s="1"/>
  <c r="Q156" i="18" s="1"/>
  <c r="O157" i="18" s="1"/>
  <c r="P157" i="18" s="1"/>
  <c r="Q157" i="18" s="1"/>
  <c r="O158" i="18" s="1"/>
  <c r="P158" i="18" s="1"/>
  <c r="Q158" i="18" s="1"/>
  <c r="O159" i="18" s="1"/>
  <c r="P159" i="18" s="1"/>
  <c r="Q159" i="18" s="1"/>
  <c r="O160" i="18" s="1"/>
  <c r="P160" i="18" s="1"/>
  <c r="Q160" i="18" s="1"/>
  <c r="O161" i="18" s="1"/>
  <c r="P161" i="18" s="1"/>
  <c r="Q161" i="18" s="1"/>
  <c r="O162" i="18" s="1"/>
  <c r="P162" i="18" s="1"/>
  <c r="Q162" i="18" s="1"/>
  <c r="O163" i="18" s="1"/>
  <c r="P163" i="18" s="1"/>
  <c r="Q163" i="18" s="1"/>
  <c r="O164" i="18" s="1"/>
  <c r="P164" i="18" s="1"/>
  <c r="Q164" i="18" s="1"/>
  <c r="O165" i="18" s="1"/>
  <c r="P165" i="18" s="1"/>
  <c r="Q165" i="18" s="1"/>
  <c r="O166" i="18" s="1"/>
  <c r="P166" i="18" s="1"/>
  <c r="Q166" i="18" s="1"/>
  <c r="O167" i="18" s="1"/>
  <c r="P167" i="18" s="1"/>
  <c r="Q167" i="18" s="1"/>
  <c r="O168" i="18" s="1"/>
  <c r="P168" i="18" s="1"/>
  <c r="Q168" i="18" s="1"/>
  <c r="O169" i="18" s="1"/>
  <c r="P169" i="18" s="1"/>
  <c r="Q169" i="18" s="1"/>
  <c r="O170" i="18" s="1"/>
  <c r="P170" i="18" s="1"/>
  <c r="Q170" i="18" s="1"/>
  <c r="O171" i="18" s="1"/>
  <c r="P171" i="18" s="1"/>
  <c r="Q171" i="18" s="1"/>
  <c r="O172" i="18" s="1"/>
  <c r="P172" i="18" s="1"/>
  <c r="Q172" i="18" s="1"/>
  <c r="O173" i="18" s="1"/>
  <c r="P173" i="18" s="1"/>
  <c r="Q173" i="18" s="1"/>
  <c r="O174" i="18" s="1"/>
  <c r="P174" i="18" s="1"/>
  <c r="Q174" i="18" s="1"/>
  <c r="O175" i="18" s="1"/>
  <c r="P175" i="18" s="1"/>
  <c r="Q175" i="18" s="1"/>
  <c r="O176" i="18" s="1"/>
  <c r="P176" i="18" s="1"/>
  <c r="Q176" i="18" s="1"/>
  <c r="O177" i="18" s="1"/>
  <c r="P177" i="18" s="1"/>
  <c r="Q177" i="18" s="1"/>
  <c r="O178" i="18" s="1"/>
  <c r="P178" i="18" s="1"/>
  <c r="Q178" i="18" s="1"/>
  <c r="O179" i="18" s="1"/>
  <c r="P179" i="18" s="1"/>
  <c r="Q179" i="18" s="1"/>
  <c r="O180" i="18" s="1"/>
  <c r="P180" i="18" s="1"/>
  <c r="Q180" i="18" s="1"/>
  <c r="O181" i="18" s="1"/>
  <c r="P181" i="18" s="1"/>
  <c r="Q181" i="18" s="1"/>
  <c r="B15" i="20"/>
  <c r="G16" i="27" s="1"/>
  <c r="B14" i="20"/>
  <c r="N2" i="17"/>
  <c r="T4" i="4"/>
  <c r="P4" i="4"/>
  <c r="S3" i="8"/>
  <c r="Q3" i="8"/>
  <c r="T24" i="9"/>
  <c r="P24" i="9"/>
  <c r="O181" i="19"/>
  <c r="P181" i="19" s="1"/>
  <c r="Q181" i="19" s="1"/>
  <c r="O182" i="26"/>
  <c r="P182" i="26" s="1"/>
  <c r="Q182" i="26" s="1"/>
  <c r="S4" i="4" l="1"/>
  <c r="Q4" i="4"/>
  <c r="P3" i="17"/>
  <c r="Q3" i="17" s="1"/>
  <c r="O4" i="17" s="1"/>
  <c r="C29" i="27" s="1"/>
  <c r="E156" i="27"/>
  <c r="E172" i="27"/>
  <c r="E188" i="27"/>
  <c r="E204" i="27"/>
  <c r="E158" i="27"/>
  <c r="E174" i="27"/>
  <c r="E190" i="27"/>
  <c r="E206" i="27"/>
  <c r="E154" i="27"/>
  <c r="E170" i="27"/>
  <c r="E186" i="27"/>
  <c r="E202" i="27"/>
  <c r="E155" i="27"/>
  <c r="E171" i="27"/>
  <c r="E187" i="27"/>
  <c r="E203" i="27"/>
  <c r="E151" i="27"/>
  <c r="E167" i="27"/>
  <c r="E183" i="27"/>
  <c r="E199" i="27"/>
  <c r="E160" i="27"/>
  <c r="E176" i="27"/>
  <c r="E192" i="27"/>
  <c r="E148" i="27"/>
  <c r="E164" i="27"/>
  <c r="E180" i="27"/>
  <c r="E196" i="27"/>
  <c r="E150" i="27"/>
  <c r="E166" i="27"/>
  <c r="E182" i="27"/>
  <c r="E198" i="27"/>
  <c r="E162" i="27"/>
  <c r="E178" i="27"/>
  <c r="E194" i="27"/>
  <c r="E163" i="27"/>
  <c r="E179" i="27"/>
  <c r="E195" i="27"/>
  <c r="E159" i="27"/>
  <c r="E175" i="27"/>
  <c r="E191" i="27"/>
  <c r="E207" i="27"/>
  <c r="E153" i="27"/>
  <c r="E193" i="27"/>
  <c r="E201" i="27"/>
  <c r="E152" i="27"/>
  <c r="E197" i="27"/>
  <c r="E161" i="27"/>
  <c r="E200" i="27"/>
  <c r="E157" i="27"/>
  <c r="E177" i="27"/>
  <c r="E169" i="27"/>
  <c r="E165" i="27"/>
  <c r="E205" i="27"/>
  <c r="E168" i="27"/>
  <c r="E173" i="27"/>
  <c r="E185" i="27"/>
  <c r="E181" i="27"/>
  <c r="E149" i="27"/>
  <c r="E184" i="27"/>
  <c r="E189" i="27"/>
  <c r="E125" i="27"/>
  <c r="E142" i="27"/>
  <c r="E135" i="27"/>
  <c r="E38" i="27"/>
  <c r="E87" i="27"/>
  <c r="E28" i="27"/>
  <c r="E41" i="27"/>
  <c r="E45" i="27"/>
  <c r="E51" i="27"/>
  <c r="E49" i="27"/>
  <c r="E60" i="27"/>
  <c r="E75" i="27"/>
  <c r="E29" i="27"/>
  <c r="E69" i="27"/>
  <c r="E31" i="27"/>
  <c r="E132" i="27"/>
  <c r="E37" i="27"/>
  <c r="E97" i="27"/>
  <c r="E128" i="27"/>
  <c r="E119" i="27"/>
  <c r="E102" i="27"/>
  <c r="E124" i="27"/>
  <c r="E133" i="27"/>
  <c r="E143" i="27"/>
  <c r="E57" i="27"/>
  <c r="E64" i="27"/>
  <c r="E107" i="27"/>
  <c r="E82" i="27"/>
  <c r="E96" i="27"/>
  <c r="E44" i="27"/>
  <c r="E112" i="27"/>
  <c r="E108" i="27"/>
  <c r="E85" i="27"/>
  <c r="E106" i="27"/>
  <c r="E95" i="27"/>
  <c r="E43" i="27"/>
  <c r="E35" i="27"/>
  <c r="E63" i="27"/>
  <c r="E103" i="27"/>
  <c r="E36" i="27"/>
  <c r="E86" i="27"/>
  <c r="E130" i="27"/>
  <c r="E141" i="27"/>
  <c r="E129" i="27"/>
  <c r="E111" i="27"/>
  <c r="E52" i="27"/>
  <c r="E90" i="27"/>
  <c r="E79" i="27"/>
  <c r="E39" i="27"/>
  <c r="E113" i="27"/>
  <c r="E92" i="27"/>
  <c r="E66" i="27"/>
  <c r="E58" i="27"/>
  <c r="E56" i="27"/>
  <c r="G15" i="27"/>
  <c r="E84" i="27"/>
  <c r="E131" i="27"/>
  <c r="E34" i="27"/>
  <c r="E71" i="27"/>
  <c r="E117" i="27"/>
  <c r="E88" i="27"/>
  <c r="E42" i="27"/>
  <c r="E115" i="27"/>
  <c r="E146" i="27"/>
  <c r="E138" i="27"/>
  <c r="E137" i="27"/>
  <c r="E59" i="27"/>
  <c r="E50" i="27"/>
  <c r="E78" i="27"/>
  <c r="E100" i="27"/>
  <c r="E65" i="27"/>
  <c r="E70" i="27"/>
  <c r="E110" i="27"/>
  <c r="E114" i="27"/>
  <c r="E123" i="27"/>
  <c r="E33" i="27"/>
  <c r="E61" i="27"/>
  <c r="E68" i="27"/>
  <c r="E145" i="27"/>
  <c r="E93" i="27"/>
  <c r="E83" i="27"/>
  <c r="E140" i="27"/>
  <c r="E76" i="27"/>
  <c r="E99" i="27"/>
  <c r="E136" i="27"/>
  <c r="E126" i="27"/>
  <c r="E147" i="27"/>
  <c r="E120" i="27"/>
  <c r="E80" i="27"/>
  <c r="E122" i="27"/>
  <c r="E48" i="27"/>
  <c r="E98" i="27"/>
  <c r="E81" i="27"/>
  <c r="E116" i="27"/>
  <c r="E53" i="27"/>
  <c r="E54" i="27"/>
  <c r="E89" i="27"/>
  <c r="E101" i="27"/>
  <c r="E55" i="27"/>
  <c r="E139" i="27"/>
  <c r="E40" i="27"/>
  <c r="E118" i="27"/>
  <c r="E144" i="27"/>
  <c r="E134" i="27"/>
  <c r="E127" i="27"/>
  <c r="E104" i="27"/>
  <c r="E32" i="27"/>
  <c r="E105" i="27"/>
  <c r="E109" i="27"/>
  <c r="E47" i="27"/>
  <c r="E94" i="27"/>
  <c r="E77" i="27"/>
  <c r="E121" i="27"/>
  <c r="E46" i="27"/>
  <c r="E72" i="27"/>
  <c r="E74" i="27"/>
  <c r="E62" i="27"/>
  <c r="E91" i="27"/>
  <c r="E30" i="27"/>
  <c r="E67" i="27"/>
  <c r="E73" i="27"/>
  <c r="V4" i="8"/>
  <c r="O4" i="8"/>
  <c r="S24" i="9"/>
  <c r="Q24" i="9"/>
  <c r="O182" i="19"/>
  <c r="P182" i="19" s="1"/>
  <c r="Q182" i="19" s="1"/>
  <c r="O182" i="18"/>
  <c r="P182" i="18" s="1"/>
  <c r="Q182" i="18" s="1"/>
  <c r="B29" i="27" l="1"/>
  <c r="P4" i="17"/>
  <c r="Q4" i="17" s="1"/>
  <c r="O5" i="17" s="1"/>
  <c r="C30" i="27" s="1"/>
  <c r="B30" i="27" s="1"/>
  <c r="B28" i="27"/>
  <c r="G28" i="27" s="1"/>
  <c r="F24" i="27"/>
  <c r="O5" i="4"/>
  <c r="V5" i="4"/>
  <c r="T4" i="8"/>
  <c r="P4" i="8"/>
  <c r="O25" i="9"/>
  <c r="V25" i="9"/>
  <c r="G29" i="27" l="1"/>
  <c r="H30" i="27" s="1"/>
  <c r="H29" i="27"/>
  <c r="P5" i="17"/>
  <c r="Q5" i="17" s="1"/>
  <c r="O6" i="17" s="1"/>
  <c r="P6" i="17" s="1"/>
  <c r="Q6" i="17" s="1"/>
  <c r="O7" i="17" s="1"/>
  <c r="T5" i="4"/>
  <c r="P5" i="4"/>
  <c r="S4" i="8"/>
  <c r="Q4" i="8"/>
  <c r="T25" i="9"/>
  <c r="P25" i="9"/>
  <c r="G30" i="27" l="1"/>
  <c r="H31" i="27" s="1"/>
  <c r="C31" i="27"/>
  <c r="B31" i="27" s="1"/>
  <c r="C32" i="27"/>
  <c r="B32" i="27" s="1"/>
  <c r="P7" i="17"/>
  <c r="Q7" i="17" s="1"/>
  <c r="O8" i="17" s="1"/>
  <c r="S5" i="4"/>
  <c r="Q5" i="4"/>
  <c r="V5" i="8"/>
  <c r="O5" i="8"/>
  <c r="S25" i="9"/>
  <c r="Q25" i="9"/>
  <c r="G31" i="27" l="1"/>
  <c r="G32" i="27" s="1"/>
  <c r="O6" i="4"/>
  <c r="V6" i="4"/>
  <c r="C33" i="27"/>
  <c r="B33" i="27" s="1"/>
  <c r="P8" i="17"/>
  <c r="Q8" i="17" s="1"/>
  <c r="O9" i="17" s="1"/>
  <c r="T5" i="8"/>
  <c r="P5" i="8"/>
  <c r="V26" i="9"/>
  <c r="O26" i="9"/>
  <c r="H32" i="27" l="1"/>
  <c r="C34" i="27"/>
  <c r="B34" i="27" s="1"/>
  <c r="P9" i="17"/>
  <c r="Q9" i="17" s="1"/>
  <c r="O10" i="17" s="1"/>
  <c r="H33" i="27"/>
  <c r="G33" i="27"/>
  <c r="T6" i="4"/>
  <c r="P6" i="4"/>
  <c r="S5" i="8"/>
  <c r="Q5" i="8"/>
  <c r="T26" i="9"/>
  <c r="P26" i="9"/>
  <c r="S6" i="4" l="1"/>
  <c r="Q6" i="4"/>
  <c r="H34" i="27"/>
  <c r="G34" i="27"/>
  <c r="C35" i="27"/>
  <c r="B35" i="27" s="1"/>
  <c r="P10" i="17"/>
  <c r="Q10" i="17" s="1"/>
  <c r="O11" i="17" s="1"/>
  <c r="O6" i="8"/>
  <c r="V6" i="8"/>
  <c r="S26" i="9"/>
  <c r="Q26" i="9"/>
  <c r="H35" i="27" l="1"/>
  <c r="G35" i="27"/>
  <c r="C36" i="27"/>
  <c r="B36" i="27" s="1"/>
  <c r="P11" i="17"/>
  <c r="Q11" i="17" s="1"/>
  <c r="O12" i="17" s="1"/>
  <c r="V7" i="4"/>
  <c r="O7" i="4"/>
  <c r="T6" i="8"/>
  <c r="P6" i="8"/>
  <c r="V27" i="9"/>
  <c r="O27" i="9"/>
  <c r="T7" i="4" l="1"/>
  <c r="P7" i="4"/>
  <c r="C37" i="27"/>
  <c r="B37" i="27" s="1"/>
  <c r="P12" i="17"/>
  <c r="Q12" i="17" s="1"/>
  <c r="O13" i="17" s="1"/>
  <c r="H36" i="27"/>
  <c r="G36" i="27"/>
  <c r="S6" i="8"/>
  <c r="Q6" i="8"/>
  <c r="P27" i="9"/>
  <c r="T27" i="9"/>
  <c r="H37" i="27" l="1"/>
  <c r="G37" i="27"/>
  <c r="C38" i="27"/>
  <c r="B38" i="27" s="1"/>
  <c r="P13" i="17"/>
  <c r="Q13" i="17" s="1"/>
  <c r="O14" i="17" s="1"/>
  <c r="S7" i="4"/>
  <c r="Q7" i="4"/>
  <c r="V7" i="8"/>
  <c r="O7" i="8"/>
  <c r="S27" i="9"/>
  <c r="Q27" i="9"/>
  <c r="C39" i="27" l="1"/>
  <c r="B39" i="27" s="1"/>
  <c r="P14" i="17"/>
  <c r="Q14" i="17" s="1"/>
  <c r="O15" i="17" s="1"/>
  <c r="V8" i="4"/>
  <c r="O8" i="4"/>
  <c r="H38" i="27"/>
  <c r="G38" i="27"/>
  <c r="T7" i="8"/>
  <c r="P7" i="8"/>
  <c r="O28" i="9"/>
  <c r="V28" i="9"/>
  <c r="T8" i="4" l="1"/>
  <c r="P8" i="4"/>
  <c r="H39" i="27"/>
  <c r="G39" i="27"/>
  <c r="C40" i="27"/>
  <c r="B40" i="27" s="1"/>
  <c r="P15" i="17"/>
  <c r="Q15" i="17" s="1"/>
  <c r="O16" i="17" s="1"/>
  <c r="S7" i="8"/>
  <c r="Q7" i="8"/>
  <c r="T28" i="9"/>
  <c r="P28" i="9"/>
  <c r="I39" i="27" l="1"/>
  <c r="H40" i="27"/>
  <c r="G40" i="27"/>
  <c r="C41" i="27"/>
  <c r="B41" i="27" s="1"/>
  <c r="P16" i="17"/>
  <c r="Q16" i="17" s="1"/>
  <c r="O17" i="17" s="1"/>
  <c r="S8" i="4"/>
  <c r="Q8" i="4"/>
  <c r="O8" i="8"/>
  <c r="V8" i="8"/>
  <c r="S28" i="9"/>
  <c r="Q28" i="9"/>
  <c r="C42" i="27" l="1"/>
  <c r="B42" i="27" s="1"/>
  <c r="P17" i="17"/>
  <c r="Q17" i="17" s="1"/>
  <c r="O18" i="17" s="1"/>
  <c r="O9" i="4"/>
  <c r="V9" i="4"/>
  <c r="H41" i="27"/>
  <c r="G41" i="27"/>
  <c r="T8" i="8"/>
  <c r="P8" i="8"/>
  <c r="V29" i="9"/>
  <c r="O29" i="9"/>
  <c r="H42" i="27" l="1"/>
  <c r="G42" i="27"/>
  <c r="T9" i="4"/>
  <c r="P9" i="4"/>
  <c r="C43" i="27"/>
  <c r="B43" i="27" s="1"/>
  <c r="P18" i="17"/>
  <c r="Q18" i="17" s="1"/>
  <c r="O19" i="17" s="1"/>
  <c r="S8" i="8"/>
  <c r="Q8" i="8"/>
  <c r="P29" i="9"/>
  <c r="T29" i="9"/>
  <c r="C44" i="27" l="1"/>
  <c r="B44" i="27" s="1"/>
  <c r="P19" i="17"/>
  <c r="Q19" i="17" s="1"/>
  <c r="O20" i="17" s="1"/>
  <c r="S9" i="4"/>
  <c r="Q9" i="4"/>
  <c r="H43" i="27"/>
  <c r="G43" i="27"/>
  <c r="O9" i="8"/>
  <c r="V9" i="8"/>
  <c r="S29" i="9"/>
  <c r="Q29" i="9"/>
  <c r="V10" i="4" l="1"/>
  <c r="O10" i="4"/>
  <c r="C45" i="27"/>
  <c r="B45" i="27" s="1"/>
  <c r="P20" i="17"/>
  <c r="Q20" i="17" s="1"/>
  <c r="O21" i="17" s="1"/>
  <c r="H44" i="27"/>
  <c r="G44" i="27"/>
  <c r="T9" i="8"/>
  <c r="P9" i="8"/>
  <c r="O30" i="9"/>
  <c r="V30" i="9"/>
  <c r="H45" i="27" l="1"/>
  <c r="G45" i="27"/>
  <c r="T10" i="4"/>
  <c r="P10" i="4"/>
  <c r="C46" i="27"/>
  <c r="B46" i="27" s="1"/>
  <c r="P21" i="17"/>
  <c r="Q21" i="17" s="1"/>
  <c r="O22" i="17" s="1"/>
  <c r="S9" i="8"/>
  <c r="Q9" i="8"/>
  <c r="T30" i="9"/>
  <c r="P30" i="9"/>
  <c r="S10" i="4" l="1"/>
  <c r="Q10" i="4"/>
  <c r="H46" i="27"/>
  <c r="G46" i="27"/>
  <c r="C47" i="27"/>
  <c r="B47" i="27" s="1"/>
  <c r="P22" i="17"/>
  <c r="Q22" i="17" s="1"/>
  <c r="O23" i="17" s="1"/>
  <c r="V10" i="8"/>
  <c r="O10" i="8"/>
  <c r="S30" i="9"/>
  <c r="Q30" i="9"/>
  <c r="C48" i="27" l="1"/>
  <c r="B48" i="27" s="1"/>
  <c r="P23" i="17"/>
  <c r="Q23" i="17" s="1"/>
  <c r="O24" i="17" s="1"/>
  <c r="V11" i="4"/>
  <c r="O11" i="4"/>
  <c r="H47" i="27"/>
  <c r="G47" i="27"/>
  <c r="T10" i="8"/>
  <c r="P10" i="8"/>
  <c r="O31" i="9"/>
  <c r="V31" i="9"/>
  <c r="H48" i="27" l="1"/>
  <c r="G48" i="27"/>
  <c r="T11" i="4"/>
  <c r="P11" i="4"/>
  <c r="C49" i="27"/>
  <c r="B49" i="27" s="1"/>
  <c r="P24" i="17"/>
  <c r="Q24" i="17" s="1"/>
  <c r="O25" i="17" s="1"/>
  <c r="S10" i="8"/>
  <c r="Q10" i="8"/>
  <c r="T31" i="9"/>
  <c r="P31" i="9"/>
  <c r="C50" i="27" l="1"/>
  <c r="B50" i="27" s="1"/>
  <c r="P25" i="17"/>
  <c r="Q25" i="17" s="1"/>
  <c r="O26" i="17" s="1"/>
  <c r="S11" i="4"/>
  <c r="Q11" i="4"/>
  <c r="H49" i="27"/>
  <c r="G49" i="27"/>
  <c r="V11" i="8"/>
  <c r="O11" i="8"/>
  <c r="S31" i="9"/>
  <c r="Q31" i="9"/>
  <c r="V12" i="4" l="1"/>
  <c r="O12" i="4"/>
  <c r="H50" i="27"/>
  <c r="G50" i="27"/>
  <c r="C51" i="27"/>
  <c r="B51" i="27" s="1"/>
  <c r="P26" i="17"/>
  <c r="Q26" i="17" s="1"/>
  <c r="O27" i="17" s="1"/>
  <c r="T11" i="8"/>
  <c r="P11" i="8"/>
  <c r="V32" i="9"/>
  <c r="O32" i="9"/>
  <c r="C52" i="27" l="1"/>
  <c r="B52" i="27" s="1"/>
  <c r="P27" i="17"/>
  <c r="Q27" i="17" s="1"/>
  <c r="O28" i="17" s="1"/>
  <c r="H51" i="27"/>
  <c r="G51" i="27"/>
  <c r="H52" i="27" s="1"/>
  <c r="T12" i="4"/>
  <c r="P12" i="4"/>
  <c r="S11" i="8"/>
  <c r="Q11" i="8"/>
  <c r="P32" i="9"/>
  <c r="T32" i="9"/>
  <c r="I51" i="27" l="1"/>
  <c r="G52" i="27"/>
  <c r="S12" i="4"/>
  <c r="Q12" i="4"/>
  <c r="C53" i="27"/>
  <c r="B53" i="27" s="1"/>
  <c r="P28" i="17"/>
  <c r="Q28" i="17" s="1"/>
  <c r="O29" i="17" s="1"/>
  <c r="O12" i="8"/>
  <c r="V12" i="8"/>
  <c r="S32" i="9"/>
  <c r="Q32" i="9"/>
  <c r="O13" i="4" l="1"/>
  <c r="V13" i="4"/>
  <c r="H53" i="27"/>
  <c r="G53" i="27"/>
  <c r="C54" i="27"/>
  <c r="B54" i="27" s="1"/>
  <c r="P29" i="17"/>
  <c r="Q29" i="17" s="1"/>
  <c r="O30" i="17" s="1"/>
  <c r="T12" i="8"/>
  <c r="P12" i="8"/>
  <c r="V33" i="9"/>
  <c r="O33" i="9"/>
  <c r="C55" i="27" l="1"/>
  <c r="B55" i="27" s="1"/>
  <c r="P30" i="17"/>
  <c r="Q30" i="17" s="1"/>
  <c r="O31" i="17" s="1"/>
  <c r="H54" i="27"/>
  <c r="G54" i="27"/>
  <c r="T13" i="4"/>
  <c r="P13" i="4"/>
  <c r="S12" i="8"/>
  <c r="Q12" i="8"/>
  <c r="T33" i="9"/>
  <c r="P33" i="9"/>
  <c r="H55" i="27" l="1"/>
  <c r="G55" i="27"/>
  <c r="C56" i="27"/>
  <c r="B56" i="27" s="1"/>
  <c r="P31" i="17"/>
  <c r="Q31" i="17" s="1"/>
  <c r="O32" i="17" s="1"/>
  <c r="S13" i="4"/>
  <c r="Q13" i="4"/>
  <c r="V13" i="8"/>
  <c r="O13" i="8"/>
  <c r="S33" i="9"/>
  <c r="Q33" i="9"/>
  <c r="H56" i="27" l="1"/>
  <c r="G56" i="27"/>
  <c r="O14" i="4"/>
  <c r="V14" i="4"/>
  <c r="C57" i="27"/>
  <c r="B57" i="27" s="1"/>
  <c r="P32" i="17"/>
  <c r="Q32" i="17" s="1"/>
  <c r="O33" i="17" s="1"/>
  <c r="T13" i="8"/>
  <c r="P13" i="8"/>
  <c r="O34" i="9"/>
  <c r="V34" i="9"/>
  <c r="T14" i="4" l="1"/>
  <c r="P14" i="4"/>
  <c r="C58" i="27"/>
  <c r="B58" i="27" s="1"/>
  <c r="P33" i="17"/>
  <c r="Q33" i="17" s="1"/>
  <c r="O34" i="17" s="1"/>
  <c r="H57" i="27"/>
  <c r="G57" i="27"/>
  <c r="S13" i="8"/>
  <c r="Q13" i="8"/>
  <c r="P34" i="9"/>
  <c r="T34" i="9"/>
  <c r="C59" i="27" l="1"/>
  <c r="B59" i="27" s="1"/>
  <c r="P34" i="17"/>
  <c r="Q34" i="17" s="1"/>
  <c r="O35" i="17" s="1"/>
  <c r="S14" i="4"/>
  <c r="Q14" i="4"/>
  <c r="H58" i="27"/>
  <c r="G58" i="27"/>
  <c r="O14" i="8"/>
  <c r="V14" i="8"/>
  <c r="S34" i="9"/>
  <c r="Q34" i="9"/>
  <c r="H59" i="27" l="1"/>
  <c r="G59" i="27"/>
  <c r="O15" i="4"/>
  <c r="V15" i="4"/>
  <c r="C60" i="27"/>
  <c r="B60" i="27" s="1"/>
  <c r="P35" i="17"/>
  <c r="Q35" i="17" s="1"/>
  <c r="O36" i="17" s="1"/>
  <c r="T14" i="8"/>
  <c r="P14" i="8"/>
  <c r="V35" i="9"/>
  <c r="O35" i="9"/>
  <c r="T15" i="4" l="1"/>
  <c r="P15" i="4"/>
  <c r="C61" i="27"/>
  <c r="B61" i="27" s="1"/>
  <c r="P36" i="17"/>
  <c r="Q36" i="17" s="1"/>
  <c r="O37" i="17" s="1"/>
  <c r="H60" i="27"/>
  <c r="G60" i="27"/>
  <c r="S14" i="8"/>
  <c r="Q14" i="8"/>
  <c r="P35" i="9"/>
  <c r="T35" i="9"/>
  <c r="H61" i="27" l="1"/>
  <c r="G61" i="27"/>
  <c r="C62" i="27"/>
  <c r="B62" i="27" s="1"/>
  <c r="P37" i="17"/>
  <c r="Q37" i="17" s="1"/>
  <c r="O38" i="17" s="1"/>
  <c r="S15" i="4"/>
  <c r="Q15" i="4"/>
  <c r="O15" i="8"/>
  <c r="V15" i="8"/>
  <c r="S35" i="9"/>
  <c r="Q35" i="9"/>
  <c r="O16" i="4" l="1"/>
  <c r="V16" i="4"/>
  <c r="C63" i="27"/>
  <c r="B63" i="27" s="1"/>
  <c r="P38" i="17"/>
  <c r="Q38" i="17" s="1"/>
  <c r="O39" i="17" s="1"/>
  <c r="H62" i="27"/>
  <c r="G62" i="27"/>
  <c r="T15" i="8"/>
  <c r="P15" i="8"/>
  <c r="O36" i="9"/>
  <c r="V36" i="9"/>
  <c r="H63" i="27" l="1"/>
  <c r="G63" i="27"/>
  <c r="H64" i="27" s="1"/>
  <c r="C64" i="27"/>
  <c r="B64" i="27" s="1"/>
  <c r="P39" i="17"/>
  <c r="Q39" i="17" s="1"/>
  <c r="O40" i="17" s="1"/>
  <c r="T16" i="4"/>
  <c r="P16" i="4"/>
  <c r="S15" i="8"/>
  <c r="Q15" i="8"/>
  <c r="T36" i="9"/>
  <c r="P36" i="9"/>
  <c r="S16" i="4" l="1"/>
  <c r="Q16" i="4"/>
  <c r="C65" i="27"/>
  <c r="B65" i="27" s="1"/>
  <c r="P40" i="17"/>
  <c r="Q40" i="17" s="1"/>
  <c r="O41" i="17" s="1"/>
  <c r="I63" i="27"/>
  <c r="G64" i="27"/>
  <c r="O16" i="8"/>
  <c r="V16" i="8"/>
  <c r="S36" i="9"/>
  <c r="Q36" i="9"/>
  <c r="C66" i="27" l="1"/>
  <c r="B66" i="27" s="1"/>
  <c r="P41" i="17"/>
  <c r="Q41" i="17" s="1"/>
  <c r="O42" i="17" s="1"/>
  <c r="H65" i="27"/>
  <c r="G65" i="27"/>
  <c r="V17" i="4"/>
  <c r="O17" i="4"/>
  <c r="T16" i="8"/>
  <c r="P16" i="8"/>
  <c r="V37" i="9"/>
  <c r="O37" i="9"/>
  <c r="H66" i="27" l="1"/>
  <c r="G66" i="27"/>
  <c r="T17" i="4"/>
  <c r="P17" i="4"/>
  <c r="C67" i="27"/>
  <c r="B67" i="27" s="1"/>
  <c r="P42" i="17"/>
  <c r="Q42" i="17" s="1"/>
  <c r="O43" i="17" s="1"/>
  <c r="S16" i="8"/>
  <c r="Q16" i="8"/>
  <c r="P37" i="9"/>
  <c r="T37" i="9"/>
  <c r="C68" i="27" l="1"/>
  <c r="B68" i="27" s="1"/>
  <c r="P43" i="17"/>
  <c r="Q43" i="17" s="1"/>
  <c r="O44" i="17" s="1"/>
  <c r="S17" i="4"/>
  <c r="Q17" i="4"/>
  <c r="H67" i="27"/>
  <c r="G67" i="27"/>
  <c r="V17" i="8"/>
  <c r="O17" i="8"/>
  <c r="S37" i="9"/>
  <c r="Q37" i="9"/>
  <c r="H68" i="27" l="1"/>
  <c r="G68" i="27"/>
  <c r="V18" i="4"/>
  <c r="O18" i="4"/>
  <c r="C69" i="27"/>
  <c r="B69" i="27" s="1"/>
  <c r="P44" i="17"/>
  <c r="Q44" i="17" s="1"/>
  <c r="O45" i="17" s="1"/>
  <c r="T17" i="8"/>
  <c r="P17" i="8"/>
  <c r="V38" i="9"/>
  <c r="O38" i="9"/>
  <c r="C70" i="27" l="1"/>
  <c r="B70" i="27" s="1"/>
  <c r="P45" i="17"/>
  <c r="Q45" i="17" s="1"/>
  <c r="O46" i="17" s="1"/>
  <c r="H69" i="27"/>
  <c r="G69" i="27"/>
  <c r="T18" i="4"/>
  <c r="P18" i="4"/>
  <c r="S17" i="8"/>
  <c r="Q17" i="8"/>
  <c r="P38" i="9"/>
  <c r="T38" i="9"/>
  <c r="C71" i="27" l="1"/>
  <c r="B71" i="27" s="1"/>
  <c r="P46" i="17"/>
  <c r="Q46" i="17" s="1"/>
  <c r="O47" i="17" s="1"/>
  <c r="S18" i="4"/>
  <c r="Q18" i="4"/>
  <c r="H70" i="27"/>
  <c r="G70" i="27"/>
  <c r="O18" i="8"/>
  <c r="V18" i="8"/>
  <c r="S38" i="9"/>
  <c r="Q38" i="9"/>
  <c r="O19" i="4" l="1"/>
  <c r="V19" i="4"/>
  <c r="C72" i="27"/>
  <c r="B72" i="27" s="1"/>
  <c r="P47" i="17"/>
  <c r="Q47" i="17" s="1"/>
  <c r="O48" i="17" s="1"/>
  <c r="H71" i="27"/>
  <c r="G71" i="27"/>
  <c r="T18" i="8"/>
  <c r="P18" i="8"/>
  <c r="O39" i="9"/>
  <c r="V39" i="9"/>
  <c r="H72" i="27" l="1"/>
  <c r="G72" i="27"/>
  <c r="C73" i="27"/>
  <c r="B73" i="27" s="1"/>
  <c r="P48" i="17"/>
  <c r="Q48" i="17" s="1"/>
  <c r="O49" i="17" s="1"/>
  <c r="T19" i="4"/>
  <c r="P19" i="4"/>
  <c r="S18" i="8"/>
  <c r="Q18" i="8"/>
  <c r="P39" i="9"/>
  <c r="T39" i="9"/>
  <c r="S19" i="4" l="1"/>
  <c r="Q19" i="4"/>
  <c r="C74" i="27"/>
  <c r="B74" i="27" s="1"/>
  <c r="P49" i="17"/>
  <c r="Q49" i="17" s="1"/>
  <c r="O50" i="17" s="1"/>
  <c r="H73" i="27"/>
  <c r="G73" i="27"/>
  <c r="O19" i="8"/>
  <c r="V19" i="8"/>
  <c r="S39" i="9"/>
  <c r="Q39" i="9"/>
  <c r="H74" i="27" l="1"/>
  <c r="G74" i="27"/>
  <c r="O20" i="4"/>
  <c r="V20" i="4"/>
  <c r="C75" i="27"/>
  <c r="B75" i="27" s="1"/>
  <c r="P50" i="17"/>
  <c r="Q50" i="17" s="1"/>
  <c r="O51" i="17" s="1"/>
  <c r="T19" i="8"/>
  <c r="P19" i="8"/>
  <c r="V40" i="9"/>
  <c r="O40" i="9"/>
  <c r="C76" i="27" l="1"/>
  <c r="B76" i="27" s="1"/>
  <c r="P51" i="17"/>
  <c r="Q51" i="17" s="1"/>
  <c r="O52" i="17" s="1"/>
  <c r="T20" i="4"/>
  <c r="P20" i="4"/>
  <c r="H75" i="27"/>
  <c r="G75" i="27"/>
  <c r="H76" i="27" s="1"/>
  <c r="S19" i="8"/>
  <c r="Q19" i="8"/>
  <c r="P40" i="9"/>
  <c r="T40" i="9"/>
  <c r="S20" i="4" l="1"/>
  <c r="Q20" i="4"/>
  <c r="C77" i="27"/>
  <c r="B77" i="27" s="1"/>
  <c r="P52" i="17"/>
  <c r="Q52" i="17" s="1"/>
  <c r="O53" i="17" s="1"/>
  <c r="I75" i="27"/>
  <c r="G76" i="27"/>
  <c r="O20" i="8"/>
  <c r="V20" i="8"/>
  <c r="S40" i="9"/>
  <c r="Q40" i="9"/>
  <c r="H77" i="27" l="1"/>
  <c r="G77" i="27"/>
  <c r="C78" i="27"/>
  <c r="B78" i="27" s="1"/>
  <c r="P53" i="17"/>
  <c r="Q53" i="17" s="1"/>
  <c r="O54" i="17" s="1"/>
  <c r="V21" i="4"/>
  <c r="O21" i="4"/>
  <c r="T20" i="8"/>
  <c r="P20" i="8"/>
  <c r="V41" i="9"/>
  <c r="O41" i="9"/>
  <c r="T21" i="4" l="1"/>
  <c r="P21" i="4"/>
  <c r="H78" i="27"/>
  <c r="G78" i="27"/>
  <c r="C79" i="27"/>
  <c r="B79" i="27" s="1"/>
  <c r="P54" i="17"/>
  <c r="Q54" i="17" s="1"/>
  <c r="O55" i="17" s="1"/>
  <c r="S20" i="8"/>
  <c r="Q20" i="8"/>
  <c r="T41" i="9"/>
  <c r="P41" i="9"/>
  <c r="C80" i="27" l="1"/>
  <c r="B80" i="27" s="1"/>
  <c r="P55" i="17"/>
  <c r="Q55" i="17" s="1"/>
  <c r="O56" i="17" s="1"/>
  <c r="H79" i="27"/>
  <c r="G79" i="27"/>
  <c r="S21" i="4"/>
  <c r="Q21" i="4"/>
  <c r="O21" i="8"/>
  <c r="V21" i="8"/>
  <c r="S41" i="9"/>
  <c r="Q41" i="9"/>
  <c r="O22" i="4" l="1"/>
  <c r="V22" i="4"/>
  <c r="H80" i="27"/>
  <c r="G80" i="27"/>
  <c r="C81" i="27"/>
  <c r="B81" i="27" s="1"/>
  <c r="P56" i="17"/>
  <c r="Q56" i="17" s="1"/>
  <c r="O57" i="17" s="1"/>
  <c r="T21" i="8"/>
  <c r="P21" i="8"/>
  <c r="V42" i="9"/>
  <c r="O42" i="9"/>
  <c r="C82" i="27" l="1"/>
  <c r="B82" i="27" s="1"/>
  <c r="P57" i="17"/>
  <c r="Q57" i="17" s="1"/>
  <c r="O58" i="17" s="1"/>
  <c r="H81" i="27"/>
  <c r="G81" i="27"/>
  <c r="T22" i="4"/>
  <c r="P22" i="4"/>
  <c r="S21" i="8"/>
  <c r="Q21" i="8"/>
  <c r="P42" i="9"/>
  <c r="T42" i="9"/>
  <c r="S22" i="4" l="1"/>
  <c r="Q22" i="4"/>
  <c r="C83" i="27"/>
  <c r="B83" i="27" s="1"/>
  <c r="P58" i="17"/>
  <c r="Q58" i="17" s="1"/>
  <c r="O59" i="17" s="1"/>
  <c r="H82" i="27"/>
  <c r="G82" i="27"/>
  <c r="H83" i="27" s="1"/>
  <c r="O22" i="8"/>
  <c r="V22" i="8"/>
  <c r="S42" i="9"/>
  <c r="Q42" i="9"/>
  <c r="O23" i="4" l="1"/>
  <c r="V23" i="4"/>
  <c r="C84" i="27"/>
  <c r="B84" i="27" s="1"/>
  <c r="P59" i="17"/>
  <c r="Q59" i="17" s="1"/>
  <c r="O60" i="17" s="1"/>
  <c r="G83" i="27"/>
  <c r="H84" i="27" s="1"/>
  <c r="T22" i="8"/>
  <c r="P22" i="8"/>
  <c r="V43" i="9"/>
  <c r="O43" i="9"/>
  <c r="G84" i="27" l="1"/>
  <c r="H85" i="27" s="1"/>
  <c r="T23" i="4"/>
  <c r="P23" i="4"/>
  <c r="C85" i="27"/>
  <c r="B85" i="27" s="1"/>
  <c r="P60" i="17"/>
  <c r="Q60" i="17" s="1"/>
  <c r="O61" i="17" s="1"/>
  <c r="S22" i="8"/>
  <c r="Q22" i="8"/>
  <c r="P43" i="9"/>
  <c r="T43" i="9"/>
  <c r="G85" i="27" l="1"/>
  <c r="H86" i="27" s="1"/>
  <c r="S23" i="4"/>
  <c r="Q23" i="4"/>
  <c r="C86" i="27"/>
  <c r="B86" i="27" s="1"/>
  <c r="P61" i="17"/>
  <c r="Q61" i="17" s="1"/>
  <c r="O62" i="17" s="1"/>
  <c r="V23" i="8"/>
  <c r="O23" i="8"/>
  <c r="S43" i="9"/>
  <c r="Q43" i="9"/>
  <c r="G86" i="27" l="1"/>
  <c r="H87" i="27" s="1"/>
  <c r="C87" i="27"/>
  <c r="B87" i="27" s="1"/>
  <c r="P62" i="17"/>
  <c r="Q62" i="17" s="1"/>
  <c r="O63" i="17" s="1"/>
  <c r="O24" i="4"/>
  <c r="V24" i="4"/>
  <c r="T23" i="8"/>
  <c r="P23" i="8"/>
  <c r="V44" i="9"/>
  <c r="O44" i="9"/>
  <c r="G87" i="27" l="1"/>
  <c r="T24" i="4"/>
  <c r="P24" i="4"/>
  <c r="C88" i="27"/>
  <c r="B88" i="27" s="1"/>
  <c r="P63" i="17"/>
  <c r="Q63" i="17" s="1"/>
  <c r="O64" i="17" s="1"/>
  <c r="S23" i="8"/>
  <c r="Q23" i="8"/>
  <c r="P44" i="9"/>
  <c r="T44" i="9"/>
  <c r="I24" i="27" l="1"/>
  <c r="H88" i="27"/>
  <c r="G88" i="27"/>
  <c r="H89" i="27" s="1"/>
  <c r="C89" i="27"/>
  <c r="P64" i="17"/>
  <c r="Q64" i="17" s="1"/>
  <c r="O65" i="17" s="1"/>
  <c r="S24" i="4"/>
  <c r="Q24" i="4"/>
  <c r="O24" i="8"/>
  <c r="V24" i="8"/>
  <c r="S44" i="9"/>
  <c r="Q44" i="9"/>
  <c r="O25" i="4" l="1"/>
  <c r="V25" i="4"/>
  <c r="P65" i="17"/>
  <c r="Q65" i="17" s="1"/>
  <c r="O66" i="17" s="1"/>
  <c r="C90" i="27"/>
  <c r="B90" i="27" s="1"/>
  <c r="B89" i="27"/>
  <c r="G89" i="27" s="1"/>
  <c r="H90" i="27" s="1"/>
  <c r="P24" i="8"/>
  <c r="T24" i="8"/>
  <c r="V45" i="9"/>
  <c r="O45" i="9"/>
  <c r="G90" i="27" l="1"/>
  <c r="H91" i="27" s="1"/>
  <c r="C91" i="27"/>
  <c r="P66" i="17"/>
  <c r="Q66" i="17" s="1"/>
  <c r="O67" i="17" s="1"/>
  <c r="P25" i="4"/>
  <c r="T25" i="4"/>
  <c r="S24" i="8"/>
  <c r="Q24" i="8"/>
  <c r="P45" i="9"/>
  <c r="T45" i="9"/>
  <c r="S25" i="4" l="1"/>
  <c r="Q25" i="4"/>
  <c r="P67" i="17"/>
  <c r="Q67" i="17" s="1"/>
  <c r="O68" i="17" s="1"/>
  <c r="C92" i="27"/>
  <c r="B92" i="27" s="1"/>
  <c r="B91" i="27"/>
  <c r="G91" i="27" s="1"/>
  <c r="H92" i="27" s="1"/>
  <c r="V25" i="8"/>
  <c r="O25" i="8"/>
  <c r="S45" i="9"/>
  <c r="Q45" i="9"/>
  <c r="G92" i="27" l="1"/>
  <c r="H93" i="27" s="1"/>
  <c r="P68" i="17"/>
  <c r="Q68" i="17" s="1"/>
  <c r="O69" i="17" s="1"/>
  <c r="C93" i="27"/>
  <c r="V26" i="4"/>
  <c r="O26" i="4"/>
  <c r="T25" i="8"/>
  <c r="P25" i="8"/>
  <c r="O46" i="9"/>
  <c r="V46" i="9"/>
  <c r="B93" i="27" l="1"/>
  <c r="G93" i="27" s="1"/>
  <c r="H94" i="27" s="1"/>
  <c r="P26" i="4"/>
  <c r="T26" i="4"/>
  <c r="P69" i="17"/>
  <c r="Q69" i="17" s="1"/>
  <c r="O70" i="17" s="1"/>
  <c r="C94" i="27"/>
  <c r="B94" i="27" s="1"/>
  <c r="S25" i="8"/>
  <c r="Q25" i="8"/>
  <c r="P46" i="9"/>
  <c r="T46" i="9"/>
  <c r="G94" i="27" l="1"/>
  <c r="H95" i="27" s="1"/>
  <c r="C95" i="27"/>
  <c r="B95" i="27" s="1"/>
  <c r="P70" i="17"/>
  <c r="Q70" i="17" s="1"/>
  <c r="O71" i="17" s="1"/>
  <c r="S26" i="4"/>
  <c r="Q26" i="4"/>
  <c r="O26" i="8"/>
  <c r="V26" i="8"/>
  <c r="S46" i="9"/>
  <c r="Q46" i="9"/>
  <c r="G95" i="27" l="1"/>
  <c r="H96" i="27" s="1"/>
  <c r="O27" i="4"/>
  <c r="V27" i="4"/>
  <c r="C96" i="27"/>
  <c r="P71" i="17"/>
  <c r="Q71" i="17" s="1"/>
  <c r="O72" i="17" s="1"/>
  <c r="T26" i="8"/>
  <c r="P26" i="8"/>
  <c r="V47" i="9"/>
  <c r="O47" i="9"/>
  <c r="B96" i="27" l="1"/>
  <c r="G96" i="27" s="1"/>
  <c r="H97" i="27" s="1"/>
  <c r="P72" i="17"/>
  <c r="Q72" i="17" s="1"/>
  <c r="O73" i="17" s="1"/>
  <c r="C97" i="27"/>
  <c r="B97" i="27" s="1"/>
  <c r="P27" i="4"/>
  <c r="T27" i="4"/>
  <c r="S26" i="8"/>
  <c r="Q26" i="8"/>
  <c r="T47" i="9"/>
  <c r="P47" i="9"/>
  <c r="G97" i="27" l="1"/>
  <c r="H98" i="27" s="1"/>
  <c r="S27" i="4"/>
  <c r="Q27" i="4"/>
  <c r="C98" i="27"/>
  <c r="B98" i="27" s="1"/>
  <c r="P73" i="17"/>
  <c r="Q73" i="17" s="1"/>
  <c r="O74" i="17" s="1"/>
  <c r="O27" i="8"/>
  <c r="V27" i="8"/>
  <c r="S47" i="9"/>
  <c r="Q47" i="9"/>
  <c r="G98" i="27" l="1"/>
  <c r="H99" i="27" s="1"/>
  <c r="P74" i="17"/>
  <c r="Q74" i="17" s="1"/>
  <c r="O75" i="17" s="1"/>
  <c r="C99" i="27"/>
  <c r="B99" i="27" s="1"/>
  <c r="V28" i="4"/>
  <c r="O28" i="4"/>
  <c r="P27" i="8"/>
  <c r="T27" i="8"/>
  <c r="O48" i="9"/>
  <c r="V48" i="9"/>
  <c r="G99" i="27" l="1"/>
  <c r="H100" i="27" s="1"/>
  <c r="T28" i="4"/>
  <c r="P28" i="4"/>
  <c r="P75" i="17"/>
  <c r="Q75" i="17" s="1"/>
  <c r="O76" i="17" s="1"/>
  <c r="C100" i="27"/>
  <c r="B100" i="27" s="1"/>
  <c r="S27" i="8"/>
  <c r="Q27" i="8"/>
  <c r="T48" i="9"/>
  <c r="P48" i="9"/>
  <c r="G100" i="27" l="1"/>
  <c r="H101" i="27" s="1"/>
  <c r="P76" i="17"/>
  <c r="Q76" i="17" s="1"/>
  <c r="O77" i="17" s="1"/>
  <c r="C101" i="27"/>
  <c r="B101" i="27" s="1"/>
  <c r="S28" i="4"/>
  <c r="Q28" i="4"/>
  <c r="V28" i="8"/>
  <c r="O28" i="8"/>
  <c r="S48" i="9"/>
  <c r="Q48" i="9"/>
  <c r="G101" i="27" l="1"/>
  <c r="H102" i="27" s="1"/>
  <c r="O29" i="4"/>
  <c r="V29" i="4"/>
  <c r="C102" i="27"/>
  <c r="B102" i="27" s="1"/>
  <c r="P77" i="17"/>
  <c r="Q77" i="17" s="1"/>
  <c r="O78" i="17" s="1"/>
  <c r="T28" i="8"/>
  <c r="P28" i="8"/>
  <c r="V49" i="9"/>
  <c r="O49" i="9"/>
  <c r="G102" i="27" l="1"/>
  <c r="H103" i="27" s="1"/>
  <c r="T29" i="4"/>
  <c r="P29" i="4"/>
  <c r="P78" i="17"/>
  <c r="Q78" i="17" s="1"/>
  <c r="O79" i="17" s="1"/>
  <c r="C103" i="27"/>
  <c r="B103" i="27" s="1"/>
  <c r="S28" i="8"/>
  <c r="Q28" i="8"/>
  <c r="T49" i="9"/>
  <c r="P49" i="9"/>
  <c r="G103" i="27" l="1"/>
  <c r="H104" i="27" s="1"/>
  <c r="S29" i="4"/>
  <c r="Q29" i="4"/>
  <c r="P79" i="17"/>
  <c r="Q79" i="17" s="1"/>
  <c r="O80" i="17" s="1"/>
  <c r="C104" i="27"/>
  <c r="B104" i="27" s="1"/>
  <c r="V29" i="8"/>
  <c r="O29" i="8"/>
  <c r="S49" i="9"/>
  <c r="Q49" i="9"/>
  <c r="G104" i="27" l="1"/>
  <c r="H105" i="27" s="1"/>
  <c r="C105" i="27"/>
  <c r="B105" i="27" s="1"/>
  <c r="P80" i="17"/>
  <c r="Q80" i="17" s="1"/>
  <c r="O81" i="17" s="1"/>
  <c r="O30" i="4"/>
  <c r="V30" i="4"/>
  <c r="P29" i="8"/>
  <c r="T29" i="8"/>
  <c r="V50" i="9"/>
  <c r="O50" i="9"/>
  <c r="G105" i="27" l="1"/>
  <c r="H106" i="27" s="1"/>
  <c r="T30" i="4"/>
  <c r="P30" i="4"/>
  <c r="C106" i="27"/>
  <c r="B106" i="27" s="1"/>
  <c r="P81" i="17"/>
  <c r="Q81" i="17" s="1"/>
  <c r="O82" i="17" s="1"/>
  <c r="S29" i="8"/>
  <c r="Q29" i="8"/>
  <c r="T50" i="9"/>
  <c r="P50" i="9"/>
  <c r="G106" i="27" l="1"/>
  <c r="S30" i="4"/>
  <c r="Q30" i="4"/>
  <c r="P82" i="17"/>
  <c r="Q82" i="17" s="1"/>
  <c r="O83" i="17" s="1"/>
  <c r="C107" i="27"/>
  <c r="B107" i="27" s="1"/>
  <c r="H107" i="27"/>
  <c r="V30" i="8"/>
  <c r="O30" i="8"/>
  <c r="S50" i="9"/>
  <c r="Q50" i="9"/>
  <c r="G107" i="27" l="1"/>
  <c r="O31" i="4"/>
  <c r="V31" i="4"/>
  <c r="H108" i="27"/>
  <c r="P83" i="17"/>
  <c r="Q83" i="17" s="1"/>
  <c r="O84" i="17" s="1"/>
  <c r="C108" i="27"/>
  <c r="B108" i="27" s="1"/>
  <c r="P30" i="8"/>
  <c r="T30" i="8"/>
  <c r="V51" i="9"/>
  <c r="O51" i="9"/>
  <c r="G108" i="27" l="1"/>
  <c r="H109" i="27"/>
  <c r="T31" i="4"/>
  <c r="P31" i="4"/>
  <c r="P84" i="17"/>
  <c r="Q84" i="17" s="1"/>
  <c r="O85" i="17" s="1"/>
  <c r="C109" i="27"/>
  <c r="B109" i="27" s="1"/>
  <c r="S30" i="8"/>
  <c r="Q30" i="8"/>
  <c r="P51" i="9"/>
  <c r="T51" i="9"/>
  <c r="G109" i="27" l="1"/>
  <c r="H110" i="27"/>
  <c r="P85" i="17"/>
  <c r="Q85" i="17" s="1"/>
  <c r="O86" i="17" s="1"/>
  <c r="C110" i="27"/>
  <c r="B110" i="27" s="1"/>
  <c r="S31" i="4"/>
  <c r="Q31" i="4"/>
  <c r="O31" i="8"/>
  <c r="V31" i="8"/>
  <c r="S51" i="9"/>
  <c r="Q51" i="9"/>
  <c r="G110" i="27" l="1"/>
  <c r="H111" i="27"/>
  <c r="V32" i="4"/>
  <c r="O32" i="4"/>
  <c r="C111" i="27"/>
  <c r="B111" i="27" s="1"/>
  <c r="P86" i="17"/>
  <c r="Q86" i="17" s="1"/>
  <c r="O87" i="17" s="1"/>
  <c r="T31" i="8"/>
  <c r="P31" i="8"/>
  <c r="V52" i="9"/>
  <c r="O52" i="9"/>
  <c r="G111" i="27" l="1"/>
  <c r="H112" i="27"/>
  <c r="P32" i="4"/>
  <c r="T32" i="4"/>
  <c r="C112" i="27"/>
  <c r="B112" i="27" s="1"/>
  <c r="P87" i="17"/>
  <c r="Q87" i="17" s="1"/>
  <c r="O88" i="17" s="1"/>
  <c r="S31" i="8"/>
  <c r="Q31" i="8"/>
  <c r="T52" i="9"/>
  <c r="P52" i="9"/>
  <c r="G112" i="27" l="1"/>
  <c r="H113" i="27"/>
  <c r="P88" i="17"/>
  <c r="Q88" i="17" s="1"/>
  <c r="O89" i="17" s="1"/>
  <c r="C113" i="27"/>
  <c r="B113" i="27" s="1"/>
  <c r="S32" i="4"/>
  <c r="Q32" i="4"/>
  <c r="V32" i="8"/>
  <c r="O32" i="8"/>
  <c r="S52" i="9"/>
  <c r="Q52" i="9"/>
  <c r="G113" i="27" l="1"/>
  <c r="H114" i="27"/>
  <c r="V33" i="4"/>
  <c r="O33" i="4"/>
  <c r="C114" i="27"/>
  <c r="B114" i="27" s="1"/>
  <c r="P89" i="17"/>
  <c r="Q89" i="17" s="1"/>
  <c r="O90" i="17" s="1"/>
  <c r="T32" i="8"/>
  <c r="P32" i="8"/>
  <c r="V53" i="9"/>
  <c r="O53" i="9"/>
  <c r="G114" i="27" l="1"/>
  <c r="H115" i="27"/>
  <c r="P90" i="17"/>
  <c r="Q90" i="17" s="1"/>
  <c r="O91" i="17" s="1"/>
  <c r="C115" i="27"/>
  <c r="B115" i="27" s="1"/>
  <c r="P33" i="4"/>
  <c r="T33" i="4"/>
  <c r="S32" i="8"/>
  <c r="Q32" i="8"/>
  <c r="P53" i="9"/>
  <c r="T53" i="9"/>
  <c r="G115" i="27" l="1"/>
  <c r="H116" i="27"/>
  <c r="S33" i="4"/>
  <c r="Q33" i="4"/>
  <c r="P91" i="17"/>
  <c r="Q91" i="17" s="1"/>
  <c r="O92" i="17" s="1"/>
  <c r="C116" i="27"/>
  <c r="B116" i="27" s="1"/>
  <c r="O33" i="8"/>
  <c r="V33" i="8"/>
  <c r="S53" i="9"/>
  <c r="Q53" i="9"/>
  <c r="G116" i="27" l="1"/>
  <c r="H117" i="27"/>
  <c r="O34" i="4"/>
  <c r="V34" i="4"/>
  <c r="P92" i="17"/>
  <c r="Q92" i="17" s="1"/>
  <c r="O93" i="17" s="1"/>
  <c r="C117" i="27"/>
  <c r="B117" i="27" s="1"/>
  <c r="P33" i="8"/>
  <c r="T33" i="8"/>
  <c r="O54" i="9"/>
  <c r="V54" i="9"/>
  <c r="G117" i="27" l="1"/>
  <c r="H118" i="27"/>
  <c r="P93" i="17"/>
  <c r="Q93" i="17" s="1"/>
  <c r="O94" i="17" s="1"/>
  <c r="C118" i="27"/>
  <c r="B118" i="27" s="1"/>
  <c r="T34" i="4"/>
  <c r="P34" i="4"/>
  <c r="S33" i="8"/>
  <c r="Q33" i="8"/>
  <c r="T54" i="9"/>
  <c r="P54" i="9"/>
  <c r="G118" i="27" l="1"/>
  <c r="H119" i="27"/>
  <c r="S34" i="4"/>
  <c r="Q34" i="4"/>
  <c r="C119" i="27"/>
  <c r="B119" i="27" s="1"/>
  <c r="P94" i="17"/>
  <c r="Q94" i="17" s="1"/>
  <c r="O95" i="17" s="1"/>
  <c r="O34" i="8"/>
  <c r="V34" i="8"/>
  <c r="S54" i="9"/>
  <c r="Q54" i="9"/>
  <c r="G119" i="27" l="1"/>
  <c r="H120" i="27"/>
  <c r="V35" i="4"/>
  <c r="O35" i="4"/>
  <c r="P95" i="17"/>
  <c r="Q95" i="17" s="1"/>
  <c r="O96" i="17" s="1"/>
  <c r="C120" i="27"/>
  <c r="B120" i="27" s="1"/>
  <c r="T34" i="8"/>
  <c r="P34" i="8"/>
  <c r="O55" i="9"/>
  <c r="V55" i="9"/>
  <c r="G120" i="27" l="1"/>
  <c r="H121" i="27"/>
  <c r="P96" i="17"/>
  <c r="Q96" i="17" s="1"/>
  <c r="O97" i="17" s="1"/>
  <c r="C121" i="27"/>
  <c r="B121" i="27" s="1"/>
  <c r="P35" i="4"/>
  <c r="T35" i="4"/>
  <c r="S34" i="8"/>
  <c r="Q34" i="8"/>
  <c r="P55" i="9"/>
  <c r="T55" i="9"/>
  <c r="G121" i="27" l="1"/>
  <c r="H122" i="27"/>
  <c r="C122" i="27"/>
  <c r="B122" i="27" s="1"/>
  <c r="P97" i="17"/>
  <c r="Q97" i="17" s="1"/>
  <c r="O98" i="17" s="1"/>
  <c r="S35" i="4"/>
  <c r="Q35" i="4"/>
  <c r="O35" i="8"/>
  <c r="V35" i="8"/>
  <c r="S55" i="9"/>
  <c r="Q55" i="9"/>
  <c r="G122" i="27" l="1"/>
  <c r="H123" i="27" s="1"/>
  <c r="O36" i="4"/>
  <c r="V36" i="4"/>
  <c r="P98" i="17"/>
  <c r="Q98" i="17" s="1"/>
  <c r="O99" i="17" s="1"/>
  <c r="C123" i="27"/>
  <c r="B123" i="27" s="1"/>
  <c r="P35" i="8"/>
  <c r="T35" i="8"/>
  <c r="V56" i="9"/>
  <c r="O56" i="9"/>
  <c r="G123" i="27" l="1"/>
  <c r="H124" i="27"/>
  <c r="P99" i="17"/>
  <c r="Q99" i="17" s="1"/>
  <c r="O100" i="17" s="1"/>
  <c r="C124" i="27"/>
  <c r="B124" i="27" s="1"/>
  <c r="P36" i="4"/>
  <c r="T36" i="4"/>
  <c r="S35" i="8"/>
  <c r="Q35" i="8"/>
  <c r="T56" i="9"/>
  <c r="P56" i="9"/>
  <c r="G124" i="27" l="1"/>
  <c r="H125" i="27"/>
  <c r="S36" i="4"/>
  <c r="Q36" i="4"/>
  <c r="P100" i="17"/>
  <c r="Q100" i="17" s="1"/>
  <c r="O101" i="17" s="1"/>
  <c r="C125" i="27"/>
  <c r="B125" i="27" s="1"/>
  <c r="G125" i="27" s="1"/>
  <c r="V36" i="8"/>
  <c r="O36" i="8"/>
  <c r="S56" i="9"/>
  <c r="Q56" i="9"/>
  <c r="H126" i="27" l="1"/>
  <c r="C126" i="27"/>
  <c r="B126" i="27" s="1"/>
  <c r="G126" i="27" s="1"/>
  <c r="H127" i="27" s="1"/>
  <c r="P101" i="17"/>
  <c r="Q101" i="17" s="1"/>
  <c r="O102" i="17" s="1"/>
  <c r="V37" i="4"/>
  <c r="O37" i="4"/>
  <c r="T36" i="8"/>
  <c r="P36" i="8"/>
  <c r="V57" i="9"/>
  <c r="O57" i="9"/>
  <c r="P37" i="4" l="1"/>
  <c r="T37" i="4"/>
  <c r="C127" i="27"/>
  <c r="B127" i="27" s="1"/>
  <c r="G127" i="27" s="1"/>
  <c r="H128" i="27" s="1"/>
  <c r="P102" i="17"/>
  <c r="Q102" i="17" s="1"/>
  <c r="O103" i="17" s="1"/>
  <c r="S36" i="8"/>
  <c r="Q36" i="8"/>
  <c r="P57" i="9"/>
  <c r="T57" i="9"/>
  <c r="P103" i="17" l="1"/>
  <c r="Q103" i="17" s="1"/>
  <c r="O104" i="17" s="1"/>
  <c r="C128" i="27"/>
  <c r="B128" i="27" s="1"/>
  <c r="G128" i="27" s="1"/>
  <c r="H129" i="27" s="1"/>
  <c r="S37" i="4"/>
  <c r="Q37" i="4"/>
  <c r="V37" i="8"/>
  <c r="O37" i="8"/>
  <c r="S57" i="9"/>
  <c r="Q57" i="9"/>
  <c r="O38" i="4" l="1"/>
  <c r="V38" i="4"/>
  <c r="P104" i="17"/>
  <c r="Q104" i="17" s="1"/>
  <c r="O105" i="17" s="1"/>
  <c r="C129" i="27"/>
  <c r="B129" i="27" s="1"/>
  <c r="G129" i="27" s="1"/>
  <c r="H130" i="27" s="1"/>
  <c r="P37" i="8"/>
  <c r="T37" i="8"/>
  <c r="O58" i="9"/>
  <c r="V58" i="9"/>
  <c r="P105" i="17" l="1"/>
  <c r="Q105" i="17" s="1"/>
  <c r="O106" i="17" s="1"/>
  <c r="C130" i="27"/>
  <c r="B130" i="27" s="1"/>
  <c r="G130" i="27" s="1"/>
  <c r="H131" i="27" s="1"/>
  <c r="T38" i="4"/>
  <c r="P38" i="4"/>
  <c r="S37" i="8"/>
  <c r="Q37" i="8"/>
  <c r="T58" i="9"/>
  <c r="P58" i="9"/>
  <c r="S38" i="4" l="1"/>
  <c r="Q38" i="4"/>
  <c r="P106" i="17"/>
  <c r="Q106" i="17" s="1"/>
  <c r="O107" i="17" s="1"/>
  <c r="C131" i="27"/>
  <c r="B131" i="27" s="1"/>
  <c r="G131" i="27" s="1"/>
  <c r="H132" i="27" s="1"/>
  <c r="V38" i="8"/>
  <c r="O38" i="8"/>
  <c r="S58" i="9"/>
  <c r="Q58" i="9"/>
  <c r="O39" i="4" l="1"/>
  <c r="V39" i="4"/>
  <c r="P107" i="17"/>
  <c r="Q107" i="17" s="1"/>
  <c r="O108" i="17" s="1"/>
  <c r="C132" i="27"/>
  <c r="B132" i="27" s="1"/>
  <c r="G132" i="27" s="1"/>
  <c r="H133" i="27" s="1"/>
  <c r="T38" i="8"/>
  <c r="P38" i="8"/>
  <c r="V59" i="9"/>
  <c r="O59" i="9"/>
  <c r="P108" i="17" l="1"/>
  <c r="Q108" i="17" s="1"/>
  <c r="O109" i="17" s="1"/>
  <c r="C133" i="27"/>
  <c r="B133" i="27" s="1"/>
  <c r="G133" i="27" s="1"/>
  <c r="H134" i="27" s="1"/>
  <c r="P39" i="4"/>
  <c r="T39" i="4"/>
  <c r="S38" i="8"/>
  <c r="Q38" i="8"/>
  <c r="P59" i="9"/>
  <c r="T59" i="9"/>
  <c r="S39" i="4" l="1"/>
  <c r="Q39" i="4"/>
  <c r="P109" i="17"/>
  <c r="Q109" i="17" s="1"/>
  <c r="O110" i="17" s="1"/>
  <c r="C134" i="27"/>
  <c r="B134" i="27" s="1"/>
  <c r="G134" i="27" s="1"/>
  <c r="H135" i="27" s="1"/>
  <c r="V39" i="8"/>
  <c r="O39" i="8"/>
  <c r="S59" i="9"/>
  <c r="Q59" i="9"/>
  <c r="V40" i="4" l="1"/>
  <c r="O40" i="4"/>
  <c r="P110" i="17"/>
  <c r="Q110" i="17" s="1"/>
  <c r="O111" i="17" s="1"/>
  <c r="C135" i="27"/>
  <c r="B135" i="27" s="1"/>
  <c r="G135" i="27" s="1"/>
  <c r="H136" i="27" s="1"/>
  <c r="T39" i="8"/>
  <c r="P39" i="8"/>
  <c r="O60" i="9"/>
  <c r="V60" i="9"/>
  <c r="P111" i="17" l="1"/>
  <c r="Q111" i="17" s="1"/>
  <c r="O112" i="17" s="1"/>
  <c r="C136" i="27"/>
  <c r="B136" i="27" s="1"/>
  <c r="G136" i="27" s="1"/>
  <c r="H137" i="27" s="1"/>
  <c r="P40" i="4"/>
  <c r="T40" i="4"/>
  <c r="S39" i="8"/>
  <c r="Q39" i="8"/>
  <c r="T60" i="9"/>
  <c r="P60" i="9"/>
  <c r="S40" i="4" l="1"/>
  <c r="Q40" i="4"/>
  <c r="P112" i="17"/>
  <c r="Q112" i="17" s="1"/>
  <c r="O113" i="17" s="1"/>
  <c r="C137" i="27"/>
  <c r="B137" i="27" s="1"/>
  <c r="G137" i="27" s="1"/>
  <c r="H138" i="27" s="1"/>
  <c r="O40" i="8"/>
  <c r="V40" i="8"/>
  <c r="S60" i="9"/>
  <c r="Q60" i="9"/>
  <c r="P113" i="17" l="1"/>
  <c r="Q113" i="17" s="1"/>
  <c r="O114" i="17" s="1"/>
  <c r="C138" i="27"/>
  <c r="B138" i="27" s="1"/>
  <c r="G138" i="27" s="1"/>
  <c r="H139" i="27" s="1"/>
  <c r="O41" i="4"/>
  <c r="V41" i="4"/>
  <c r="T40" i="8"/>
  <c r="P40" i="8"/>
  <c r="O61" i="9"/>
  <c r="V61" i="9"/>
  <c r="P41" i="4" l="1"/>
  <c r="T41" i="4"/>
  <c r="P114" i="17"/>
  <c r="Q114" i="17" s="1"/>
  <c r="O115" i="17" s="1"/>
  <c r="C139" i="27"/>
  <c r="B139" i="27" s="1"/>
  <c r="G139" i="27" s="1"/>
  <c r="H140" i="27" s="1"/>
  <c r="S40" i="8"/>
  <c r="Q40" i="8"/>
  <c r="P61" i="9"/>
  <c r="T61" i="9"/>
  <c r="P115" i="17" l="1"/>
  <c r="Q115" i="17" s="1"/>
  <c r="O116" i="17" s="1"/>
  <c r="C140" i="27"/>
  <c r="B140" i="27" s="1"/>
  <c r="G140" i="27" s="1"/>
  <c r="H141" i="27" s="1"/>
  <c r="S41" i="4"/>
  <c r="Q41" i="4"/>
  <c r="V41" i="8"/>
  <c r="O41" i="8"/>
  <c r="S61" i="9"/>
  <c r="Q61" i="9"/>
  <c r="P116" i="17" l="1"/>
  <c r="Q116" i="17" s="1"/>
  <c r="O117" i="17" s="1"/>
  <c r="C141" i="27"/>
  <c r="B141" i="27" s="1"/>
  <c r="G141" i="27" s="1"/>
  <c r="H142" i="27" s="1"/>
  <c r="O42" i="4"/>
  <c r="V42" i="4"/>
  <c r="T41" i="8"/>
  <c r="P41" i="8"/>
  <c r="O62" i="9"/>
  <c r="V62" i="9"/>
  <c r="P42" i="4" l="1"/>
  <c r="T42" i="4"/>
  <c r="P117" i="17"/>
  <c r="Q117" i="17" s="1"/>
  <c r="O118" i="17" s="1"/>
  <c r="C142" i="27"/>
  <c r="B142" i="27" s="1"/>
  <c r="G142" i="27" s="1"/>
  <c r="H143" i="27" s="1"/>
  <c r="S41" i="8"/>
  <c r="Q41" i="8"/>
  <c r="T62" i="9"/>
  <c r="P62" i="9"/>
  <c r="P118" i="17" l="1"/>
  <c r="Q118" i="17" s="1"/>
  <c r="O119" i="17" s="1"/>
  <c r="C143" i="27"/>
  <c r="B143" i="27" s="1"/>
  <c r="G143" i="27" s="1"/>
  <c r="H144" i="27" s="1"/>
  <c r="S42" i="4"/>
  <c r="Q42" i="4"/>
  <c r="O42" i="8"/>
  <c r="V42" i="8"/>
  <c r="S62" i="9"/>
  <c r="Q62" i="9"/>
  <c r="O43" i="4" l="1"/>
  <c r="V43" i="4"/>
  <c r="P119" i="17"/>
  <c r="Q119" i="17" s="1"/>
  <c r="O120" i="17" s="1"/>
  <c r="C144" i="27"/>
  <c r="B144" i="27" s="1"/>
  <c r="G144" i="27" s="1"/>
  <c r="H145" i="27" s="1"/>
  <c r="T42" i="8"/>
  <c r="P42" i="8"/>
  <c r="O63" i="9"/>
  <c r="V63" i="9"/>
  <c r="P120" i="17" l="1"/>
  <c r="Q120" i="17" s="1"/>
  <c r="O121" i="17" s="1"/>
  <c r="C145" i="27"/>
  <c r="B145" i="27" s="1"/>
  <c r="G145" i="27" s="1"/>
  <c r="H146" i="27" s="1"/>
  <c r="T43" i="4"/>
  <c r="P43" i="4"/>
  <c r="S42" i="8"/>
  <c r="Q42" i="8"/>
  <c r="T63" i="9"/>
  <c r="P63" i="9"/>
  <c r="S43" i="4" l="1"/>
  <c r="Q43" i="4"/>
  <c r="P121" i="17"/>
  <c r="Q121" i="17" s="1"/>
  <c r="O122" i="17" s="1"/>
  <c r="C146" i="27"/>
  <c r="B146" i="27" s="1"/>
  <c r="G146" i="27" s="1"/>
  <c r="H147" i="27" s="1"/>
  <c r="H24" i="27" s="1"/>
  <c r="V43" i="8"/>
  <c r="O43" i="8"/>
  <c r="S63" i="9"/>
  <c r="Q63" i="9"/>
  <c r="V44" i="4" l="1"/>
  <c r="O44" i="4"/>
  <c r="C147" i="27"/>
  <c r="B147" i="27" s="1"/>
  <c r="G147" i="27" s="1"/>
  <c r="P122" i="17"/>
  <c r="Q122" i="17" s="1"/>
  <c r="O123" i="17" s="1"/>
  <c r="P43" i="8"/>
  <c r="T43" i="8"/>
  <c r="O64" i="9"/>
  <c r="V64" i="9"/>
  <c r="P123" i="17" l="1"/>
  <c r="Q123" i="17" s="1"/>
  <c r="O124" i="17" s="1"/>
  <c r="C148" i="27"/>
  <c r="B148" i="27" s="1"/>
  <c r="G148" i="27" s="1"/>
  <c r="T44" i="4"/>
  <c r="P44" i="4"/>
  <c r="S43" i="8"/>
  <c r="Q43" i="8"/>
  <c r="P64" i="9"/>
  <c r="T64" i="9"/>
  <c r="S44" i="4" l="1"/>
  <c r="Q44" i="4"/>
  <c r="P124" i="17"/>
  <c r="Q124" i="17" s="1"/>
  <c r="O125" i="17" s="1"/>
  <c r="C149" i="27"/>
  <c r="B149" i="27" s="1"/>
  <c r="G149" i="27" s="1"/>
  <c r="V44" i="8"/>
  <c r="O44" i="8"/>
  <c r="S64" i="9"/>
  <c r="Q64" i="9"/>
  <c r="P125" i="17" l="1"/>
  <c r="Q125" i="17" s="1"/>
  <c r="O126" i="17" s="1"/>
  <c r="C150" i="27"/>
  <c r="B150" i="27" s="1"/>
  <c r="G150" i="27" s="1"/>
  <c r="V45" i="4"/>
  <c r="O45" i="4"/>
  <c r="T44" i="8"/>
  <c r="P44" i="8"/>
  <c r="V65" i="9"/>
  <c r="O65" i="9"/>
  <c r="T45" i="4" l="1"/>
  <c r="P45" i="4"/>
  <c r="P126" i="17"/>
  <c r="Q126" i="17" s="1"/>
  <c r="O127" i="17" s="1"/>
  <c r="C151" i="27"/>
  <c r="B151" i="27" s="1"/>
  <c r="G151" i="27" s="1"/>
  <c r="S44" i="8"/>
  <c r="Q44" i="8"/>
  <c r="T65" i="9"/>
  <c r="P65" i="9"/>
  <c r="P127" i="17" l="1"/>
  <c r="Q127" i="17" s="1"/>
  <c r="O128" i="17" s="1"/>
  <c r="C152" i="27"/>
  <c r="B152" i="27" s="1"/>
  <c r="G152" i="27" s="1"/>
  <c r="S45" i="4"/>
  <c r="Q45" i="4"/>
  <c r="V45" i="8"/>
  <c r="O45" i="8"/>
  <c r="S65" i="9"/>
  <c r="Q65" i="9"/>
  <c r="O46" i="4" l="1"/>
  <c r="V46" i="4"/>
  <c r="P128" i="17"/>
  <c r="Q128" i="17" s="1"/>
  <c r="O129" i="17" s="1"/>
  <c r="C153" i="27"/>
  <c r="B153" i="27" s="1"/>
  <c r="G153" i="27" s="1"/>
  <c r="P45" i="8"/>
  <c r="T45" i="8"/>
  <c r="O66" i="9"/>
  <c r="V66" i="9"/>
  <c r="P129" i="17" l="1"/>
  <c r="Q129" i="17" s="1"/>
  <c r="O130" i="17" s="1"/>
  <c r="C154" i="27"/>
  <c r="B154" i="27" s="1"/>
  <c r="G154" i="27" s="1"/>
  <c r="T46" i="4"/>
  <c r="P46" i="4"/>
  <c r="S45" i="8"/>
  <c r="Q45" i="8"/>
  <c r="P66" i="9"/>
  <c r="T66" i="9"/>
  <c r="S46" i="4" l="1"/>
  <c r="Q46" i="4"/>
  <c r="P130" i="17"/>
  <c r="Q130" i="17" s="1"/>
  <c r="O131" i="17" s="1"/>
  <c r="C155" i="27"/>
  <c r="B155" i="27" s="1"/>
  <c r="G155" i="27" s="1"/>
  <c r="O46" i="8"/>
  <c r="V46" i="8"/>
  <c r="S66" i="9"/>
  <c r="Q66" i="9"/>
  <c r="O47" i="4" l="1"/>
  <c r="V47" i="4"/>
  <c r="P131" i="17"/>
  <c r="Q131" i="17" s="1"/>
  <c r="O132" i="17" s="1"/>
  <c r="C156" i="27"/>
  <c r="B156" i="27" s="1"/>
  <c r="G156" i="27" s="1"/>
  <c r="P46" i="8"/>
  <c r="T46" i="8"/>
  <c r="V67" i="9"/>
  <c r="O67" i="9"/>
  <c r="P132" i="17" l="1"/>
  <c r="Q132" i="17" s="1"/>
  <c r="O133" i="17" s="1"/>
  <c r="C157" i="27"/>
  <c r="B157" i="27" s="1"/>
  <c r="G157" i="27" s="1"/>
  <c r="P47" i="4"/>
  <c r="T47" i="4"/>
  <c r="S46" i="8"/>
  <c r="Q46" i="8"/>
  <c r="P67" i="9"/>
  <c r="T67" i="9"/>
  <c r="P133" i="17" l="1"/>
  <c r="Q133" i="17" s="1"/>
  <c r="O134" i="17" s="1"/>
  <c r="C158" i="27"/>
  <c r="B158" i="27" s="1"/>
  <c r="G158" i="27" s="1"/>
  <c r="S47" i="4"/>
  <c r="Q47" i="4"/>
  <c r="V47" i="8"/>
  <c r="O47" i="8"/>
  <c r="S67" i="9"/>
  <c r="Q67" i="9"/>
  <c r="V48" i="4" l="1"/>
  <c r="O48" i="4"/>
  <c r="P134" i="17"/>
  <c r="Q134" i="17" s="1"/>
  <c r="O135" i="17" s="1"/>
  <c r="C159" i="27"/>
  <c r="B159" i="27" s="1"/>
  <c r="G159" i="27" s="1"/>
  <c r="T47" i="8"/>
  <c r="P47" i="8"/>
  <c r="O68" i="9"/>
  <c r="V68" i="9"/>
  <c r="P135" i="17" l="1"/>
  <c r="Q135" i="17" s="1"/>
  <c r="O136" i="17" s="1"/>
  <c r="C160" i="27"/>
  <c r="B160" i="27" s="1"/>
  <c r="G160" i="27" s="1"/>
  <c r="T48" i="4"/>
  <c r="P48" i="4"/>
  <c r="S47" i="8"/>
  <c r="Q47" i="8"/>
  <c r="P68" i="9"/>
  <c r="T68" i="9"/>
  <c r="S48" i="4" l="1"/>
  <c r="Q48" i="4"/>
  <c r="P136" i="17"/>
  <c r="Q136" i="17" s="1"/>
  <c r="O137" i="17" s="1"/>
  <c r="C161" i="27"/>
  <c r="B161" i="27" s="1"/>
  <c r="G161" i="27" s="1"/>
  <c r="O48" i="8"/>
  <c r="V48" i="8"/>
  <c r="S68" i="9"/>
  <c r="Q68" i="9"/>
  <c r="O49" i="4" l="1"/>
  <c r="V49" i="4"/>
  <c r="P137" i="17"/>
  <c r="Q137" i="17" s="1"/>
  <c r="O138" i="17" s="1"/>
  <c r="C162" i="27"/>
  <c r="B162" i="27" s="1"/>
  <c r="G162" i="27" s="1"/>
  <c r="T48" i="8"/>
  <c r="P48" i="8"/>
  <c r="V69" i="9"/>
  <c r="O69" i="9"/>
  <c r="P138" i="17" l="1"/>
  <c r="Q138" i="17" s="1"/>
  <c r="O139" i="17" s="1"/>
  <c r="C163" i="27"/>
  <c r="B163" i="27" s="1"/>
  <c r="G163" i="27" s="1"/>
  <c r="T49" i="4"/>
  <c r="P49" i="4"/>
  <c r="S48" i="8"/>
  <c r="Q48" i="8"/>
  <c r="P69" i="9"/>
  <c r="T69" i="9"/>
  <c r="S49" i="4" l="1"/>
  <c r="Q49" i="4"/>
  <c r="P139" i="17"/>
  <c r="Q139" i="17" s="1"/>
  <c r="O140" i="17" s="1"/>
  <c r="C164" i="27"/>
  <c r="B164" i="27" s="1"/>
  <c r="G164" i="27" s="1"/>
  <c r="V49" i="8"/>
  <c r="O49" i="8"/>
  <c r="S69" i="9"/>
  <c r="Q69" i="9"/>
  <c r="P140" i="17" l="1"/>
  <c r="Q140" i="17" s="1"/>
  <c r="O141" i="17" s="1"/>
  <c r="C165" i="27"/>
  <c r="B165" i="27" s="1"/>
  <c r="G165" i="27" s="1"/>
  <c r="O50" i="4"/>
  <c r="V50" i="4"/>
  <c r="T49" i="8"/>
  <c r="P49" i="8"/>
  <c r="O70" i="9"/>
  <c r="V70" i="9"/>
  <c r="P141" i="17" l="1"/>
  <c r="Q141" i="17" s="1"/>
  <c r="O142" i="17" s="1"/>
  <c r="C166" i="27"/>
  <c r="B166" i="27" s="1"/>
  <c r="G166" i="27" s="1"/>
  <c r="T50" i="4"/>
  <c r="P50" i="4"/>
  <c r="S49" i="8"/>
  <c r="Q49" i="8"/>
  <c r="P70" i="9"/>
  <c r="T70" i="9"/>
  <c r="S50" i="4" l="1"/>
  <c r="Q50" i="4"/>
  <c r="P142" i="17"/>
  <c r="Q142" i="17" s="1"/>
  <c r="O143" i="17" s="1"/>
  <c r="C167" i="27"/>
  <c r="B167" i="27" s="1"/>
  <c r="G167" i="27" s="1"/>
  <c r="O50" i="8"/>
  <c r="V50" i="8"/>
  <c r="S70" i="9"/>
  <c r="Q70" i="9"/>
  <c r="P143" i="17" l="1"/>
  <c r="Q143" i="17" s="1"/>
  <c r="O144" i="17" s="1"/>
  <c r="C168" i="27"/>
  <c r="B168" i="27" s="1"/>
  <c r="G168" i="27" s="1"/>
  <c r="V51" i="4"/>
  <c r="O51" i="4"/>
  <c r="P50" i="8"/>
  <c r="T50" i="8"/>
  <c r="O71" i="9"/>
  <c r="V71" i="9"/>
  <c r="P51" i="4" l="1"/>
  <c r="T51" i="4"/>
  <c r="P144" i="17"/>
  <c r="Q144" i="17" s="1"/>
  <c r="O145" i="17" s="1"/>
  <c r="C169" i="27"/>
  <c r="B169" i="27" s="1"/>
  <c r="G169" i="27" s="1"/>
  <c r="S50" i="8"/>
  <c r="Q50" i="8"/>
  <c r="T71" i="9"/>
  <c r="P71" i="9"/>
  <c r="P145" i="17" l="1"/>
  <c r="Q145" i="17" s="1"/>
  <c r="O146" i="17" s="1"/>
  <c r="C170" i="27"/>
  <c r="B170" i="27" s="1"/>
  <c r="G170" i="27" s="1"/>
  <c r="S51" i="4"/>
  <c r="Q51" i="4"/>
  <c r="O51" i="8"/>
  <c r="V51" i="8"/>
  <c r="S71" i="9"/>
  <c r="Q71" i="9"/>
  <c r="V52" i="4" l="1"/>
  <c r="O52" i="4"/>
  <c r="P146" i="17"/>
  <c r="Q146" i="17" s="1"/>
  <c r="O147" i="17" s="1"/>
  <c r="C171" i="27"/>
  <c r="B171" i="27" s="1"/>
  <c r="G171" i="27" s="1"/>
  <c r="P51" i="8"/>
  <c r="T51" i="8"/>
  <c r="O72" i="9"/>
  <c r="V72" i="9"/>
  <c r="T52" i="4" l="1"/>
  <c r="P52" i="4"/>
  <c r="P147" i="17"/>
  <c r="Q147" i="17" s="1"/>
  <c r="O148" i="17" s="1"/>
  <c r="C172" i="27"/>
  <c r="B172" i="27" s="1"/>
  <c r="G172" i="27" s="1"/>
  <c r="S51" i="8"/>
  <c r="Q51" i="8"/>
  <c r="P72" i="9"/>
  <c r="T72" i="9"/>
  <c r="P148" i="17" l="1"/>
  <c r="Q148" i="17" s="1"/>
  <c r="O149" i="17" s="1"/>
  <c r="C173" i="27"/>
  <c r="B173" i="27" s="1"/>
  <c r="G173" i="27" s="1"/>
  <c r="S52" i="4"/>
  <c r="Q52" i="4"/>
  <c r="O52" i="8"/>
  <c r="V52" i="8"/>
  <c r="S72" i="9"/>
  <c r="Q72" i="9"/>
  <c r="V53" i="4" l="1"/>
  <c r="O53" i="4"/>
  <c r="P149" i="17"/>
  <c r="Q149" i="17" s="1"/>
  <c r="O150" i="17" s="1"/>
  <c r="C174" i="27"/>
  <c r="B174" i="27" s="1"/>
  <c r="G174" i="27" s="1"/>
  <c r="P52" i="8"/>
  <c r="T52" i="8"/>
  <c r="O73" i="9"/>
  <c r="V73" i="9"/>
  <c r="P150" i="17" l="1"/>
  <c r="Q150" i="17" s="1"/>
  <c r="O151" i="17" s="1"/>
  <c r="C175" i="27"/>
  <c r="B175" i="27" s="1"/>
  <c r="G175" i="27" s="1"/>
  <c r="T53" i="4"/>
  <c r="P53" i="4"/>
  <c r="S52" i="8"/>
  <c r="Q52" i="8"/>
  <c r="P73" i="9"/>
  <c r="T73" i="9"/>
  <c r="S53" i="4" l="1"/>
  <c r="Q53" i="4"/>
  <c r="P151" i="17"/>
  <c r="Q151" i="17" s="1"/>
  <c r="O152" i="17" s="1"/>
  <c r="C176" i="27"/>
  <c r="B176" i="27" s="1"/>
  <c r="G176" i="27" s="1"/>
  <c r="O53" i="8"/>
  <c r="V53" i="8"/>
  <c r="S73" i="9"/>
  <c r="Q73" i="9"/>
  <c r="P152" i="17" l="1"/>
  <c r="Q152" i="17" s="1"/>
  <c r="O153" i="17" s="1"/>
  <c r="C177" i="27"/>
  <c r="B177" i="27" s="1"/>
  <c r="G177" i="27" s="1"/>
  <c r="V54" i="4"/>
  <c r="O54" i="4"/>
  <c r="P53" i="8"/>
  <c r="T53" i="8"/>
  <c r="V74" i="9"/>
  <c r="O74" i="9"/>
  <c r="P153" i="17" l="1"/>
  <c r="Q153" i="17" s="1"/>
  <c r="O154" i="17" s="1"/>
  <c r="C178" i="27"/>
  <c r="B178" i="27" s="1"/>
  <c r="G178" i="27" s="1"/>
  <c r="P54" i="4"/>
  <c r="T54" i="4"/>
  <c r="S53" i="8"/>
  <c r="Q53" i="8"/>
  <c r="T74" i="9"/>
  <c r="P74" i="9"/>
  <c r="S54" i="4" l="1"/>
  <c r="Q54" i="4"/>
  <c r="P154" i="17"/>
  <c r="Q154" i="17" s="1"/>
  <c r="O155" i="17" s="1"/>
  <c r="C179" i="27"/>
  <c r="B179" i="27" s="1"/>
  <c r="G179" i="27" s="1"/>
  <c r="V54" i="8"/>
  <c r="O54" i="8"/>
  <c r="S74" i="9"/>
  <c r="Q74" i="9"/>
  <c r="P155" i="17" l="1"/>
  <c r="Q155" i="17" s="1"/>
  <c r="O156" i="17" s="1"/>
  <c r="C180" i="27"/>
  <c r="B180" i="27" s="1"/>
  <c r="G180" i="27" s="1"/>
  <c r="V55" i="4"/>
  <c r="O55" i="4"/>
  <c r="T54" i="8"/>
  <c r="P54" i="8"/>
  <c r="O75" i="9"/>
  <c r="V75" i="9"/>
  <c r="T55" i="4" l="1"/>
  <c r="P55" i="4"/>
  <c r="P156" i="17"/>
  <c r="Q156" i="17" s="1"/>
  <c r="O157" i="17" s="1"/>
  <c r="C181" i="27"/>
  <c r="B181" i="27" s="1"/>
  <c r="G181" i="27" s="1"/>
  <c r="S54" i="8"/>
  <c r="Q54" i="8"/>
  <c r="T75" i="9"/>
  <c r="P75" i="9"/>
  <c r="P157" i="17" l="1"/>
  <c r="Q157" i="17" s="1"/>
  <c r="O158" i="17" s="1"/>
  <c r="C182" i="27"/>
  <c r="B182" i="27" s="1"/>
  <c r="G182" i="27" s="1"/>
  <c r="S55" i="4"/>
  <c r="Q55" i="4"/>
  <c r="V55" i="8"/>
  <c r="O55" i="8"/>
  <c r="S75" i="9"/>
  <c r="Q75" i="9"/>
  <c r="P158" i="17" l="1"/>
  <c r="Q158" i="17" s="1"/>
  <c r="O159" i="17" s="1"/>
  <c r="C183" i="27"/>
  <c r="B183" i="27" s="1"/>
  <c r="G183" i="27" s="1"/>
  <c r="O56" i="4"/>
  <c r="V56" i="4"/>
  <c r="P55" i="8"/>
  <c r="T55" i="8"/>
  <c r="V76" i="9"/>
  <c r="O76" i="9"/>
  <c r="P159" i="17" l="1"/>
  <c r="Q159" i="17" s="1"/>
  <c r="O160" i="17" s="1"/>
  <c r="C184" i="27"/>
  <c r="B184" i="27" s="1"/>
  <c r="G184" i="27" s="1"/>
  <c r="T56" i="4"/>
  <c r="P56" i="4"/>
  <c r="S55" i="8"/>
  <c r="Q55" i="8"/>
  <c r="P76" i="9"/>
  <c r="T76" i="9"/>
  <c r="S56" i="4" l="1"/>
  <c r="Q56" i="4"/>
  <c r="P160" i="17"/>
  <c r="Q160" i="17" s="1"/>
  <c r="O161" i="17" s="1"/>
  <c r="C185" i="27"/>
  <c r="B185" i="27" s="1"/>
  <c r="G185" i="27" s="1"/>
  <c r="V56" i="8"/>
  <c r="O56" i="8"/>
  <c r="S76" i="9"/>
  <c r="Q76" i="9"/>
  <c r="V57" i="4" l="1"/>
  <c r="O57" i="4"/>
  <c r="P161" i="17"/>
  <c r="Q161" i="17" s="1"/>
  <c r="O162" i="17" s="1"/>
  <c r="C186" i="27"/>
  <c r="B186" i="27" s="1"/>
  <c r="G186" i="27" s="1"/>
  <c r="P56" i="8"/>
  <c r="T56" i="8"/>
  <c r="O77" i="9"/>
  <c r="V77" i="9"/>
  <c r="P57" i="4" l="1"/>
  <c r="T57" i="4"/>
  <c r="P162" i="17"/>
  <c r="Q162" i="17" s="1"/>
  <c r="O163" i="17" s="1"/>
  <c r="C187" i="27"/>
  <c r="B187" i="27" s="1"/>
  <c r="G187" i="27" s="1"/>
  <c r="S56" i="8"/>
  <c r="Q56" i="8"/>
  <c r="P77" i="9"/>
  <c r="T77" i="9"/>
  <c r="P163" i="17" l="1"/>
  <c r="Q163" i="17" s="1"/>
  <c r="O164" i="17" s="1"/>
  <c r="C188" i="27"/>
  <c r="B188" i="27" s="1"/>
  <c r="G188" i="27" s="1"/>
  <c r="S57" i="4"/>
  <c r="Q57" i="4"/>
  <c r="O57" i="8"/>
  <c r="V57" i="8"/>
  <c r="S77" i="9"/>
  <c r="Q77" i="9"/>
  <c r="V58" i="4" l="1"/>
  <c r="O58" i="4"/>
  <c r="P164" i="17"/>
  <c r="Q164" i="17" s="1"/>
  <c r="O165" i="17" s="1"/>
  <c r="C189" i="27"/>
  <c r="B189" i="27" s="1"/>
  <c r="G189" i="27" s="1"/>
  <c r="T57" i="8"/>
  <c r="P57" i="8"/>
  <c r="O78" i="9"/>
  <c r="V78" i="9"/>
  <c r="P165" i="17" l="1"/>
  <c r="Q165" i="17" s="1"/>
  <c r="O166" i="17" s="1"/>
  <c r="C190" i="27"/>
  <c r="B190" i="27" s="1"/>
  <c r="G190" i="27" s="1"/>
  <c r="T58" i="4"/>
  <c r="P58" i="4"/>
  <c r="S57" i="8"/>
  <c r="Q57" i="8"/>
  <c r="P78" i="9"/>
  <c r="T78" i="9"/>
  <c r="P166" i="17" l="1"/>
  <c r="Q166" i="17" s="1"/>
  <c r="O167" i="17" s="1"/>
  <c r="C191" i="27"/>
  <c r="B191" i="27" s="1"/>
  <c r="G191" i="27" s="1"/>
  <c r="S58" i="4"/>
  <c r="Q58" i="4"/>
  <c r="V58" i="8"/>
  <c r="O58" i="8"/>
  <c r="S78" i="9"/>
  <c r="Q78" i="9"/>
  <c r="O59" i="4" l="1"/>
  <c r="V59" i="4"/>
  <c r="P167" i="17"/>
  <c r="Q167" i="17" s="1"/>
  <c r="O168" i="17" s="1"/>
  <c r="C192" i="27"/>
  <c r="B192" i="27" s="1"/>
  <c r="G192" i="27" s="1"/>
  <c r="P58" i="8"/>
  <c r="T58" i="8"/>
  <c r="O79" i="9"/>
  <c r="V79" i="9"/>
  <c r="T59" i="4" l="1"/>
  <c r="P59" i="4"/>
  <c r="P168" i="17"/>
  <c r="Q168" i="17" s="1"/>
  <c r="O169" i="17" s="1"/>
  <c r="C193" i="27"/>
  <c r="B193" i="27" s="1"/>
  <c r="G193" i="27" s="1"/>
  <c r="S58" i="8"/>
  <c r="Q58" i="8"/>
  <c r="P79" i="9"/>
  <c r="T79" i="9"/>
  <c r="P169" i="17" l="1"/>
  <c r="Q169" i="17" s="1"/>
  <c r="O170" i="17" s="1"/>
  <c r="C194" i="27"/>
  <c r="B194" i="27" s="1"/>
  <c r="G194" i="27" s="1"/>
  <c r="S59" i="4"/>
  <c r="Q59" i="4"/>
  <c r="V59" i="8"/>
  <c r="O59" i="8"/>
  <c r="S79" i="9"/>
  <c r="Q79" i="9"/>
  <c r="O60" i="4" l="1"/>
  <c r="V60" i="4"/>
  <c r="P170" i="17"/>
  <c r="Q170" i="17" s="1"/>
  <c r="O171" i="17" s="1"/>
  <c r="C195" i="27"/>
  <c r="B195" i="27" s="1"/>
  <c r="G195" i="27" s="1"/>
  <c r="T59" i="8"/>
  <c r="P59" i="8"/>
  <c r="O80" i="9"/>
  <c r="V80" i="9"/>
  <c r="P171" i="17" l="1"/>
  <c r="Q171" i="17" s="1"/>
  <c r="O172" i="17" s="1"/>
  <c r="C196" i="27"/>
  <c r="B196" i="27" s="1"/>
  <c r="G196" i="27" s="1"/>
  <c r="T60" i="4"/>
  <c r="P60" i="4"/>
  <c r="S59" i="8"/>
  <c r="Q59" i="8"/>
  <c r="T80" i="9"/>
  <c r="P80" i="9"/>
  <c r="S60" i="4" l="1"/>
  <c r="Q60" i="4"/>
  <c r="P172" i="17"/>
  <c r="Q172" i="17" s="1"/>
  <c r="O173" i="17" s="1"/>
  <c r="C197" i="27"/>
  <c r="B197" i="27" s="1"/>
  <c r="G197" i="27" s="1"/>
  <c r="O60" i="8"/>
  <c r="V60" i="8"/>
  <c r="S80" i="9"/>
  <c r="Q80" i="9"/>
  <c r="P173" i="17" l="1"/>
  <c r="Q173" i="17" s="1"/>
  <c r="O174" i="17" s="1"/>
  <c r="C198" i="27"/>
  <c r="B198" i="27" s="1"/>
  <c r="G198" i="27" s="1"/>
  <c r="V61" i="4"/>
  <c r="O61" i="4"/>
  <c r="P60" i="8"/>
  <c r="T60" i="8"/>
  <c r="O81" i="9"/>
  <c r="V81" i="9"/>
  <c r="P61" i="4" l="1"/>
  <c r="T61" i="4"/>
  <c r="P174" i="17"/>
  <c r="Q174" i="17" s="1"/>
  <c r="O175" i="17" s="1"/>
  <c r="C199" i="27"/>
  <c r="B199" i="27" s="1"/>
  <c r="G199" i="27" s="1"/>
  <c r="S60" i="8"/>
  <c r="Q60" i="8"/>
  <c r="P81" i="9"/>
  <c r="T81" i="9"/>
  <c r="P175" i="17" l="1"/>
  <c r="Q175" i="17" s="1"/>
  <c r="O176" i="17" s="1"/>
  <c r="C200" i="27"/>
  <c r="B200" i="27" s="1"/>
  <c r="G200" i="27" s="1"/>
  <c r="S61" i="4"/>
  <c r="Q61" i="4"/>
  <c r="O61" i="8"/>
  <c r="V61" i="8"/>
  <c r="S81" i="9"/>
  <c r="Q81" i="9"/>
  <c r="V62" i="4" l="1"/>
  <c r="O62" i="4"/>
  <c r="P176" i="17"/>
  <c r="Q176" i="17" s="1"/>
  <c r="O177" i="17" s="1"/>
  <c r="C201" i="27"/>
  <c r="B201" i="27" s="1"/>
  <c r="G201" i="27" s="1"/>
  <c r="T61" i="8"/>
  <c r="P61" i="8"/>
  <c r="O82" i="9"/>
  <c r="V82" i="9"/>
  <c r="P62" i="4" l="1"/>
  <c r="T62" i="4"/>
  <c r="P177" i="17"/>
  <c r="Q177" i="17" s="1"/>
  <c r="O178" i="17" s="1"/>
  <c r="C202" i="27"/>
  <c r="B202" i="27" s="1"/>
  <c r="G202" i="27" s="1"/>
  <c r="S61" i="8"/>
  <c r="Q61" i="8"/>
  <c r="P82" i="9"/>
  <c r="T82" i="9"/>
  <c r="P178" i="17" l="1"/>
  <c r="Q178" i="17" s="1"/>
  <c r="O179" i="17" s="1"/>
  <c r="C203" i="27"/>
  <c r="B203" i="27" s="1"/>
  <c r="G203" i="27" s="1"/>
  <c r="S62" i="4"/>
  <c r="Q62" i="4"/>
  <c r="V62" i="8"/>
  <c r="O62" i="8"/>
  <c r="S82" i="9"/>
  <c r="Q82" i="9"/>
  <c r="V63" i="4" l="1"/>
  <c r="O63" i="4"/>
  <c r="P179" i="17"/>
  <c r="Q179" i="17" s="1"/>
  <c r="O180" i="17" s="1"/>
  <c r="C204" i="27"/>
  <c r="B204" i="27" s="1"/>
  <c r="G204" i="27" s="1"/>
  <c r="T62" i="8"/>
  <c r="P62" i="8"/>
  <c r="O83" i="9"/>
  <c r="V83" i="9"/>
  <c r="T63" i="4" l="1"/>
  <c r="P63" i="4"/>
  <c r="P180" i="17"/>
  <c r="Q180" i="17" s="1"/>
  <c r="O181" i="17" s="1"/>
  <c r="C205" i="27"/>
  <c r="B205" i="27" s="1"/>
  <c r="G205" i="27" s="1"/>
  <c r="S62" i="8"/>
  <c r="Q62" i="8"/>
  <c r="P83" i="9"/>
  <c r="T83" i="9"/>
  <c r="P181" i="17" l="1"/>
  <c r="Q181" i="17" s="1"/>
  <c r="O182" i="17" s="1"/>
  <c r="C206" i="27"/>
  <c r="B206" i="27" s="1"/>
  <c r="G206" i="27" s="1"/>
  <c r="S63" i="4"/>
  <c r="Q63" i="4"/>
  <c r="O63" i="8"/>
  <c r="V63" i="8"/>
  <c r="S83" i="9"/>
  <c r="Q83" i="9"/>
  <c r="O64" i="4" l="1"/>
  <c r="V64" i="4"/>
  <c r="P182" i="17"/>
  <c r="Q182" i="17" s="1"/>
  <c r="C207" i="27"/>
  <c r="P63" i="8"/>
  <c r="T63" i="8"/>
  <c r="V84" i="9"/>
  <c r="O84" i="9"/>
  <c r="B207" i="27" l="1"/>
  <c r="G207" i="27" s="1"/>
  <c r="D24" i="27"/>
  <c r="P64" i="4"/>
  <c r="T64" i="4"/>
  <c r="S63" i="8"/>
  <c r="Q63" i="8"/>
  <c r="P84" i="9"/>
  <c r="T84" i="9"/>
  <c r="S64" i="4" l="1"/>
  <c r="Q64" i="4"/>
  <c r="V64" i="8"/>
  <c r="O64" i="8"/>
  <c r="S84" i="9"/>
  <c r="Q84" i="9"/>
  <c r="V65" i="4" l="1"/>
  <c r="O65" i="4"/>
  <c r="T64" i="8"/>
  <c r="P64" i="8"/>
  <c r="O85" i="9"/>
  <c r="V85" i="9"/>
  <c r="T65" i="4" l="1"/>
  <c r="P65" i="4"/>
  <c r="S64" i="8"/>
  <c r="Q64" i="8"/>
  <c r="T85" i="9"/>
  <c r="P85" i="9"/>
  <c r="S65" i="4" l="1"/>
  <c r="Q65" i="4"/>
  <c r="V65" i="8"/>
  <c r="O65" i="8"/>
  <c r="S85" i="9"/>
  <c r="Q85" i="9"/>
  <c r="V66" i="4" l="1"/>
  <c r="O66" i="4"/>
  <c r="P65" i="8"/>
  <c r="T65" i="8"/>
  <c r="O86" i="9"/>
  <c r="V86" i="9"/>
  <c r="P66" i="4" l="1"/>
  <c r="T66" i="4"/>
  <c r="S65" i="8"/>
  <c r="Q65" i="8"/>
  <c r="P86" i="9"/>
  <c r="T86" i="9"/>
  <c r="S66" i="4" l="1"/>
  <c r="Q66" i="4"/>
  <c r="O66" i="8"/>
  <c r="V66" i="8"/>
  <c r="S86" i="9"/>
  <c r="Q86" i="9"/>
  <c r="O67" i="4" l="1"/>
  <c r="V67" i="4"/>
  <c r="T66" i="8"/>
  <c r="P66" i="8"/>
  <c r="O87" i="9"/>
  <c r="V87" i="9"/>
  <c r="T67" i="4" l="1"/>
  <c r="P67" i="4"/>
  <c r="S66" i="8"/>
  <c r="Q66" i="8"/>
  <c r="T87" i="9"/>
  <c r="P87" i="9"/>
  <c r="S67" i="4" l="1"/>
  <c r="Q67" i="4"/>
  <c r="O67" i="8"/>
  <c r="V67" i="8"/>
  <c r="S87" i="9"/>
  <c r="Q87" i="9"/>
  <c r="O68" i="4" l="1"/>
  <c r="V68" i="4"/>
  <c r="T67" i="8"/>
  <c r="P67" i="8"/>
  <c r="O88" i="9"/>
  <c r="V88" i="9"/>
  <c r="T68" i="4" l="1"/>
  <c r="P68" i="4"/>
  <c r="S67" i="8"/>
  <c r="Q67" i="8"/>
  <c r="P88" i="9"/>
  <c r="T88" i="9"/>
  <c r="S68" i="4" l="1"/>
  <c r="Q68" i="4"/>
  <c r="V68" i="8"/>
  <c r="O68" i="8"/>
  <c r="S88" i="9"/>
  <c r="Q88" i="9"/>
  <c r="V69" i="4" l="1"/>
  <c r="O69" i="4"/>
  <c r="P68" i="8"/>
  <c r="T68" i="8"/>
  <c r="O89" i="9"/>
  <c r="V89" i="9"/>
  <c r="P69" i="4" l="1"/>
  <c r="T69" i="4"/>
  <c r="S68" i="8"/>
  <c r="Q68" i="8"/>
  <c r="T89" i="9"/>
  <c r="P89" i="9"/>
  <c r="S69" i="4" l="1"/>
  <c r="Q69" i="4"/>
  <c r="O69" i="8"/>
  <c r="V69" i="8"/>
  <c r="S89" i="9"/>
  <c r="Q89" i="9"/>
  <c r="V70" i="4" l="1"/>
  <c r="O70" i="4"/>
  <c r="P69" i="8"/>
  <c r="T69" i="8"/>
  <c r="O90" i="9"/>
  <c r="V90" i="9"/>
  <c r="P70" i="4" l="1"/>
  <c r="T70" i="4"/>
  <c r="S69" i="8"/>
  <c r="Q69" i="8"/>
  <c r="P90" i="9"/>
  <c r="T90" i="9"/>
  <c r="S70" i="4" l="1"/>
  <c r="Q70" i="4"/>
  <c r="O70" i="8"/>
  <c r="V70" i="8"/>
  <c r="S90" i="9"/>
  <c r="Q90" i="9"/>
  <c r="V71" i="4" l="1"/>
  <c r="O71" i="4"/>
  <c r="T70" i="8"/>
  <c r="P70" i="8"/>
  <c r="O91" i="9"/>
  <c r="V91" i="9"/>
  <c r="T71" i="4" l="1"/>
  <c r="P71" i="4"/>
  <c r="S70" i="8"/>
  <c r="Q70" i="8"/>
  <c r="P91" i="9"/>
  <c r="T91" i="9"/>
  <c r="S71" i="4" l="1"/>
  <c r="Q71" i="4"/>
  <c r="O71" i="8"/>
  <c r="V71" i="8"/>
  <c r="S91" i="9"/>
  <c r="Q91" i="9"/>
  <c r="O72" i="4" l="1"/>
  <c r="V72" i="4"/>
  <c r="P71" i="8"/>
  <c r="T71" i="8"/>
  <c r="O92" i="9"/>
  <c r="V92" i="9"/>
  <c r="T72" i="4" l="1"/>
  <c r="P72" i="4"/>
  <c r="S71" i="8"/>
  <c r="Q71" i="8"/>
  <c r="P92" i="9"/>
  <c r="T92" i="9"/>
  <c r="S72" i="4" l="1"/>
  <c r="Q72" i="4"/>
  <c r="V72" i="8"/>
  <c r="O72" i="8"/>
  <c r="S92" i="9"/>
  <c r="Q92" i="9"/>
  <c r="V73" i="4" l="1"/>
  <c r="O73" i="4"/>
  <c r="T72" i="8"/>
  <c r="P72" i="8"/>
  <c r="O93" i="9"/>
  <c r="V93" i="9"/>
  <c r="P73" i="4" l="1"/>
  <c r="T73" i="4"/>
  <c r="S72" i="8"/>
  <c r="Q72" i="8"/>
  <c r="P93" i="9"/>
  <c r="T93" i="9"/>
  <c r="S73" i="4" l="1"/>
  <c r="Q73" i="4"/>
  <c r="O73" i="8"/>
  <c r="V73" i="8"/>
  <c r="S93" i="9"/>
  <c r="Q93" i="9"/>
  <c r="O74" i="4" l="1"/>
  <c r="V74" i="4"/>
  <c r="P73" i="8"/>
  <c r="T73" i="8"/>
  <c r="O94" i="9"/>
  <c r="V94" i="9"/>
  <c r="P74" i="4" l="1"/>
  <c r="T74" i="4"/>
  <c r="S73" i="8"/>
  <c r="Q73" i="8"/>
  <c r="P94" i="9"/>
  <c r="T94" i="9"/>
  <c r="S74" i="4" l="1"/>
  <c r="Q74" i="4"/>
  <c r="O74" i="8"/>
  <c r="V74" i="8"/>
  <c r="S94" i="9"/>
  <c r="Q94" i="9"/>
  <c r="V75" i="4" l="1"/>
  <c r="O75" i="4"/>
  <c r="P74" i="8"/>
  <c r="T74" i="8"/>
  <c r="O95" i="9"/>
  <c r="V95" i="9"/>
  <c r="T75" i="4" l="1"/>
  <c r="P75" i="4"/>
  <c r="S74" i="8"/>
  <c r="Q74" i="8"/>
  <c r="P95" i="9"/>
  <c r="T95" i="9"/>
  <c r="S75" i="4" l="1"/>
  <c r="Q75" i="4"/>
  <c r="V75" i="8"/>
  <c r="O75" i="8"/>
  <c r="S95" i="9"/>
  <c r="Q95" i="9"/>
  <c r="V76" i="4" l="1"/>
  <c r="O76" i="4"/>
  <c r="T75" i="8"/>
  <c r="P75" i="8"/>
  <c r="O96" i="9"/>
  <c r="V96" i="9"/>
  <c r="T76" i="4" l="1"/>
  <c r="P76" i="4"/>
  <c r="S75" i="8"/>
  <c r="Q75" i="8"/>
  <c r="P96" i="9"/>
  <c r="T96" i="9"/>
  <c r="S76" i="4" l="1"/>
  <c r="Q76" i="4"/>
  <c r="O76" i="8"/>
  <c r="V76" i="8"/>
  <c r="S96" i="9"/>
  <c r="Q96" i="9"/>
  <c r="O77" i="4" l="1"/>
  <c r="V77" i="4"/>
  <c r="T76" i="8"/>
  <c r="P76" i="8"/>
  <c r="O97" i="9"/>
  <c r="V97" i="9"/>
  <c r="P77" i="4" l="1"/>
  <c r="T77" i="4"/>
  <c r="S76" i="8"/>
  <c r="Q76" i="8"/>
  <c r="P97" i="9"/>
  <c r="T97" i="9"/>
  <c r="S77" i="4" l="1"/>
  <c r="Q77" i="4"/>
  <c r="O77" i="8"/>
  <c r="V77" i="8"/>
  <c r="S97" i="9"/>
  <c r="Q97" i="9"/>
  <c r="V78" i="4" l="1"/>
  <c r="O78" i="4"/>
  <c r="T77" i="8"/>
  <c r="P77" i="8"/>
  <c r="O98" i="9"/>
  <c r="V98" i="9"/>
  <c r="T78" i="4" l="1"/>
  <c r="P78" i="4"/>
  <c r="S77" i="8"/>
  <c r="Q77" i="8"/>
  <c r="P98" i="9"/>
  <c r="T98" i="9"/>
  <c r="S78" i="4" l="1"/>
  <c r="Q78" i="4"/>
  <c r="O78" i="8"/>
  <c r="V78" i="8"/>
  <c r="S98" i="9"/>
  <c r="Q98" i="9"/>
  <c r="O79" i="4" l="1"/>
  <c r="V79" i="4"/>
  <c r="P78" i="8"/>
  <c r="T78" i="8"/>
  <c r="O99" i="9"/>
  <c r="V99" i="9"/>
  <c r="P79" i="4" l="1"/>
  <c r="T79" i="4"/>
  <c r="S78" i="8"/>
  <c r="Q78" i="8"/>
  <c r="P99" i="9"/>
  <c r="T99" i="9"/>
  <c r="S79" i="4" l="1"/>
  <c r="Q79" i="4"/>
  <c r="O79" i="8"/>
  <c r="V79" i="8"/>
  <c r="S99" i="9"/>
  <c r="Q99" i="9"/>
  <c r="V80" i="4" l="1"/>
  <c r="O80" i="4"/>
  <c r="P79" i="8"/>
  <c r="T79" i="8"/>
  <c r="O100" i="9"/>
  <c r="V100" i="9"/>
  <c r="T80" i="4" l="1"/>
  <c r="P80" i="4"/>
  <c r="S79" i="8"/>
  <c r="Q79" i="8"/>
  <c r="P100" i="9"/>
  <c r="T100" i="9"/>
  <c r="S80" i="4" l="1"/>
  <c r="Q80" i="4"/>
  <c r="V80" i="8"/>
  <c r="O80" i="8"/>
  <c r="S100" i="9"/>
  <c r="Q100" i="9"/>
  <c r="V81" i="4" l="1"/>
  <c r="O81" i="4"/>
  <c r="P80" i="8"/>
  <c r="T80" i="8"/>
  <c r="O101" i="9"/>
  <c r="V101" i="9"/>
  <c r="T81" i="4" l="1"/>
  <c r="P81" i="4"/>
  <c r="S80" i="8"/>
  <c r="Q80" i="8"/>
  <c r="P101" i="9"/>
  <c r="T101" i="9"/>
  <c r="S81" i="4" l="1"/>
  <c r="Q81" i="4"/>
  <c r="O81" i="8"/>
  <c r="V81" i="8"/>
  <c r="S101" i="9"/>
  <c r="Q101" i="9"/>
  <c r="O82" i="4" l="1"/>
  <c r="V82" i="4"/>
  <c r="P81" i="8"/>
  <c r="T81" i="8"/>
  <c r="O102" i="9"/>
  <c r="V102" i="9"/>
  <c r="P82" i="4" l="1"/>
  <c r="T82" i="4"/>
  <c r="S81" i="8"/>
  <c r="Q81" i="8"/>
  <c r="P102" i="9"/>
  <c r="T102" i="9"/>
  <c r="S82" i="4" l="1"/>
  <c r="Q82" i="4"/>
  <c r="O82" i="8"/>
  <c r="V82" i="8"/>
  <c r="S102" i="9"/>
  <c r="Q102" i="9"/>
  <c r="V83" i="4" l="1"/>
  <c r="O83" i="4"/>
  <c r="P82" i="8"/>
  <c r="T82" i="8"/>
  <c r="O103" i="9"/>
  <c r="V103" i="9"/>
  <c r="T83" i="4" l="1"/>
  <c r="P83" i="4"/>
  <c r="S82" i="8"/>
  <c r="Q82" i="8"/>
  <c r="P103" i="9"/>
  <c r="T103" i="9"/>
  <c r="S83" i="4" l="1"/>
  <c r="Q83" i="4"/>
  <c r="V83" i="8"/>
  <c r="O83" i="8"/>
  <c r="S103" i="9"/>
  <c r="Q103" i="9"/>
  <c r="V84" i="4" l="1"/>
  <c r="O84" i="4"/>
  <c r="T83" i="8"/>
  <c r="P83" i="8"/>
  <c r="O104" i="9"/>
  <c r="V104" i="9"/>
  <c r="T84" i="4" l="1"/>
  <c r="P84" i="4"/>
  <c r="S83" i="8"/>
  <c r="Q83" i="8"/>
  <c r="P104" i="9"/>
  <c r="T104" i="9"/>
  <c r="S84" i="4" l="1"/>
  <c r="Q84" i="4"/>
  <c r="V84" i="8"/>
  <c r="O84" i="8"/>
  <c r="S104" i="9"/>
  <c r="Q104" i="9"/>
  <c r="V85" i="4" l="1"/>
  <c r="O85" i="4"/>
  <c r="P84" i="8"/>
  <c r="T84" i="8"/>
  <c r="O105" i="9"/>
  <c r="V105" i="9"/>
  <c r="T85" i="4" l="1"/>
  <c r="P85" i="4"/>
  <c r="S84" i="8"/>
  <c r="Q84" i="8"/>
  <c r="P105" i="9"/>
  <c r="T105" i="9"/>
  <c r="S85" i="4" l="1"/>
  <c r="Q85" i="4"/>
  <c r="O85" i="8"/>
  <c r="V85" i="8"/>
  <c r="S105" i="9"/>
  <c r="Q105" i="9"/>
  <c r="O86" i="4" l="1"/>
  <c r="V86" i="4"/>
  <c r="P85" i="8"/>
  <c r="T85" i="8"/>
  <c r="O106" i="9"/>
  <c r="V106" i="9"/>
  <c r="P86" i="4" l="1"/>
  <c r="T86" i="4"/>
  <c r="S85" i="8"/>
  <c r="Q85" i="8"/>
  <c r="P106" i="9"/>
  <c r="T106" i="9"/>
  <c r="S86" i="4" l="1"/>
  <c r="Q86" i="4"/>
  <c r="O86" i="8"/>
  <c r="V86" i="8"/>
  <c r="S106" i="9"/>
  <c r="Q106" i="9"/>
  <c r="V87" i="4" l="1"/>
  <c r="O87" i="4"/>
  <c r="T86" i="8"/>
  <c r="P86" i="8"/>
  <c r="O107" i="9"/>
  <c r="V107" i="9"/>
  <c r="T87" i="4" l="1"/>
  <c r="P87" i="4"/>
  <c r="S86" i="8"/>
  <c r="Q86" i="8"/>
  <c r="P107" i="9"/>
  <c r="T107" i="9"/>
  <c r="S87" i="4" l="1"/>
  <c r="Q87" i="4"/>
  <c r="O87" i="8"/>
  <c r="V87" i="8"/>
  <c r="S107" i="9"/>
  <c r="Q107" i="9"/>
  <c r="O88" i="4" l="1"/>
  <c r="V88" i="4"/>
  <c r="P87" i="8"/>
  <c r="T87" i="8"/>
  <c r="O108" i="9"/>
  <c r="V108" i="9"/>
  <c r="P88" i="4" l="1"/>
  <c r="T88" i="4"/>
  <c r="S87" i="8"/>
  <c r="Q87" i="8"/>
  <c r="P108" i="9"/>
  <c r="T108" i="9"/>
  <c r="S88" i="4" l="1"/>
  <c r="Q88" i="4"/>
  <c r="O88" i="8"/>
  <c r="V88" i="8"/>
  <c r="S108" i="9"/>
  <c r="Q108" i="9"/>
  <c r="V89" i="4" l="1"/>
  <c r="O89" i="4"/>
  <c r="P88" i="8"/>
  <c r="T88" i="8"/>
  <c r="O109" i="9"/>
  <c r="V109" i="9"/>
  <c r="T89" i="4" l="1"/>
  <c r="P89" i="4"/>
  <c r="S88" i="8"/>
  <c r="Q88" i="8"/>
  <c r="P109" i="9"/>
  <c r="T109" i="9"/>
  <c r="S89" i="4" l="1"/>
  <c r="Q89" i="4"/>
  <c r="V89" i="8"/>
  <c r="O89" i="8"/>
  <c r="S109" i="9"/>
  <c r="Q109" i="9"/>
  <c r="O90" i="4" l="1"/>
  <c r="V90" i="4"/>
  <c r="T89" i="8"/>
  <c r="P89" i="8"/>
  <c r="O110" i="9"/>
  <c r="V110" i="9"/>
  <c r="P90" i="4" l="1"/>
  <c r="T90" i="4"/>
  <c r="S89" i="8"/>
  <c r="Q89" i="8"/>
  <c r="P110" i="9"/>
  <c r="T110" i="9"/>
  <c r="S90" i="4" l="1"/>
  <c r="Q90" i="4"/>
  <c r="V90" i="8"/>
  <c r="O90" i="8"/>
  <c r="S110" i="9"/>
  <c r="Q110" i="9"/>
  <c r="O91" i="4" l="1"/>
  <c r="V91" i="4"/>
  <c r="P90" i="8"/>
  <c r="T90" i="8"/>
  <c r="O111" i="9"/>
  <c r="V111" i="9"/>
  <c r="T91" i="4" l="1"/>
  <c r="P91" i="4"/>
  <c r="S90" i="8"/>
  <c r="Q90" i="8"/>
  <c r="P111" i="9"/>
  <c r="T111" i="9"/>
  <c r="S91" i="4" l="1"/>
  <c r="Q91" i="4"/>
  <c r="O91" i="8"/>
  <c r="V91" i="8"/>
  <c r="S111" i="9"/>
  <c r="Q111" i="9"/>
  <c r="O92" i="4" l="1"/>
  <c r="V92" i="4"/>
  <c r="T91" i="8"/>
  <c r="P91" i="8"/>
  <c r="O112" i="9"/>
  <c r="V112" i="9"/>
  <c r="T92" i="4" l="1"/>
  <c r="P92" i="4"/>
  <c r="S91" i="8"/>
  <c r="Q91" i="8"/>
  <c r="P112" i="9"/>
  <c r="T112" i="9"/>
  <c r="S92" i="4" l="1"/>
  <c r="Q92" i="4"/>
  <c r="V92" i="8"/>
  <c r="O92" i="8"/>
  <c r="S112" i="9"/>
  <c r="Q112" i="9"/>
  <c r="V93" i="4" l="1"/>
  <c r="O93" i="4"/>
  <c r="T92" i="8"/>
  <c r="P92" i="8"/>
  <c r="O113" i="9"/>
  <c r="V113" i="9"/>
  <c r="P93" i="4" l="1"/>
  <c r="T93" i="4"/>
  <c r="S92" i="8"/>
  <c r="Q92" i="8"/>
  <c r="P113" i="9"/>
  <c r="T113" i="9"/>
  <c r="S93" i="4" l="1"/>
  <c r="Q93" i="4"/>
  <c r="O93" i="8"/>
  <c r="V93" i="8"/>
  <c r="S113" i="9"/>
  <c r="Q113" i="9"/>
  <c r="O94" i="4" l="1"/>
  <c r="V94" i="4"/>
  <c r="P93" i="8"/>
  <c r="T93" i="8"/>
  <c r="O114" i="9"/>
  <c r="V114" i="9"/>
  <c r="P94" i="4" l="1"/>
  <c r="T94" i="4"/>
  <c r="S93" i="8"/>
  <c r="Q93" i="8"/>
  <c r="P114" i="9"/>
  <c r="T114" i="9"/>
  <c r="S94" i="4" l="1"/>
  <c r="Q94" i="4"/>
  <c r="V94" i="8"/>
  <c r="O94" i="8"/>
  <c r="S114" i="9"/>
  <c r="Q114" i="9"/>
  <c r="V95" i="4" l="1"/>
  <c r="O95" i="4"/>
  <c r="P94" i="8"/>
  <c r="T94" i="8"/>
  <c r="O115" i="9"/>
  <c r="V115" i="9"/>
  <c r="T95" i="4" l="1"/>
  <c r="P95" i="4"/>
  <c r="S94" i="8"/>
  <c r="Q94" i="8"/>
  <c r="P115" i="9"/>
  <c r="T115" i="9"/>
  <c r="S95" i="4" l="1"/>
  <c r="Q95" i="4"/>
  <c r="V95" i="8"/>
  <c r="O95" i="8"/>
  <c r="S115" i="9"/>
  <c r="Q115" i="9"/>
  <c r="O96" i="4" l="1"/>
  <c r="V96" i="4"/>
  <c r="P95" i="8"/>
  <c r="T95" i="8"/>
  <c r="O116" i="9"/>
  <c r="V116" i="9"/>
  <c r="P96" i="4" l="1"/>
  <c r="T96" i="4"/>
  <c r="S95" i="8"/>
  <c r="Q95" i="8"/>
  <c r="P116" i="9"/>
  <c r="T116" i="9"/>
  <c r="S96" i="4" l="1"/>
  <c r="Q96" i="4"/>
  <c r="O96" i="8"/>
  <c r="V96" i="8"/>
  <c r="S116" i="9"/>
  <c r="Q116" i="9"/>
  <c r="O97" i="4" l="1"/>
  <c r="V97" i="4"/>
  <c r="T96" i="8"/>
  <c r="P96" i="8"/>
  <c r="O117" i="9"/>
  <c r="V117" i="9"/>
  <c r="P97" i="4" l="1"/>
  <c r="T97" i="4"/>
  <c r="S96" i="8"/>
  <c r="Q96" i="8"/>
  <c r="P117" i="9"/>
  <c r="T117" i="9"/>
  <c r="S97" i="4" l="1"/>
  <c r="Q97" i="4"/>
  <c r="O97" i="8"/>
  <c r="V97" i="8"/>
  <c r="S117" i="9"/>
  <c r="Q117" i="9"/>
  <c r="V98" i="4" l="1"/>
  <c r="O98" i="4"/>
  <c r="T97" i="8"/>
  <c r="P97" i="8"/>
  <c r="O118" i="9"/>
  <c r="V118" i="9"/>
  <c r="P98" i="4" l="1"/>
  <c r="T98" i="4"/>
  <c r="S97" i="8"/>
  <c r="Q97" i="8"/>
  <c r="P118" i="9"/>
  <c r="T118" i="9"/>
  <c r="S98" i="4" l="1"/>
  <c r="Q98" i="4"/>
  <c r="O98" i="8"/>
  <c r="V98" i="8"/>
  <c r="S118" i="9"/>
  <c r="Q118" i="9"/>
  <c r="O99" i="4" l="1"/>
  <c r="V99" i="4"/>
  <c r="T98" i="8"/>
  <c r="P98" i="8"/>
  <c r="O119" i="9"/>
  <c r="V119" i="9"/>
  <c r="P99" i="4" l="1"/>
  <c r="T99" i="4"/>
  <c r="S98" i="8"/>
  <c r="Q98" i="8"/>
  <c r="P119" i="9"/>
  <c r="T119" i="9"/>
  <c r="S99" i="4" l="1"/>
  <c r="Q99" i="4"/>
  <c r="O99" i="8"/>
  <c r="V99" i="8"/>
  <c r="S119" i="9"/>
  <c r="Q119" i="9"/>
  <c r="V100" i="4" l="1"/>
  <c r="O100" i="4"/>
  <c r="P99" i="8"/>
  <c r="T99" i="8"/>
  <c r="V120" i="9"/>
  <c r="O120" i="9"/>
  <c r="T100" i="4" l="1"/>
  <c r="P100" i="4"/>
  <c r="S99" i="8"/>
  <c r="Q99" i="8"/>
  <c r="P120" i="9"/>
  <c r="T120" i="9"/>
  <c r="S100" i="4" l="1"/>
  <c r="Q100" i="4"/>
  <c r="V100" i="8"/>
  <c r="O100" i="8"/>
  <c r="S120" i="9"/>
  <c r="Q120" i="9"/>
  <c r="V101" i="4" l="1"/>
  <c r="O101" i="4"/>
  <c r="P100" i="8"/>
  <c r="T100" i="8"/>
  <c r="V121" i="9"/>
  <c r="O121" i="9"/>
  <c r="P101" i="4" l="1"/>
  <c r="T101" i="4"/>
  <c r="S100" i="8"/>
  <c r="Q100" i="8"/>
  <c r="P121" i="9"/>
  <c r="T121" i="9"/>
  <c r="S101" i="4" l="1"/>
  <c r="Q101" i="4"/>
  <c r="O101" i="8"/>
  <c r="V101" i="8"/>
  <c r="S121" i="9"/>
  <c r="Q121" i="9"/>
  <c r="O102" i="4" l="1"/>
  <c r="V102" i="4"/>
  <c r="P101" i="8"/>
  <c r="T101" i="8"/>
  <c r="V122" i="9"/>
  <c r="O122" i="9"/>
  <c r="P102" i="4" l="1"/>
  <c r="T102" i="4"/>
  <c r="S101" i="8"/>
  <c r="Q101" i="8"/>
  <c r="P122" i="9"/>
  <c r="T122" i="9"/>
  <c r="S102" i="4" l="1"/>
  <c r="Q102" i="4"/>
  <c r="O102" i="8"/>
  <c r="V102" i="8"/>
  <c r="S122" i="9"/>
  <c r="Q122" i="9"/>
  <c r="O103" i="4" l="1"/>
  <c r="V103" i="4"/>
  <c r="P102" i="8"/>
  <c r="T102" i="8"/>
  <c r="V123" i="9"/>
  <c r="O123" i="9"/>
  <c r="P123" i="9" s="1"/>
  <c r="Q123" i="9" s="1"/>
  <c r="O124" i="9" s="1"/>
  <c r="P124" i="9" s="1"/>
  <c r="Q124" i="9" s="1"/>
  <c r="O125" i="9" s="1"/>
  <c r="P125" i="9" s="1"/>
  <c r="Q125" i="9" s="1"/>
  <c r="O126" i="9" s="1"/>
  <c r="P126" i="9" s="1"/>
  <c r="Q126" i="9" s="1"/>
  <c r="O127" i="9" s="1"/>
  <c r="P127" i="9" s="1"/>
  <c r="Q127" i="9" s="1"/>
  <c r="O128" i="9" s="1"/>
  <c r="P128" i="9" s="1"/>
  <c r="Q128" i="9" s="1"/>
  <c r="O129" i="9" s="1"/>
  <c r="P129" i="9" s="1"/>
  <c r="Q129" i="9" s="1"/>
  <c r="O130" i="9" s="1"/>
  <c r="P130" i="9" s="1"/>
  <c r="Q130" i="9" s="1"/>
  <c r="O131" i="9" s="1"/>
  <c r="P131" i="9" s="1"/>
  <c r="Q131" i="9" s="1"/>
  <c r="O132" i="9" s="1"/>
  <c r="P132" i="9" s="1"/>
  <c r="Q132" i="9" s="1"/>
  <c r="O133" i="9" s="1"/>
  <c r="P133" i="9" s="1"/>
  <c r="Q133" i="9" s="1"/>
  <c r="O134" i="9" s="1"/>
  <c r="P134" i="9" s="1"/>
  <c r="Q134" i="9" s="1"/>
  <c r="O135" i="9" s="1"/>
  <c r="P135" i="9" s="1"/>
  <c r="Q135" i="9" s="1"/>
  <c r="O136" i="9" s="1"/>
  <c r="P136" i="9" s="1"/>
  <c r="Q136" i="9" s="1"/>
  <c r="O137" i="9" s="1"/>
  <c r="P137" i="9" s="1"/>
  <c r="Q137" i="9" s="1"/>
  <c r="O138" i="9" s="1"/>
  <c r="P138" i="9" s="1"/>
  <c r="Q138" i="9" s="1"/>
  <c r="O139" i="9" s="1"/>
  <c r="P139" i="9" s="1"/>
  <c r="Q139" i="9" s="1"/>
  <c r="O140" i="9" s="1"/>
  <c r="P140" i="9" s="1"/>
  <c r="Q140" i="9" s="1"/>
  <c r="O141" i="9" s="1"/>
  <c r="P141" i="9" s="1"/>
  <c r="Q141" i="9" s="1"/>
  <c r="O142" i="9" s="1"/>
  <c r="P142" i="9" s="1"/>
  <c r="Q142" i="9" s="1"/>
  <c r="O143" i="9" s="1"/>
  <c r="P143" i="9" s="1"/>
  <c r="Q143" i="9" s="1"/>
  <c r="O144" i="9" s="1"/>
  <c r="P144" i="9" s="1"/>
  <c r="Q144" i="9" s="1"/>
  <c r="O145" i="9" s="1"/>
  <c r="P145" i="9" s="1"/>
  <c r="Q145" i="9" s="1"/>
  <c r="O146" i="9" s="1"/>
  <c r="P146" i="9" s="1"/>
  <c r="Q146" i="9" s="1"/>
  <c r="O147" i="9" s="1"/>
  <c r="P147" i="9" s="1"/>
  <c r="Q147" i="9" s="1"/>
  <c r="O148" i="9" s="1"/>
  <c r="P148" i="9" s="1"/>
  <c r="Q148" i="9" s="1"/>
  <c r="O149" i="9" s="1"/>
  <c r="P149" i="9" s="1"/>
  <c r="Q149" i="9" s="1"/>
  <c r="O150" i="9" s="1"/>
  <c r="P150" i="9" s="1"/>
  <c r="Q150" i="9" s="1"/>
  <c r="O151" i="9" s="1"/>
  <c r="P151" i="9" s="1"/>
  <c r="Q151" i="9" s="1"/>
  <c r="O152" i="9" s="1"/>
  <c r="P152" i="9" s="1"/>
  <c r="Q152" i="9" s="1"/>
  <c r="O153" i="9" s="1"/>
  <c r="P153" i="9" s="1"/>
  <c r="Q153" i="9" s="1"/>
  <c r="O154" i="9" s="1"/>
  <c r="P154" i="9" s="1"/>
  <c r="Q154" i="9" s="1"/>
  <c r="O155" i="9" s="1"/>
  <c r="P155" i="9" s="1"/>
  <c r="Q155" i="9" s="1"/>
  <c r="O156" i="9" s="1"/>
  <c r="P156" i="9" s="1"/>
  <c r="Q156" i="9" s="1"/>
  <c r="O157" i="9" s="1"/>
  <c r="P157" i="9" s="1"/>
  <c r="Q157" i="9" s="1"/>
  <c r="O158" i="9" s="1"/>
  <c r="P158" i="9" s="1"/>
  <c r="Q158" i="9" s="1"/>
  <c r="O159" i="9" s="1"/>
  <c r="P159" i="9" s="1"/>
  <c r="Q159" i="9" s="1"/>
  <c r="O160" i="9" s="1"/>
  <c r="P160" i="9" s="1"/>
  <c r="Q160" i="9" s="1"/>
  <c r="O161" i="9" s="1"/>
  <c r="P161" i="9" s="1"/>
  <c r="Q161" i="9" s="1"/>
  <c r="O162" i="9" s="1"/>
  <c r="P162" i="9" s="1"/>
  <c r="Q162" i="9" s="1"/>
  <c r="O163" i="9" s="1"/>
  <c r="P163" i="9" s="1"/>
  <c r="Q163" i="9" s="1"/>
  <c r="O164" i="9" s="1"/>
  <c r="P164" i="9" s="1"/>
  <c r="Q164" i="9" s="1"/>
  <c r="O165" i="9" s="1"/>
  <c r="P165" i="9" s="1"/>
  <c r="Q165" i="9" s="1"/>
  <c r="O166" i="9" s="1"/>
  <c r="P166" i="9" s="1"/>
  <c r="Q166" i="9" s="1"/>
  <c r="O167" i="9" s="1"/>
  <c r="P167" i="9" s="1"/>
  <c r="Q167" i="9" s="1"/>
  <c r="O168" i="9" s="1"/>
  <c r="P168" i="9" s="1"/>
  <c r="Q168" i="9" s="1"/>
  <c r="O169" i="9" s="1"/>
  <c r="P169" i="9" s="1"/>
  <c r="Q169" i="9" s="1"/>
  <c r="O170" i="9" s="1"/>
  <c r="P170" i="9" s="1"/>
  <c r="Q170" i="9" s="1"/>
  <c r="O171" i="9" s="1"/>
  <c r="P171" i="9" s="1"/>
  <c r="Q171" i="9" s="1"/>
  <c r="O172" i="9" s="1"/>
  <c r="P172" i="9" s="1"/>
  <c r="Q172" i="9" s="1"/>
  <c r="O173" i="9" s="1"/>
  <c r="P173" i="9" s="1"/>
  <c r="Q173" i="9" s="1"/>
  <c r="O174" i="9" s="1"/>
  <c r="P174" i="9" s="1"/>
  <c r="Q174" i="9" s="1"/>
  <c r="O175" i="9" s="1"/>
  <c r="P175" i="9" s="1"/>
  <c r="Q175" i="9" s="1"/>
  <c r="O176" i="9" s="1"/>
  <c r="P176" i="9" s="1"/>
  <c r="Q176" i="9" s="1"/>
  <c r="O177" i="9" s="1"/>
  <c r="P177" i="9" s="1"/>
  <c r="Q177" i="9" s="1"/>
  <c r="O178" i="9" s="1"/>
  <c r="P178" i="9" s="1"/>
  <c r="Q178" i="9" s="1"/>
  <c r="O179" i="9" s="1"/>
  <c r="P179" i="9" s="1"/>
  <c r="Q179" i="9" s="1"/>
  <c r="O180" i="9" s="1"/>
  <c r="P180" i="9" s="1"/>
  <c r="Q180" i="9" s="1"/>
  <c r="O181" i="9" s="1"/>
  <c r="P181" i="9" s="1"/>
  <c r="Q181" i="9" s="1"/>
  <c r="O182" i="9" s="1"/>
  <c r="P103" i="4" l="1"/>
  <c r="T103" i="4"/>
  <c r="S102" i="8"/>
  <c r="Q102" i="8"/>
  <c r="P182" i="9"/>
  <c r="Q182" i="9" s="1"/>
  <c r="E18" i="50"/>
  <c r="S103" i="4" l="1"/>
  <c r="Q103" i="4"/>
  <c r="O103" i="8"/>
  <c r="V103" i="8"/>
  <c r="O104" i="4" l="1"/>
  <c r="V104" i="4"/>
  <c r="P103" i="8"/>
  <c r="T103" i="8"/>
  <c r="T104" i="4" l="1"/>
  <c r="P104" i="4"/>
  <c r="S103" i="8"/>
  <c r="Q103" i="8"/>
  <c r="S104" i="4" l="1"/>
  <c r="Q104" i="4"/>
  <c r="O104" i="8"/>
  <c r="V104" i="8"/>
  <c r="O105" i="4" l="1"/>
  <c r="V105" i="4"/>
  <c r="P104" i="8"/>
  <c r="T104" i="8"/>
  <c r="T105" i="4" l="1"/>
  <c r="P105" i="4"/>
  <c r="S104" i="8"/>
  <c r="Q104" i="8"/>
  <c r="S105" i="4" l="1"/>
  <c r="Q105" i="4"/>
  <c r="V105" i="8"/>
  <c r="O105" i="8"/>
  <c r="V106" i="4" l="1"/>
  <c r="O106" i="4"/>
  <c r="P105" i="8"/>
  <c r="T105" i="8"/>
  <c r="P106" i="4" l="1"/>
  <c r="T106" i="4"/>
  <c r="S105" i="8"/>
  <c r="Q105" i="8"/>
  <c r="S106" i="4" l="1"/>
  <c r="Q106" i="4"/>
  <c r="O106" i="8"/>
  <c r="V106" i="8"/>
  <c r="O107" i="4" l="1"/>
  <c r="V107" i="4"/>
  <c r="P106" i="8"/>
  <c r="T106" i="8"/>
  <c r="T107" i="4" l="1"/>
  <c r="P107" i="4"/>
  <c r="S106" i="8"/>
  <c r="Q106" i="8"/>
  <c r="S107" i="4" l="1"/>
  <c r="Q107" i="4"/>
  <c r="O107" i="8"/>
  <c r="V107" i="8"/>
  <c r="O108" i="4" l="1"/>
  <c r="V108" i="4"/>
  <c r="P107" i="8"/>
  <c r="T107" i="8"/>
  <c r="P108" i="4" l="1"/>
  <c r="T108" i="4"/>
  <c r="S107" i="8"/>
  <c r="Q107" i="8"/>
  <c r="S108" i="4" l="1"/>
  <c r="Q108" i="4"/>
  <c r="O108" i="8"/>
  <c r="V108" i="8"/>
  <c r="O109" i="4" l="1"/>
  <c r="V109" i="4"/>
  <c r="P108" i="8"/>
  <c r="T108" i="8"/>
  <c r="P109" i="4" l="1"/>
  <c r="T109" i="4"/>
  <c r="S108" i="8"/>
  <c r="Q108" i="8"/>
  <c r="S109" i="4" l="1"/>
  <c r="Q109" i="4"/>
  <c r="O109" i="8"/>
  <c r="V109" i="8"/>
  <c r="O110" i="4" l="1"/>
  <c r="V110" i="4"/>
  <c r="P109" i="8"/>
  <c r="T109" i="8"/>
  <c r="P110" i="4" l="1"/>
  <c r="T110" i="4"/>
  <c r="S109" i="8"/>
  <c r="Q109" i="8"/>
  <c r="S110" i="4" l="1"/>
  <c r="Q110" i="4"/>
  <c r="O110" i="8"/>
  <c r="V110" i="8"/>
  <c r="O111" i="4" l="1"/>
  <c r="V111" i="4"/>
  <c r="P110" i="8"/>
  <c r="T110" i="8"/>
  <c r="P111" i="4" l="1"/>
  <c r="T111" i="4"/>
  <c r="S110" i="8"/>
  <c r="Q110" i="8"/>
  <c r="S111" i="4" l="1"/>
  <c r="Q111" i="4"/>
  <c r="O111" i="8"/>
  <c r="V111" i="8"/>
  <c r="V112" i="4" l="1"/>
  <c r="O112" i="4"/>
  <c r="P111" i="8"/>
  <c r="T111" i="8"/>
  <c r="P112" i="4" l="1"/>
  <c r="T112" i="4"/>
  <c r="S111" i="8"/>
  <c r="Q111" i="8"/>
  <c r="S112" i="4" l="1"/>
  <c r="Q112" i="4"/>
  <c r="O112" i="8"/>
  <c r="V112" i="8"/>
  <c r="V113" i="4" l="1"/>
  <c r="O113" i="4"/>
  <c r="P112" i="8"/>
  <c r="T112" i="8"/>
  <c r="P113" i="4" l="1"/>
  <c r="T113" i="4"/>
  <c r="S112" i="8"/>
  <c r="Q112" i="8"/>
  <c r="S113" i="4" l="1"/>
  <c r="Q113" i="4"/>
  <c r="O113" i="8"/>
  <c r="V113" i="8"/>
  <c r="V114" i="4" l="1"/>
  <c r="O114" i="4"/>
  <c r="P113" i="8"/>
  <c r="T113" i="8"/>
  <c r="T114" i="4" l="1"/>
  <c r="P114" i="4"/>
  <c r="S113" i="8"/>
  <c r="Q113" i="8"/>
  <c r="S114" i="4" l="1"/>
  <c r="Q114" i="4"/>
  <c r="O114" i="8"/>
  <c r="V114" i="8"/>
  <c r="V115" i="4" l="1"/>
  <c r="O115" i="4"/>
  <c r="P114" i="8"/>
  <c r="T114" i="8"/>
  <c r="P115" i="4" l="1"/>
  <c r="T115" i="4"/>
  <c r="S114" i="8"/>
  <c r="Q114" i="8"/>
  <c r="S115" i="4" l="1"/>
  <c r="Q115" i="4"/>
  <c r="O115" i="8"/>
  <c r="V115" i="8"/>
  <c r="O116" i="4" l="1"/>
  <c r="V116" i="4"/>
  <c r="P115" i="8"/>
  <c r="T115" i="8"/>
  <c r="P116" i="4" l="1"/>
  <c r="T116" i="4"/>
  <c r="S115" i="8"/>
  <c r="Q115" i="8"/>
  <c r="S116" i="4" l="1"/>
  <c r="Q116" i="4"/>
  <c r="O116" i="8"/>
  <c r="V116" i="8"/>
  <c r="V117" i="4" l="1"/>
  <c r="O117" i="4"/>
  <c r="P116" i="8"/>
  <c r="T116" i="8"/>
  <c r="P117" i="4" l="1"/>
  <c r="T117" i="4"/>
  <c r="S116" i="8"/>
  <c r="Q116" i="8"/>
  <c r="S117" i="4" l="1"/>
  <c r="Q117" i="4"/>
  <c r="O117" i="8"/>
  <c r="V117" i="8"/>
  <c r="V118" i="4" l="1"/>
  <c r="O118" i="4"/>
  <c r="P117" i="8"/>
  <c r="T117" i="8"/>
  <c r="P118" i="4" l="1"/>
  <c r="T118" i="4"/>
  <c r="S117" i="8"/>
  <c r="Q117" i="8"/>
  <c r="S118" i="4" l="1"/>
  <c r="Q118" i="4"/>
  <c r="O118" i="8"/>
  <c r="V118" i="8"/>
  <c r="V119" i="4" l="1"/>
  <c r="O119" i="4"/>
  <c r="P118" i="8"/>
  <c r="T118" i="8"/>
  <c r="P119" i="4" l="1"/>
  <c r="T119" i="4"/>
  <c r="S118" i="8"/>
  <c r="Q118" i="8"/>
  <c r="S119" i="4" l="1"/>
  <c r="Q119" i="4"/>
  <c r="O119" i="8"/>
  <c r="V119" i="8"/>
  <c r="O120" i="4" l="1"/>
  <c r="V120" i="4"/>
  <c r="P119" i="8"/>
  <c r="T119" i="8"/>
  <c r="P120" i="4" l="1"/>
  <c r="T120" i="4"/>
  <c r="S119" i="8"/>
  <c r="Q119" i="8"/>
  <c r="S120" i="4" l="1"/>
  <c r="Q120" i="4"/>
  <c r="O120" i="8"/>
  <c r="V120" i="8"/>
  <c r="O121" i="4" l="1"/>
  <c r="V121" i="4"/>
  <c r="P120" i="8"/>
  <c r="T120" i="8"/>
  <c r="P121" i="4" l="1"/>
  <c r="T121" i="4"/>
  <c r="S120" i="8"/>
  <c r="Q120" i="8"/>
  <c r="S121" i="4" l="1"/>
  <c r="Q121" i="4"/>
  <c r="O121" i="8"/>
  <c r="V121" i="8"/>
  <c r="O122" i="4" l="1"/>
  <c r="V122" i="4"/>
  <c r="T121" i="8"/>
  <c r="P121" i="8"/>
  <c r="T122" i="4" l="1"/>
  <c r="P122" i="4"/>
  <c r="S121" i="8"/>
  <c r="Q121" i="8"/>
  <c r="S122" i="4" l="1"/>
  <c r="Q122" i="4"/>
  <c r="V122" i="8"/>
  <c r="O122" i="8"/>
  <c r="O123" i="4" l="1"/>
  <c r="V123" i="4"/>
  <c r="P122" i="8"/>
  <c r="T122" i="8"/>
  <c r="P123" i="4" l="1"/>
  <c r="T123" i="4"/>
  <c r="S122" i="8"/>
  <c r="Q122" i="8"/>
  <c r="Q123" i="4" l="1"/>
  <c r="S123" i="4"/>
  <c r="O123" i="8"/>
  <c r="V123" i="8"/>
  <c r="O124" i="4" l="1"/>
  <c r="V124" i="4"/>
  <c r="P123" i="8"/>
  <c r="T123" i="8"/>
  <c r="P124" i="4" l="1"/>
  <c r="T124" i="4"/>
  <c r="S123" i="8"/>
  <c r="Q123" i="8"/>
  <c r="Q124" i="4" l="1"/>
  <c r="S124" i="4"/>
  <c r="V124" i="8"/>
  <c r="O124" i="8"/>
  <c r="O125" i="4" l="1"/>
  <c r="V125" i="4"/>
  <c r="T124" i="8"/>
  <c r="P124" i="8"/>
  <c r="P125" i="4" l="1"/>
  <c r="T125" i="4"/>
  <c r="S124" i="8"/>
  <c r="Q124" i="8"/>
  <c r="Q125" i="4" l="1"/>
  <c r="S125" i="4"/>
  <c r="V125" i="8"/>
  <c r="O125" i="8"/>
  <c r="O126" i="4" l="1"/>
  <c r="V126" i="4"/>
  <c r="P125" i="8"/>
  <c r="T125" i="8"/>
  <c r="P126" i="4" l="1"/>
  <c r="T126" i="4"/>
  <c r="S125" i="8"/>
  <c r="Q125" i="8"/>
  <c r="Q126" i="4" l="1"/>
  <c r="S126" i="4"/>
  <c r="O126" i="8"/>
  <c r="V126" i="8"/>
  <c r="O127" i="4" l="1"/>
  <c r="V127" i="4"/>
  <c r="P126" i="8"/>
  <c r="T126" i="8"/>
  <c r="P127" i="4" l="1"/>
  <c r="T127" i="4"/>
  <c r="S126" i="8"/>
  <c r="Q126" i="8"/>
  <c r="Q127" i="4" l="1"/>
  <c r="S127" i="4"/>
  <c r="V127" i="8"/>
  <c r="O127" i="8"/>
  <c r="O128" i="4" l="1"/>
  <c r="V128" i="4"/>
  <c r="P127" i="8"/>
  <c r="T127" i="8"/>
  <c r="P128" i="4" l="1"/>
  <c r="T128" i="4"/>
  <c r="S127" i="8"/>
  <c r="Q127" i="8"/>
  <c r="Q128" i="4" l="1"/>
  <c r="S128" i="4"/>
  <c r="V128" i="8"/>
  <c r="O128" i="8"/>
  <c r="O129" i="4" l="1"/>
  <c r="V129" i="4"/>
  <c r="P128" i="8"/>
  <c r="T128" i="8"/>
  <c r="P129" i="4" l="1"/>
  <c r="T129" i="4"/>
  <c r="S128" i="8"/>
  <c r="Q128" i="8"/>
  <c r="Q129" i="4" l="1"/>
  <c r="S129" i="4"/>
  <c r="V129" i="8"/>
  <c r="O129" i="8"/>
  <c r="O130" i="4" l="1"/>
  <c r="V130" i="4"/>
  <c r="P129" i="8"/>
  <c r="T129" i="8"/>
  <c r="P130" i="4" l="1"/>
  <c r="T130" i="4"/>
  <c r="S129" i="8"/>
  <c r="Q129" i="8"/>
  <c r="Q130" i="4" l="1"/>
  <c r="S130" i="4"/>
  <c r="O130" i="8"/>
  <c r="V130" i="8"/>
  <c r="O131" i="4" l="1"/>
  <c r="V131" i="4"/>
  <c r="P130" i="8"/>
  <c r="T130" i="8"/>
  <c r="P131" i="4" l="1"/>
  <c r="T131" i="4"/>
  <c r="S130" i="8"/>
  <c r="Q130" i="8"/>
  <c r="Q131" i="4" l="1"/>
  <c r="S131" i="4"/>
  <c r="V131" i="8"/>
  <c r="O131" i="8"/>
  <c r="O132" i="4" l="1"/>
  <c r="V132" i="4"/>
  <c r="P131" i="8"/>
  <c r="T131" i="8"/>
  <c r="P132" i="4" l="1"/>
  <c r="T132" i="4"/>
  <c r="S131" i="8"/>
  <c r="Q131" i="8"/>
  <c r="Q132" i="4" l="1"/>
  <c r="S132" i="4"/>
  <c r="O132" i="8"/>
  <c r="V132" i="8"/>
  <c r="O133" i="4" l="1"/>
  <c r="V133" i="4"/>
  <c r="P132" i="8"/>
  <c r="T132" i="8"/>
  <c r="P133" i="4" l="1"/>
  <c r="T133" i="4"/>
  <c r="S132" i="8"/>
  <c r="Q132" i="8"/>
  <c r="Q133" i="4" l="1"/>
  <c r="S133" i="4"/>
  <c r="O133" i="8"/>
  <c r="V133" i="8"/>
  <c r="O134" i="4" l="1"/>
  <c r="V134" i="4"/>
  <c r="P133" i="8"/>
  <c r="T133" i="8"/>
  <c r="P134" i="4" l="1"/>
  <c r="T134" i="4"/>
  <c r="S133" i="8"/>
  <c r="Q133" i="8"/>
  <c r="Q134" i="4" l="1"/>
  <c r="S134" i="4"/>
  <c r="O134" i="8"/>
  <c r="V134" i="8"/>
  <c r="O135" i="4" l="1"/>
  <c r="V135" i="4"/>
  <c r="P134" i="8"/>
  <c r="T134" i="8"/>
  <c r="P135" i="4" l="1"/>
  <c r="T135" i="4"/>
  <c r="S134" i="8"/>
  <c r="Q134" i="8"/>
  <c r="Q135" i="4" l="1"/>
  <c r="S135" i="4"/>
  <c r="V135" i="8"/>
  <c r="O135" i="8"/>
  <c r="O136" i="4" l="1"/>
  <c r="V136" i="4"/>
  <c r="P135" i="8"/>
  <c r="T135" i="8"/>
  <c r="P136" i="4" l="1"/>
  <c r="T136" i="4"/>
  <c r="S135" i="8"/>
  <c r="Q135" i="8"/>
  <c r="Q136" i="4" l="1"/>
  <c r="S136" i="4"/>
  <c r="O136" i="8"/>
  <c r="V136" i="8"/>
  <c r="O137" i="4" l="1"/>
  <c r="V137" i="4"/>
  <c r="P136" i="8"/>
  <c r="T136" i="8"/>
  <c r="P137" i="4" l="1"/>
  <c r="T137" i="4"/>
  <c r="S136" i="8"/>
  <c r="Q136" i="8"/>
  <c r="Q137" i="4" l="1"/>
  <c r="S137" i="4"/>
  <c r="O137" i="8"/>
  <c r="V137" i="8"/>
  <c r="O138" i="4" l="1"/>
  <c r="V138" i="4"/>
  <c r="P137" i="8"/>
  <c r="T137" i="8"/>
  <c r="P138" i="4" l="1"/>
  <c r="T138" i="4"/>
  <c r="S137" i="8"/>
  <c r="Q137" i="8"/>
  <c r="Q138" i="4" l="1"/>
  <c r="S138" i="4"/>
  <c r="O138" i="8"/>
  <c r="V138" i="8"/>
  <c r="O139" i="4" l="1"/>
  <c r="V139" i="4"/>
  <c r="P138" i="8"/>
  <c r="T138" i="8"/>
  <c r="P139" i="4" l="1"/>
  <c r="T139" i="4"/>
  <c r="S138" i="8"/>
  <c r="Q138" i="8"/>
  <c r="Q139" i="4" l="1"/>
  <c r="S139" i="4"/>
  <c r="O139" i="8"/>
  <c r="V139" i="8"/>
  <c r="O140" i="4" l="1"/>
  <c r="V140" i="4"/>
  <c r="P139" i="8"/>
  <c r="T139" i="8"/>
  <c r="P140" i="4" l="1"/>
  <c r="T140" i="4"/>
  <c r="S139" i="8"/>
  <c r="Q139" i="8"/>
  <c r="Q140" i="4" l="1"/>
  <c r="S140" i="4"/>
  <c r="O140" i="8"/>
  <c r="V140" i="8"/>
  <c r="O141" i="4" l="1"/>
  <c r="V141" i="4"/>
  <c r="P140" i="8"/>
  <c r="T140" i="8"/>
  <c r="P141" i="4" l="1"/>
  <c r="T141" i="4"/>
  <c r="S140" i="8"/>
  <c r="Q140" i="8"/>
  <c r="Q141" i="4" l="1"/>
  <c r="S141" i="4"/>
  <c r="O141" i="8"/>
  <c r="V141" i="8"/>
  <c r="O142" i="4" l="1"/>
  <c r="V142" i="4"/>
  <c r="P141" i="8"/>
  <c r="T141" i="8"/>
  <c r="P142" i="4" l="1"/>
  <c r="T142" i="4"/>
  <c r="S141" i="8"/>
  <c r="Q141" i="8"/>
  <c r="Q142" i="4" l="1"/>
  <c r="S142" i="4"/>
  <c r="O142" i="8"/>
  <c r="V142" i="8"/>
  <c r="O143" i="4" l="1"/>
  <c r="V143" i="4"/>
  <c r="P142" i="8"/>
  <c r="T142" i="8"/>
  <c r="P143" i="4" l="1"/>
  <c r="T143" i="4"/>
  <c r="S142" i="8"/>
  <c r="Q142" i="8"/>
  <c r="Q143" i="4" l="1"/>
  <c r="S143" i="4"/>
  <c r="O143" i="8"/>
  <c r="V143" i="8"/>
  <c r="O144" i="4" l="1"/>
  <c r="V144" i="4"/>
  <c r="P143" i="8"/>
  <c r="T143" i="8"/>
  <c r="P144" i="4" l="1"/>
  <c r="T144" i="4"/>
  <c r="S143" i="8"/>
  <c r="Q143" i="8"/>
  <c r="Q144" i="4" l="1"/>
  <c r="S144" i="4"/>
  <c r="O144" i="8"/>
  <c r="V144" i="8"/>
  <c r="O145" i="4" l="1"/>
  <c r="V145" i="4"/>
  <c r="P144" i="8"/>
  <c r="T144" i="8"/>
  <c r="P145" i="4" l="1"/>
  <c r="T145" i="4"/>
  <c r="S144" i="8"/>
  <c r="Q144" i="8"/>
  <c r="Q145" i="4" l="1"/>
  <c r="S145" i="4"/>
  <c r="O145" i="8"/>
  <c r="V145" i="8"/>
  <c r="O146" i="4" l="1"/>
  <c r="V146" i="4"/>
  <c r="P145" i="8"/>
  <c r="T145" i="8"/>
  <c r="P146" i="4" l="1"/>
  <c r="T146" i="4"/>
  <c r="S145" i="8"/>
  <c r="Q145" i="8"/>
  <c r="Q146" i="4" l="1"/>
  <c r="S146" i="4"/>
  <c r="O146" i="8"/>
  <c r="V146" i="8"/>
  <c r="O147" i="4" l="1"/>
  <c r="V147" i="4"/>
  <c r="P146" i="8"/>
  <c r="T146" i="8"/>
  <c r="P147" i="4" l="1"/>
  <c r="T147" i="4"/>
  <c r="S146" i="8"/>
  <c r="Q146" i="8"/>
  <c r="Q147" i="4" l="1"/>
  <c r="S147" i="4"/>
  <c r="O147" i="8"/>
  <c r="V147" i="8"/>
  <c r="O148" i="4" l="1"/>
  <c r="V148" i="4"/>
  <c r="P147" i="8"/>
  <c r="T147" i="8"/>
  <c r="P148" i="4" l="1"/>
  <c r="T148" i="4"/>
  <c r="S147" i="8"/>
  <c r="Q147" i="8"/>
  <c r="Q148" i="4" l="1"/>
  <c r="S148" i="4"/>
  <c r="O148" i="8"/>
  <c r="V148" i="8"/>
  <c r="O149" i="4" l="1"/>
  <c r="V149" i="4"/>
  <c r="P148" i="8"/>
  <c r="T148" i="8"/>
  <c r="P149" i="4" l="1"/>
  <c r="T149" i="4"/>
  <c r="S148" i="8"/>
  <c r="Q148" i="8"/>
  <c r="Q149" i="4" l="1"/>
  <c r="S149" i="4"/>
  <c r="O149" i="8"/>
  <c r="V149" i="8"/>
  <c r="O150" i="4" l="1"/>
  <c r="V150" i="4"/>
  <c r="P149" i="8"/>
  <c r="T149" i="8"/>
  <c r="P150" i="4" l="1"/>
  <c r="T150" i="4"/>
  <c r="S149" i="8"/>
  <c r="Q149" i="8"/>
  <c r="Q150" i="4" l="1"/>
  <c r="S150" i="4"/>
  <c r="O150" i="8"/>
  <c r="V150" i="8"/>
  <c r="O151" i="4" l="1"/>
  <c r="V151" i="4"/>
  <c r="P150" i="8"/>
  <c r="T150" i="8"/>
  <c r="P151" i="4" l="1"/>
  <c r="T151" i="4"/>
  <c r="S150" i="8"/>
  <c r="Q150" i="8"/>
  <c r="Q151" i="4" l="1"/>
  <c r="S151" i="4"/>
  <c r="O151" i="8"/>
  <c r="V151" i="8"/>
  <c r="O152" i="4" l="1"/>
  <c r="V152" i="4"/>
  <c r="P151" i="8"/>
  <c r="T151" i="8"/>
  <c r="P152" i="4" l="1"/>
  <c r="T152" i="4"/>
  <c r="S151" i="8"/>
  <c r="Q151" i="8"/>
  <c r="Q152" i="4" l="1"/>
  <c r="S152" i="4"/>
  <c r="V152" i="8"/>
  <c r="O152" i="8"/>
  <c r="O153" i="4" l="1"/>
  <c r="V153" i="4"/>
  <c r="P152" i="8"/>
  <c r="T152" i="8"/>
  <c r="P153" i="4" l="1"/>
  <c r="T153" i="4"/>
  <c r="S152" i="8"/>
  <c r="Q152" i="8"/>
  <c r="Q153" i="4" l="1"/>
  <c r="S153" i="4"/>
  <c r="O153" i="8"/>
  <c r="V153" i="8"/>
  <c r="O154" i="4" l="1"/>
  <c r="V154" i="4"/>
  <c r="P153" i="8"/>
  <c r="T153" i="8"/>
  <c r="P154" i="4" l="1"/>
  <c r="T154" i="4"/>
  <c r="S153" i="8"/>
  <c r="Q153" i="8"/>
  <c r="Q154" i="4" l="1"/>
  <c r="S154" i="4"/>
  <c r="O154" i="8"/>
  <c r="V154" i="8"/>
  <c r="O155" i="4" l="1"/>
  <c r="V155" i="4"/>
  <c r="P154" i="8"/>
  <c r="T154" i="8"/>
  <c r="P155" i="4" l="1"/>
  <c r="T155" i="4"/>
  <c r="S154" i="8"/>
  <c r="Q154" i="8"/>
  <c r="Q155" i="4" l="1"/>
  <c r="S155" i="4"/>
  <c r="O155" i="8"/>
  <c r="V155" i="8"/>
  <c r="O156" i="4" l="1"/>
  <c r="V156" i="4"/>
  <c r="P155" i="8"/>
  <c r="T155" i="8"/>
  <c r="P156" i="4" l="1"/>
  <c r="T156" i="4"/>
  <c r="S155" i="8"/>
  <c r="Q155" i="8"/>
  <c r="Q156" i="4" l="1"/>
  <c r="S156" i="4"/>
  <c r="O156" i="8"/>
  <c r="V156" i="8"/>
  <c r="O157" i="4" l="1"/>
  <c r="V157" i="4"/>
  <c r="P156" i="8"/>
  <c r="T156" i="8"/>
  <c r="P157" i="4" l="1"/>
  <c r="T157" i="4"/>
  <c r="S156" i="8"/>
  <c r="Q156" i="8"/>
  <c r="Q157" i="4" l="1"/>
  <c r="S157" i="4"/>
  <c r="O157" i="8"/>
  <c r="V157" i="8"/>
  <c r="O158" i="4" l="1"/>
  <c r="V158" i="4"/>
  <c r="P157" i="8"/>
  <c r="T157" i="8"/>
  <c r="P158" i="4" l="1"/>
  <c r="T158" i="4"/>
  <c r="S157" i="8"/>
  <c r="Q157" i="8"/>
  <c r="Q158" i="4" l="1"/>
  <c r="S158" i="4"/>
  <c r="O158" i="8"/>
  <c r="V158" i="8"/>
  <c r="O159" i="4" l="1"/>
  <c r="V159" i="4"/>
  <c r="P158" i="8"/>
  <c r="T158" i="8"/>
  <c r="P159" i="4" l="1"/>
  <c r="T159" i="4"/>
  <c r="S158" i="8"/>
  <c r="Q158" i="8"/>
  <c r="Q159" i="4" l="1"/>
  <c r="S159" i="4"/>
  <c r="O159" i="8"/>
  <c r="V159" i="8"/>
  <c r="O160" i="4" l="1"/>
  <c r="V160" i="4"/>
  <c r="P159" i="8"/>
  <c r="T159" i="8"/>
  <c r="P160" i="4" l="1"/>
  <c r="T160" i="4"/>
  <c r="S159" i="8"/>
  <c r="Q159" i="8"/>
  <c r="Q160" i="4" l="1"/>
  <c r="S160" i="4"/>
  <c r="O160" i="8"/>
  <c r="V160" i="8"/>
  <c r="O161" i="4" l="1"/>
  <c r="V161" i="4"/>
  <c r="P160" i="8"/>
  <c r="T160" i="8"/>
  <c r="P161" i="4" l="1"/>
  <c r="T161" i="4"/>
  <c r="S160" i="8"/>
  <c r="Q160" i="8"/>
  <c r="Q161" i="4" l="1"/>
  <c r="S161" i="4"/>
  <c r="V161" i="8"/>
  <c r="O161" i="8"/>
  <c r="O162" i="4" l="1"/>
  <c r="V162" i="4"/>
  <c r="P161" i="8"/>
  <c r="T161" i="8"/>
  <c r="P162" i="4" l="1"/>
  <c r="T162" i="4"/>
  <c r="S161" i="8"/>
  <c r="Q161" i="8"/>
  <c r="Q162" i="4" l="1"/>
  <c r="S162" i="4"/>
  <c r="O162" i="8"/>
  <c r="V162" i="8"/>
  <c r="O163" i="4" l="1"/>
  <c r="V163" i="4"/>
  <c r="P162" i="8"/>
  <c r="T162" i="8"/>
  <c r="P163" i="4" l="1"/>
  <c r="T163" i="4"/>
  <c r="S162" i="8"/>
  <c r="Q162" i="8"/>
  <c r="Q163" i="4" l="1"/>
  <c r="S163" i="4"/>
  <c r="O163" i="8"/>
  <c r="V163" i="8"/>
  <c r="O164" i="4" l="1"/>
  <c r="V164" i="4"/>
  <c r="P163" i="8"/>
  <c r="T163" i="8"/>
  <c r="P164" i="4" l="1"/>
  <c r="T164" i="4"/>
  <c r="S163" i="8"/>
  <c r="Q163" i="8"/>
  <c r="Q164" i="4" l="1"/>
  <c r="S164" i="4"/>
  <c r="V164" i="8"/>
  <c r="O164" i="8"/>
  <c r="O165" i="4" l="1"/>
  <c r="V165" i="4"/>
  <c r="P164" i="8"/>
  <c r="T164" i="8"/>
  <c r="P165" i="4" l="1"/>
  <c r="T165" i="4"/>
  <c r="S164" i="8"/>
  <c r="Q164" i="8"/>
  <c r="Q165" i="4" l="1"/>
  <c r="S165" i="4"/>
  <c r="O165" i="8"/>
  <c r="V165" i="8"/>
  <c r="O166" i="4" l="1"/>
  <c r="V166" i="4"/>
  <c r="P165" i="8"/>
  <c r="T165" i="8"/>
  <c r="P166" i="4" l="1"/>
  <c r="T166" i="4"/>
  <c r="S165" i="8"/>
  <c r="Q165" i="8"/>
  <c r="Q166" i="4" l="1"/>
  <c r="S166" i="4"/>
  <c r="O166" i="8"/>
  <c r="V166" i="8"/>
  <c r="O167" i="4" l="1"/>
  <c r="V167" i="4"/>
  <c r="P166" i="8"/>
  <c r="T166" i="8"/>
  <c r="P167" i="4" l="1"/>
  <c r="T167" i="4"/>
  <c r="S166" i="8"/>
  <c r="Q166" i="8"/>
  <c r="Q167" i="4" l="1"/>
  <c r="S167" i="4"/>
  <c r="O167" i="8"/>
  <c r="V167" i="8"/>
  <c r="O168" i="4" l="1"/>
  <c r="V168" i="4"/>
  <c r="P167" i="8"/>
  <c r="T167" i="8"/>
  <c r="P168" i="4" l="1"/>
  <c r="T168" i="4"/>
  <c r="S167" i="8"/>
  <c r="Q167" i="8"/>
  <c r="Q168" i="4" l="1"/>
  <c r="S168" i="4"/>
  <c r="O168" i="8"/>
  <c r="V168" i="8"/>
  <c r="O169" i="4" l="1"/>
  <c r="V169" i="4"/>
  <c r="P168" i="8"/>
  <c r="T168" i="8"/>
  <c r="P169" i="4" l="1"/>
  <c r="T169" i="4"/>
  <c r="S168" i="8"/>
  <c r="Q168" i="8"/>
  <c r="Q169" i="4" l="1"/>
  <c r="S169" i="4"/>
  <c r="O169" i="8"/>
  <c r="V169" i="8"/>
  <c r="O170" i="4" l="1"/>
  <c r="V170" i="4"/>
  <c r="P169" i="8"/>
  <c r="T169" i="8"/>
  <c r="P170" i="4" l="1"/>
  <c r="T170" i="4"/>
  <c r="S169" i="8"/>
  <c r="Q169" i="8"/>
  <c r="Q170" i="4" l="1"/>
  <c r="S170" i="4"/>
  <c r="O170" i="8"/>
  <c r="V170" i="8"/>
  <c r="O171" i="4" l="1"/>
  <c r="V171" i="4"/>
  <c r="P170" i="8"/>
  <c r="T170" i="8"/>
  <c r="P171" i="4" l="1"/>
  <c r="T171" i="4"/>
  <c r="S170" i="8"/>
  <c r="Q170" i="8"/>
  <c r="Q171" i="4" l="1"/>
  <c r="S171" i="4"/>
  <c r="O171" i="8"/>
  <c r="V171" i="8"/>
  <c r="O172" i="4" l="1"/>
  <c r="V172" i="4"/>
  <c r="P171" i="8"/>
  <c r="T171" i="8"/>
  <c r="P172" i="4" l="1"/>
  <c r="T172" i="4"/>
  <c r="S171" i="8"/>
  <c r="Q171" i="8"/>
  <c r="Q172" i="4" l="1"/>
  <c r="S172" i="4"/>
  <c r="O172" i="8"/>
  <c r="V172" i="8"/>
  <c r="O173" i="4" l="1"/>
  <c r="V173" i="4"/>
  <c r="P172" i="8"/>
  <c r="T172" i="8"/>
  <c r="P173" i="4" l="1"/>
  <c r="T173" i="4"/>
  <c r="S172" i="8"/>
  <c r="Q172" i="8"/>
  <c r="Q173" i="4" l="1"/>
  <c r="S173" i="4"/>
  <c r="O173" i="8"/>
  <c r="V173" i="8"/>
  <c r="O174" i="4" l="1"/>
  <c r="V174" i="4"/>
  <c r="P173" i="8"/>
  <c r="T173" i="8"/>
  <c r="P174" i="4" l="1"/>
  <c r="T174" i="4"/>
  <c r="S173" i="8"/>
  <c r="Q173" i="8"/>
  <c r="Q174" i="4" l="1"/>
  <c r="S174" i="4"/>
  <c r="O174" i="8"/>
  <c r="V174" i="8"/>
  <c r="O175" i="4" l="1"/>
  <c r="V175" i="4"/>
  <c r="T174" i="8"/>
  <c r="P174" i="8"/>
  <c r="P175" i="4" l="1"/>
  <c r="T175" i="4"/>
  <c r="S174" i="8"/>
  <c r="Q174" i="8"/>
  <c r="Q175" i="4" l="1"/>
  <c r="S175" i="4"/>
  <c r="O175" i="8"/>
  <c r="V175" i="8"/>
  <c r="O176" i="4" l="1"/>
  <c r="V176" i="4"/>
  <c r="P175" i="8"/>
  <c r="T175" i="8"/>
  <c r="P176" i="4" l="1"/>
  <c r="T176" i="4"/>
  <c r="S175" i="8"/>
  <c r="Q175" i="8"/>
  <c r="Q176" i="4" l="1"/>
  <c r="S176" i="4"/>
  <c r="O176" i="8"/>
  <c r="V176" i="8"/>
  <c r="O177" i="4" l="1"/>
  <c r="V177" i="4"/>
  <c r="P176" i="8"/>
  <c r="T176" i="8"/>
  <c r="P177" i="4" l="1"/>
  <c r="T177" i="4"/>
  <c r="S176" i="8"/>
  <c r="Q176" i="8"/>
  <c r="Q177" i="4" l="1"/>
  <c r="S177" i="4"/>
  <c r="O177" i="8"/>
  <c r="V177" i="8"/>
  <c r="O178" i="4" l="1"/>
  <c r="V178" i="4"/>
  <c r="P177" i="8"/>
  <c r="T177" i="8"/>
  <c r="P178" i="4" l="1"/>
  <c r="T178" i="4"/>
  <c r="S177" i="8"/>
  <c r="Q177" i="8"/>
  <c r="Q178" i="4" l="1"/>
  <c r="S178" i="4"/>
  <c r="O178" i="8"/>
  <c r="V178" i="8"/>
  <c r="O179" i="4" l="1"/>
  <c r="V179" i="4"/>
  <c r="P178" i="8"/>
  <c r="T178" i="8"/>
  <c r="P179" i="4" l="1"/>
  <c r="T179" i="4"/>
  <c r="S178" i="8"/>
  <c r="Q178" i="8"/>
  <c r="Q179" i="4" l="1"/>
  <c r="S179" i="4"/>
  <c r="O179" i="8"/>
  <c r="V179" i="8"/>
  <c r="O180" i="4" l="1"/>
  <c r="V180" i="4"/>
  <c r="T179" i="8"/>
  <c r="P179" i="8"/>
  <c r="P180" i="4" l="1"/>
  <c r="T180" i="4"/>
  <c r="S179" i="8"/>
  <c r="Q179" i="8"/>
  <c r="Q180" i="4" l="1"/>
  <c r="S180" i="4"/>
  <c r="O180" i="8"/>
  <c r="V180" i="8"/>
  <c r="O181" i="4" l="1"/>
  <c r="V181" i="4"/>
  <c r="P180" i="8"/>
  <c r="T180" i="8"/>
  <c r="P181" i="4" l="1"/>
  <c r="T181" i="4"/>
  <c r="S180" i="8"/>
  <c r="Q180" i="8"/>
  <c r="Q181" i="4" l="1"/>
  <c r="S181" i="4"/>
  <c r="O181" i="8"/>
  <c r="V181" i="8"/>
  <c r="O182" i="4" l="1"/>
  <c r="V182" i="4"/>
  <c r="P181" i="8"/>
  <c r="T181" i="8"/>
  <c r="T182" i="4" l="1"/>
  <c r="P182" i="4"/>
  <c r="C18" i="50"/>
  <c r="S181" i="8"/>
  <c r="Q181" i="8"/>
  <c r="Q182" i="4" l="1"/>
  <c r="S182" i="4"/>
  <c r="O182" i="8"/>
  <c r="V182" i="8"/>
  <c r="T182" i="8" l="1"/>
  <c r="P182" i="8"/>
  <c r="D18" i="50"/>
  <c r="S182" i="8" l="1"/>
  <c r="Q182"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Korduła Grzegorz BANK</author>
    <author>Kozal, A. (Anna)</author>
  </authors>
  <commentList>
    <comment ref="F5" authorId="0" shapeId="0" xr:uid="{80F5B121-CAFD-41F5-8BCA-AFDD710AFF8D}">
      <text>
        <r>
          <rPr>
            <sz val="9"/>
            <color indexed="81"/>
            <rFont val="Tahoma"/>
            <family val="2"/>
            <charset val="238"/>
          </rPr>
          <t xml:space="preserve">oferta </t>
        </r>
        <r>
          <rPr>
            <b/>
            <sz val="9"/>
            <color indexed="81"/>
            <rFont val="Tahoma"/>
            <family val="2"/>
            <charset val="238"/>
          </rPr>
          <t xml:space="preserve">Pożyczka z BGK </t>
        </r>
        <r>
          <rPr>
            <sz val="9"/>
            <color indexed="81"/>
            <rFont val="Tahoma"/>
            <family val="2"/>
            <charset val="238"/>
          </rPr>
          <t>na okres 120 miesięcy na max 1,2 mln zł, 
przy okresie kredytowania do 57 miesięcy możliwe odstępstwo do 2 mln zł</t>
        </r>
      </text>
    </comment>
    <comment ref="F10" authorId="0" shapeId="0" xr:uid="{00000000-0006-0000-0000-000001000000}">
      <text>
        <r>
          <rPr>
            <sz val="9"/>
            <color indexed="81"/>
            <rFont val="Tahoma"/>
            <family val="2"/>
            <charset val="238"/>
          </rPr>
          <t>obniża marżę o 0,5%, koszt 0,12% od salda kredytu
dostępne dla kwot kredytu do 300 kPLN (zawierane przy podpisaniu umowy kredytowej) lub dla kwot do 100 kPLN (przez aplikację Moje ING)</t>
        </r>
      </text>
    </comment>
    <comment ref="F11" authorId="0" shapeId="0" xr:uid="{00000000-0006-0000-0000-000002000000}">
      <text>
        <r>
          <rPr>
            <sz val="9"/>
            <color indexed="81"/>
            <rFont val="Tahoma"/>
            <family val="2"/>
            <charset val="238"/>
          </rPr>
          <t>WPROWADŹ:
WIBOR 1M</t>
        </r>
      </text>
    </comment>
    <comment ref="F15" authorId="0" shapeId="0" xr:uid="{00000000-0006-0000-0000-000003000000}">
      <text>
        <r>
          <rPr>
            <sz val="9"/>
            <color indexed="81"/>
            <rFont val="Tahoma"/>
            <family val="2"/>
            <charset val="238"/>
          </rPr>
          <t>Pozostałe raty co m-c w tym samym dniu
Dozwolone dni m-ca od 1 do 30</t>
        </r>
      </text>
    </comment>
    <comment ref="O23" authorId="1" shapeId="0" xr:uid="{00000000-0006-0000-0000-000004000000}">
      <text>
        <r>
          <rPr>
            <b/>
            <sz val="9"/>
            <color indexed="81"/>
            <rFont val="Tahoma"/>
            <family val="2"/>
            <charset val="238"/>
          </rPr>
          <t xml:space="preserve">Kozal, A. (Anna): </t>
        </r>
        <r>
          <rPr>
            <sz val="9"/>
            <color indexed="81"/>
            <rFont val="Tahoma"/>
            <family val="2"/>
            <charset val="238"/>
          </rPr>
          <t>dla BGK zawsze zabezpieczenie = TAK</t>
        </r>
      </text>
    </comment>
    <comment ref="O30" authorId="1" shapeId="0" xr:uid="{00000000-0006-0000-0000-000005000000}">
      <text>
        <r>
          <rPr>
            <b/>
            <sz val="9"/>
            <color indexed="81"/>
            <rFont val="Tahoma"/>
            <family val="2"/>
            <charset val="238"/>
          </rPr>
          <t>Kozal, A. (Anna):</t>
        </r>
        <r>
          <rPr>
            <sz val="9"/>
            <color indexed="81"/>
            <rFont val="Tahoma"/>
            <family val="2"/>
            <charset val="238"/>
          </rPr>
          <t xml:space="preserve">
dla BGK zawsze zabezpieczenie = TAK</t>
        </r>
      </text>
    </comment>
    <comment ref="O37" authorId="1" shapeId="0" xr:uid="{00000000-0006-0000-0000-000006000000}">
      <text>
        <r>
          <rPr>
            <b/>
            <sz val="9"/>
            <color indexed="81"/>
            <rFont val="Tahoma"/>
            <family val="2"/>
            <charset val="238"/>
          </rPr>
          <t>Kozal, A. (Anna):</t>
        </r>
        <r>
          <rPr>
            <sz val="9"/>
            <color indexed="81"/>
            <rFont val="Tahoma"/>
            <family val="2"/>
            <charset val="238"/>
          </rPr>
          <t xml:space="preserve">
dla BGK zawsze zabezpieczenie = TAK</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B0575709</author>
    <author>Liszka Przemysław BANK</author>
    <author>Korduła Grzegorz BANK</author>
  </authors>
  <commentList>
    <comment ref="F1" authorId="0" shapeId="0" xr:uid="{00000000-0006-0000-0400-000001000000}">
      <text>
        <r>
          <rPr>
            <b/>
            <sz val="8"/>
            <color indexed="81"/>
            <rFont val="Tahoma"/>
            <family val="2"/>
            <charset val="238"/>
          </rPr>
          <t>B0575709:</t>
        </r>
        <r>
          <rPr>
            <sz val="8"/>
            <color indexed="81"/>
            <rFont val="Tahoma"/>
            <family val="2"/>
            <charset val="238"/>
          </rPr>
          <t xml:space="preserve">
jeśli dane roczne z kpir za listopdad i jednocześnie niepełne dane roczne</t>
        </r>
      </text>
    </comment>
    <comment ref="E8" authorId="0" shapeId="0" xr:uid="{00000000-0006-0000-0400-000002000000}">
      <text>
        <r>
          <rPr>
            <b/>
            <sz val="8"/>
            <color indexed="81"/>
            <rFont val="Tahoma"/>
            <family val="2"/>
            <charset val="238"/>
          </rPr>
          <t>B0575709:</t>
        </r>
        <r>
          <rPr>
            <sz val="8"/>
            <color indexed="81"/>
            <rFont val="Tahoma"/>
            <family val="2"/>
            <charset val="238"/>
          </rPr>
          <t xml:space="preserve">
zmiana 26.11.2012
</t>
        </r>
      </text>
    </comment>
    <comment ref="E13" authorId="0" shapeId="0" xr:uid="{00000000-0006-0000-0400-000003000000}">
      <text>
        <r>
          <rPr>
            <b/>
            <sz val="8"/>
            <color indexed="81"/>
            <rFont val="Tahoma"/>
            <family val="2"/>
            <charset val="238"/>
          </rPr>
          <t>B0575709:</t>
        </r>
        <r>
          <rPr>
            <sz val="8"/>
            <color indexed="81"/>
            <rFont val="Tahoma"/>
            <family val="2"/>
            <charset val="238"/>
          </rPr>
          <t xml:space="preserve">
zmiana 26.11.2012
bez amortyzacji</t>
        </r>
      </text>
    </comment>
    <comment ref="F13" authorId="1" shapeId="0" xr:uid="{00000000-0006-0000-0400-000004000000}">
      <text>
        <r>
          <rPr>
            <b/>
            <sz val="9"/>
            <color indexed="81"/>
            <rFont val="Tahoma"/>
            <family val="2"/>
            <charset val="238"/>
          </rPr>
          <t>Liszka Przemysław BANK:</t>
        </r>
        <r>
          <rPr>
            <sz val="9"/>
            <color indexed="81"/>
            <rFont val="Tahoma"/>
            <family val="2"/>
            <charset val="238"/>
          </rPr>
          <t xml:space="preserve">
bez amorytzacji</t>
        </r>
      </text>
    </comment>
    <comment ref="D17" authorId="2" shapeId="0" xr:uid="{00000000-0006-0000-0400-000005000000}">
      <text>
        <r>
          <rPr>
            <b/>
            <sz val="9"/>
            <color indexed="81"/>
            <rFont val="Tahoma"/>
            <family val="2"/>
            <charset val="238"/>
          </rPr>
          <t>Korduła Grzegorz BANK:</t>
        </r>
        <r>
          <rPr>
            <sz val="9"/>
            <color indexed="81"/>
            <rFont val="Tahoma"/>
            <family val="2"/>
            <charset val="238"/>
          </rPr>
          <t xml:space="preserve">
zamiast E7 przyjąłem E8
</t>
        </r>
      </text>
    </comment>
    <comment ref="H17" authorId="0" shapeId="0" xr:uid="{00000000-0006-0000-0400-000006000000}">
      <text>
        <r>
          <rPr>
            <b/>
            <sz val="8"/>
            <color indexed="81"/>
            <rFont val="Tahoma"/>
            <family val="2"/>
            <charset val="238"/>
          </rPr>
          <t>B0575709:</t>
        </r>
        <r>
          <rPr>
            <sz val="8"/>
            <color indexed="81"/>
            <rFont val="Tahoma"/>
            <family val="2"/>
            <charset val="238"/>
          </rPr>
          <t xml:space="preserve">
do 26 11.2012 było: JEŻELI(F4&gt;0;(JEŻELI(D6/D10&gt;0,9;MAX(G12;H15);H15));G7)
jeszcze wcześniej było:
stary wzorek =JEŻELI(F4&gt;0;(JEŻELI(D6/D10&gt;0,9;MAX(G12;H15);G12));G7)</t>
        </r>
      </text>
    </comment>
    <comment ref="H19" authorId="0" shapeId="0" xr:uid="{00000000-0006-0000-0400-000007000000}">
      <text>
        <r>
          <rPr>
            <b/>
            <sz val="8"/>
            <color indexed="81"/>
            <rFont val="Tahoma"/>
            <family val="2"/>
            <charset val="238"/>
          </rPr>
          <t>B0575709:</t>
        </r>
        <r>
          <rPr>
            <sz val="8"/>
            <color indexed="81"/>
            <rFont val="Tahoma"/>
            <family val="2"/>
            <charset val="238"/>
          </rPr>
          <t xml:space="preserve">
styary wozrek
=JEŻELI(F4&gt;0;(JEŻELI(D6/D10&gt;0,9;MAX(I12;J15);I12));I7)
nowszy wzorek:
=JEŻELI(F4&gt;0;(JEŻELI(D6/D10&gt;0,9;MAX(I12;J15);J15));I7)</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Korduła Grzegorz BANK</author>
  </authors>
  <commentList>
    <comment ref="D11" authorId="0" shapeId="0" xr:uid="{00000000-0006-0000-0500-000001000000}">
      <text>
        <r>
          <rPr>
            <sz val="9"/>
            <color indexed="81"/>
            <rFont val="Tahoma"/>
            <family val="2"/>
            <charset val="238"/>
          </rPr>
          <t>dotyczy umów leasingu zawartych do 12 miesięcy</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Kozal, A. (Anna)</author>
  </authors>
  <commentList>
    <comment ref="I2" authorId="0" shapeId="0" xr:uid="{8160DC63-B58E-458A-92AE-AA690FF3A104}">
      <text>
        <r>
          <rPr>
            <b/>
            <sz val="9"/>
            <color indexed="81"/>
            <rFont val="Tahoma"/>
            <family val="2"/>
            <charset val="238"/>
          </rPr>
          <t>Kozal, A. (Anna):</t>
        </r>
        <r>
          <rPr>
            <sz val="9"/>
            <color indexed="81"/>
            <rFont val="Tahoma"/>
            <family val="2"/>
            <charset val="238"/>
          </rPr>
          <t xml:space="preserve">
aktualizacja 07.07</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Kozal, A. (Anna)</author>
  </authors>
  <commentList>
    <comment ref="H2" authorId="0" shapeId="0" xr:uid="{C2409722-F71D-4793-B9E5-A2DF9DFFA315}">
      <text>
        <r>
          <rPr>
            <b/>
            <sz val="9"/>
            <color indexed="81"/>
            <rFont val="Tahoma"/>
            <family val="2"/>
            <charset val="238"/>
          </rPr>
          <t>Kozal, A. (Anna):</t>
        </r>
        <r>
          <rPr>
            <sz val="9"/>
            <color indexed="81"/>
            <rFont val="Tahoma"/>
            <family val="2"/>
            <charset val="238"/>
          </rPr>
          <t xml:space="preserve">
aktualizacja 07.07</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Kozal, A. (Anna)</author>
  </authors>
  <commentList>
    <comment ref="H2" authorId="0" shapeId="0" xr:uid="{2E5FC4D9-C3EE-4DD6-B88C-85AF5FC4BE8A}">
      <text>
        <r>
          <rPr>
            <b/>
            <sz val="9"/>
            <color indexed="81"/>
            <rFont val="Tahoma"/>
            <family val="2"/>
            <charset val="238"/>
          </rPr>
          <t>Kozal, A. (Anna):</t>
        </r>
        <r>
          <rPr>
            <sz val="9"/>
            <color indexed="81"/>
            <rFont val="Tahoma"/>
            <family val="2"/>
            <charset val="238"/>
          </rPr>
          <t xml:space="preserve">
aktualizacja 07.07</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AG</author>
  </authors>
  <commentList>
    <comment ref="C9" authorId="0" shapeId="0" xr:uid="{00000000-0006-0000-0D00-000001000000}">
      <text>
        <r>
          <rPr>
            <sz val="8"/>
            <color indexed="81"/>
            <rFont val="Tahoma"/>
            <family val="2"/>
            <charset val="238"/>
          </rPr>
          <t xml:space="preserve">Jeżeli kwota przychodów przekacza 100 000 PLN, to w tej pozycji wpisz 100 000 PLN, a pozostałą kwotę w pozycji poniżej.
Np.. Jeżeli przychód wynosi 120 000 PLN tu wpisz tylko </t>
        </r>
        <r>
          <rPr>
            <b/>
            <sz val="8"/>
            <color indexed="81"/>
            <rFont val="Tahoma"/>
            <family val="2"/>
            <charset val="238"/>
          </rPr>
          <t xml:space="preserve">100 000 </t>
        </r>
        <r>
          <rPr>
            <sz val="8"/>
            <color indexed="81"/>
            <rFont val="Tahoma"/>
            <family val="2"/>
            <charset val="238"/>
          </rPr>
          <t>PLN, a resztę poniżej.</t>
        </r>
      </text>
    </comment>
    <comment ref="C13" authorId="0" shapeId="0" xr:uid="{00000000-0006-0000-0D00-000002000000}">
      <text>
        <r>
          <rPr>
            <sz val="8"/>
            <color indexed="81"/>
            <rFont val="Tahoma"/>
            <family val="2"/>
            <charset val="238"/>
          </rPr>
          <t>W tej pozycji wpisz kwotę powyżej 100 000 PLN przychodu. Np. przychód 120 000 pln to wpisz tu</t>
        </r>
        <r>
          <rPr>
            <b/>
            <sz val="8"/>
            <color indexed="81"/>
            <rFont val="Tahoma"/>
            <family val="2"/>
            <charset val="238"/>
          </rPr>
          <t xml:space="preserve"> 20 000 PLN.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Korduła Grzegorz BANK</author>
    <author>Gurgul, K. (Kamila)</author>
    <author>Kozal, A. (Anna)</author>
  </authors>
  <commentList>
    <comment ref="F1" authorId="0" shapeId="0" xr:uid="{00000000-0006-0000-0E00-000001000000}">
      <text>
        <r>
          <rPr>
            <sz val="9"/>
            <color indexed="81"/>
            <rFont val="Tahoma"/>
            <family val="2"/>
            <charset val="238"/>
          </rPr>
          <t>zaznacz, jeśli klient wnioskuje o produkt 
z gwarancją BGK</t>
        </r>
      </text>
    </comment>
    <comment ref="T1" authorId="1" shapeId="0" xr:uid="{028B53BF-040E-4B41-A6C1-5013BCDF140A}">
      <text>
        <r>
          <rPr>
            <b/>
            <sz val="9"/>
            <color indexed="81"/>
            <rFont val="Tahoma"/>
            <family val="2"/>
            <charset val="238"/>
          </rPr>
          <t>aktualizacja: 30.06.2025</t>
        </r>
      </text>
    </comment>
    <comment ref="U1" authorId="1" shapeId="0" xr:uid="{75E14D55-56AB-4CA6-B1AA-3F73053F3590}">
      <text>
        <r>
          <rPr>
            <b/>
            <sz val="9"/>
            <color indexed="81"/>
            <rFont val="Tahoma"/>
            <family val="2"/>
            <charset val="238"/>
          </rPr>
          <t>aktualizacja: 30.06.2025</t>
        </r>
      </text>
    </comment>
    <comment ref="T2" authorId="2" shapeId="0" xr:uid="{25DEA8D1-1B9B-4801-B058-CD356641F940}">
      <text>
        <r>
          <rPr>
            <b/>
            <sz val="9"/>
            <color indexed="81"/>
            <rFont val="Tahoma"/>
            <family val="2"/>
            <charset val="238"/>
          </rPr>
          <t>Kozal, A. (Anna):</t>
        </r>
        <r>
          <rPr>
            <sz val="9"/>
            <color indexed="81"/>
            <rFont val="Tahoma"/>
            <family val="2"/>
            <charset val="238"/>
          </rPr>
          <t xml:space="preserve">
min socjalne, zalecenie KNF pow 5 lat</t>
        </r>
      </text>
    </comment>
    <comment ref="U2" authorId="2" shapeId="0" xr:uid="{057EAD55-BE4A-417E-9BB2-4B7FBF68CE3B}">
      <text>
        <r>
          <rPr>
            <b/>
            <sz val="9"/>
            <color indexed="81"/>
            <rFont val="Tahoma"/>
            <family val="2"/>
            <charset val="238"/>
          </rPr>
          <t>Kozal, A. (Anna):</t>
        </r>
        <r>
          <rPr>
            <sz val="9"/>
            <color indexed="81"/>
            <rFont val="Tahoma"/>
            <family val="2"/>
            <charset val="238"/>
          </rPr>
          <t xml:space="preserve">
min socjalne, dla miast pow 250tyś</t>
        </r>
      </text>
    </comment>
    <comment ref="B16" authorId="1" shapeId="0" xr:uid="{00000000-0006-0000-0E00-000004000000}">
      <text>
        <r>
          <rPr>
            <sz val="9"/>
            <color indexed="81"/>
            <rFont val="Tahoma"/>
            <family val="2"/>
            <charset val="238"/>
          </rPr>
          <t>czyt. notatka obok</t>
        </r>
      </text>
    </comment>
    <comment ref="F21" authorId="0" shapeId="0" xr:uid="{00000000-0006-0000-0E00-000005000000}">
      <text>
        <r>
          <rPr>
            <sz val="9"/>
            <color indexed="81"/>
            <rFont val="Tahoma"/>
            <family val="2"/>
            <charset val="238"/>
          </rPr>
          <t>Kalkulator nie uwzględnia bufora zmiennej stopy procentowej oraz bufora na zmienność kursów waluty (w przypadku kredytów walutowych).</t>
        </r>
      </text>
    </comment>
    <comment ref="R22" authorId="0" shapeId="0" xr:uid="{00000000-0006-0000-0E00-000006000000}">
      <text>
        <r>
          <rPr>
            <b/>
            <sz val="9"/>
            <color indexed="81"/>
            <rFont val="Tahoma"/>
            <family val="2"/>
            <charset val="238"/>
          </rPr>
          <t>Korduła Grzegorz BANK:</t>
        </r>
        <r>
          <rPr>
            <sz val="9"/>
            <color indexed="81"/>
            <rFont val="Tahoma"/>
            <family val="2"/>
            <charset val="238"/>
          </rPr>
          <t xml:space="preserve">
1,466% to 1,3 + bufor uzgodniony z Renatą
</t>
        </r>
      </text>
    </comment>
    <comment ref="F28" authorId="0" shapeId="0" xr:uid="{00000000-0006-0000-0E00-000007000000}">
      <text>
        <r>
          <rPr>
            <b/>
            <sz val="9"/>
            <color indexed="81"/>
            <rFont val="Tahoma"/>
            <family val="2"/>
            <charset val="238"/>
          </rPr>
          <t>120 m-cy</t>
        </r>
        <r>
          <rPr>
            <sz val="9"/>
            <color indexed="81"/>
            <rFont val="Tahoma"/>
            <family val="2"/>
            <charset val="238"/>
          </rPr>
          <t xml:space="preserve">:
- max okres kredytowania dla pożyczki bez zabezpieczenia /            z gwarancją BGK; 
- oferta 'Pożyczka z BGK' na okres 120 miesięcy na max 1,2 mln zł
</t>
        </r>
        <r>
          <rPr>
            <b/>
            <sz val="9"/>
            <color indexed="81"/>
            <rFont val="Tahoma"/>
            <family val="2"/>
            <charset val="238"/>
          </rPr>
          <t>57 m-cy</t>
        </r>
        <r>
          <rPr>
            <sz val="9"/>
            <color indexed="81"/>
            <rFont val="Tahoma"/>
            <family val="2"/>
            <charset val="238"/>
          </rPr>
          <t xml:space="preserve">: 
- dla oferty 'Pożyczka z BGK' na okres 57 miesięcy możliwe jest odstępstwo do max kwoty 2 mln zł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Korduła Grzegorz BANK</author>
  </authors>
  <commentList>
    <comment ref="D2" authorId="0" shapeId="0" xr:uid="{00000000-0006-0000-0F00-000001000000}">
      <text>
        <r>
          <rPr>
            <sz val="9"/>
            <color indexed="81"/>
            <rFont val="Tahoma"/>
            <family val="2"/>
            <charset val="238"/>
          </rPr>
          <t>Wybierz ofertę</t>
        </r>
      </text>
    </comment>
    <comment ref="D5" authorId="0" shapeId="0" xr:uid="{00000000-0006-0000-0F00-000002000000}">
      <text>
        <r>
          <rPr>
            <sz val="9"/>
            <color indexed="81"/>
            <rFont val="Tahoma"/>
            <family val="2"/>
            <charset val="238"/>
          </rPr>
          <t xml:space="preserve">Wpisz wysokość stawki WIBOR 1 M jaka obowiązywała w ostatnim dniu roboczym poprzedniego miesiąca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Kozal, A. (Anna)</author>
  </authors>
  <commentList>
    <comment ref="L25" authorId="0" shapeId="0" xr:uid="{00000000-0006-0000-1100-000001000000}">
      <text>
        <r>
          <rPr>
            <b/>
            <sz val="9"/>
            <color indexed="81"/>
            <rFont val="Tahoma"/>
            <family val="2"/>
            <charset val="238"/>
          </rPr>
          <t>Kozal, A. (Anna):</t>
        </r>
        <r>
          <rPr>
            <sz val="9"/>
            <color indexed="81"/>
            <rFont val="Tahoma"/>
            <family val="2"/>
            <charset val="238"/>
          </rPr>
          <t xml:space="preserve">
sprawdza czy jest BGK?</t>
        </r>
      </text>
    </comment>
  </commentList>
</comments>
</file>

<file path=xl/sharedStrings.xml><?xml version="1.0" encoding="utf-8"?>
<sst xmlns="http://schemas.openxmlformats.org/spreadsheetml/2006/main" count="1888" uniqueCount="538">
  <si>
    <t>Nazwa produktu</t>
  </si>
  <si>
    <t>Pożyczka dla Przedsiębiorcy</t>
  </si>
  <si>
    <t>Liczba rat</t>
  </si>
  <si>
    <t>TAK</t>
  </si>
  <si>
    <t>NIE</t>
  </si>
  <si>
    <t>Prowizja</t>
  </si>
  <si>
    <t>Lp</t>
  </si>
  <si>
    <t>QN - nie przest</t>
  </si>
  <si>
    <t>QN - przest</t>
  </si>
  <si>
    <t>Przełom P/N</t>
  </si>
  <si>
    <t>Przełom N/P</t>
  </si>
  <si>
    <t>QN - przełom</t>
  </si>
  <si>
    <t>rok przest</t>
  </si>
  <si>
    <t>QN</t>
  </si>
  <si>
    <t>QN + przest</t>
  </si>
  <si>
    <t>Iloczyn</t>
  </si>
  <si>
    <t>1/Iloczyn</t>
  </si>
  <si>
    <t>Suma</t>
  </si>
  <si>
    <t>Rata</t>
  </si>
  <si>
    <t>Odsetki</t>
  </si>
  <si>
    <t>Kapitał</t>
  </si>
  <si>
    <t>Saldo kap.</t>
  </si>
  <si>
    <t>Marża</t>
  </si>
  <si>
    <t>Pożyczka</t>
  </si>
  <si>
    <t>Kwota raty</t>
  </si>
  <si>
    <t>Oprocentowanie</t>
  </si>
  <si>
    <t>Suma odsetek</t>
  </si>
  <si>
    <t>Kapitał do harm sk</t>
  </si>
  <si>
    <t>Odsetki do harm sk</t>
  </si>
  <si>
    <t>Rata do harm sk</t>
  </si>
  <si>
    <t>Okres prowadzenia firmy (m-ce)</t>
  </si>
  <si>
    <t>KPIR - ilość rozliczonych miesięcy roku bieżącego</t>
  </si>
  <si>
    <t>KPIR - przychody za analogiczny okres roku ubiegłego</t>
  </si>
  <si>
    <t>Okres kredytowania (m-ce)</t>
  </si>
  <si>
    <t>wsp kor.</t>
  </si>
  <si>
    <t>Właściciel/Wspólnik 2</t>
  </si>
  <si>
    <t>Właściciel/Wspólnik 3</t>
  </si>
  <si>
    <t>krotność pożyczka</t>
  </si>
  <si>
    <t>krotności linia obstrz. z zabezp</t>
  </si>
  <si>
    <t>% udział Właściciel/Wspólnik w dochodach gospodarstwa domowego</t>
  </si>
  <si>
    <t>Zdolność Właściciel/Wspólnik</t>
  </si>
  <si>
    <t>Pozostały Limit zaangażowan niezabezp</t>
  </si>
  <si>
    <t>Pożyczka po limicie zaangż niezabezp</t>
  </si>
  <si>
    <t>Profesjonaliści</t>
  </si>
  <si>
    <t>Pożyczka zabezp</t>
  </si>
  <si>
    <t>Wyświetl</t>
  </si>
  <si>
    <t>liczba osób</t>
  </si>
  <si>
    <t>obciążenie</t>
  </si>
  <si>
    <t>% udział Właściciel/Wspólnik w analizowanej firmie</t>
  </si>
  <si>
    <t>Łączna wysokość posiadanych limitów w koncie i limitów kart kredytowych (prywatne)</t>
  </si>
  <si>
    <t>LINIA BEZ ZABEZPIECZENIA - max kwota</t>
  </si>
  <si>
    <t>KARTA - max kwota</t>
  </si>
  <si>
    <t>Kwota zdolności firmy na raty spłacanych zobowiązań</t>
  </si>
  <si>
    <t>kwota linii</t>
  </si>
  <si>
    <t>Linia</t>
  </si>
  <si>
    <t>Karta</t>
  </si>
  <si>
    <t>Wariant 1</t>
  </si>
  <si>
    <t>Wariant 2</t>
  </si>
  <si>
    <t>Wariant 3</t>
  </si>
  <si>
    <t>Wariant cenowy</t>
  </si>
  <si>
    <t>Produkt kredytowy:</t>
  </si>
  <si>
    <t>Wariant I (bez prowizji)</t>
  </si>
  <si>
    <t>Wariant II (niższa marża)</t>
  </si>
  <si>
    <t>Bez prowizji</t>
  </si>
  <si>
    <t>Niższa marża</t>
  </si>
  <si>
    <t>Ubezpieczenie</t>
  </si>
  <si>
    <t>Premium</t>
  </si>
  <si>
    <t>Standard</t>
  </si>
  <si>
    <t>&lt;---</t>
  </si>
  <si>
    <t>Planowana data uruchomienia</t>
  </si>
  <si>
    <t>Planowana data pierwszej raty</t>
  </si>
  <si>
    <r>
      <t>Różnica pomiędzy maksymalnym a minimalnym notowaniem stawki WIBOR (</t>
    </r>
    <r>
      <rPr>
        <b/>
        <i/>
        <sz val="10"/>
        <rFont val="Calibri"/>
        <family val="2"/>
        <charset val="238"/>
        <scheme val="minor"/>
      </rPr>
      <t>odpowiednio do okresu kredytowania 3 M lub 6M</t>
    </r>
    <r>
      <rPr>
        <b/>
        <sz val="10"/>
        <rFont val="Calibri"/>
        <family val="2"/>
        <charset val="238"/>
        <scheme val="minor"/>
      </rPr>
      <t>)  z ostatnich 12 m-cy</t>
    </r>
  </si>
  <si>
    <t>_Przejdź do harmonogramu_</t>
  </si>
  <si>
    <t>białe pola należy wypełnić / wybrać pozycję z listy rozwijanej</t>
  </si>
  <si>
    <t>PIT 36/ PIT B</t>
  </si>
  <si>
    <t>Dochód firmy:</t>
  </si>
  <si>
    <t>Przychód firmy:</t>
  </si>
  <si>
    <t>źródło danych rocznych</t>
  </si>
  <si>
    <t>okres działalności</t>
  </si>
  <si>
    <t>wybrane źródło danych</t>
  </si>
  <si>
    <t>wymagana część okresu rocznego</t>
  </si>
  <si>
    <t>KPIR za listopad</t>
  </si>
  <si>
    <t>KPIR za grudzień</t>
  </si>
  <si>
    <t>jeżeli trend spadkowy pow 0,9</t>
  </si>
  <si>
    <t>dochód</t>
  </si>
  <si>
    <t>KPIR - przychody za rozliczone miesiace roku bieżącego</t>
  </si>
  <si>
    <t>dochód netto</t>
  </si>
  <si>
    <t>średni mies dochód</t>
  </si>
  <si>
    <t>dochód uroczniony</t>
  </si>
  <si>
    <t>średni przychód</t>
  </si>
  <si>
    <t>przychód uroczniony</t>
  </si>
  <si>
    <t>KPIR - koszty za rozliczone miesiace roku bieżącego</t>
  </si>
  <si>
    <t xml:space="preserve">             w tym amortyzacja</t>
  </si>
  <si>
    <t>dochód przy danych &lt;roku</t>
  </si>
  <si>
    <t>KPIR - przychodzy za cały ubiegły rok</t>
  </si>
  <si>
    <t>KPIR - koszty za cały ubiegły rok</t>
  </si>
  <si>
    <t>dochód netto mix</t>
  </si>
  <si>
    <t>dochód do zdolności</t>
  </si>
  <si>
    <t>przychód do krotności</t>
  </si>
  <si>
    <t>średnie przychody</t>
  </si>
  <si>
    <t>ryczałt - ilość rozliczonych miesięcy roku bieżącego</t>
  </si>
  <si>
    <t>przychody za:</t>
  </si>
  <si>
    <t>rok bieżący</t>
  </si>
  <si>
    <t>rok poprzedni</t>
  </si>
  <si>
    <t>suma</t>
  </si>
  <si>
    <t>stawka1</t>
  </si>
  <si>
    <t>dochód- opcja 1</t>
  </si>
  <si>
    <t>dochód - opcja 2</t>
  </si>
  <si>
    <t xml:space="preserve">dochód do zdolności </t>
  </si>
  <si>
    <t>powyższe chyba jest źle</t>
  </si>
  <si>
    <t>Łączna wysokość posiadanych limitów w koncie (firmowe)</t>
  </si>
  <si>
    <t>&lt;-z amortyzacją</t>
  </si>
  <si>
    <t>dochód netto mix bez amortyzacji</t>
  </si>
  <si>
    <t>&lt;- bez amortyzacji</t>
  </si>
  <si>
    <t>Pożyczka z zabezpieczeniem dla Przedsiębiorców</t>
  </si>
  <si>
    <t>Pożyczka dla Przedsiębiorców</t>
  </si>
  <si>
    <t>do 50 k PLN</t>
  </si>
  <si>
    <t>bez zabezpieczenia</t>
  </si>
  <si>
    <t>z zabezpieczeniem</t>
  </si>
  <si>
    <t>Profesjonalista</t>
  </si>
  <si>
    <t>Należy wypełnić białe pola. Dla prawidłowego wyniku powinny być uzupełniane KOLEJNO z góry na dół.</t>
  </si>
  <si>
    <t>Łączna kwota zaangażowań firmowych w ING (zabezpieczone + niezabezpieczone)</t>
  </si>
  <si>
    <t>Pierwsza składka miesięczna za ubezpieczenie</t>
  </si>
  <si>
    <t>bufor na wnioskowaną linię</t>
  </si>
  <si>
    <t>bufor na wnioskowaną pożyczkę</t>
  </si>
  <si>
    <t>Składka polisa</t>
  </si>
  <si>
    <t>Różnica pomiędzy maksymalnym a minimalnym notowaniem stawki z ostatnich 12 miesięcy</t>
  </si>
  <si>
    <t>SYMULACJA KOSZTÓW OBSŁUGI (zmienne oprocentowanie)</t>
  </si>
  <si>
    <t>Symulacja kwoty odsetek za okres jednego miesiąca przy:</t>
  </si>
  <si>
    <t>UWAGA! Dane zaciągają się automatycznie z zakładki:</t>
  </si>
  <si>
    <t>Symulacja wysokości miesięcznej raty przy:</t>
  </si>
  <si>
    <t>i</t>
  </si>
  <si>
    <t>Produkt</t>
  </si>
  <si>
    <t>Marża Banku</t>
  </si>
  <si>
    <t>Oprocentowanie (stopa procentowa + marża)</t>
  </si>
  <si>
    <t>Symulacja wpływu zmiany stopy procentowej</t>
  </si>
  <si>
    <t>aktualnym oprocentowaniu</t>
  </si>
  <si>
    <t>Okres spłaty (w miesiącach)</t>
  </si>
  <si>
    <t>RAZEM</t>
  </si>
  <si>
    <t>Symulacja wysokości odsetek za okres jednego miesiąca przy:</t>
  </si>
  <si>
    <t xml:space="preserve">na wysokość odsetek za okres jednego miesiąca                                         </t>
  </si>
  <si>
    <t>Powyższe wyliczenie ma charakter orientacyjny i nie stanowi oferty w rozumieniu kodeksu Cywilnego.</t>
  </si>
  <si>
    <t>Symulacja uwzględnia pełne wykorzystanie limitu. Wysokość odsetek może różnić się od powyższych wyliczeń.</t>
  </si>
  <si>
    <t xml:space="preserve"> aktualnym oprocentowaniu</t>
  </si>
  <si>
    <t>Składka ub.</t>
  </si>
  <si>
    <t xml:space="preserve">Harmonogram spłaty </t>
  </si>
  <si>
    <t>Symulacja wpływu zmiany stopy procentowej na wysokość miesięcznej raty</t>
  </si>
  <si>
    <t>Oferta</t>
  </si>
  <si>
    <t>Prowizja za udzielenie</t>
  </si>
  <si>
    <t>Łączna wysokość posiadanych limitów kart kredytowych (firmowe)</t>
  </si>
  <si>
    <t xml:space="preserve">SEGMENT CLN i MTG - wysokość parametru U dla poszczególnych branż: </t>
  </si>
  <si>
    <t>SEGMENT SP</t>
  </si>
  <si>
    <t>Dane wejściowe</t>
  </si>
  <si>
    <t>Wynik</t>
  </si>
  <si>
    <t>Data analizy</t>
  </si>
  <si>
    <t>dzień</t>
  </si>
  <si>
    <t>miesiąc</t>
  </si>
  <si>
    <t>dane za ubiegły rok</t>
  </si>
  <si>
    <t>Branża</t>
  </si>
  <si>
    <t>parametr U [%]</t>
  </si>
  <si>
    <t>PKD</t>
  </si>
  <si>
    <t>Opis</t>
  </si>
  <si>
    <t>Segment</t>
  </si>
  <si>
    <t>styczeń</t>
  </si>
  <si>
    <t>Rolnictwo</t>
  </si>
  <si>
    <t>luty</t>
  </si>
  <si>
    <t>Przemysł, Produkcja</t>
  </si>
  <si>
    <t>Najbradziej aktualne dane finansowe za miesiąc:</t>
  </si>
  <si>
    <t>marzec</t>
  </si>
  <si>
    <t>Budownictwo</t>
  </si>
  <si>
    <t>okres działalności w ubieglym roku</t>
  </si>
  <si>
    <t>nie cały rok</t>
  </si>
  <si>
    <t>cały rok</t>
  </si>
  <si>
    <t>kwiecień</t>
  </si>
  <si>
    <t xml:space="preserve">Handel </t>
  </si>
  <si>
    <t>Data rozpoczecia działalności w ubiegłym roku</t>
  </si>
  <si>
    <t>maj</t>
  </si>
  <si>
    <t>Transport</t>
  </si>
  <si>
    <t>l - ilośc miesięcy roku ubiegłego</t>
  </si>
  <si>
    <t>czerwiec</t>
  </si>
  <si>
    <t>Usługi finansowe, Ubezpieczenia</t>
  </si>
  <si>
    <t>m - ilość miesięcy roku bieżącego</t>
  </si>
  <si>
    <t>lipiec</t>
  </si>
  <si>
    <t>Usługi (inne)</t>
  </si>
  <si>
    <t>sierpień</t>
  </si>
  <si>
    <t>Telekomunikacja</t>
  </si>
  <si>
    <t>Pbr - przychody za bieżący rok</t>
  </si>
  <si>
    <t>wrzesień</t>
  </si>
  <si>
    <t>Informatyka</t>
  </si>
  <si>
    <t>Kbr - koszty za bieżący rok</t>
  </si>
  <si>
    <t>październik</t>
  </si>
  <si>
    <t>Edukacja</t>
  </si>
  <si>
    <t>Lbr - koszty leasingowe</t>
  </si>
  <si>
    <t>listopad</t>
  </si>
  <si>
    <t>Opieka zdrowotna</t>
  </si>
  <si>
    <t>grudzień</t>
  </si>
  <si>
    <t>Inna</t>
  </si>
  <si>
    <t>pl - bieżący rok</t>
  </si>
  <si>
    <t>Pubr - przychody za cały ubiegły rok</t>
  </si>
  <si>
    <t>Kubr - koszty za cały ubiegły rok</t>
  </si>
  <si>
    <t>Lubr - koszty leasingowe</t>
  </si>
  <si>
    <t>Dochód</t>
  </si>
  <si>
    <t>Przychód</t>
  </si>
  <si>
    <t>dane roczne (ubiegły rok)</t>
  </si>
  <si>
    <t>dane za bieżacy rok</t>
  </si>
  <si>
    <t>dane z ubr i br. (mix)</t>
  </si>
  <si>
    <t>Dochód/przychód wg oświadczenia</t>
  </si>
  <si>
    <t>Dochód do analizy</t>
  </si>
  <si>
    <t>pl - ubiegły rok</t>
  </si>
  <si>
    <t>t - liczba miesięcy do analizy</t>
  </si>
  <si>
    <t>l - liczba miesięcy prowadzenia dział. w ub. roku</t>
  </si>
  <si>
    <t>m - liczba miesięcy w bieżącym roku</t>
  </si>
  <si>
    <t xml:space="preserve">Uw </t>
  </si>
  <si>
    <t>Uapl</t>
  </si>
  <si>
    <t>Rentowność</t>
  </si>
  <si>
    <t>Wniosek dotyczy Produktów dla:</t>
  </si>
  <si>
    <t>Przychody za bieżący rok</t>
  </si>
  <si>
    <t xml:space="preserve">             Koszty leasingowe (miesiące roku bieżącego)</t>
  </si>
  <si>
    <t>Przychody za ubiegły rok</t>
  </si>
  <si>
    <t>Koszty za ubiegły rok</t>
  </si>
  <si>
    <t xml:space="preserve">             Koszty leasingowe (ubiegły rok)</t>
  </si>
  <si>
    <t>Okres prowadzenia działalności w ubiegłym roku:</t>
  </si>
  <si>
    <t xml:space="preserve">         Kalkulator symulacji dochodu dla Przedsiębiorców 
Ryczałt i Karta Podatkowa</t>
  </si>
  <si>
    <t>Koszty za bieżący rok</t>
  </si>
  <si>
    <t>dane za bieżący rok</t>
  </si>
  <si>
    <t>12 mies</t>
  </si>
  <si>
    <t>Przychód:</t>
  </si>
  <si>
    <t>DOCHÓD DO ANALIZY:</t>
  </si>
  <si>
    <t>Trend Dochodu</t>
  </si>
  <si>
    <t>Przychód do analizy (po trendzie)</t>
  </si>
  <si>
    <t>Przychód 11/12</t>
  </si>
  <si>
    <t>Przychód 12 mies</t>
  </si>
  <si>
    <t>Przychód 11mies</t>
  </si>
  <si>
    <t>Działalność prowadzona cały ubiegły rok</t>
  </si>
  <si>
    <t>Dochód do analizy (po trendzie)</t>
  </si>
  <si>
    <t>Dochód za "l" mies</t>
  </si>
  <si>
    <t>Dz. prowadzona nie cały rok</t>
  </si>
  <si>
    <t>Dochód 11 czy 12 mies</t>
  </si>
  <si>
    <t>Dochód 12 mies</t>
  </si>
  <si>
    <t>Dochód 11mies</t>
  </si>
  <si>
    <t>Działalnośc prowadzona cały ubiegły rok</t>
  </si>
  <si>
    <t>Amortyzacja</t>
  </si>
  <si>
    <t xml:space="preserve">         Kalkulator symulacji dochodu dla Przedsiębiorców 
Książka Przychodów i Rozchodów</t>
  </si>
  <si>
    <t xml:space="preserve">             Amortyzacja (miesiące roku bieżącego)</t>
  </si>
  <si>
    <t xml:space="preserve">             Amortyzacja (ubiegły rok)</t>
  </si>
  <si>
    <t>Wyliczenie trendu</t>
  </si>
  <si>
    <t>Wariant x-sell</t>
  </si>
  <si>
    <t>X-sell</t>
  </si>
  <si>
    <t>zabezpieczenie TAK/NIE</t>
  </si>
  <si>
    <t>który wariant</t>
  </si>
  <si>
    <t>marża</t>
  </si>
  <si>
    <t>ubezpieczenie tak/nie</t>
  </si>
  <si>
    <t>Pozostały Limit do 2 mln (1,2mln)</t>
  </si>
  <si>
    <t>Pożyczka po limicie 2 mln (1,2mln)</t>
  </si>
  <si>
    <t>Pożyczka STANDARD</t>
  </si>
  <si>
    <t>limit zaang niezabezpieczonych</t>
  </si>
  <si>
    <t>wyświetl</t>
  </si>
  <si>
    <t>krotności linia bez zabezp</t>
  </si>
  <si>
    <t xml:space="preserve">                         Symulacja kredytowa/Dane do harmonogramu spłaty</t>
  </si>
  <si>
    <t>Produkt kredytowy</t>
  </si>
  <si>
    <t xml:space="preserve">Wariant z prowizją </t>
  </si>
  <si>
    <t>Linia kredytowa dla Przedsiębiorców</t>
  </si>
  <si>
    <t>Linia kredytowa na start</t>
  </si>
  <si>
    <t xml:space="preserve">powyżej 50 k PLN </t>
  </si>
  <si>
    <t>Linia kredytowa z zabezpieczeniem dla Przedsiębiorców</t>
  </si>
  <si>
    <t>PRODUKT</t>
  </si>
  <si>
    <t>Kwota pożyczki Brutto</t>
  </si>
  <si>
    <t>Kwota pożyczki Netto</t>
  </si>
  <si>
    <t>Składka miesięczna za uruchomienie</t>
  </si>
  <si>
    <t>Linia do 50 k PLN</t>
  </si>
  <si>
    <t xml:space="preserve">Linia powyżej 50 k PLN </t>
  </si>
  <si>
    <t>Linia kredytowa z zabezpieczeniem</t>
  </si>
  <si>
    <t>ND</t>
  </si>
  <si>
    <t xml:space="preserve">Jednym z elementów zmiennego oprocentowania jest indeks WIBOR. Zmiana  indeksu WIBOR wpływa na oprocentowanie Państwa linii kredytowej.  
Jeśli indeks WIBOR wzrośnie, miesięczne odsetki również wzrosną. Jeśli zaś indeks WIBOR zmaleje – miesięczne odsetki zmaleją. 
Jeśli indeks WIBOR przyjmie wartość zero lub ujemną, oprocentowanie linii kredytowej będzie równe marży Banku. Wprowadzenie takiego progu oprocentowania wynika z konieczności utrzymania minimalnej rentowności udzielanych przez bank kredytów.
Poniżej pokazujemy, jak zmiana indeksu WIBOR wpływa na oprocentowanie, a w konsekwencji – na wysokość miesięcznych odsetek.
</t>
  </si>
  <si>
    <t>Promocja-Pre-approved</t>
  </si>
  <si>
    <t>EUR</t>
  </si>
  <si>
    <t>USD</t>
  </si>
  <si>
    <t>CHF</t>
  </si>
  <si>
    <r>
      <t>Kwota prowizji</t>
    </r>
    <r>
      <rPr>
        <b/>
        <sz val="10"/>
        <color rgb="FFFF0000"/>
        <rFont val="Calibri"/>
        <family val="2"/>
        <charset val="238"/>
        <scheme val="minor"/>
      </rPr>
      <t xml:space="preserve"> </t>
    </r>
  </si>
  <si>
    <t>Średnie miesięczne wpływy/obroty na firmowym rachunku rozliczeniowym w Obcym</t>
  </si>
  <si>
    <t>Łączna kwota niezbezpieczonych zaangażowań firmowych w ING 
(np. limit ACA, saldo pożyczki)</t>
  </si>
  <si>
    <t>Łączna kwota zaangażowań firmowych w Obcych bankach
 (np. limit ACA, saldo pożyczki)</t>
  </si>
  <si>
    <t>OFERTA NA WPŁYWY - max kwota</t>
  </si>
  <si>
    <t xml:space="preserve">Wskaźnik brzegowy </t>
  </si>
  <si>
    <t xml:space="preserve">Aby wydrukować pełny harmonogram dla Wariant 1 przejdź do: Symulacja Pożyczka </t>
  </si>
  <si>
    <t>Należy wypełnić białe pola zgodnie z posiadanymi informacjami. 
Nie wszystkie dane są wymagane, dokładność wyliczonych kwot zależy od ilość podanych danych.</t>
  </si>
  <si>
    <t xml:space="preserve"> "Dane do harmonogramu" (WARIANT 1)</t>
  </si>
  <si>
    <r>
      <t xml:space="preserve">MAKSYMALNA OFERTA DLA KLIENTA 
</t>
    </r>
    <r>
      <rPr>
        <b/>
        <sz val="10"/>
        <color rgb="FFFF0000"/>
        <rFont val="Calibri"/>
        <family val="2"/>
        <charset val="238"/>
        <scheme val="minor"/>
      </rPr>
      <t>maksymalna wysokość zaangażowania oraz okres kredytowania (dla pożyczki) może się zmienić po decyzji banku</t>
    </r>
  </si>
  <si>
    <t>Data uruchomienia (rrrr-mm-dd)</t>
  </si>
  <si>
    <t>Data pierwszej raty (rrrr-mm-dd)</t>
  </si>
  <si>
    <t>Data analizy (rrrr-mm-dd):</t>
  </si>
  <si>
    <t>UWAGA:</t>
  </si>
  <si>
    <t>Maksymalna wysokość zaangażowania oraz okres kredytowania (dla pożyczki) może się zmienić po decyzji banku</t>
  </si>
  <si>
    <t>Przedsiębiorców</t>
  </si>
  <si>
    <t>// B20 + B21</t>
  </si>
  <si>
    <t>Jeżeli wniosek dotyczy konsolidacji pożyczki lub przeniesienia linii kredytowej z innego banku to nie uwzględniaj wysokości konsolidowanego/przenoszonego zobowiązania.</t>
  </si>
  <si>
    <t>min 100tyś</t>
  </si>
  <si>
    <t>Maksymalna kwota linii to 500 000 zł, do 200 000 zł bez zabezpieczenia</t>
  </si>
  <si>
    <t>wniosek o ofertę:</t>
  </si>
  <si>
    <t>Parametr X</t>
  </si>
  <si>
    <t>Dochód netto gosp. domowego (w tys. zł)</t>
  </si>
  <si>
    <t>X%</t>
  </si>
  <si>
    <t>Min X zł</t>
  </si>
  <si>
    <t>Wła_1</t>
  </si>
  <si>
    <t>Właściciel_2</t>
  </si>
  <si>
    <t>Właściciel_3</t>
  </si>
  <si>
    <t>bufor</t>
  </si>
  <si>
    <t>bufor: zobowiązania firmowe, prywatne</t>
  </si>
  <si>
    <t>&lt;- zależy czy wnioskowany kredyt jest zabezpieczony / niezabezpieczony</t>
  </si>
  <si>
    <t xml:space="preserve">PRZELICZ RATĘ W WALUCIE </t>
  </si>
  <si>
    <t>rodzaj waluty</t>
  </si>
  <si>
    <t>kwota raty w walucie</t>
  </si>
  <si>
    <t>kurs waluty</t>
  </si>
  <si>
    <t>kwota raty w PLN</t>
  </si>
  <si>
    <t>tj. niezabezpieczone</t>
  </si>
  <si>
    <t>=B4*B7+B5</t>
  </si>
  <si>
    <t>poprawne formuły</t>
  </si>
  <si>
    <t>Zaznacz checkbox 
w lewym górnym rogu 
z typem poduktu</t>
  </si>
  <si>
    <t>handel, działalność gastronomiczna, produkcja zwierzęca 3%</t>
  </si>
  <si>
    <t>handel oraz działalność wytwórcza 5,5%</t>
  </si>
  <si>
    <t>usługi 8,5%</t>
  </si>
  <si>
    <t>usługi 12,5%</t>
  </si>
  <si>
    <t>usługi 17%</t>
  </si>
  <si>
    <t>wolne zawody 20%</t>
  </si>
  <si>
    <t>Dochód:</t>
  </si>
  <si>
    <t>Ilość osób w gospodarstwie domowym</t>
  </si>
  <si>
    <t>stawka 20%</t>
  </si>
  <si>
    <t>Symulacja zdolności</t>
  </si>
  <si>
    <t>stawka 17%</t>
  </si>
  <si>
    <t>Symulacja dochodu - Ryczałt</t>
  </si>
  <si>
    <t>stawka 10%</t>
  </si>
  <si>
    <t>Symulacja dochodu - KPiR</t>
  </si>
  <si>
    <t xml:space="preserve">usługi 8,5%                                             </t>
  </si>
  <si>
    <t>Wydruk - skrócony harmonogram ubezpieczenie</t>
  </si>
  <si>
    <t>stawka 5,5%</t>
  </si>
  <si>
    <t>Symulacja ubezpieczenie</t>
  </si>
  <si>
    <t>stawka 3%</t>
  </si>
  <si>
    <t>Wydruk - skrócone harmonogramy dla Wariant 1, 2 i 3</t>
  </si>
  <si>
    <t xml:space="preserve"> rok poprzedni:</t>
  </si>
  <si>
    <t>miesiące roku bieżącego:</t>
  </si>
  <si>
    <t>Wydruk - pełny harmonogram dla Wariant 1</t>
  </si>
  <si>
    <t>Ryczałt - ilość rozliczonych miesięcy roku bieżącego</t>
  </si>
  <si>
    <t>Symulacja kredytowa</t>
  </si>
  <si>
    <t>Okres prowadzenia działalności gospodarczej (w miesiącach)</t>
  </si>
  <si>
    <t>Lista dokumentów</t>
  </si>
  <si>
    <t>białe pola należy wypełnić  / wybrać pozycję z listy rozwijanej</t>
  </si>
  <si>
    <t>___Dane pracownika na wydrukach___</t>
  </si>
  <si>
    <t>Przejdź do:</t>
  </si>
  <si>
    <t xml:space="preserve">                                Kalkulator symulacji dochodu z najmu 
(rozliczanego w formie ryczałtu)</t>
  </si>
  <si>
    <t>01, 02, 03</t>
  </si>
  <si>
    <t>Rolnictwo, leśnictwo, łowiectwo i rybactwo</t>
  </si>
  <si>
    <t>Produkcja artykułów spożywczych</t>
  </si>
  <si>
    <t>Produkcja wyrobów z drewna oraz korka, z wyłączeniem mebli; produkcja wyrobów ze słomy i materiałów używanych do wyplatania</t>
  </si>
  <si>
    <t>Produkcja wyrobów z gumy i tworzyw sztucznych</t>
  </si>
  <si>
    <t>Produkcja metalowych wyrobów gotowych, z wyłączeniem maszyn i urządzeń</t>
  </si>
  <si>
    <t>Produkcja mebli</t>
  </si>
  <si>
    <t>Naprawa, konserwacja i instalowanie maszyn i urządzeń</t>
  </si>
  <si>
    <t>Roboty budowlane związane ze wznoszeniem budynków</t>
  </si>
  <si>
    <t>Roboty związane z budową obiektów inżynierii lądowej i wodnej</t>
  </si>
  <si>
    <t>Roboty budowlane specjalistyczne</t>
  </si>
  <si>
    <t>Handel hurtowy i detaliczny pojazdami samochodowymi; naprawa pojazdów samochodowych</t>
  </si>
  <si>
    <t>Handel hurtowy, z wyłączeniem handlu pojazdami samochodowymi</t>
  </si>
  <si>
    <t>Handel detaliczny, z wyłączeniem handlu detalicznego pojazdami samochodowymi</t>
  </si>
  <si>
    <t>Transport lądowy oraz transport rurociągowy</t>
  </si>
  <si>
    <t>Magazynowanie i działalność usługowa wspomagająca transport</t>
  </si>
  <si>
    <t>Działalność usługowa związana z wyżywieniem</t>
  </si>
  <si>
    <t>Działalność związana z oprogramowaniem i doradztwem w zakresie informatyki oraz działalność powiązana</t>
  </si>
  <si>
    <t>Działalność wspomagająca usługi finansowe oraz ubezpieczenia i fundusze emerytalne</t>
  </si>
  <si>
    <t>Działalność związana z obsługą rynku nieruchomości</t>
  </si>
  <si>
    <t>Działalność prawnicza, rachunkowo - księgowa i doradztwo podatkowe</t>
  </si>
  <si>
    <t>Działalność firm centralnych (head offices); doradztwo związane z zarządzaniem</t>
  </si>
  <si>
    <t>Działalność w zakresie architektury i inżynierii; badania i analizy techniczne</t>
  </si>
  <si>
    <t>Reklama, badanie rynku i opinii publicznej</t>
  </si>
  <si>
    <t>Pozostała działalność profesjonalna, naukowa i techniczna</t>
  </si>
  <si>
    <t>Wynajem i dzierżawa</t>
  </si>
  <si>
    <t>Działalność usługowa związana z utrzymaniem porządku w budynkach i zagospodarowaniem terenów zieleni</t>
  </si>
  <si>
    <t>Działalność związana z administracyjną obsługą biura i pozostała działalność wspomagająca prowadzenie działalności gospodarczej</t>
  </si>
  <si>
    <t>Pozostała indywidualna działalność usługowa</t>
  </si>
  <si>
    <t>Pozostałe</t>
  </si>
  <si>
    <r>
      <t>parametr U</t>
    </r>
    <r>
      <rPr>
        <b/>
        <vertAlign val="subscript"/>
        <sz val="9"/>
        <color rgb="FFFFFFFF"/>
        <rFont val="Calibri"/>
        <family val="2"/>
        <charset val="238"/>
        <scheme val="minor"/>
      </rPr>
      <t>PKD</t>
    </r>
    <r>
      <rPr>
        <b/>
        <sz val="9"/>
        <color rgb="FFFFFFFF"/>
        <rFont val="Calibri"/>
        <family val="2"/>
        <charset val="238"/>
        <scheme val="minor"/>
      </rPr>
      <t>[%]</t>
    </r>
  </si>
  <si>
    <t>25.10.2021</t>
  </si>
  <si>
    <t>Łączna kwota płaconych miesięcznie rat (firmowe)</t>
  </si>
  <si>
    <t>Łączna kwota płaconych miesięcznie rat (prywatne)</t>
  </si>
  <si>
    <t>Wnioskowana kwota pożyczki / linii</t>
  </si>
  <si>
    <t>ukryc</t>
  </si>
  <si>
    <t>Łączna kwota zaangażowań firmowych (bez leasingu)</t>
  </si>
  <si>
    <t>Cały rok</t>
  </si>
  <si>
    <t>Najbardziej aktualne dane finansowe za miesiąc:</t>
  </si>
  <si>
    <t>Miesięczny dochód firmy (wyliczony w arkuszu ..._kalkulator)</t>
  </si>
  <si>
    <t>Dodatkowy miesięczny dochód netto  (np. umowa o pracę, dochód małżonka)</t>
  </si>
  <si>
    <t>Średnie miesięczne wpływy/obroty na firmowym rachunku rozliczeniowym</t>
  </si>
  <si>
    <t>Wskaźnik brzegowy wyliczany dla POŻYCZKI BEZ ZABEZPIECZENIA - uzupełnij dane</t>
  </si>
  <si>
    <t>Roczny przychód (12-krotność przychodu wyliczonego w arkuszu ..._kalkulator)</t>
  </si>
  <si>
    <t>Ryczałt- przychody za wskazane okresy (wybierz z listy):</t>
  </si>
  <si>
    <t>Nr</t>
  </si>
  <si>
    <t>wiersza</t>
  </si>
  <si>
    <t>składka na ubezpieczenie społeczne</t>
  </si>
  <si>
    <t>Nie cały rok</t>
  </si>
  <si>
    <t>Dodatkowe miesięczne koszty (np. pożyczki pozabankowe, alimenty)</t>
  </si>
  <si>
    <t>Średnie miesięczne przychody netto firmy w badanym okresie (wyliczone w arkuszu ..._kalkulator)</t>
  </si>
  <si>
    <t xml:space="preserve">         Kalkulator symulacji dochodu dla Przedsiębiorców 
zmiana formy</t>
  </si>
  <si>
    <t>Książka Przychodów i Rozchodów</t>
  </si>
  <si>
    <t>Ryczałt</t>
  </si>
  <si>
    <t>Karta podatkowa</t>
  </si>
  <si>
    <t>///</t>
  </si>
  <si>
    <t>Dane finansowe za:</t>
  </si>
  <si>
    <t>ukryć</t>
  </si>
  <si>
    <t>Przychody za 2021 rok</t>
  </si>
  <si>
    <t>Koszty za 2021 rok</t>
  </si>
  <si>
    <t>Dane do analizy:</t>
  </si>
  <si>
    <t>SP</t>
  </si>
  <si>
    <t>-&gt; dane za bieżący rok</t>
  </si>
  <si>
    <t>dodaje składkę na ubezpieczenie społeczne</t>
  </si>
  <si>
    <t>Koszty za bieżący rok 
(bez składki na ubezpieczenie społecznie)</t>
  </si>
  <si>
    <t>Koszty za ubiegły rok 
(bez składki na ubezpieczenie społecznie)</t>
  </si>
  <si>
    <t>10 Produkcja artykułów spożywczych</t>
  </si>
  <si>
    <t>Przychód mc</t>
  </si>
  <si>
    <t>Trend:</t>
  </si>
  <si>
    <t>poniżej 500 k PLN</t>
  </si>
  <si>
    <t>od 500 k PLN</t>
  </si>
  <si>
    <t>poniżej 100 k PLN</t>
  </si>
  <si>
    <t>od 100 k PLN</t>
  </si>
  <si>
    <t>Składka na ubezpieczenie społeczne jest uwzględniona 
w kosztach lub opłacana z innego źródła</t>
  </si>
  <si>
    <t>Pożyczka z BGK</t>
  </si>
  <si>
    <t>zabezpieczenie mieszkalne</t>
  </si>
  <si>
    <t>zabezpieczenie komercyjne</t>
  </si>
  <si>
    <t>oferta BGK?</t>
  </si>
  <si>
    <t>BGK dodatkowe zabezpieczenie?</t>
  </si>
  <si>
    <t>96 Pozostała indywidualna działalność usługowa</t>
  </si>
  <si>
    <t>Pozostała produkcja wyrobów</t>
  </si>
  <si>
    <t>Działalność pocztowa i kurierska</t>
  </si>
  <si>
    <t>Działalność związana z produkcją filmów, nagrań wideo, programów telewizyjnych, nagrań dźwiękowych i muzycznych</t>
  </si>
  <si>
    <t>Działalność usługowa w zakresie informacji</t>
  </si>
  <si>
    <t>Naprawa i konserwacja komputerów i artykułów użytku osobistego i domowego</t>
  </si>
  <si>
    <t>01, 02, 03 Rolnictwo, leśnictwo, łowiectwo i rybactwo</t>
  </si>
  <si>
    <t>16 Produkcja wyrobów z drewna oraz korka, z wyłączeniem mebli; produkcja wyrobów ze słomy i materiałów używanych do wyplatania</t>
  </si>
  <si>
    <t>22 Produkcja wyrobów z gumy i tworzyw sztucznych</t>
  </si>
  <si>
    <t>25 Produkcja metalowych wyrobów gotowych, z wyłączeniem maszyn i urządzeń</t>
  </si>
  <si>
    <t>31 Produkcja mebli</t>
  </si>
  <si>
    <t>32 Pozostała produkcja wyrobów</t>
  </si>
  <si>
    <t>33 Naprawa, konserwacja i instalowanie maszyn i urządzeń</t>
  </si>
  <si>
    <t>41 Roboty budowlane związane ze wznoszeniem budynków</t>
  </si>
  <si>
    <t>42 Roboty związane z budową obiektów inżynierii lądowej i wodnej</t>
  </si>
  <si>
    <t>43 Roboty budowlane specjalistyczne</t>
  </si>
  <si>
    <t>45 Handel hurtowy i detaliczny pojazdami samochodowymi; naprawa pojazdów samochodowych</t>
  </si>
  <si>
    <t>46 Handel hurtowy, z wyłączeniem handlu pojazdami samochodowymi</t>
  </si>
  <si>
    <t>47 Handel detaliczny, z wyłączeniem handlu detalicznego pojazdami samochodowymi</t>
  </si>
  <si>
    <t>49 Transport lądowy oraz transport rurociągowy</t>
  </si>
  <si>
    <t>52 Magazynowanie i działalność usługowa wspomagająca transport</t>
  </si>
  <si>
    <t>53 Działalność pocztowa i kurierska</t>
  </si>
  <si>
    <t>56 Działalność usługowa związana z wyżywieniem</t>
  </si>
  <si>
    <t>59 Działalność związana z produkcją filmów, nagrań wideo, programów telewizyjnych, nagrań dźwiękowych i muzycznych</t>
  </si>
  <si>
    <t>61 Telekomunikacja</t>
  </si>
  <si>
    <t>62 Działalność związana z oprogramowaniem i doradztwem w zakresie informatyki oraz działalność powiązana</t>
  </si>
  <si>
    <t>63 Działalność usługowa w zakresie informacji</t>
  </si>
  <si>
    <t>66 Działalność wspomagająca usługi finansowe oraz ubezpieczenia i fundusze emerytalne</t>
  </si>
  <si>
    <t>68 Działalność związana z obsługą rynku nieruchomości</t>
  </si>
  <si>
    <t>69 Działalność prawnicza, rachunkowo - księgowa i doradztwo podatkowe</t>
  </si>
  <si>
    <t>70 Działalność firm centralnych (head offices); doradztwo związane z zarządzaniem</t>
  </si>
  <si>
    <t>71 Działalność w zakresie architektury i inżynierii; badania i analizy techniczne</t>
  </si>
  <si>
    <t>73 Reklama, badanie rynku i opinii publicznej</t>
  </si>
  <si>
    <t>74 Pozostała działalność profesjonalna, naukowa i techniczna</t>
  </si>
  <si>
    <t>77 Wynajem i dzierżawa</t>
  </si>
  <si>
    <t>81 Działalność usługowa związana z utrzymaniem porządku w budynkach i zagospodarowaniem terenów zieleni</t>
  </si>
  <si>
    <t>82 Działalność związana z administracyjną obsługą biura i pozostała działalność wspomagająca prowadzenie działalności gospodarczej</t>
  </si>
  <si>
    <t>85 Edukacja</t>
  </si>
  <si>
    <t>86 Opieka zdrowotna</t>
  </si>
  <si>
    <t>95 Naprawa i konserwacja komputerów i artykułów użytku osobistego i domowego</t>
  </si>
  <si>
    <t xml:space="preserve">Pozostałe </t>
  </si>
  <si>
    <t>Wyznaczenie maksymalnych kwot pożyczki/linii 
dla Przedsiębiorców</t>
  </si>
  <si>
    <t>Właściciel</t>
  </si>
  <si>
    <t>Liczba osób na utrzymaniu łącznie z wnioskodawcą (uwzględniając małżonka/partnera, bez względu na to czy posiada on dochód)</t>
  </si>
  <si>
    <t>Produkcja odzieży</t>
  </si>
  <si>
    <t>Poligrafia i reprodukcja zapisanych nośników informacji</t>
  </si>
  <si>
    <t>Działalność związana ze zbieraniem, przetwarzaniem i unieszkodliwianiem odpadów; odzysk surowców</t>
  </si>
  <si>
    <t>Zakwaterowanie</t>
  </si>
  <si>
    <t>Finansowa działalność usługowa, z wyłączeniem ubezpieczeń i funduszów emerytalnych</t>
  </si>
  <si>
    <t>Działalność weterynaryjna</t>
  </si>
  <si>
    <t>Stopa procentowa WIRON 1M</t>
  </si>
  <si>
    <t>Oprocentowanie (marża + WIRON 1M)</t>
  </si>
  <si>
    <t xml:space="preserve">Jednym z elementów zmiennego oprocentowania jest indeks WIRON. Zmiana  indeksu WIRON wpływa
na oprocentowanie Państwa pożyczki.
Jeśli indeks WIRON wzrośnie, rata również wzrośnie. Jeśli zaś indeks WIRON zmaleje –  rata zmaleje. 
Jeśli indeks WIRON przyjmie wartość zero lub ujemną, oprocentowanie pożyczki będzie równe marży Banku. Wprowadzenie takiego progu oprocentowania wynika z konieczności utrzymania minimalnej rentowności udzielanych przez bank kredytów.
Poniżej pokazujemy, jak zmiana indeksu WIRON wpływa na oprocentowanie, a w konsekwencji – na wysokość raty.
</t>
  </si>
  <si>
    <t>wzroście WIRON 1M o 4 punkty procentowe"</t>
  </si>
  <si>
    <t>wzroście WIRON 1M o różnicę pomiędzy maksymalnym a minimalnym poziomem tej stawki z ostatnich 12 miesięcy. "
&amp;"Jako różnicę pomiędzy minimalnym a maksymalnym poziomem przyjęto 1p.p."</t>
  </si>
  <si>
    <t>WIRON 1M = 0%</t>
  </si>
  <si>
    <t>WIRON 1M = 3%</t>
  </si>
  <si>
    <t>WIRON 1M = 5%</t>
  </si>
  <si>
    <t>WIRON 1M = 10%</t>
  </si>
  <si>
    <t xml:space="preserve">Oświadczane koszty </t>
  </si>
  <si>
    <t>3500-4500</t>
  </si>
  <si>
    <t>&lt;- w zork 17%, wpisuje DTI</t>
  </si>
  <si>
    <t>prowizja pobierana przy udzieleniu gwarancji</t>
  </si>
  <si>
    <t>od 16.05.2024</t>
  </si>
  <si>
    <t>poniżej 100</t>
  </si>
  <si>
    <t>Profesjonalista poniżej 100 k PLN</t>
  </si>
  <si>
    <t>Profesjonalista od 100 k PLN</t>
  </si>
  <si>
    <t>WIBOR</t>
  </si>
  <si>
    <t>Oprocentowanie (WIBOR + marża)</t>
  </si>
  <si>
    <r>
      <t xml:space="preserve">
Jednym z elementów zmiennego oprocentowania jest indeks WIBOR. Zmiana  indeksu WIBOR wpływa na oprocentowanie Państwa linii kredytowej.  
Jeśli indeks WIBOR wzrośnie, miesięczne odsetki również wzrosną. Jeśli zaś indeks WIBOR zmaleje – miesięczne odsetki zmaleją. 
Jeśli indeks WIBOR przyjmie wartość zero lub ujemną, oprocentowanie linii kredytowej będzie równe marży Banku. Wprowadzenie takiego progu oprocentowania wynika z konieczności utrzymania minimalnej rentowności udzielanych przez bank kredytów.
Poniżej pokazujemy, jak zmiana indeksu WIBOR wpływa na oprocentowanie, a w konsekwencji – na wysokość miesięcznych odsetek.
</t>
    </r>
    <r>
      <rPr>
        <b/>
        <sz val="9"/>
        <color rgb="FF00B050"/>
        <rFont val="Calibri"/>
        <family val="2"/>
        <charset val="238"/>
        <scheme val="minor"/>
      </rPr>
      <t>W przypadku pożyczki z gwarancją BGK jeśli okres kredytowania jest krótszy niż 12 miesięcy albo do końca okresu kredytowania pozostało mniej niż 12 miesięcy, opłata na rzecz BGK pobierana jest proporcjonalnie do liczby miesięcy udzielonej gwarancji.</t>
    </r>
    <r>
      <rPr>
        <b/>
        <sz val="9"/>
        <rFont val="Calibri"/>
        <family val="2"/>
        <charset val="238"/>
        <scheme val="minor"/>
      </rPr>
      <t xml:space="preserve">
</t>
    </r>
  </si>
  <si>
    <t>Zabezpieczenie hipoteką</t>
  </si>
  <si>
    <t>wzroście WIBOR 1M o 4 punkty procentowe</t>
  </si>
  <si>
    <t>wzroście WIBOR 1M o różnicę pomiędzy maksymalnym a minimalnym poziomem tej stawki z ostatnich 12 miesięcy</t>
  </si>
  <si>
    <t xml:space="preserve"> WIBOR 1M &lt;= 0%</t>
  </si>
  <si>
    <t xml:space="preserve"> WIBOR 1M = 3%</t>
  </si>
  <si>
    <t xml:space="preserve"> WIBOR 1M = 5%</t>
  </si>
  <si>
    <t xml:space="preserve"> WIBOR 1M = 10%</t>
  </si>
  <si>
    <t>rok 2025</t>
  </si>
  <si>
    <t>Przychody za 2025 rok</t>
  </si>
  <si>
    <t>25.05.2025</t>
  </si>
  <si>
    <t>Produkcja wyrobów tekstylnych</t>
  </si>
  <si>
    <t>Produkcja wyrobów z pozostałych mineralnych surowców niemetalicznych</t>
  </si>
  <si>
    <t>Działalność organizatorów turystyki, pośredników i agentów turystycznych oraz pozostała działalność usługowa w zakresie rezerwacji i działalności z nią związane</t>
  </si>
  <si>
    <t>Pomoc społeczna bez zakwaterowania</t>
  </si>
  <si>
    <t>Działalność twórcza związana z kulturą i rozrywką</t>
  </si>
  <si>
    <t>Działalność sportowa, rozrywkowa i rekreacyjna</t>
  </si>
  <si>
    <t>13 Produkcja wyrobów tekstylnych</t>
  </si>
  <si>
    <t>14 Produkcja odzieży</t>
  </si>
  <si>
    <t>18 Poligrafia i reprodukcja zapisanych nośników informacji</t>
  </si>
  <si>
    <t>23 Produkcja wyrobów z pozostałych mineralnych surowców niemetalicznych</t>
  </si>
  <si>
    <t>38 Działalność związana ze zbieraniem, przetwarzaniem i unieszkodliwianiem odpadów; odzysk surowców</t>
  </si>
  <si>
    <t>55 Zakwaterowanie</t>
  </si>
  <si>
    <t>64 Finansowa działalność usługowa, z wyłączeniem ubezpieczeń i funduszów emerytalnych</t>
  </si>
  <si>
    <t>75 Działalność weterynaryjna</t>
  </si>
  <si>
    <t>79 Działalność organizatorów turystyki, pośredników i agentów turystycznych oraz pozostała działalność usługowa w zakresie rezerwacji i działalności z nią związane</t>
  </si>
  <si>
    <t>88 Pomoc społeczna bez zakwaterowania</t>
  </si>
  <si>
    <t>90 Działalność twórcza związana z kulturą i rozrywką</t>
  </si>
  <si>
    <t>93 Działalność sportowa, rozrywkowa i rekreacyjna</t>
  </si>
  <si>
    <t>Jeżeli Przedsiębiorca nie prowadził działalności przez pełen rok:
Roczny przychód to suma osiągniętego przychodu podzielona przez liczbę miesięcy w których Przedsiębiorca prowadził działalność  pomnożona przez 12.</t>
  </si>
  <si>
    <t>0-3500</t>
  </si>
  <si>
    <t>4500-6000</t>
  </si>
  <si>
    <t>6000-8500</t>
  </si>
  <si>
    <t>&gt;8500</t>
  </si>
  <si>
    <t>Opcocentowanie do wyliczeń pożyczki (WIBOR 1M  + marża)</t>
  </si>
  <si>
    <r>
      <rPr>
        <b/>
        <sz val="10"/>
        <rFont val="Calibri"/>
        <family val="2"/>
        <charset val="238"/>
        <scheme val="minor"/>
      </rPr>
      <t>8.</t>
    </r>
    <r>
      <rPr>
        <sz val="10"/>
        <rFont val="Calibri"/>
        <family val="2"/>
        <charset val="238"/>
        <scheme val="minor"/>
      </rPr>
      <t xml:space="preserve"> w przypadku BGK pozostaw wartość 0</t>
    </r>
  </si>
  <si>
    <t>LINIA Z GWARANCJĄ BGK - max kwota</t>
  </si>
  <si>
    <t>rok 2026</t>
  </si>
  <si>
    <t>Okres prowadzenia działalności w 2025 roku:</t>
  </si>
  <si>
    <t>Przychody za 2026 rok</t>
  </si>
  <si>
    <t>Okres prowadzenia działalności w 2026 roku: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</si>
</sst>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8" formatCode="#,##0.00\ &quot;zł&quot;;[Red]\-#,##0.00\ &quot;zł&quot;"/>
    <numFmt numFmtId="42" formatCode="_-* #,##0\ &quot;zł&quot;_-;\-* #,##0\ &quot;zł&quot;_-;_-* &quot;-&quot;\ &quot;zł&quot;_-;_-@_-"/>
    <numFmt numFmtId="44" formatCode="_-* #,##0.00\ &quot;zł&quot;_-;\-* #,##0.00\ &quot;zł&quot;_-;_-* &quot;-&quot;??\ &quot;zł&quot;_-;_-@_-"/>
    <numFmt numFmtId="43" formatCode="_-* #,##0.00_-;\-* #,##0.00_-;_-* &quot;-&quot;??_-;_-@_-"/>
    <numFmt numFmtId="164" formatCode="0.00_ ;[Red]\-0.00\ "/>
    <numFmt numFmtId="165" formatCode="0_ ;[Red]\-0\ "/>
    <numFmt numFmtId="166" formatCode="#,##0.00_ ;[Red]\-#,##0.00\ "/>
    <numFmt numFmtId="167" formatCode="General_)"/>
    <numFmt numFmtId="168" formatCode="#,##0.00\ &quot;zł&quot;"/>
    <numFmt numFmtId="169" formatCode="0.0%"/>
    <numFmt numFmtId="170" formatCode="#,##0_ ;\-#,##0\ "/>
    <numFmt numFmtId="171" formatCode="0.0000000"/>
    <numFmt numFmtId="172" formatCode="0.00000"/>
    <numFmt numFmtId="173" formatCode="_-* #,##0_-;\-* #,##0_-;_-* &quot;-&quot;??_-;_-@_-"/>
    <numFmt numFmtId="174" formatCode="_-* #,##0.0_-;\-* #,##0.0_-;_-* &quot;-&quot;??_-;_-@_-"/>
    <numFmt numFmtId="175" formatCode="#,##0\ &quot;zł&quot;"/>
    <numFmt numFmtId="176" formatCode="_-* #,##0.00\ _z_ł_-;\-* #,##0.00\ _z_ł_-;_-* &quot;-&quot;??\ _z_ł_-;_-@_-"/>
  </numFmts>
  <fonts count="100" x14ac:knownFonts="1">
    <font>
      <sz val="11"/>
      <color theme="1"/>
      <name val="Calibri"/>
      <family val="2"/>
      <charset val="238"/>
      <scheme val="minor"/>
    </font>
    <font>
      <sz val="11"/>
      <color theme="1"/>
      <name val="Calibri"/>
      <family val="2"/>
      <charset val="238"/>
      <scheme val="minor"/>
    </font>
    <font>
      <sz val="14"/>
      <color theme="1"/>
      <name val="Calibri"/>
      <family val="2"/>
      <charset val="238"/>
      <scheme val="minor"/>
    </font>
    <font>
      <sz val="11"/>
      <name val="Times New Roman CE"/>
      <family val="1"/>
      <charset val="238"/>
    </font>
    <font>
      <b/>
      <sz val="11"/>
      <name val="Times New Roman CE"/>
      <charset val="238"/>
    </font>
    <font>
      <sz val="11"/>
      <color theme="1"/>
      <name val="Times New Roman"/>
      <family val="1"/>
      <charset val="238"/>
    </font>
    <font>
      <u/>
      <sz val="11"/>
      <color theme="10"/>
      <name val="Calibri"/>
      <family val="2"/>
      <charset val="238"/>
      <scheme val="minor"/>
    </font>
    <font>
      <sz val="10"/>
      <color theme="1"/>
      <name val="Times New Roman"/>
      <family val="1"/>
      <charset val="238"/>
    </font>
    <font>
      <sz val="10"/>
      <color theme="1"/>
      <name val="Calibri"/>
      <family val="2"/>
      <charset val="238"/>
      <scheme val="minor"/>
    </font>
    <font>
      <b/>
      <sz val="11"/>
      <color theme="1"/>
      <name val="Calibri"/>
      <family val="2"/>
      <charset val="238"/>
      <scheme val="minor"/>
    </font>
    <font>
      <b/>
      <sz val="10"/>
      <name val="Calibri"/>
      <family val="2"/>
      <charset val="238"/>
      <scheme val="minor"/>
    </font>
    <font>
      <b/>
      <sz val="18"/>
      <color theme="1"/>
      <name val="Calibri"/>
      <family val="2"/>
      <charset val="238"/>
      <scheme val="minor"/>
    </font>
    <font>
      <b/>
      <sz val="14"/>
      <color theme="1"/>
      <name val="Calibri"/>
      <family val="2"/>
      <charset val="238"/>
      <scheme val="minor"/>
    </font>
    <font>
      <sz val="11"/>
      <color theme="0"/>
      <name val="Calibri"/>
      <family val="2"/>
      <charset val="238"/>
      <scheme val="minor"/>
    </font>
    <font>
      <b/>
      <sz val="14"/>
      <color theme="0"/>
      <name val="Calibri"/>
      <family val="2"/>
      <charset val="238"/>
      <scheme val="minor"/>
    </font>
    <font>
      <u/>
      <sz val="11"/>
      <color theme="3"/>
      <name val="Calibri"/>
      <family val="2"/>
      <charset val="238"/>
      <scheme val="minor"/>
    </font>
    <font>
      <sz val="8"/>
      <color indexed="81"/>
      <name val="Tahoma"/>
      <family val="2"/>
      <charset val="238"/>
    </font>
    <font>
      <b/>
      <sz val="8"/>
      <color indexed="81"/>
      <name val="Tahoma"/>
      <family val="2"/>
      <charset val="238"/>
    </font>
    <font>
      <u/>
      <sz val="11"/>
      <color theme="10"/>
      <name val="Times New Roman"/>
      <family val="1"/>
      <charset val="238"/>
    </font>
    <font>
      <b/>
      <sz val="9"/>
      <color rgb="FFFF0000"/>
      <name val="Calibri"/>
      <family val="2"/>
      <charset val="238"/>
      <scheme val="minor"/>
    </font>
    <font>
      <b/>
      <sz val="9"/>
      <name val="Calibri"/>
      <family val="2"/>
      <charset val="238"/>
      <scheme val="minor"/>
    </font>
    <font>
      <b/>
      <sz val="18"/>
      <color theme="3"/>
      <name val="Cambria"/>
      <family val="2"/>
      <charset val="238"/>
      <scheme val="major"/>
    </font>
    <font>
      <b/>
      <sz val="13"/>
      <color theme="3"/>
      <name val="Calibri"/>
      <family val="2"/>
      <charset val="238"/>
      <scheme val="minor"/>
    </font>
    <font>
      <sz val="12"/>
      <color theme="1"/>
      <name val="Calibri"/>
      <family val="2"/>
      <charset val="238"/>
      <scheme val="minor"/>
    </font>
    <font>
      <b/>
      <sz val="11"/>
      <color theme="0"/>
      <name val="Calibri"/>
      <family val="2"/>
      <charset val="238"/>
      <scheme val="minor"/>
    </font>
    <font>
      <b/>
      <sz val="10"/>
      <color theme="1"/>
      <name val="Calibri"/>
      <family val="2"/>
      <charset val="238"/>
      <scheme val="minor"/>
    </font>
    <font>
      <b/>
      <i/>
      <sz val="10"/>
      <name val="Calibri"/>
      <family val="2"/>
      <charset val="238"/>
      <scheme val="minor"/>
    </font>
    <font>
      <b/>
      <sz val="20"/>
      <color rgb="FFFF6600"/>
      <name val="Calibri"/>
      <family val="2"/>
      <charset val="238"/>
      <scheme val="minor"/>
    </font>
    <font>
      <b/>
      <sz val="20"/>
      <color rgb="FFFF0000"/>
      <name val="Calibri"/>
      <family val="2"/>
      <charset val="238"/>
      <scheme val="minor"/>
    </font>
    <font>
      <sz val="11"/>
      <name val="Calibri"/>
      <family val="2"/>
      <charset val="238"/>
      <scheme val="minor"/>
    </font>
    <font>
      <b/>
      <sz val="11"/>
      <name val="Calibri"/>
      <family val="2"/>
      <charset val="238"/>
      <scheme val="minor"/>
    </font>
    <font>
      <b/>
      <u/>
      <sz val="11"/>
      <color theme="1"/>
      <name val="Calibri"/>
      <family val="2"/>
      <charset val="238"/>
      <scheme val="minor"/>
    </font>
    <font>
      <b/>
      <sz val="11"/>
      <color rgb="FF00B050"/>
      <name val="Calibri"/>
      <family val="2"/>
      <charset val="238"/>
      <scheme val="minor"/>
    </font>
    <font>
      <b/>
      <sz val="11"/>
      <color rgb="FFFF0000"/>
      <name val="Calibri"/>
      <family val="2"/>
      <charset val="238"/>
      <scheme val="minor"/>
    </font>
    <font>
      <sz val="11"/>
      <color rgb="FFFF0000"/>
      <name val="Calibri"/>
      <family val="2"/>
      <charset val="238"/>
      <scheme val="minor"/>
    </font>
    <font>
      <sz val="9"/>
      <color indexed="81"/>
      <name val="Tahoma"/>
      <family val="2"/>
      <charset val="238"/>
    </font>
    <font>
      <b/>
      <sz val="9"/>
      <color indexed="81"/>
      <name val="Tahoma"/>
      <family val="2"/>
      <charset val="238"/>
    </font>
    <font>
      <sz val="10"/>
      <name val="Calibri"/>
      <family val="2"/>
      <charset val="238"/>
      <scheme val="minor"/>
    </font>
    <font>
      <sz val="11"/>
      <color theme="1"/>
      <name val="Calibri"/>
      <family val="2"/>
      <scheme val="minor"/>
    </font>
    <font>
      <sz val="11"/>
      <color indexed="8"/>
      <name val="Calibri"/>
      <family val="2"/>
      <charset val="238"/>
    </font>
    <font>
      <sz val="10"/>
      <name val="MS Sans Serif"/>
      <family val="2"/>
      <charset val="238"/>
    </font>
    <font>
      <b/>
      <sz val="10"/>
      <color rgb="FFFF0000"/>
      <name val="Calibri"/>
      <family val="2"/>
      <charset val="238"/>
      <scheme val="minor"/>
    </font>
    <font>
      <b/>
      <sz val="10"/>
      <color theme="0"/>
      <name val="Calibri"/>
      <family val="2"/>
      <charset val="238"/>
      <scheme val="minor"/>
    </font>
    <font>
      <b/>
      <sz val="18"/>
      <color rgb="FFFF6600"/>
      <name val="Calibri"/>
      <family val="2"/>
      <charset val="238"/>
      <scheme val="minor"/>
    </font>
    <font>
      <b/>
      <sz val="16"/>
      <color theme="1"/>
      <name val="Calibri"/>
      <family val="2"/>
      <charset val="238"/>
      <scheme val="minor"/>
    </font>
    <font>
      <sz val="8"/>
      <color theme="1"/>
      <name val="Calibri"/>
      <family val="2"/>
      <charset val="238"/>
      <scheme val="minor"/>
    </font>
    <font>
      <b/>
      <i/>
      <sz val="9"/>
      <name val="Calibri"/>
      <family val="2"/>
      <charset val="238"/>
      <scheme val="minor"/>
    </font>
    <font>
      <i/>
      <sz val="10"/>
      <color theme="1"/>
      <name val="Calibri"/>
      <family val="2"/>
      <charset val="238"/>
      <scheme val="minor"/>
    </font>
    <font>
      <i/>
      <sz val="9"/>
      <name val="Calibri"/>
      <family val="2"/>
      <charset val="238"/>
      <scheme val="minor"/>
    </font>
    <font>
      <u/>
      <sz val="11"/>
      <color theme="1"/>
      <name val="Calibri"/>
      <family val="2"/>
      <charset val="238"/>
    </font>
    <font>
      <sz val="11"/>
      <color theme="1"/>
      <name val="Calibri"/>
      <family val="2"/>
      <charset val="238"/>
    </font>
    <font>
      <b/>
      <sz val="11"/>
      <color rgb="FFFFFFFF"/>
      <name val="Calibri"/>
      <family val="2"/>
      <charset val="238"/>
      <scheme val="minor"/>
    </font>
    <font>
      <b/>
      <sz val="10"/>
      <color rgb="FFFFFFFF"/>
      <name val="Calibri"/>
      <family val="2"/>
      <charset val="238"/>
      <scheme val="minor"/>
    </font>
    <font>
      <sz val="10"/>
      <color rgb="FF000000"/>
      <name val="Calibri"/>
      <family val="2"/>
      <charset val="238"/>
      <scheme val="minor"/>
    </font>
    <font>
      <sz val="9"/>
      <color rgb="FF000000"/>
      <name val="Calibri"/>
      <family val="2"/>
      <charset val="238"/>
      <scheme val="minor"/>
    </font>
    <font>
      <sz val="8"/>
      <name val="Arial"/>
      <family val="2"/>
      <charset val="238"/>
    </font>
    <font>
      <sz val="9"/>
      <color theme="1"/>
      <name val="Calibri"/>
      <family val="2"/>
      <charset val="238"/>
      <scheme val="minor"/>
    </font>
    <font>
      <sz val="11"/>
      <color rgb="FF00B050"/>
      <name val="Calibri"/>
      <family val="2"/>
      <charset val="238"/>
      <scheme val="minor"/>
    </font>
    <font>
      <b/>
      <sz val="15"/>
      <color theme="0"/>
      <name val="Calibri"/>
      <family val="2"/>
      <charset val="238"/>
      <scheme val="minor"/>
    </font>
    <font>
      <sz val="11"/>
      <color rgb="FFFF3300"/>
      <name val="Calibri"/>
      <family val="2"/>
      <charset val="238"/>
      <scheme val="minor"/>
    </font>
    <font>
      <b/>
      <sz val="11"/>
      <color rgb="FFFF6600"/>
      <name val="Calibri"/>
      <family val="2"/>
      <charset val="238"/>
      <scheme val="minor"/>
    </font>
    <font>
      <b/>
      <sz val="9"/>
      <color rgb="FF000000"/>
      <name val="Calibri"/>
      <family val="2"/>
      <charset val="238"/>
    </font>
    <font>
      <b/>
      <sz val="9"/>
      <color theme="1"/>
      <name val="Calibri"/>
      <family val="2"/>
      <charset val="238"/>
    </font>
    <font>
      <sz val="9"/>
      <color rgb="FF000000"/>
      <name val="Calibri"/>
      <family val="2"/>
      <charset val="238"/>
    </font>
    <font>
      <i/>
      <sz val="9"/>
      <color rgb="FF000000"/>
      <name val="Calibri"/>
      <family val="2"/>
      <charset val="238"/>
    </font>
    <font>
      <b/>
      <sz val="11"/>
      <color theme="9" tint="-0.499984740745262"/>
      <name val="Times New Roman CE"/>
      <charset val="238"/>
    </font>
    <font>
      <sz val="11"/>
      <color theme="9" tint="-0.499984740745262"/>
      <name val="Calibri"/>
      <family val="2"/>
      <charset val="238"/>
      <scheme val="minor"/>
    </font>
    <font>
      <sz val="8"/>
      <color rgb="FF000000"/>
      <name val="Segoe UI"/>
      <family val="2"/>
      <charset val="238"/>
    </font>
    <font>
      <sz val="9"/>
      <color rgb="FFFF0000"/>
      <name val="Calibri"/>
      <family val="2"/>
      <charset val="238"/>
      <scheme val="minor"/>
    </font>
    <font>
      <sz val="9"/>
      <name val="Calibri"/>
      <family val="2"/>
      <charset val="238"/>
      <scheme val="minor"/>
    </font>
    <font>
      <b/>
      <sz val="9"/>
      <color rgb="FF000000"/>
      <name val="Calibri"/>
      <family val="2"/>
      <charset val="238"/>
      <scheme val="minor"/>
    </font>
    <font>
      <i/>
      <sz val="9"/>
      <color rgb="FF000000"/>
      <name val="Calibri"/>
      <family val="2"/>
      <charset val="238"/>
      <scheme val="minor"/>
    </font>
    <font>
      <b/>
      <sz val="12"/>
      <color rgb="FFFF0000"/>
      <name val="Calibri"/>
      <family val="2"/>
      <charset val="238"/>
      <scheme val="minor"/>
    </font>
    <font>
      <b/>
      <sz val="20"/>
      <color theme="0"/>
      <name val="Calibri"/>
      <family val="2"/>
      <charset val="238"/>
      <scheme val="minor"/>
    </font>
    <font>
      <b/>
      <sz val="12"/>
      <color rgb="FFFF6600"/>
      <name val="Calibri"/>
      <family val="2"/>
      <charset val="238"/>
      <scheme val="minor"/>
    </font>
    <font>
      <b/>
      <sz val="10"/>
      <color rgb="FFFF6200"/>
      <name val="Calibri"/>
      <family val="2"/>
      <charset val="238"/>
      <scheme val="minor"/>
    </font>
    <font>
      <b/>
      <sz val="10"/>
      <name val="Times New Roman"/>
      <family val="1"/>
      <charset val="238"/>
    </font>
    <font>
      <b/>
      <sz val="9"/>
      <color rgb="FFFFFFFF"/>
      <name val="Calibri"/>
      <family val="2"/>
      <charset val="238"/>
      <scheme val="minor"/>
    </font>
    <font>
      <b/>
      <vertAlign val="subscript"/>
      <sz val="9"/>
      <color rgb="FFFFFFFF"/>
      <name val="Calibri"/>
      <family val="2"/>
      <charset val="238"/>
      <scheme val="minor"/>
    </font>
    <font>
      <sz val="10"/>
      <color rgb="FFFF0000"/>
      <name val="Calibri"/>
      <family val="2"/>
      <charset val="238"/>
      <scheme val="minor"/>
    </font>
    <font>
      <b/>
      <sz val="10"/>
      <color theme="0" tint="-0.499984740745262"/>
      <name val="Calibri"/>
      <family val="2"/>
      <charset val="238"/>
      <scheme val="minor"/>
    </font>
    <font>
      <sz val="10"/>
      <color theme="0" tint="-0.499984740745262"/>
      <name val="Calibri"/>
      <family val="2"/>
      <charset val="238"/>
      <scheme val="minor"/>
    </font>
    <font>
      <u/>
      <sz val="10"/>
      <color theme="0" tint="-0.499984740745262"/>
      <name val="Calibri"/>
      <family val="2"/>
      <charset val="238"/>
      <scheme val="minor"/>
    </font>
    <font>
      <sz val="9"/>
      <name val="Arial"/>
      <family val="2"/>
      <charset val="238"/>
    </font>
    <font>
      <sz val="9"/>
      <color theme="1"/>
      <name val="Arial"/>
      <family val="2"/>
      <charset val="238"/>
    </font>
    <font>
      <b/>
      <sz val="14"/>
      <color rgb="FFFF6200"/>
      <name val="Calibri"/>
      <family val="2"/>
      <charset val="238"/>
      <scheme val="minor"/>
    </font>
    <font>
      <sz val="16"/>
      <color theme="1"/>
      <name val="Calibri"/>
      <family val="2"/>
      <charset val="238"/>
      <scheme val="minor"/>
    </font>
    <font>
      <b/>
      <i/>
      <sz val="10"/>
      <color theme="0" tint="-0.499984740745262"/>
      <name val="Calibri"/>
      <family val="2"/>
      <charset val="238"/>
      <scheme val="minor"/>
    </font>
    <font>
      <sz val="11"/>
      <color theme="0" tint="-0.499984740745262"/>
      <name val="Calibri"/>
      <family val="2"/>
      <charset val="238"/>
      <scheme val="minor"/>
    </font>
    <font>
      <sz val="18"/>
      <color theme="1"/>
      <name val="Calibri"/>
      <family val="2"/>
      <charset val="238"/>
      <scheme val="minor"/>
    </font>
    <font>
      <i/>
      <sz val="9"/>
      <color rgb="FFFF0000"/>
      <name val="Calibri"/>
      <family val="2"/>
      <charset val="238"/>
      <scheme val="minor"/>
    </font>
    <font>
      <sz val="11"/>
      <color theme="0"/>
      <name val="Times New Roman"/>
      <family val="1"/>
      <charset val="238"/>
    </font>
    <font>
      <sz val="7"/>
      <color rgb="FF242424"/>
      <name val="Segoe UI"/>
      <family val="2"/>
      <charset val="238"/>
    </font>
    <font>
      <b/>
      <sz val="9"/>
      <color rgb="FF00B050"/>
      <name val="Calibri"/>
      <family val="2"/>
      <charset val="238"/>
      <scheme val="minor"/>
    </font>
    <font>
      <b/>
      <sz val="9"/>
      <color theme="1"/>
      <name val="Calibri"/>
      <family val="2"/>
      <charset val="238"/>
      <scheme val="minor"/>
    </font>
    <font>
      <b/>
      <sz val="9"/>
      <color theme="0"/>
      <name val="Calibri"/>
      <family val="2"/>
      <charset val="238"/>
      <scheme val="minor"/>
    </font>
    <font>
      <b/>
      <sz val="9"/>
      <color rgb="FFFF6600"/>
      <name val="Calibri"/>
      <family val="2"/>
      <charset val="238"/>
      <scheme val="minor"/>
    </font>
    <font>
      <b/>
      <sz val="14"/>
      <color rgb="FFFF6600"/>
      <name val="Calibri"/>
      <family val="2"/>
      <charset val="238"/>
      <scheme val="minor"/>
    </font>
    <font>
      <sz val="10"/>
      <color theme="0"/>
      <name val="Calibri"/>
      <family val="2"/>
      <charset val="238"/>
      <scheme val="minor"/>
    </font>
    <font>
      <sz val="8"/>
      <name val="Calibri"/>
      <family val="2"/>
      <charset val="238"/>
      <scheme val="minor"/>
    </font>
  </fonts>
  <fills count="32">
    <fill>
      <patternFill patternType="none"/>
    </fill>
    <fill>
      <patternFill patternType="gray125"/>
    </fill>
    <fill>
      <patternFill patternType="solid">
        <fgColor theme="4" tint="0.79998168889431442"/>
        <bgColor indexed="64"/>
      </patternFill>
    </fill>
    <fill>
      <patternFill patternType="solid">
        <fgColor rgb="FFFF6600"/>
        <bgColor indexed="64"/>
      </patternFill>
    </fill>
    <fill>
      <patternFill patternType="solid">
        <fgColor indexed="9"/>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4" tint="0.39997558519241921"/>
        <bgColor indexed="64"/>
      </patternFill>
    </fill>
    <fill>
      <patternFill patternType="solid">
        <fgColor rgb="FF000066"/>
        <bgColor indexed="64"/>
      </patternFill>
    </fill>
    <fill>
      <patternFill patternType="solid">
        <fgColor rgb="FFB4C3E1"/>
        <bgColor indexed="64"/>
      </patternFill>
    </fill>
    <fill>
      <patternFill patternType="solid">
        <fgColor rgb="FF788CC8"/>
        <bgColor indexed="64"/>
      </patternFill>
    </fill>
    <fill>
      <patternFill patternType="solid">
        <fgColor theme="0"/>
        <bgColor indexed="64"/>
      </patternFill>
    </fill>
    <fill>
      <patternFill patternType="solid">
        <fgColor rgb="FFC3BFB7"/>
        <bgColor indexed="64"/>
      </patternFill>
    </fill>
    <fill>
      <patternFill patternType="solid">
        <fgColor rgb="FFCCFFCC"/>
        <bgColor rgb="FF000000"/>
      </patternFill>
    </fill>
    <fill>
      <patternFill patternType="solid">
        <fgColor rgb="FFFFFFFF"/>
        <bgColor rgb="FF000000"/>
      </patternFill>
    </fill>
    <fill>
      <patternFill patternType="solid">
        <fgColor theme="0" tint="-0.34998626667073579"/>
        <bgColor indexed="64"/>
      </patternFill>
    </fill>
    <fill>
      <patternFill patternType="solid">
        <fgColor rgb="FFFFC000"/>
        <bgColor indexed="64"/>
      </patternFill>
    </fill>
    <fill>
      <patternFill patternType="solid">
        <fgColor theme="4" tint="0.59999389629810485"/>
        <bgColor indexed="64"/>
      </patternFill>
    </fill>
    <fill>
      <patternFill patternType="solid">
        <fgColor rgb="FF92D050"/>
        <bgColor indexed="64"/>
      </patternFill>
    </fill>
    <fill>
      <patternFill patternType="solid">
        <fgColor rgb="FF4F81BD"/>
        <bgColor indexed="64"/>
      </patternFill>
    </fill>
    <fill>
      <patternFill patternType="solid">
        <fgColor rgb="FFFFFFFF"/>
        <bgColor indexed="64"/>
      </patternFill>
    </fill>
    <fill>
      <patternFill patternType="solid">
        <fgColor theme="9" tint="0.79998168889431442"/>
        <bgColor indexed="64"/>
      </patternFill>
    </fill>
    <fill>
      <patternFill patternType="solid">
        <fgColor rgb="FF00B050"/>
        <bgColor indexed="64"/>
      </patternFill>
    </fill>
    <fill>
      <patternFill patternType="solid">
        <fgColor rgb="FFFF6200"/>
        <bgColor indexed="64"/>
      </patternFill>
    </fill>
    <fill>
      <patternFill patternType="solid">
        <fgColor rgb="FFFF9999"/>
        <bgColor indexed="64"/>
      </patternFill>
    </fill>
    <fill>
      <patternFill patternType="solid">
        <fgColor rgb="FFFF6699"/>
        <bgColor indexed="64"/>
      </patternFill>
    </fill>
    <fill>
      <patternFill patternType="solid">
        <fgColor theme="8" tint="0.59999389629810485"/>
        <bgColor indexed="64"/>
      </patternFill>
    </fill>
    <fill>
      <patternFill patternType="solid">
        <fgColor rgb="FFFFFF8B"/>
        <bgColor indexed="64"/>
      </patternFill>
    </fill>
    <fill>
      <patternFill patternType="solid">
        <fgColor theme="0" tint="-0.249977111117893"/>
        <bgColor indexed="64"/>
      </patternFill>
    </fill>
    <fill>
      <patternFill patternType="solid">
        <fgColor rgb="FFFF0000"/>
        <bgColor indexed="64"/>
      </patternFill>
    </fill>
    <fill>
      <patternFill patternType="solid">
        <fgColor theme="0" tint="-0.14999847407452621"/>
        <bgColor indexed="64"/>
      </patternFill>
    </fill>
    <fill>
      <patternFill patternType="solid">
        <fgColor rgb="FFDCE6F1"/>
        <bgColor indexed="64"/>
      </patternFill>
    </fill>
  </fills>
  <borders count="94">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bottom style="hair">
        <color indexed="64"/>
      </bottom>
      <diagonal/>
    </border>
    <border>
      <left/>
      <right style="thin">
        <color indexed="64"/>
      </right>
      <top/>
      <bottom style="hair">
        <color indexed="64"/>
      </bottom>
      <diagonal/>
    </border>
    <border>
      <left/>
      <right/>
      <top/>
      <bottom style="hair">
        <color indexed="64"/>
      </bottom>
      <diagonal/>
    </border>
    <border>
      <left/>
      <right style="thick">
        <color indexed="64"/>
      </right>
      <top/>
      <bottom style="hair">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thick">
        <color theme="4" tint="0.499984740745262"/>
      </bottom>
      <diagonal/>
    </border>
    <border>
      <left style="thin">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top/>
      <bottom/>
      <diagonal/>
    </border>
    <border>
      <left style="thin">
        <color indexed="64"/>
      </left>
      <right style="thin">
        <color indexed="64"/>
      </right>
      <top/>
      <bottom style="double">
        <color indexed="64"/>
      </bottom>
      <diagonal/>
    </border>
    <border>
      <left style="thin">
        <color indexed="64"/>
      </left>
      <right style="thin">
        <color indexed="64"/>
      </right>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top/>
      <bottom style="medium">
        <color indexed="64"/>
      </bottom>
      <diagonal/>
    </border>
    <border>
      <left/>
      <right/>
      <top style="medium">
        <color indexed="64"/>
      </top>
      <bottom/>
      <diagonal/>
    </border>
    <border>
      <left style="thin">
        <color theme="0" tint="-0.499984740745262"/>
      </left>
      <right/>
      <top style="thin">
        <color theme="0" tint="-0.499984740745262"/>
      </top>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top style="thin">
        <color theme="0" tint="-0.499984740745262"/>
      </top>
      <bottom/>
      <diagonal/>
    </border>
    <border>
      <left style="thin">
        <color theme="0" tint="-0.499984740745262"/>
      </left>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style="thin">
        <color theme="0" tint="-0.499984740745262"/>
      </left>
      <right/>
      <top/>
      <bottom/>
      <diagonal/>
    </border>
    <border>
      <left style="medium">
        <color theme="8" tint="-0.24994659260841701"/>
      </left>
      <right style="thin">
        <color theme="0" tint="-0.499984740745262"/>
      </right>
      <top style="medium">
        <color theme="8" tint="-0.24994659260841701"/>
      </top>
      <bottom style="thin">
        <color theme="0" tint="-0.499984740745262"/>
      </bottom>
      <diagonal/>
    </border>
    <border>
      <left style="thin">
        <color theme="0" tint="-0.499984740745262"/>
      </left>
      <right style="medium">
        <color theme="8" tint="-0.24994659260841701"/>
      </right>
      <top style="medium">
        <color theme="8" tint="-0.24994659260841701"/>
      </top>
      <bottom style="thin">
        <color theme="0" tint="-0.499984740745262"/>
      </bottom>
      <diagonal/>
    </border>
    <border>
      <left style="medium">
        <color theme="8" tint="-0.24994659260841701"/>
      </left>
      <right style="thin">
        <color theme="0" tint="-0.499984740745262"/>
      </right>
      <top style="thin">
        <color theme="0" tint="-0.499984740745262"/>
      </top>
      <bottom style="thin">
        <color theme="0" tint="-0.499984740745262"/>
      </bottom>
      <diagonal/>
    </border>
    <border>
      <left style="thin">
        <color theme="0" tint="-0.499984740745262"/>
      </left>
      <right style="medium">
        <color theme="8" tint="-0.24994659260841701"/>
      </right>
      <top style="thin">
        <color theme="0" tint="-0.499984740745262"/>
      </top>
      <bottom style="thin">
        <color theme="0" tint="-0.499984740745262"/>
      </bottom>
      <diagonal/>
    </border>
    <border>
      <left style="medium">
        <color theme="8" tint="-0.24994659260841701"/>
      </left>
      <right style="thin">
        <color theme="0" tint="-0.499984740745262"/>
      </right>
      <top style="thin">
        <color theme="0" tint="-0.499984740745262"/>
      </top>
      <bottom style="medium">
        <color theme="8" tint="-0.24994659260841701"/>
      </bottom>
      <diagonal/>
    </border>
    <border>
      <left style="thin">
        <color theme="0" tint="-0.499984740745262"/>
      </left>
      <right style="medium">
        <color theme="8" tint="-0.24994659260841701"/>
      </right>
      <top style="thin">
        <color theme="0" tint="-0.499984740745262"/>
      </top>
      <bottom style="medium">
        <color theme="8" tint="-0.24994659260841701"/>
      </bottom>
      <diagonal/>
    </border>
    <border>
      <left/>
      <right/>
      <top/>
      <bottom style="thin">
        <color theme="0" tint="-0.499984740745262"/>
      </bottom>
      <diagonal/>
    </border>
    <border>
      <left style="medium">
        <color theme="8" tint="-0.24994659260841701"/>
      </left>
      <right style="medium">
        <color theme="8" tint="-0.24994659260841701"/>
      </right>
      <top style="medium">
        <color theme="8" tint="-0.24994659260841701"/>
      </top>
      <bottom style="thin">
        <color theme="0" tint="-0.499984740745262"/>
      </bottom>
      <diagonal/>
    </border>
    <border>
      <left style="medium">
        <color theme="8" tint="-0.24994659260841701"/>
      </left>
      <right style="medium">
        <color theme="8" tint="-0.24994659260841701"/>
      </right>
      <top style="thin">
        <color theme="0" tint="-0.499984740745262"/>
      </top>
      <bottom style="thin">
        <color theme="0" tint="-0.499984740745262"/>
      </bottom>
      <diagonal/>
    </border>
    <border>
      <left/>
      <right/>
      <top/>
      <bottom style="thin">
        <color indexed="64"/>
      </bottom>
      <diagonal/>
    </border>
    <border>
      <left style="thin">
        <color indexed="64"/>
      </left>
      <right/>
      <top/>
      <bottom style="thin">
        <color indexed="64"/>
      </bottom>
      <diagonal/>
    </border>
    <border>
      <left style="dashed">
        <color theme="3"/>
      </left>
      <right style="thin">
        <color indexed="64"/>
      </right>
      <top style="dashed">
        <color theme="3"/>
      </top>
      <bottom style="dashed">
        <color theme="3"/>
      </bottom>
      <diagonal/>
    </border>
    <border>
      <left style="dashed">
        <color theme="3"/>
      </left>
      <right style="dashed">
        <color theme="3"/>
      </right>
      <top style="dashed">
        <color theme="3"/>
      </top>
      <bottom style="dashed">
        <color theme="3"/>
      </bottom>
      <diagonal/>
    </border>
    <border>
      <left/>
      <right style="dashed">
        <color theme="3"/>
      </right>
      <top/>
      <bottom/>
      <diagonal/>
    </border>
    <border>
      <left style="thin">
        <color indexed="64"/>
      </left>
      <right style="dashed">
        <color theme="3"/>
      </right>
      <top/>
      <bottom/>
      <diagonal/>
    </border>
    <border>
      <left/>
      <right style="dashed">
        <color theme="3"/>
      </right>
      <top style="dashed">
        <color theme="3"/>
      </top>
      <bottom style="dashed">
        <color theme="3"/>
      </bottom>
      <diagonal/>
    </border>
    <border>
      <left/>
      <right/>
      <top style="dashed">
        <color theme="3"/>
      </top>
      <bottom/>
      <diagonal/>
    </border>
    <border>
      <left style="thin">
        <color indexed="64"/>
      </left>
      <right/>
      <top style="dashed">
        <color theme="3"/>
      </top>
      <bottom/>
      <diagonal/>
    </border>
    <border>
      <left/>
      <right/>
      <top style="dashed">
        <color auto="1"/>
      </top>
      <bottom style="dashed">
        <color auto="1"/>
      </bottom>
      <diagonal/>
    </border>
    <border>
      <left/>
      <right/>
      <top style="dashed">
        <color theme="3"/>
      </top>
      <bottom style="dashed">
        <color theme="3"/>
      </bottom>
      <diagonal/>
    </border>
    <border>
      <left style="thin">
        <color indexed="64"/>
      </left>
      <right/>
      <top style="dashed">
        <color theme="3"/>
      </top>
      <bottom style="dashed">
        <color theme="3"/>
      </bottom>
      <diagonal/>
    </border>
    <border>
      <left/>
      <right/>
      <top/>
      <bottom style="dashed">
        <color theme="3"/>
      </bottom>
      <diagonal/>
    </border>
    <border>
      <left style="thin">
        <color indexed="64"/>
      </left>
      <right/>
      <top/>
      <bottom style="dashed">
        <color theme="3"/>
      </bottom>
      <diagonal/>
    </border>
    <border>
      <left style="dashed">
        <color theme="3"/>
      </left>
      <right style="thin">
        <color indexed="64"/>
      </right>
      <top/>
      <bottom style="dashed">
        <color theme="3"/>
      </bottom>
      <diagonal/>
    </border>
    <border>
      <left/>
      <right style="dashed">
        <color theme="3"/>
      </right>
      <top/>
      <bottom style="dashed">
        <color theme="3"/>
      </bottom>
      <diagonal/>
    </border>
    <border>
      <left/>
      <right style="double">
        <color theme="3"/>
      </right>
      <top style="double">
        <color theme="3"/>
      </top>
      <bottom style="double">
        <color theme="3"/>
      </bottom>
      <diagonal/>
    </border>
    <border>
      <left/>
      <right/>
      <top style="double">
        <color theme="3"/>
      </top>
      <bottom style="double">
        <color theme="3"/>
      </bottom>
      <diagonal/>
    </border>
    <border>
      <left style="double">
        <color theme="3"/>
      </left>
      <right/>
      <top style="double">
        <color theme="3"/>
      </top>
      <bottom style="double">
        <color theme="3"/>
      </bottom>
      <diagonal/>
    </border>
    <border>
      <left/>
      <right style="thin">
        <color theme="0" tint="-0.499984740745262"/>
      </right>
      <top/>
      <bottom style="thin">
        <color theme="0" tint="-0.499984740745262"/>
      </bottom>
      <diagonal/>
    </border>
    <border>
      <left style="thin">
        <color theme="0" tint="-0.499984740745262"/>
      </left>
      <right/>
      <top/>
      <bottom style="thin">
        <color theme="0" tint="-0.499984740745262"/>
      </bottom>
      <diagonal/>
    </border>
    <border>
      <left style="medium">
        <color rgb="FFFF6200"/>
      </left>
      <right style="medium">
        <color rgb="FFFF6200"/>
      </right>
      <top style="medium">
        <color rgb="FFFF6200"/>
      </top>
      <bottom style="medium">
        <color rgb="FFFF6200"/>
      </bottom>
      <diagonal/>
    </border>
    <border>
      <left style="medium">
        <color theme="4" tint="-0.24994659260841701"/>
      </left>
      <right/>
      <top style="medium">
        <color theme="4" tint="-0.24994659260841701"/>
      </top>
      <bottom/>
      <diagonal/>
    </border>
    <border>
      <left/>
      <right style="medium">
        <color theme="4" tint="-0.24994659260841701"/>
      </right>
      <top style="medium">
        <color theme="4" tint="-0.24994659260841701"/>
      </top>
      <bottom/>
      <diagonal/>
    </border>
    <border>
      <left style="medium">
        <color theme="4" tint="-0.24994659260841701"/>
      </left>
      <right/>
      <top/>
      <bottom/>
      <diagonal/>
    </border>
    <border>
      <left/>
      <right style="medium">
        <color theme="4" tint="-0.24994659260841701"/>
      </right>
      <top/>
      <bottom/>
      <diagonal/>
    </border>
    <border>
      <left style="medium">
        <color rgb="FF0070C0"/>
      </left>
      <right style="medium">
        <color rgb="FF0070C0"/>
      </right>
      <top style="medium">
        <color rgb="FF0070C0"/>
      </top>
      <bottom/>
      <diagonal/>
    </border>
    <border>
      <left style="medium">
        <color rgb="FF0070C0"/>
      </left>
      <right style="medium">
        <color rgb="FF0070C0"/>
      </right>
      <top/>
      <bottom style="medium">
        <color rgb="FF0070C0"/>
      </bottom>
      <diagonal/>
    </border>
    <border>
      <left style="medium">
        <color theme="4" tint="-0.24994659260841701"/>
      </left>
      <right/>
      <top/>
      <bottom style="medium">
        <color theme="4" tint="-0.24994659260841701"/>
      </bottom>
      <diagonal/>
    </border>
    <border>
      <left/>
      <right style="medium">
        <color theme="4" tint="-0.24994659260841701"/>
      </right>
      <top/>
      <bottom style="medium">
        <color theme="4" tint="-0.24994659260841701"/>
      </bottom>
      <diagonal/>
    </border>
    <border>
      <left style="medium">
        <color auto="1"/>
      </left>
      <right style="thin">
        <color auto="1"/>
      </right>
      <top/>
      <bottom style="double">
        <color indexed="64"/>
      </bottom>
      <diagonal/>
    </border>
    <border>
      <left style="thin">
        <color auto="1"/>
      </left>
      <right style="medium">
        <color auto="1"/>
      </right>
      <top/>
      <bottom style="double">
        <color indexed="64"/>
      </bottom>
      <diagonal/>
    </border>
    <border>
      <left style="medium">
        <color auto="1"/>
      </left>
      <right style="thin">
        <color auto="1"/>
      </right>
      <top/>
      <bottom style="hair">
        <color indexed="64"/>
      </bottom>
      <diagonal/>
    </border>
    <border>
      <left style="thin">
        <color auto="1"/>
      </left>
      <right style="medium">
        <color auto="1"/>
      </right>
      <top/>
      <bottom style="hair">
        <color indexed="64"/>
      </bottom>
      <diagonal/>
    </border>
    <border>
      <left style="medium">
        <color auto="1"/>
      </left>
      <right style="thin">
        <color auto="1"/>
      </right>
      <top/>
      <bottom style="thin">
        <color indexed="64"/>
      </bottom>
      <diagonal/>
    </border>
    <border>
      <left style="medium">
        <color auto="1"/>
      </left>
      <right style="thin">
        <color auto="1"/>
      </right>
      <top style="hair">
        <color indexed="64"/>
      </top>
      <bottom style="medium">
        <color auto="1"/>
      </bottom>
      <diagonal/>
    </border>
    <border>
      <left style="thin">
        <color auto="1"/>
      </left>
      <right style="thin">
        <color auto="1"/>
      </right>
      <top style="hair">
        <color indexed="64"/>
      </top>
      <bottom style="medium">
        <color auto="1"/>
      </bottom>
      <diagonal/>
    </border>
    <border>
      <left style="thin">
        <color auto="1"/>
      </left>
      <right style="thin">
        <color auto="1"/>
      </right>
      <top/>
      <bottom style="medium">
        <color auto="1"/>
      </bottom>
      <diagonal/>
    </border>
    <border>
      <left style="thin">
        <color auto="1"/>
      </left>
      <right style="medium">
        <color auto="1"/>
      </right>
      <top style="hair">
        <color indexed="64"/>
      </top>
      <bottom style="medium">
        <color auto="1"/>
      </bottom>
      <diagonal/>
    </border>
    <border>
      <left style="thin">
        <color auto="1"/>
      </left>
      <right style="medium">
        <color auto="1"/>
      </right>
      <top style="double">
        <color indexed="64"/>
      </top>
      <bottom/>
      <diagonal/>
    </border>
    <border>
      <left style="thin">
        <color auto="1"/>
      </left>
      <right style="medium">
        <color auto="1"/>
      </right>
      <top/>
      <bottom style="thin">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medium">
        <color auto="1"/>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medium">
        <color theme="0" tint="-0.499984740745262"/>
      </left>
      <right style="thin">
        <color theme="0" tint="-0.499984740745262"/>
      </right>
      <top style="thin">
        <color theme="0" tint="-0.499984740745262"/>
      </top>
      <bottom/>
      <diagonal/>
    </border>
    <border>
      <left style="thin">
        <color theme="0" tint="-0.499984740745262"/>
      </left>
      <right style="medium">
        <color theme="0" tint="-0.499984740745262"/>
      </right>
      <top style="thin">
        <color theme="0" tint="-0.499984740745262"/>
      </top>
      <bottom/>
      <diagonal/>
    </border>
    <border>
      <left style="medium">
        <color theme="0" tint="-0.499984740745262"/>
      </left>
      <right style="thin">
        <color theme="0" tint="-0.499984740745262"/>
      </right>
      <top style="medium">
        <color theme="0" tint="-0.499984740745262"/>
      </top>
      <bottom style="thin">
        <color theme="0" tint="-0.499984740745262"/>
      </bottom>
      <diagonal/>
    </border>
    <border>
      <left style="thin">
        <color theme="0" tint="-0.499984740745262"/>
      </left>
      <right style="medium">
        <color theme="0" tint="-0.499984740745262"/>
      </right>
      <top style="medium">
        <color theme="0" tint="-0.499984740745262"/>
      </top>
      <bottom style="thin">
        <color theme="0" tint="-0.499984740745262"/>
      </bottom>
      <diagonal/>
    </border>
  </borders>
  <cellStyleXfs count="14">
    <xf numFmtId="0" fontId="0" fillId="0" borderId="0"/>
    <xf numFmtId="9" fontId="1" fillId="0" borderId="0" applyFont="0" applyFill="0" applyBorder="0" applyAlignment="0" applyProtection="0"/>
    <xf numFmtId="0" fontId="6" fillId="0" borderId="0" applyNumberFormat="0" applyFill="0" applyBorder="0" applyAlignment="0" applyProtection="0"/>
    <xf numFmtId="0" fontId="21" fillId="0" borderId="0" applyNumberFormat="0" applyFill="0" applyBorder="0" applyAlignment="0" applyProtection="0"/>
    <xf numFmtId="0" fontId="22" fillId="0" borderId="14" applyNumberFormat="0" applyFill="0" applyAlignment="0" applyProtection="0"/>
    <xf numFmtId="44" fontId="1" fillId="0" borderId="0" applyFont="0" applyFill="0" applyBorder="0" applyAlignment="0" applyProtection="0"/>
    <xf numFmtId="0" fontId="38" fillId="0" borderId="0"/>
    <xf numFmtId="0" fontId="39" fillId="0" borderId="0"/>
    <xf numFmtId="9" fontId="40" fillId="0" borderId="0" applyFont="0" applyFill="0" applyBorder="0" applyAlignment="0" applyProtection="0"/>
    <xf numFmtId="0" fontId="1" fillId="0" borderId="0"/>
    <xf numFmtId="0" fontId="1" fillId="0" borderId="0"/>
    <xf numFmtId="0" fontId="38" fillId="0" borderId="0"/>
    <xf numFmtId="44" fontId="1" fillId="0" borderId="0" applyFont="0" applyFill="0" applyBorder="0" applyAlignment="0" applyProtection="0"/>
    <xf numFmtId="43" fontId="1" fillId="0" borderId="0" applyFont="0" applyFill="0" applyBorder="0" applyAlignment="0" applyProtection="0"/>
  </cellStyleXfs>
  <cellXfs count="699">
    <xf numFmtId="0" fontId="0" fillId="0" borderId="0" xfId="0"/>
    <xf numFmtId="0" fontId="3" fillId="0" borderId="3" xfId="0" applyFont="1" applyBorder="1" applyAlignment="1">
      <alignment horizontal="center"/>
    </xf>
    <xf numFmtId="0" fontId="3" fillId="0" borderId="4" xfId="0" applyFont="1" applyBorder="1" applyAlignment="1">
      <alignment horizontal="center"/>
    </xf>
    <xf numFmtId="2" fontId="3" fillId="0" borderId="4" xfId="0" applyNumberFormat="1" applyFont="1" applyBorder="1" applyAlignment="1">
      <alignment horizontal="center"/>
    </xf>
    <xf numFmtId="164" fontId="3" fillId="0" borderId="4" xfId="0" applyNumberFormat="1" applyFont="1" applyBorder="1" applyAlignment="1">
      <alignment horizontal="center"/>
    </xf>
    <xf numFmtId="164" fontId="3" fillId="0" borderId="5" xfId="0" applyNumberFormat="1" applyFont="1" applyBorder="1"/>
    <xf numFmtId="164" fontId="3" fillId="0" borderId="6" xfId="0" applyNumberFormat="1" applyFont="1" applyBorder="1" applyAlignment="1">
      <alignment horizontal="center"/>
    </xf>
    <xf numFmtId="164" fontId="3" fillId="0" borderId="0" xfId="0" applyNumberFormat="1" applyFont="1" applyAlignment="1">
      <alignment horizontal="center"/>
    </xf>
    <xf numFmtId="0" fontId="3" fillId="0" borderId="0" xfId="0" applyFont="1" applyAlignment="1">
      <alignment horizontal="right"/>
    </xf>
    <xf numFmtId="14" fontId="3" fillId="0" borderId="0" xfId="0" applyNumberFormat="1" applyFont="1" applyAlignment="1">
      <alignment horizontal="right"/>
    </xf>
    <xf numFmtId="2" fontId="3" fillId="0" borderId="0" xfId="0" applyNumberFormat="1" applyFont="1" applyAlignment="1">
      <alignment horizontal="right"/>
    </xf>
    <xf numFmtId="0" fontId="3" fillId="0" borderId="0" xfId="0" applyFont="1" applyAlignment="1">
      <alignment horizontal="center"/>
    </xf>
    <xf numFmtId="164" fontId="3" fillId="0" borderId="0" xfId="0" applyNumberFormat="1" applyFont="1"/>
    <xf numFmtId="164" fontId="4" fillId="0" borderId="0" xfId="0" applyNumberFormat="1" applyFont="1" applyAlignment="1">
      <alignment horizontal="center"/>
    </xf>
    <xf numFmtId="14" fontId="0" fillId="0" borderId="0" xfId="0" applyNumberFormat="1"/>
    <xf numFmtId="2" fontId="0" fillId="0" borderId="0" xfId="0" applyNumberFormat="1"/>
    <xf numFmtId="164" fontId="0" fillId="0" borderId="0" xfId="0" applyNumberFormat="1"/>
    <xf numFmtId="4" fontId="0" fillId="0" borderId="0" xfId="0" applyNumberFormat="1"/>
    <xf numFmtId="0" fontId="5" fillId="0" borderId="0" xfId="0" applyFont="1"/>
    <xf numFmtId="14" fontId="3" fillId="5" borderId="0" xfId="0" applyNumberFormat="1" applyFont="1" applyFill="1" applyAlignment="1">
      <alignment horizontal="right"/>
    </xf>
    <xf numFmtId="14" fontId="0" fillId="5" borderId="0" xfId="0" applyNumberFormat="1" applyFill="1"/>
    <xf numFmtId="0" fontId="0" fillId="0" borderId="0" xfId="0" applyAlignment="1">
      <alignment wrapText="1"/>
    </xf>
    <xf numFmtId="0" fontId="15" fillId="0" borderId="0" xfId="0" applyFont="1" applyAlignment="1">
      <alignment horizontal="center"/>
    </xf>
    <xf numFmtId="0" fontId="0" fillId="11" borderId="0" xfId="0" applyFill="1"/>
    <xf numFmtId="0" fontId="0" fillId="0" borderId="0" xfId="0" applyAlignment="1">
      <alignment horizontal="right"/>
    </xf>
    <xf numFmtId="4" fontId="0" fillId="0" borderId="0" xfId="0" applyNumberFormat="1" applyAlignment="1">
      <alignment horizontal="right"/>
    </xf>
    <xf numFmtId="0" fontId="6" fillId="0" borderId="0" xfId="2" applyAlignment="1"/>
    <xf numFmtId="0" fontId="5" fillId="0" borderId="0" xfId="0" applyFont="1" applyAlignment="1">
      <alignment horizontal="center"/>
    </xf>
    <xf numFmtId="0" fontId="18" fillId="0" borderId="0" xfId="2" applyFont="1" applyBorder="1" applyAlignment="1">
      <alignment horizontal="center"/>
    </xf>
    <xf numFmtId="0" fontId="0" fillId="0" borderId="0" xfId="0" applyAlignment="1">
      <alignment horizontal="left"/>
    </xf>
    <xf numFmtId="0" fontId="0" fillId="5" borderId="0" xfId="0" applyFill="1"/>
    <xf numFmtId="0" fontId="0" fillId="0" borderId="0" xfId="0" applyProtection="1">
      <protection hidden="1"/>
    </xf>
    <xf numFmtId="0" fontId="19" fillId="0" borderId="0" xfId="0" applyFont="1" applyProtection="1">
      <protection hidden="1"/>
    </xf>
    <xf numFmtId="0" fontId="2" fillId="0" borderId="0" xfId="0" applyFont="1" applyProtection="1">
      <protection hidden="1"/>
    </xf>
    <xf numFmtId="0" fontId="7" fillId="0" borderId="0" xfId="0" applyFont="1" applyProtection="1">
      <protection hidden="1"/>
    </xf>
    <xf numFmtId="0" fontId="27" fillId="0" borderId="0" xfId="0" applyFont="1" applyAlignment="1">
      <alignment horizontal="center" vertical="center" wrapText="1"/>
    </xf>
    <xf numFmtId="0" fontId="8" fillId="0" borderId="0" xfId="0" applyFont="1" applyAlignment="1">
      <alignment vertical="top" wrapText="1"/>
    </xf>
    <xf numFmtId="0" fontId="8" fillId="0" borderId="0" xfId="0" applyFont="1" applyAlignment="1">
      <alignment wrapText="1"/>
    </xf>
    <xf numFmtId="0" fontId="0" fillId="0" borderId="0" xfId="0" applyAlignment="1">
      <alignment vertical="top" wrapText="1"/>
    </xf>
    <xf numFmtId="0" fontId="28" fillId="0" borderId="0" xfId="0" applyFont="1" applyAlignment="1">
      <alignment horizontal="center" wrapText="1"/>
    </xf>
    <xf numFmtId="0" fontId="6" fillId="0" borderId="0" xfId="2"/>
    <xf numFmtId="0" fontId="0" fillId="6" borderId="0" xfId="0" applyFill="1"/>
    <xf numFmtId="0" fontId="0" fillId="16" borderId="0" xfId="0" applyFill="1"/>
    <xf numFmtId="0" fontId="9" fillId="0" borderId="0" xfId="0" applyFont="1"/>
    <xf numFmtId="1" fontId="0" fillId="0" borderId="0" xfId="0" applyNumberFormat="1"/>
    <xf numFmtId="170" fontId="0" fillId="0" borderId="0" xfId="5" applyNumberFormat="1" applyFont="1"/>
    <xf numFmtId="44" fontId="0" fillId="0" borderId="0" xfId="5" applyFont="1"/>
    <xf numFmtId="0" fontId="0" fillId="5" borderId="0" xfId="0" applyFill="1" applyAlignment="1">
      <alignment wrapText="1"/>
    </xf>
    <xf numFmtId="44" fontId="0" fillId="0" borderId="0" xfId="0" applyNumberFormat="1"/>
    <xf numFmtId="0" fontId="34" fillId="0" borderId="0" xfId="0" applyFont="1"/>
    <xf numFmtId="44" fontId="0" fillId="5" borderId="0" xfId="5" applyFont="1" applyFill="1" applyAlignment="1">
      <alignment wrapText="1"/>
    </xf>
    <xf numFmtId="44" fontId="34" fillId="0" borderId="0" xfId="5" applyFont="1" applyFill="1"/>
    <xf numFmtId="42" fontId="0" fillId="0" borderId="0" xfId="5" applyNumberFormat="1" applyFont="1"/>
    <xf numFmtId="9" fontId="0" fillId="0" borderId="0" xfId="0" applyNumberFormat="1" applyAlignment="1">
      <alignment horizontal="right"/>
    </xf>
    <xf numFmtId="44" fontId="0" fillId="0" borderId="0" xfId="0" applyNumberFormat="1" applyAlignment="1">
      <alignment horizontal="right"/>
    </xf>
    <xf numFmtId="10" fontId="0" fillId="0" borderId="0" xfId="0" applyNumberFormat="1" applyAlignment="1">
      <alignment horizontal="right"/>
    </xf>
    <xf numFmtId="44" fontId="0" fillId="5" borderId="0" xfId="0" applyNumberFormat="1" applyFill="1"/>
    <xf numFmtId="44" fontId="0" fillId="5" borderId="0" xfId="5" applyFont="1" applyFill="1"/>
    <xf numFmtId="44" fontId="0" fillId="0" borderId="0" xfId="5" applyFont="1" applyFill="1" applyBorder="1"/>
    <xf numFmtId="0" fontId="18" fillId="0" borderId="0" xfId="2" applyFont="1" applyBorder="1" applyAlignment="1" applyProtection="1">
      <alignment horizontal="left" vertical="center"/>
      <protection hidden="1"/>
    </xf>
    <xf numFmtId="0" fontId="0" fillId="0" borderId="0" xfId="0" applyAlignment="1" applyProtection="1">
      <alignment horizontal="center" vertical="center"/>
      <protection hidden="1"/>
    </xf>
    <xf numFmtId="172" fontId="0" fillId="0" borderId="0" xfId="0" applyNumberFormat="1"/>
    <xf numFmtId="171" fontId="0" fillId="0" borderId="0" xfId="0" applyNumberFormat="1"/>
    <xf numFmtId="10" fontId="0" fillId="0" borderId="0" xfId="1" applyNumberFormat="1" applyFont="1" applyBorder="1" applyAlignment="1">
      <alignment vertical="top" wrapText="1"/>
    </xf>
    <xf numFmtId="0" fontId="0" fillId="0" borderId="0" xfId="0" applyAlignment="1">
      <alignment vertical="center"/>
    </xf>
    <xf numFmtId="0" fontId="6" fillId="11" borderId="0" xfId="2" applyFill="1" applyBorder="1" applyAlignment="1">
      <alignment horizontal="center" vertical="center" wrapText="1"/>
    </xf>
    <xf numFmtId="0" fontId="0" fillId="0" borderId="0" xfId="0" applyAlignment="1">
      <alignment horizontal="center" vertical="center"/>
    </xf>
    <xf numFmtId="0" fontId="0" fillId="0" borderId="0" xfId="0" quotePrefix="1"/>
    <xf numFmtId="0" fontId="43" fillId="0" borderId="0" xfId="0" applyFont="1" applyAlignment="1">
      <alignment horizontal="center" vertical="center" wrapText="1"/>
    </xf>
    <xf numFmtId="0" fontId="11" fillId="0" borderId="0" xfId="0" applyFont="1" applyAlignment="1" applyProtection="1">
      <alignment vertical="center"/>
      <protection hidden="1"/>
    </xf>
    <xf numFmtId="10" fontId="30" fillId="0" borderId="0" xfId="3" applyNumberFormat="1" applyFont="1" applyBorder="1" applyAlignment="1" applyProtection="1">
      <alignment vertical="top" wrapText="1"/>
      <protection hidden="1"/>
    </xf>
    <xf numFmtId="0" fontId="47" fillId="0" borderId="0" xfId="0" applyFont="1"/>
    <xf numFmtId="8" fontId="9" fillId="0" borderId="0" xfId="0" applyNumberFormat="1" applyFont="1" applyAlignment="1" applyProtection="1">
      <alignment horizontal="right"/>
      <protection hidden="1"/>
    </xf>
    <xf numFmtId="0" fontId="30" fillId="0" borderId="0" xfId="4" applyFont="1" applyBorder="1" applyAlignment="1" applyProtection="1">
      <alignment horizontal="right"/>
      <protection hidden="1"/>
    </xf>
    <xf numFmtId="0" fontId="8" fillId="0" borderId="0" xfId="0" applyFont="1" applyProtection="1">
      <protection hidden="1"/>
    </xf>
    <xf numFmtId="0" fontId="23" fillId="0" borderId="0" xfId="0" applyFont="1" applyProtection="1">
      <protection hidden="1"/>
    </xf>
    <xf numFmtId="0" fontId="46" fillId="0" borderId="0" xfId="3" applyFont="1" applyBorder="1" applyAlignment="1" applyProtection="1">
      <alignment horizontal="right" vertical="center"/>
      <protection hidden="1"/>
    </xf>
    <xf numFmtId="0" fontId="30" fillId="0" borderId="0" xfId="3" applyFont="1" applyBorder="1" applyAlignment="1" applyProtection="1">
      <alignment horizontal="right" vertical="center"/>
      <protection hidden="1"/>
    </xf>
    <xf numFmtId="164" fontId="29" fillId="0" borderId="19" xfId="0" applyNumberFormat="1" applyFont="1" applyBorder="1" applyProtection="1">
      <protection hidden="1"/>
    </xf>
    <xf numFmtId="164" fontId="29" fillId="0" borderId="20" xfId="0" applyNumberFormat="1" applyFont="1" applyBorder="1" applyAlignment="1" applyProtection="1">
      <alignment horizontal="center"/>
      <protection hidden="1"/>
    </xf>
    <xf numFmtId="166" fontId="37" fillId="0" borderId="21" xfId="0" applyNumberFormat="1" applyFont="1" applyBorder="1" applyProtection="1">
      <protection hidden="1"/>
    </xf>
    <xf numFmtId="4" fontId="37" fillId="4" borderId="20" xfId="0" applyNumberFormat="1" applyFont="1" applyFill="1" applyBorder="1" applyProtection="1">
      <protection hidden="1"/>
    </xf>
    <xf numFmtId="164" fontId="30" fillId="0" borderId="19" xfId="0" applyNumberFormat="1" applyFont="1" applyBorder="1" applyProtection="1">
      <protection hidden="1"/>
    </xf>
    <xf numFmtId="164" fontId="37" fillId="0" borderId="20" xfId="0" applyNumberFormat="1" applyFont="1" applyBorder="1" applyAlignment="1" applyProtection="1">
      <alignment horizontal="right"/>
      <protection hidden="1"/>
    </xf>
    <xf numFmtId="164" fontId="37" fillId="0" borderId="22" xfId="0" applyNumberFormat="1" applyFont="1" applyBorder="1" applyAlignment="1" applyProtection="1">
      <alignment horizontal="center"/>
      <protection hidden="1"/>
    </xf>
    <xf numFmtId="1" fontId="9" fillId="0" borderId="0" xfId="0" applyNumberFormat="1" applyFont="1" applyAlignment="1" applyProtection="1">
      <alignment horizontal="right"/>
      <protection hidden="1"/>
    </xf>
    <xf numFmtId="168" fontId="9" fillId="0" borderId="0" xfId="0" applyNumberFormat="1" applyFont="1" applyAlignment="1" applyProtection="1">
      <alignment horizontal="right"/>
      <protection hidden="1"/>
    </xf>
    <xf numFmtId="0" fontId="49" fillId="0" borderId="0" xfId="0" applyFont="1" applyAlignment="1">
      <alignment vertical="center"/>
    </xf>
    <xf numFmtId="0" fontId="0" fillId="0" borderId="0" xfId="0" applyAlignment="1">
      <alignment horizontal="center"/>
    </xf>
    <xf numFmtId="0" fontId="50" fillId="0" borderId="0" xfId="0" applyFont="1" applyAlignment="1">
      <alignment vertical="center"/>
    </xf>
    <xf numFmtId="14" fontId="0" fillId="0" borderId="8" xfId="0" applyNumberFormat="1" applyBorder="1" applyAlignment="1">
      <alignment horizontal="center"/>
    </xf>
    <xf numFmtId="0" fontId="51" fillId="19" borderId="8" xfId="0" applyFont="1" applyFill="1" applyBorder="1" applyAlignment="1">
      <alignment horizontal="center" vertical="center"/>
    </xf>
    <xf numFmtId="0" fontId="51" fillId="19" borderId="8" xfId="0" applyFont="1" applyFill="1" applyBorder="1" applyAlignment="1">
      <alignment horizontal="center" vertical="center" wrapText="1"/>
    </xf>
    <xf numFmtId="0" fontId="53" fillId="0" borderId="8" xfId="0" applyFont="1" applyBorder="1" applyAlignment="1">
      <alignment vertical="center"/>
    </xf>
    <xf numFmtId="1" fontId="53" fillId="0" borderId="8" xfId="0" applyNumberFormat="1" applyFont="1" applyBorder="1" applyAlignment="1">
      <alignment horizontal="center" vertical="center" wrapText="1"/>
    </xf>
    <xf numFmtId="0" fontId="54" fillId="0" borderId="8" xfId="0" applyFont="1" applyBorder="1" applyAlignment="1">
      <alignment vertical="center"/>
    </xf>
    <xf numFmtId="0" fontId="53" fillId="20" borderId="8" xfId="0" applyFont="1" applyFill="1" applyBorder="1" applyAlignment="1">
      <alignment vertical="center"/>
    </xf>
    <xf numFmtId="1" fontId="53" fillId="20" borderId="8" xfId="0" applyNumberFormat="1" applyFont="1" applyFill="1" applyBorder="1" applyAlignment="1">
      <alignment horizontal="center" vertical="center" wrapText="1"/>
    </xf>
    <xf numFmtId="0" fontId="29" fillId="16" borderId="0" xfId="0" applyFont="1" applyFill="1"/>
    <xf numFmtId="0" fontId="0" fillId="0" borderId="8" xfId="0" applyBorder="1"/>
    <xf numFmtId="14" fontId="0" fillId="0" borderId="8" xfId="0" applyNumberFormat="1" applyBorder="1"/>
    <xf numFmtId="0" fontId="29" fillId="0" borderId="0" xfId="0" applyFont="1"/>
    <xf numFmtId="0" fontId="54" fillId="0" borderId="8" xfId="0" applyFont="1" applyBorder="1" applyAlignment="1">
      <alignment vertical="top"/>
    </xf>
    <xf numFmtId="44" fontId="0" fillId="0" borderId="8" xfId="0" applyNumberFormat="1" applyBorder="1"/>
    <xf numFmtId="0" fontId="29" fillId="5" borderId="0" xfId="0" applyFont="1" applyFill="1"/>
    <xf numFmtId="0" fontId="53" fillId="0" borderId="0" xfId="0" applyFont="1" applyAlignment="1">
      <alignment vertical="center"/>
    </xf>
    <xf numFmtId="0" fontId="56" fillId="0" borderId="8" xfId="0" applyFont="1" applyBorder="1" applyAlignment="1">
      <alignment vertical="center"/>
    </xf>
    <xf numFmtId="0" fontId="56" fillId="0" borderId="8" xfId="0" applyFont="1" applyBorder="1" applyAlignment="1">
      <alignment vertical="top"/>
    </xf>
    <xf numFmtId="0" fontId="9" fillId="0" borderId="0" xfId="0" applyFont="1" applyAlignment="1">
      <alignment horizontal="center"/>
    </xf>
    <xf numFmtId="0" fontId="30" fillId="0" borderId="0" xfId="0" applyFont="1"/>
    <xf numFmtId="0" fontId="9" fillId="5" borderId="0" xfId="0" applyFont="1" applyFill="1"/>
    <xf numFmtId="2" fontId="30" fillId="5" borderId="0" xfId="1" applyNumberFormat="1" applyFont="1" applyFill="1"/>
    <xf numFmtId="0" fontId="9" fillId="5" borderId="0" xfId="1" applyNumberFormat="1" applyFont="1" applyFill="1"/>
    <xf numFmtId="14" fontId="55" fillId="0" borderId="8" xfId="0" applyNumberFormat="1" applyFont="1" applyBorder="1" applyAlignment="1">
      <alignment wrapText="1"/>
    </xf>
    <xf numFmtId="0" fontId="0" fillId="21" borderId="0" xfId="0" applyFill="1"/>
    <xf numFmtId="2" fontId="32" fillId="21" borderId="8" xfId="0" applyNumberFormat="1" applyFont="1" applyFill="1" applyBorder="1"/>
    <xf numFmtId="0" fontId="32" fillId="21" borderId="0" xfId="0" applyFont="1" applyFill="1"/>
    <xf numFmtId="2" fontId="32" fillId="21" borderId="0" xfId="0" applyNumberFormat="1" applyFont="1" applyFill="1"/>
    <xf numFmtId="2" fontId="57" fillId="21" borderId="8" xfId="0" applyNumberFormat="1" applyFont="1" applyFill="1" applyBorder="1"/>
    <xf numFmtId="2" fontId="57" fillId="21" borderId="0" xfId="0" applyNumberFormat="1" applyFont="1" applyFill="1"/>
    <xf numFmtId="0" fontId="29" fillId="21" borderId="0" xfId="0" applyFont="1" applyFill="1"/>
    <xf numFmtId="0" fontId="9" fillId="21" borderId="0" xfId="0" applyFont="1" applyFill="1"/>
    <xf numFmtId="0" fontId="9" fillId="21" borderId="0" xfId="0" applyFont="1" applyFill="1" applyAlignment="1">
      <alignment horizontal="center"/>
    </xf>
    <xf numFmtId="44" fontId="0" fillId="5" borderId="10" xfId="0" applyNumberFormat="1" applyFill="1" applyBorder="1"/>
    <xf numFmtId="0" fontId="9" fillId="5" borderId="13" xfId="0" applyFont="1" applyFill="1" applyBorder="1"/>
    <xf numFmtId="44" fontId="0" fillId="5" borderId="12" xfId="0" applyNumberFormat="1" applyFill="1" applyBorder="1"/>
    <xf numFmtId="0" fontId="9" fillId="5" borderId="11" xfId="0" applyFont="1" applyFill="1" applyBorder="1"/>
    <xf numFmtId="0" fontId="9" fillId="21" borderId="0" xfId="1" applyNumberFormat="1" applyFont="1" applyFill="1"/>
    <xf numFmtId="2" fontId="30" fillId="21" borderId="8" xfId="1" applyNumberFormat="1" applyFont="1" applyFill="1" applyBorder="1"/>
    <xf numFmtId="44" fontId="9" fillId="0" borderId="0" xfId="0" applyNumberFormat="1" applyFont="1"/>
    <xf numFmtId="2" fontId="9" fillId="0" borderId="0" xfId="0" applyNumberFormat="1" applyFont="1"/>
    <xf numFmtId="44" fontId="9" fillId="0" borderId="10" xfId="0" applyNumberFormat="1" applyFont="1" applyBorder="1"/>
    <xf numFmtId="44" fontId="32" fillId="0" borderId="23" xfId="0" applyNumberFormat="1" applyFont="1" applyBorder="1"/>
    <xf numFmtId="0" fontId="9" fillId="0" borderId="13" xfId="0" applyFont="1" applyBorder="1"/>
    <xf numFmtId="0" fontId="34" fillId="0" borderId="10" xfId="0" applyFont="1" applyBorder="1"/>
    <xf numFmtId="2" fontId="32" fillId="0" borderId="23" xfId="0" applyNumberFormat="1" applyFont="1" applyBorder="1"/>
    <xf numFmtId="0" fontId="9" fillId="0" borderId="23" xfId="0" applyFont="1" applyBorder="1"/>
    <xf numFmtId="0" fontId="30" fillId="0" borderId="13" xfId="0" applyFont="1" applyBorder="1"/>
    <xf numFmtId="44" fontId="0" fillId="0" borderId="17" xfId="0" applyNumberFormat="1" applyBorder="1"/>
    <xf numFmtId="44" fontId="57" fillId="0" borderId="0" xfId="0" applyNumberFormat="1" applyFont="1"/>
    <xf numFmtId="0" fontId="0" fillId="0" borderId="16" xfId="0" applyBorder="1"/>
    <xf numFmtId="0" fontId="0" fillId="0" borderId="17" xfId="0" applyBorder="1"/>
    <xf numFmtId="2" fontId="57" fillId="0" borderId="0" xfId="0" applyNumberFormat="1" applyFont="1"/>
    <xf numFmtId="0" fontId="29" fillId="0" borderId="16" xfId="0" applyFont="1" applyBorder="1"/>
    <xf numFmtId="0" fontId="57" fillId="0" borderId="0" xfId="0" applyFont="1"/>
    <xf numFmtId="2" fontId="32" fillId="21" borderId="17" xfId="0" applyNumberFormat="1" applyFont="1" applyFill="1" applyBorder="1"/>
    <xf numFmtId="0" fontId="29" fillId="21" borderId="16" xfId="0" applyFont="1" applyFill="1" applyBorder="1"/>
    <xf numFmtId="0" fontId="9" fillId="0" borderId="12" xfId="0" applyFont="1" applyBorder="1"/>
    <xf numFmtId="0" fontId="9" fillId="0" borderId="24" xfId="0" applyFont="1" applyBorder="1"/>
    <xf numFmtId="0" fontId="33" fillId="0" borderId="11" xfId="0" applyFont="1" applyBorder="1"/>
    <xf numFmtId="0" fontId="9" fillId="0" borderId="24" xfId="0" applyFont="1" applyBorder="1" applyAlignment="1">
      <alignment horizontal="center"/>
    </xf>
    <xf numFmtId="0" fontId="9" fillId="0" borderId="24" xfId="0" applyFont="1" applyBorder="1" applyAlignment="1">
      <alignment vertical="center"/>
    </xf>
    <xf numFmtId="0" fontId="0" fillId="22" borderId="8" xfId="0" applyFill="1" applyBorder="1"/>
    <xf numFmtId="0" fontId="31" fillId="21" borderId="0" xfId="0" applyFont="1" applyFill="1"/>
    <xf numFmtId="0" fontId="0" fillId="18" borderId="0" xfId="0" applyFill="1"/>
    <xf numFmtId="0" fontId="59" fillId="0" borderId="0" xfId="0" applyFont="1"/>
    <xf numFmtId="2" fontId="29" fillId="0" borderId="0" xfId="0" applyNumberFormat="1" applyFont="1"/>
    <xf numFmtId="0" fontId="8" fillId="0" borderId="0" xfId="0" applyFont="1"/>
    <xf numFmtId="164" fontId="65" fillId="21" borderId="0" xfId="0" applyNumberFormat="1" applyFont="1" applyFill="1" applyAlignment="1">
      <alignment horizontal="center"/>
    </xf>
    <xf numFmtId="164" fontId="66" fillId="21" borderId="0" xfId="0" applyNumberFormat="1" applyFont="1" applyFill="1"/>
    <xf numFmtId="4" fontId="66" fillId="21" borderId="0" xfId="0" applyNumberFormat="1" applyFont="1" applyFill="1"/>
    <xf numFmtId="0" fontId="66" fillId="21" borderId="0" xfId="0" applyFont="1" applyFill="1"/>
    <xf numFmtId="49" fontId="0" fillId="0" borderId="0" xfId="0" applyNumberFormat="1"/>
    <xf numFmtId="9" fontId="0" fillId="0" borderId="0" xfId="0" applyNumberFormat="1" applyAlignment="1">
      <alignment vertical="top" wrapText="1"/>
    </xf>
    <xf numFmtId="0" fontId="30" fillId="0" borderId="0" xfId="3" applyFont="1" applyBorder="1" applyAlignment="1" applyProtection="1">
      <alignment horizontal="right" vertical="top" wrapText="1"/>
      <protection hidden="1"/>
    </xf>
    <xf numFmtId="164" fontId="24" fillId="3" borderId="29" xfId="0" applyNumberFormat="1" applyFont="1" applyFill="1" applyBorder="1" applyAlignment="1" applyProtection="1">
      <alignment horizontal="center" vertical="center" wrapText="1"/>
      <protection hidden="1"/>
    </xf>
    <xf numFmtId="0" fontId="10" fillId="9" borderId="29" xfId="0" applyFont="1" applyFill="1" applyBorder="1" applyAlignment="1" applyProtection="1">
      <alignment horizontal="left" vertical="center" indent="2"/>
      <protection hidden="1"/>
    </xf>
    <xf numFmtId="164" fontId="10" fillId="0" borderId="29" xfId="0" applyNumberFormat="1" applyFont="1" applyBorder="1" applyAlignment="1" applyProtection="1">
      <alignment horizontal="center" vertical="center"/>
      <protection locked="0"/>
    </xf>
    <xf numFmtId="165" fontId="10" fillId="0" borderId="29" xfId="0" applyNumberFormat="1" applyFont="1" applyBorder="1" applyAlignment="1" applyProtection="1">
      <alignment horizontal="center" vertical="center"/>
      <protection locked="0"/>
    </xf>
    <xf numFmtId="9" fontId="10" fillId="0" borderId="29" xfId="1" applyFont="1" applyFill="1" applyBorder="1" applyAlignment="1" applyProtection="1">
      <alignment horizontal="center" vertical="center"/>
      <protection locked="0"/>
    </xf>
    <xf numFmtId="2" fontId="10" fillId="0" borderId="29" xfId="1" applyNumberFormat="1" applyFont="1" applyFill="1" applyBorder="1" applyAlignment="1" applyProtection="1">
      <alignment horizontal="center" vertical="center"/>
      <protection locked="0"/>
    </xf>
    <xf numFmtId="2" fontId="10" fillId="12" borderId="29" xfId="1" applyNumberFormat="1" applyFont="1" applyFill="1" applyBorder="1" applyAlignment="1" applyProtection="1">
      <alignment horizontal="center" vertical="center"/>
      <protection hidden="1"/>
    </xf>
    <xf numFmtId="10" fontId="10" fillId="12" borderId="29" xfId="1" applyNumberFormat="1" applyFont="1" applyFill="1" applyBorder="1" applyAlignment="1" applyProtection="1">
      <alignment horizontal="center" vertical="center"/>
      <protection hidden="1"/>
    </xf>
    <xf numFmtId="14" fontId="10" fillId="0" borderId="29" xfId="1" applyNumberFormat="1" applyFont="1" applyFill="1" applyBorder="1" applyAlignment="1" applyProtection="1">
      <alignment horizontal="center" vertical="center"/>
      <protection locked="0"/>
    </xf>
    <xf numFmtId="0" fontId="10" fillId="9" borderId="29" xfId="0" applyFont="1" applyFill="1" applyBorder="1" applyAlignment="1" applyProtection="1">
      <alignment horizontal="left" vertical="center" wrapText="1" indent="2"/>
      <protection hidden="1"/>
    </xf>
    <xf numFmtId="0" fontId="56" fillId="0" borderId="0" xfId="0" applyFont="1"/>
    <xf numFmtId="9" fontId="56" fillId="0" borderId="0" xfId="0" applyNumberFormat="1" applyFont="1"/>
    <xf numFmtId="0" fontId="56" fillId="0" borderId="0" xfId="0" applyFont="1" applyAlignment="1">
      <alignment vertical="center"/>
    </xf>
    <xf numFmtId="0" fontId="56" fillId="5" borderId="0" xfId="0" applyFont="1" applyFill="1"/>
    <xf numFmtId="0" fontId="56" fillId="5" borderId="0" xfId="0" applyFont="1" applyFill="1" applyAlignment="1">
      <alignment horizontal="left"/>
    </xf>
    <xf numFmtId="169" fontId="68" fillId="0" borderId="0" xfId="0" applyNumberFormat="1" applyFont="1" applyAlignment="1">
      <alignment horizontal="center"/>
    </xf>
    <xf numFmtId="169" fontId="69" fillId="0" borderId="0" xfId="0" applyNumberFormat="1" applyFont="1" applyAlignment="1">
      <alignment horizontal="center"/>
    </xf>
    <xf numFmtId="169" fontId="69" fillId="0" borderId="0" xfId="1" applyNumberFormat="1" applyFont="1" applyFill="1" applyBorder="1" applyAlignment="1">
      <alignment horizontal="center" wrapText="1"/>
    </xf>
    <xf numFmtId="0" fontId="25" fillId="2" borderId="29" xfId="0" applyFont="1" applyFill="1" applyBorder="1" applyAlignment="1">
      <alignment horizontal="left" indent="1"/>
    </xf>
    <xf numFmtId="14" fontId="8" fillId="0" borderId="29" xfId="0" applyNumberFormat="1" applyFont="1" applyBorder="1" applyAlignment="1" applyProtection="1">
      <alignment horizontal="center" vertical="center" wrapText="1"/>
      <protection locked="0" hidden="1"/>
    </xf>
    <xf numFmtId="0" fontId="8" fillId="0" borderId="29" xfId="0" applyFont="1" applyBorder="1" applyAlignment="1" applyProtection="1">
      <alignment horizontal="center" vertical="center" wrapText="1"/>
      <protection locked="0"/>
    </xf>
    <xf numFmtId="14" fontId="37" fillId="11" borderId="29" xfId="0" applyNumberFormat="1" applyFont="1" applyFill="1" applyBorder="1" applyAlignment="1" applyProtection="1">
      <alignment horizontal="center"/>
      <protection locked="0"/>
    </xf>
    <xf numFmtId="44" fontId="25" fillId="0" borderId="29" xfId="5" applyFont="1" applyFill="1" applyBorder="1" applyProtection="1">
      <protection locked="0"/>
    </xf>
    <xf numFmtId="0" fontId="25" fillId="2" borderId="29" xfId="0" applyFont="1" applyFill="1" applyBorder="1"/>
    <xf numFmtId="0" fontId="25" fillId="7" borderId="29" xfId="0" applyFont="1" applyFill="1" applyBorder="1" applyAlignment="1" applyProtection="1">
      <alignment horizontal="right" vertical="center"/>
      <protection hidden="1"/>
    </xf>
    <xf numFmtId="168" fontId="42" fillId="3" borderId="29" xfId="5" applyNumberFormat="1" applyFont="1" applyFill="1" applyBorder="1" applyAlignment="1" applyProtection="1">
      <alignment horizontal="right"/>
      <protection hidden="1"/>
    </xf>
    <xf numFmtId="0" fontId="25" fillId="2" borderId="29" xfId="0" applyFont="1" applyFill="1" applyBorder="1" applyAlignment="1">
      <alignment horizontal="left" vertical="center" indent="1"/>
    </xf>
    <xf numFmtId="0" fontId="8" fillId="0" borderId="29" xfId="0" applyFont="1" applyBorder="1" applyAlignment="1" applyProtection="1">
      <alignment horizontal="left" vertical="center" wrapText="1" indent="1"/>
      <protection locked="0"/>
    </xf>
    <xf numFmtId="14" fontId="8" fillId="0" borderId="29" xfId="0" applyNumberFormat="1" applyFont="1" applyBorder="1" applyAlignment="1" applyProtection="1">
      <alignment horizontal="center" vertical="center"/>
      <protection locked="0"/>
    </xf>
    <xf numFmtId="0" fontId="25" fillId="7" borderId="29" xfId="0" applyFont="1" applyFill="1" applyBorder="1" applyAlignment="1" applyProtection="1">
      <alignment horizontal="right"/>
      <protection hidden="1"/>
    </xf>
    <xf numFmtId="0" fontId="10" fillId="23" borderId="29" xfId="0" applyFont="1" applyFill="1" applyBorder="1" applyAlignment="1" applyProtection="1">
      <alignment horizontal="left" vertical="center" indent="1"/>
      <protection hidden="1"/>
    </xf>
    <xf numFmtId="0" fontId="10" fillId="8" borderId="29" xfId="0" applyFont="1" applyFill="1" applyBorder="1" applyAlignment="1" applyProtection="1">
      <alignment horizontal="left" vertical="center" indent="1"/>
      <protection hidden="1"/>
    </xf>
    <xf numFmtId="4" fontId="8" fillId="8" borderId="29" xfId="0" applyNumberFormat="1" applyFont="1" applyFill="1" applyBorder="1" applyAlignment="1" applyProtection="1">
      <alignment horizontal="center" vertical="center"/>
      <protection locked="0"/>
    </xf>
    <xf numFmtId="169" fontId="8" fillId="0" borderId="29" xfId="0" applyNumberFormat="1" applyFont="1" applyBorder="1" applyAlignment="1" applyProtection="1">
      <alignment horizontal="center" vertical="center"/>
      <protection locked="0"/>
    </xf>
    <xf numFmtId="3" fontId="8" fillId="0" borderId="29" xfId="0" applyNumberFormat="1" applyFont="1" applyBorder="1" applyAlignment="1" applyProtection="1">
      <alignment horizontal="center" vertical="center"/>
      <protection locked="0"/>
    </xf>
    <xf numFmtId="0" fontId="10" fillId="12" borderId="29" xfId="0" applyFont="1" applyFill="1" applyBorder="1" applyAlignment="1" applyProtection="1">
      <alignment horizontal="left" vertical="center" wrapText="1" indent="2"/>
      <protection hidden="1"/>
    </xf>
    <xf numFmtId="0" fontId="10" fillId="10" borderId="29" xfId="0" applyFont="1" applyFill="1" applyBorder="1" applyAlignment="1" applyProtection="1">
      <alignment horizontal="left" vertical="center" indent="1"/>
      <protection hidden="1"/>
    </xf>
    <xf numFmtId="4" fontId="8" fillId="0" borderId="0" xfId="0" applyNumberFormat="1" applyFont="1" applyAlignment="1">
      <alignment horizontal="center" vertical="center"/>
    </xf>
    <xf numFmtId="0" fontId="8" fillId="0" borderId="0" xfId="0" applyFont="1" applyAlignment="1">
      <alignment vertical="center"/>
    </xf>
    <xf numFmtId="10" fontId="8" fillId="0" borderId="29" xfId="0" applyNumberFormat="1" applyFont="1" applyBorder="1" applyAlignment="1" applyProtection="1">
      <alignment horizontal="center" vertical="center"/>
      <protection locked="0"/>
    </xf>
    <xf numFmtId="0" fontId="8" fillId="0" borderId="29" xfId="0" applyFont="1" applyBorder="1" applyAlignment="1" applyProtection="1">
      <alignment horizontal="center" vertical="center"/>
      <protection locked="0" hidden="1"/>
    </xf>
    <xf numFmtId="4" fontId="25" fillId="15" borderId="29" xfId="0" applyNumberFormat="1" applyFont="1" applyFill="1" applyBorder="1" applyAlignment="1" applyProtection="1">
      <alignment horizontal="center" vertical="center"/>
      <protection hidden="1"/>
    </xf>
    <xf numFmtId="0" fontId="10" fillId="9" borderId="29" xfId="0" applyFont="1" applyFill="1" applyBorder="1" applyAlignment="1" applyProtection="1">
      <alignment horizontal="left" vertical="center" indent="1"/>
      <protection hidden="1"/>
    </xf>
    <xf numFmtId="1" fontId="25" fillId="0" borderId="29" xfId="0" applyNumberFormat="1" applyFont="1" applyBorder="1" applyAlignment="1" applyProtection="1">
      <alignment horizontal="center" vertical="center"/>
      <protection locked="0"/>
    </xf>
    <xf numFmtId="173" fontId="0" fillId="0" borderId="0" xfId="13" applyNumberFormat="1" applyFont="1"/>
    <xf numFmtId="0" fontId="42" fillId="23" borderId="28" xfId="2" applyFont="1" applyFill="1" applyBorder="1" applyAlignment="1">
      <alignment horizontal="right" vertical="center" indent="1"/>
    </xf>
    <xf numFmtId="0" fontId="10" fillId="9" borderId="29" xfId="0" applyFont="1" applyFill="1" applyBorder="1" applyAlignment="1" applyProtection="1">
      <alignment horizontal="left" vertical="center" wrapText="1" indent="1"/>
      <protection hidden="1"/>
    </xf>
    <xf numFmtId="10" fontId="8" fillId="7" borderId="29" xfId="0" applyNumberFormat="1" applyFont="1" applyFill="1" applyBorder="1" applyAlignment="1" applyProtection="1">
      <alignment vertical="center" wrapText="1"/>
      <protection hidden="1"/>
    </xf>
    <xf numFmtId="10" fontId="25" fillId="0" borderId="29" xfId="1" applyNumberFormat="1" applyFont="1" applyBorder="1" applyAlignment="1" applyProtection="1">
      <alignment horizontal="right" vertical="center" wrapText="1"/>
      <protection locked="0"/>
    </xf>
    <xf numFmtId="10" fontId="25" fillId="9" borderId="29" xfId="0" applyNumberFormat="1" applyFont="1" applyFill="1" applyBorder="1" applyAlignment="1" applyProtection="1">
      <alignment horizontal="right" vertical="center" wrapText="1"/>
      <protection hidden="1"/>
    </xf>
    <xf numFmtId="2" fontId="25" fillId="9" borderId="29" xfId="0" applyNumberFormat="1" applyFont="1" applyFill="1" applyBorder="1" applyAlignment="1" applyProtection="1">
      <alignment horizontal="right" vertical="center" wrapText="1"/>
      <protection hidden="1"/>
    </xf>
    <xf numFmtId="0" fontId="10" fillId="9" borderId="29" xfId="0" quotePrefix="1" applyFont="1" applyFill="1" applyBorder="1" applyAlignment="1" applyProtection="1">
      <alignment horizontal="left" vertical="center" wrapText="1" indent="1"/>
      <protection hidden="1"/>
    </xf>
    <xf numFmtId="10" fontId="25" fillId="17" borderId="29" xfId="0" applyNumberFormat="1" applyFont="1" applyFill="1" applyBorder="1" applyAlignment="1" applyProtection="1">
      <alignment horizontal="center" vertical="center" wrapText="1"/>
      <protection hidden="1"/>
    </xf>
    <xf numFmtId="0" fontId="10" fillId="9" borderId="29" xfId="0" quotePrefix="1" applyFont="1" applyFill="1" applyBorder="1" applyAlignment="1" applyProtection="1">
      <alignment horizontal="left" vertical="center" wrapText="1" indent="15"/>
      <protection hidden="1"/>
    </xf>
    <xf numFmtId="0" fontId="10" fillId="9" borderId="29" xfId="0" applyFont="1" applyFill="1" applyBorder="1" applyAlignment="1" applyProtection="1">
      <alignment horizontal="left" vertical="center" wrapText="1" indent="15"/>
      <protection hidden="1"/>
    </xf>
    <xf numFmtId="0" fontId="52" fillId="23" borderId="29" xfId="0" applyFont="1" applyFill="1" applyBorder="1" applyAlignment="1">
      <alignment horizontal="center" vertical="center"/>
    </xf>
    <xf numFmtId="0" fontId="52" fillId="23" borderId="29" xfId="0" applyFont="1" applyFill="1" applyBorder="1" applyAlignment="1">
      <alignment horizontal="center" vertical="center" wrapText="1"/>
    </xf>
    <xf numFmtId="0" fontId="56" fillId="0" borderId="29" xfId="0" applyFont="1" applyBorder="1" applyAlignment="1">
      <alignment horizontal="left" vertical="center" indent="1"/>
    </xf>
    <xf numFmtId="10" fontId="54" fillId="20" borderId="29" xfId="0" applyNumberFormat="1" applyFont="1" applyFill="1" applyBorder="1" applyAlignment="1">
      <alignment horizontal="center" vertical="center"/>
    </xf>
    <xf numFmtId="0" fontId="70" fillId="20" borderId="29" xfId="0" applyFont="1" applyFill="1" applyBorder="1" applyAlignment="1">
      <alignment horizontal="left" vertical="center" indent="1"/>
    </xf>
    <xf numFmtId="0" fontId="56" fillId="0" borderId="0" xfId="0" applyFont="1" applyAlignment="1">
      <alignment vertical="top" wrapText="1"/>
    </xf>
    <xf numFmtId="0" fontId="24" fillId="23" borderId="31" xfId="0" applyFont="1" applyFill="1" applyBorder="1" applyAlignment="1" applyProtection="1">
      <alignment vertical="center" wrapText="1"/>
      <protection hidden="1"/>
    </xf>
    <xf numFmtId="0" fontId="24" fillId="23" borderId="27" xfId="0" applyFont="1" applyFill="1" applyBorder="1" applyAlignment="1" applyProtection="1">
      <alignment vertical="center" wrapText="1"/>
      <protection hidden="1"/>
    </xf>
    <xf numFmtId="0" fontId="25" fillId="0" borderId="29" xfId="0" applyFont="1" applyBorder="1" applyAlignment="1" applyProtection="1">
      <alignment horizontal="right" vertical="center"/>
      <protection hidden="1"/>
    </xf>
    <xf numFmtId="0" fontId="8" fillId="0" borderId="29" xfId="0" applyFont="1" applyBorder="1" applyAlignment="1" applyProtection="1">
      <alignment horizontal="right" vertical="center"/>
      <protection hidden="1"/>
    </xf>
    <xf numFmtId="0" fontId="8" fillId="0" borderId="29" xfId="0" quotePrefix="1" applyFont="1" applyBorder="1" applyAlignment="1" applyProtection="1">
      <alignment horizontal="right" vertical="center" wrapText="1"/>
      <protection hidden="1"/>
    </xf>
    <xf numFmtId="0" fontId="24" fillId="23" borderId="28" xfId="2" applyFont="1" applyFill="1" applyBorder="1" applyAlignment="1" applyProtection="1">
      <alignment horizontal="right" vertical="center" indent="1"/>
      <protection hidden="1"/>
    </xf>
    <xf numFmtId="0" fontId="30" fillId="0" borderId="29" xfId="0" applyFont="1" applyBorder="1" applyAlignment="1" applyProtection="1">
      <alignment horizontal="center" vertical="center"/>
      <protection locked="0"/>
    </xf>
    <xf numFmtId="4" fontId="25" fillId="9" borderId="29" xfId="0" applyNumberFormat="1" applyFont="1" applyFill="1" applyBorder="1" applyAlignment="1" applyProtection="1">
      <alignment horizontal="right" vertical="center" wrapText="1"/>
      <protection hidden="1"/>
    </xf>
    <xf numFmtId="3" fontId="25" fillId="9" borderId="29" xfId="0" applyNumberFormat="1" applyFont="1" applyFill="1" applyBorder="1" applyAlignment="1" applyProtection="1">
      <alignment horizontal="right" vertical="center" wrapText="1"/>
      <protection hidden="1"/>
    </xf>
    <xf numFmtId="14" fontId="25" fillId="9" borderId="29" xfId="0" applyNumberFormat="1" applyFont="1" applyFill="1" applyBorder="1" applyAlignment="1" applyProtection="1">
      <alignment horizontal="right" vertical="center" wrapText="1"/>
      <protection hidden="1"/>
    </xf>
    <xf numFmtId="0" fontId="42" fillId="23" borderId="31" xfId="0" applyFont="1" applyFill="1" applyBorder="1" applyAlignment="1" applyProtection="1">
      <alignment horizontal="left" vertical="center" wrapText="1" indent="1"/>
      <protection hidden="1"/>
    </xf>
    <xf numFmtId="0" fontId="42" fillId="23" borderId="27" xfId="0" applyFont="1" applyFill="1" applyBorder="1" applyAlignment="1">
      <alignment vertical="center" wrapText="1"/>
    </xf>
    <xf numFmtId="0" fontId="10" fillId="9" borderId="29" xfId="0" quotePrefix="1" applyFont="1" applyFill="1" applyBorder="1" applyAlignment="1" applyProtection="1">
      <alignment horizontal="left" vertical="center" wrapText="1" indent="13"/>
      <protection hidden="1"/>
    </xf>
    <xf numFmtId="0" fontId="9" fillId="0" borderId="0" xfId="0" applyFont="1" applyAlignment="1">
      <alignment vertical="center"/>
    </xf>
    <xf numFmtId="0" fontId="10" fillId="18" borderId="29" xfId="0" applyFont="1" applyFill="1" applyBorder="1" applyAlignment="1">
      <alignment horizontal="left" vertical="center" wrapText="1" indent="1"/>
    </xf>
    <xf numFmtId="0" fontId="10" fillId="9" borderId="28" xfId="0" applyFont="1" applyFill="1" applyBorder="1" applyAlignment="1" applyProtection="1">
      <alignment horizontal="left" vertical="center" indent="2"/>
      <protection hidden="1"/>
    </xf>
    <xf numFmtId="0" fontId="8" fillId="10" borderId="0" xfId="0" applyFont="1" applyFill="1"/>
    <xf numFmtId="0" fontId="37" fillId="0" borderId="30" xfId="0" applyFont="1" applyBorder="1" applyAlignment="1" applyProtection="1">
      <alignment horizontal="left" vertical="center" wrapText="1" indent="2"/>
      <protection hidden="1"/>
    </xf>
    <xf numFmtId="0" fontId="8" fillId="0" borderId="30" xfId="0" applyFont="1" applyBorder="1"/>
    <xf numFmtId="0" fontId="37" fillId="0" borderId="0" xfId="0" applyFont="1" applyAlignment="1" applyProtection="1">
      <alignment horizontal="left" vertical="center" wrapText="1" indent="2"/>
      <protection hidden="1"/>
    </xf>
    <xf numFmtId="0" fontId="72" fillId="0" borderId="0" xfId="0" applyFont="1"/>
    <xf numFmtId="0" fontId="10" fillId="0" borderId="0" xfId="0" applyFont="1" applyAlignment="1" applyProtection="1">
      <alignment horizontal="left" indent="1"/>
      <protection hidden="1"/>
    </xf>
    <xf numFmtId="0" fontId="10" fillId="0" borderId="0" xfId="0" applyFont="1" applyAlignment="1" applyProtection="1">
      <alignment horizontal="left" vertical="center" indent="1"/>
      <protection hidden="1"/>
    </xf>
    <xf numFmtId="4" fontId="8" fillId="5" borderId="0" xfId="0" applyNumberFormat="1" applyFont="1" applyFill="1" applyAlignment="1">
      <alignment horizontal="center" vertical="center"/>
    </xf>
    <xf numFmtId="0" fontId="13" fillId="0" borderId="0" xfId="0" applyFont="1"/>
    <xf numFmtId="0" fontId="73" fillId="0" borderId="0" xfId="0" applyFont="1" applyAlignment="1">
      <alignment horizontal="center" vertical="center" wrapText="1"/>
    </xf>
    <xf numFmtId="0" fontId="27" fillId="0" borderId="0" xfId="0" applyFont="1" applyAlignment="1">
      <alignment horizontal="left" vertical="center" wrapText="1" indent="1"/>
    </xf>
    <xf numFmtId="0" fontId="10" fillId="8" borderId="31" xfId="0" applyFont="1" applyFill="1" applyBorder="1" applyAlignment="1" applyProtection="1">
      <alignment horizontal="left" vertical="center" indent="1"/>
      <protection hidden="1"/>
    </xf>
    <xf numFmtId="4" fontId="8" fillId="8" borderId="26" xfId="0" applyNumberFormat="1" applyFont="1" applyFill="1" applyBorder="1" applyAlignment="1" applyProtection="1">
      <alignment horizontal="center" vertical="center"/>
      <protection locked="0"/>
    </xf>
    <xf numFmtId="4" fontId="8" fillId="8" borderId="27" xfId="0" applyNumberFormat="1" applyFont="1" applyFill="1" applyBorder="1" applyAlignment="1" applyProtection="1">
      <alignment horizontal="center" vertical="center"/>
      <protection locked="0"/>
    </xf>
    <xf numFmtId="0" fontId="72" fillId="0" borderId="0" xfId="0" applyFont="1" applyProtection="1">
      <protection hidden="1"/>
    </xf>
    <xf numFmtId="0" fontId="8" fillId="0" borderId="28" xfId="0" applyFont="1" applyBorder="1" applyAlignment="1" applyProtection="1">
      <alignment horizontal="left" vertical="center" indent="1"/>
      <protection locked="0"/>
    </xf>
    <xf numFmtId="44" fontId="25" fillId="9" borderId="29" xfId="0" applyNumberFormat="1" applyFont="1" applyFill="1" applyBorder="1" applyAlignment="1" applyProtection="1">
      <alignment horizontal="center" vertical="center" wrapText="1"/>
      <protection hidden="1"/>
    </xf>
    <xf numFmtId="44" fontId="9" fillId="0" borderId="29" xfId="0" applyNumberFormat="1" applyFont="1" applyBorder="1" applyAlignment="1" applyProtection="1">
      <alignment horizontal="center" vertical="center"/>
      <protection hidden="1"/>
    </xf>
    <xf numFmtId="44" fontId="0" fillId="0" borderId="29" xfId="0" applyNumberFormat="1" applyBorder="1" applyAlignment="1" applyProtection="1">
      <alignment horizontal="center" vertical="center"/>
      <protection hidden="1"/>
    </xf>
    <xf numFmtId="44" fontId="25" fillId="0" borderId="29" xfId="0" applyNumberFormat="1" applyFont="1" applyBorder="1" applyAlignment="1" applyProtection="1">
      <alignment horizontal="right" vertical="center" wrapText="1"/>
      <protection locked="0"/>
    </xf>
    <xf numFmtId="44" fontId="25" fillId="9" borderId="29" xfId="0" applyNumberFormat="1" applyFont="1" applyFill="1" applyBorder="1" applyAlignment="1" applyProtection="1">
      <alignment horizontal="right" vertical="center" wrapText="1"/>
      <protection hidden="1"/>
    </xf>
    <xf numFmtId="44" fontId="25" fillId="0" borderId="29" xfId="0" applyNumberFormat="1" applyFont="1" applyBorder="1" applyAlignment="1" applyProtection="1">
      <alignment horizontal="right" vertical="center" wrapText="1"/>
      <protection hidden="1"/>
    </xf>
    <xf numFmtId="44" fontId="25" fillId="9" borderId="29" xfId="5" applyFont="1" applyFill="1" applyBorder="1" applyProtection="1">
      <protection hidden="1"/>
    </xf>
    <xf numFmtId="168" fontId="10" fillId="0" borderId="29" xfId="0" applyNumberFormat="1" applyFont="1" applyBorder="1" applyAlignment="1" applyProtection="1">
      <alignment horizontal="center" vertical="center"/>
      <protection locked="0"/>
    </xf>
    <xf numFmtId="168" fontId="10" fillId="12" borderId="29" xfId="0" applyNumberFormat="1" applyFont="1" applyFill="1" applyBorder="1" applyAlignment="1" applyProtection="1">
      <alignment horizontal="center" vertical="center"/>
      <protection hidden="1"/>
    </xf>
    <xf numFmtId="44" fontId="10" fillId="12" borderId="29" xfId="0" applyNumberFormat="1" applyFont="1" applyFill="1" applyBorder="1" applyAlignment="1" applyProtection="1">
      <alignment horizontal="center" vertical="center"/>
      <protection hidden="1"/>
    </xf>
    <xf numFmtId="168" fontId="8" fillId="0" borderId="28" xfId="0" applyNumberFormat="1" applyFont="1" applyBorder="1" applyAlignment="1" applyProtection="1">
      <alignment horizontal="right" vertical="center"/>
      <protection locked="0"/>
    </xf>
    <xf numFmtId="168" fontId="8" fillId="0" borderId="29" xfId="0" applyNumberFormat="1" applyFont="1" applyBorder="1" applyAlignment="1" applyProtection="1">
      <alignment horizontal="right" vertical="center"/>
      <protection locked="0"/>
    </xf>
    <xf numFmtId="168" fontId="25" fillId="15" borderId="29" xfId="0" applyNumberFormat="1" applyFont="1" applyFill="1" applyBorder="1" applyAlignment="1" applyProtection="1">
      <alignment horizontal="right" vertical="center"/>
      <protection hidden="1"/>
    </xf>
    <xf numFmtId="0" fontId="0" fillId="24" borderId="0" xfId="0" applyFill="1"/>
    <xf numFmtId="0" fontId="0" fillId="25" borderId="0" xfId="0" applyFill="1"/>
    <xf numFmtId="0" fontId="74" fillId="0" borderId="0" xfId="0" applyFont="1" applyAlignment="1">
      <alignment horizontal="center" vertical="center" wrapText="1"/>
    </xf>
    <xf numFmtId="0" fontId="20" fillId="0" borderId="29" xfId="0" applyFont="1" applyBorder="1"/>
    <xf numFmtId="0" fontId="69" fillId="0" borderId="29" xfId="0" applyFont="1" applyBorder="1" applyAlignment="1">
      <alignment horizontal="left" indent="3"/>
    </xf>
    <xf numFmtId="169" fontId="56" fillId="0" borderId="29" xfId="0" applyNumberFormat="1" applyFont="1" applyBorder="1" applyAlignment="1">
      <alignment horizontal="center"/>
    </xf>
    <xf numFmtId="9" fontId="69" fillId="0" borderId="29" xfId="1" applyFont="1" applyFill="1" applyBorder="1" applyAlignment="1">
      <alignment horizontal="center" wrapText="1"/>
    </xf>
    <xf numFmtId="9" fontId="56" fillId="0" borderId="29" xfId="0" applyNumberFormat="1" applyFont="1" applyBorder="1" applyAlignment="1">
      <alignment horizontal="center"/>
    </xf>
    <xf numFmtId="169" fontId="69" fillId="0" borderId="29" xfId="0" applyNumberFormat="1" applyFont="1" applyBorder="1" applyAlignment="1">
      <alignment horizontal="center"/>
    </xf>
    <xf numFmtId="0" fontId="20" fillId="14" borderId="29" xfId="0" applyFont="1" applyFill="1" applyBorder="1"/>
    <xf numFmtId="10" fontId="63" fillId="20" borderId="29" xfId="0" applyNumberFormat="1" applyFont="1" applyFill="1" applyBorder="1" applyAlignment="1">
      <alignment horizontal="center" vertical="center"/>
    </xf>
    <xf numFmtId="0" fontId="56" fillId="0" borderId="0" xfId="0" applyFont="1" applyAlignment="1">
      <alignment horizontal="left" vertical="center"/>
    </xf>
    <xf numFmtId="0" fontId="62" fillId="0" borderId="29" xfId="0" applyFont="1" applyBorder="1" applyAlignment="1">
      <alignment horizontal="left" vertical="center"/>
    </xf>
    <xf numFmtId="0" fontId="62" fillId="0" borderId="0" xfId="0" applyFont="1" applyAlignment="1">
      <alignment horizontal="left" vertical="center"/>
    </xf>
    <xf numFmtId="10" fontId="56" fillId="5" borderId="29" xfId="0" applyNumberFormat="1" applyFont="1" applyFill="1" applyBorder="1" applyAlignment="1">
      <alignment horizontal="left" vertical="center"/>
    </xf>
    <xf numFmtId="0" fontId="61" fillId="0" borderId="0" xfId="0" applyFont="1" applyAlignment="1">
      <alignment vertical="center"/>
    </xf>
    <xf numFmtId="10" fontId="63" fillId="0" borderId="0" xfId="0" applyNumberFormat="1" applyFont="1" applyAlignment="1">
      <alignment horizontal="center" vertical="center"/>
    </xf>
    <xf numFmtId="0" fontId="64" fillId="0" borderId="0" xfId="0" applyFont="1" applyAlignment="1">
      <alignment vertical="center"/>
    </xf>
    <xf numFmtId="0" fontId="8" fillId="0" borderId="29" xfId="0" applyFont="1" applyBorder="1" applyAlignment="1">
      <alignment horizontal="left" vertical="center" indent="1"/>
    </xf>
    <xf numFmtId="0" fontId="8" fillId="0" borderId="29" xfId="0" applyFont="1" applyBorder="1" applyAlignment="1">
      <alignment horizontal="center" vertical="center" wrapText="1"/>
    </xf>
    <xf numFmtId="0" fontId="8" fillId="0" borderId="0" xfId="0" applyFont="1" applyAlignment="1">
      <alignment vertical="center" wrapText="1"/>
    </xf>
    <xf numFmtId="0" fontId="37" fillId="0" borderId="29" xfId="0" applyFont="1" applyBorder="1" applyAlignment="1">
      <alignment horizontal="center" vertical="center"/>
    </xf>
    <xf numFmtId="0" fontId="37" fillId="0" borderId="29" xfId="0" applyFont="1" applyBorder="1" applyAlignment="1">
      <alignment horizontal="center" vertical="center" wrapText="1"/>
    </xf>
    <xf numFmtId="0" fontId="8" fillId="0" borderId="26" xfId="0" applyFont="1" applyBorder="1" applyAlignment="1">
      <alignment vertical="center"/>
    </xf>
    <xf numFmtId="174" fontId="8" fillId="0" borderId="29" xfId="13" applyNumberFormat="1" applyFont="1" applyBorder="1" applyAlignment="1">
      <alignment vertical="center" wrapText="1"/>
    </xf>
    <xf numFmtId="43" fontId="8" fillId="0" borderId="26" xfId="13" applyFont="1" applyBorder="1" applyAlignment="1">
      <alignment vertical="center"/>
    </xf>
    <xf numFmtId="0" fontId="34" fillId="0" borderId="0" xfId="0" quotePrefix="1" applyFont="1" applyAlignment="1">
      <alignment vertical="center"/>
    </xf>
    <xf numFmtId="169" fontId="8" fillId="0" borderId="29" xfId="1" applyNumberFormat="1" applyFont="1" applyBorder="1" applyAlignment="1">
      <alignment vertical="center" wrapText="1"/>
    </xf>
    <xf numFmtId="169" fontId="37" fillId="26" borderId="29" xfId="1" applyNumberFormat="1" applyFont="1" applyFill="1" applyBorder="1" applyAlignment="1">
      <alignment vertical="center"/>
    </xf>
    <xf numFmtId="10" fontId="0" fillId="25" borderId="0" xfId="0" applyNumberFormat="1" applyFill="1"/>
    <xf numFmtId="10" fontId="8" fillId="0" borderId="0" xfId="0" applyNumberFormat="1" applyFont="1"/>
    <xf numFmtId="0" fontId="8" fillId="0" borderId="0" xfId="0" quotePrefix="1" applyFont="1"/>
    <xf numFmtId="0" fontId="8" fillId="0" borderId="29" xfId="0" applyFont="1" applyBorder="1" applyAlignment="1">
      <alignment horizontal="left" indent="1"/>
    </xf>
    <xf numFmtId="4" fontId="8" fillId="0" borderId="29" xfId="0" applyNumberFormat="1" applyFont="1" applyBorder="1" applyAlignment="1">
      <alignment horizontal="left" vertical="center" indent="1"/>
    </xf>
    <xf numFmtId="4" fontId="75" fillId="0" borderId="29" xfId="0" applyNumberFormat="1" applyFont="1" applyBorder="1" applyAlignment="1">
      <alignment horizontal="left" vertical="center" indent="1"/>
    </xf>
    <xf numFmtId="43" fontId="75" fillId="0" borderId="29" xfId="13" applyFont="1" applyBorder="1" applyAlignment="1">
      <alignment vertical="center"/>
    </xf>
    <xf numFmtId="43" fontId="0" fillId="0" borderId="0" xfId="13" applyFont="1" applyBorder="1" applyAlignment="1">
      <alignment horizontal="center" vertical="center"/>
    </xf>
    <xf numFmtId="43" fontId="0" fillId="0" borderId="0" xfId="13" applyFont="1" applyBorder="1"/>
    <xf numFmtId="0" fontId="0" fillId="18" borderId="32" xfId="0" applyFill="1" applyBorder="1"/>
    <xf numFmtId="43" fontId="29" fillId="0" borderId="34" xfId="13" applyFont="1" applyBorder="1"/>
    <xf numFmtId="43" fontId="0" fillId="24" borderId="34" xfId="13" applyFont="1" applyFill="1" applyBorder="1"/>
    <xf numFmtId="43" fontId="29" fillId="24" borderId="34" xfId="13" applyFont="1" applyFill="1" applyBorder="1"/>
    <xf numFmtId="43" fontId="0" fillId="0" borderId="34" xfId="13" applyFont="1" applyBorder="1"/>
    <xf numFmtId="43" fontId="0" fillId="0" borderId="34" xfId="13" applyFont="1" applyFill="1" applyBorder="1"/>
    <xf numFmtId="43" fontId="9" fillId="24" borderId="28" xfId="13" applyFont="1" applyFill="1" applyBorder="1"/>
    <xf numFmtId="0" fontId="0" fillId="18" borderId="0" xfId="0" applyFill="1" applyAlignment="1">
      <alignment horizontal="center" vertical="center"/>
    </xf>
    <xf numFmtId="0" fontId="0" fillId="18" borderId="32" xfId="0" applyFill="1" applyBorder="1" applyAlignment="1">
      <alignment horizontal="center" vertical="center"/>
    </xf>
    <xf numFmtId="0" fontId="0" fillId="18" borderId="34" xfId="0" applyFill="1" applyBorder="1"/>
    <xf numFmtId="43" fontId="9" fillId="0" borderId="28" xfId="13" applyFont="1" applyBorder="1"/>
    <xf numFmtId="43" fontId="8" fillId="0" borderId="34" xfId="13" applyFont="1" applyBorder="1" applyAlignment="1">
      <alignment vertical="center"/>
    </xf>
    <xf numFmtId="43" fontId="25" fillId="0" borderId="28" xfId="13" applyFont="1" applyBorder="1" applyAlignment="1">
      <alignment vertical="center"/>
    </xf>
    <xf numFmtId="175" fontId="25" fillId="23" borderId="29" xfId="0" applyNumberFormat="1" applyFont="1" applyFill="1" applyBorder="1" applyAlignment="1" applyProtection="1">
      <alignment horizontal="right" vertical="center"/>
      <protection hidden="1"/>
    </xf>
    <xf numFmtId="43" fontId="8" fillId="0" borderId="29" xfId="13" applyFont="1" applyBorder="1" applyAlignment="1" applyProtection="1">
      <alignment vertical="center"/>
      <protection locked="0"/>
    </xf>
    <xf numFmtId="0" fontId="34" fillId="0" borderId="0" xfId="0" applyFont="1" applyAlignment="1" applyProtection="1">
      <alignment vertical="center"/>
      <protection locked="0"/>
    </xf>
    <xf numFmtId="168" fontId="8" fillId="15" borderId="29" xfId="0" applyNumberFormat="1" applyFont="1" applyFill="1" applyBorder="1" applyAlignment="1" applyProtection="1">
      <alignment horizontal="right" vertical="center"/>
      <protection hidden="1"/>
    </xf>
    <xf numFmtId="9" fontId="0" fillId="0" borderId="0" xfId="1" applyFont="1" applyAlignment="1">
      <alignment wrapText="1"/>
    </xf>
    <xf numFmtId="168" fontId="34" fillId="0" borderId="0" xfId="0" quotePrefix="1" applyNumberFormat="1" applyFont="1"/>
    <xf numFmtId="0" fontId="0" fillId="18" borderId="0" xfId="0" quotePrefix="1" applyFill="1"/>
    <xf numFmtId="174" fontId="8" fillId="0" borderId="31" xfId="13" applyNumberFormat="1" applyFont="1" applyBorder="1" applyAlignment="1">
      <alignment vertical="center" wrapText="1"/>
    </xf>
    <xf numFmtId="174" fontId="37" fillId="26" borderId="36" xfId="13" applyNumberFormat="1" applyFont="1" applyFill="1" applyBorder="1"/>
    <xf numFmtId="174" fontId="8" fillId="26" borderId="37" xfId="13" applyNumberFormat="1" applyFont="1" applyFill="1" applyBorder="1"/>
    <xf numFmtId="174" fontId="37" fillId="26" borderId="38" xfId="13" applyNumberFormat="1" applyFont="1" applyFill="1" applyBorder="1"/>
    <xf numFmtId="174" fontId="8" fillId="26" borderId="39" xfId="13" applyNumberFormat="1" applyFont="1" applyFill="1" applyBorder="1"/>
    <xf numFmtId="174" fontId="37" fillId="26" borderId="38" xfId="13" applyNumberFormat="1" applyFont="1" applyFill="1" applyBorder="1" applyAlignment="1">
      <alignment vertical="center"/>
    </xf>
    <xf numFmtId="174" fontId="8" fillId="26" borderId="39" xfId="13" applyNumberFormat="1" applyFont="1" applyFill="1" applyBorder="1" applyAlignment="1">
      <alignment vertical="center"/>
    </xf>
    <xf numFmtId="174" fontId="37" fillId="26" borderId="40" xfId="13" applyNumberFormat="1" applyFont="1" applyFill="1" applyBorder="1"/>
    <xf numFmtId="174" fontId="8" fillId="26" borderId="41" xfId="13" applyNumberFormat="1" applyFont="1" applyFill="1" applyBorder="1"/>
    <xf numFmtId="0" fontId="8" fillId="0" borderId="30" xfId="0" applyFont="1" applyBorder="1" applyAlignment="1">
      <alignment vertical="center"/>
    </xf>
    <xf numFmtId="9" fontId="8" fillId="18" borderId="42" xfId="1" applyFont="1" applyFill="1" applyBorder="1" applyAlignment="1">
      <alignment vertical="center"/>
    </xf>
    <xf numFmtId="9" fontId="8" fillId="0" borderId="43" xfId="1" applyFont="1" applyBorder="1" applyAlignment="1">
      <alignment vertical="center"/>
    </xf>
    <xf numFmtId="9" fontId="8" fillId="0" borderId="44" xfId="1" applyFont="1" applyBorder="1" applyAlignment="1">
      <alignment vertical="center"/>
    </xf>
    <xf numFmtId="0" fontId="0" fillId="15" borderId="0" xfId="0" applyFill="1"/>
    <xf numFmtId="10" fontId="6" fillId="6" borderId="0" xfId="2" applyNumberFormat="1" applyFill="1" applyBorder="1" applyAlignment="1" applyProtection="1">
      <alignment horizontal="center"/>
      <protection hidden="1"/>
    </xf>
    <xf numFmtId="0" fontId="18" fillId="0" borderId="54" xfId="2" applyFont="1" applyBorder="1" applyAlignment="1" applyProtection="1">
      <alignment horizontal="center" vertical="center"/>
      <protection hidden="1"/>
    </xf>
    <xf numFmtId="0" fontId="18" fillId="0" borderId="54" xfId="2" applyFont="1" applyBorder="1" applyAlignment="1" applyProtection="1">
      <alignment horizontal="center"/>
      <protection hidden="1"/>
    </xf>
    <xf numFmtId="0" fontId="76" fillId="9" borderId="0" xfId="0" applyFont="1" applyFill="1" applyAlignment="1" applyProtection="1">
      <alignment horizontal="left" vertical="center"/>
      <protection hidden="1"/>
    </xf>
    <xf numFmtId="0" fontId="25" fillId="7" borderId="18" xfId="0" applyFont="1" applyFill="1" applyBorder="1"/>
    <xf numFmtId="0" fontId="25" fillId="7" borderId="0" xfId="0" applyFont="1" applyFill="1"/>
    <xf numFmtId="0" fontId="25" fillId="2" borderId="58" xfId="0" applyFont="1" applyFill="1" applyBorder="1"/>
    <xf numFmtId="0" fontId="25" fillId="2" borderId="57" xfId="0" applyFont="1" applyFill="1" applyBorder="1"/>
    <xf numFmtId="44" fontId="25" fillId="2" borderId="51" xfId="5" applyFont="1" applyFill="1" applyBorder="1" applyProtection="1"/>
    <xf numFmtId="44" fontId="25" fillId="2" borderId="47" xfId="5" applyFont="1" applyFill="1" applyBorder="1" applyProtection="1"/>
    <xf numFmtId="0" fontId="25" fillId="2" borderId="56" xfId="0" applyFont="1" applyFill="1" applyBorder="1" applyAlignment="1">
      <alignment horizontal="left" indent="34"/>
    </xf>
    <xf numFmtId="0" fontId="25" fillId="2" borderId="55" xfId="0" applyFont="1" applyFill="1" applyBorder="1" applyAlignment="1">
      <alignment horizontal="left" indent="34"/>
    </xf>
    <xf numFmtId="44" fontId="25" fillId="0" borderId="51" xfId="5" applyFont="1" applyFill="1" applyBorder="1" applyProtection="1">
      <protection locked="0"/>
    </xf>
    <xf numFmtId="44" fontId="25" fillId="0" borderId="47" xfId="5" applyFont="1" applyFill="1" applyBorder="1" applyProtection="1">
      <protection locked="0"/>
    </xf>
    <xf numFmtId="0" fontId="25" fillId="2" borderId="53" xfId="0" applyFont="1" applyFill="1" applyBorder="1" applyAlignment="1">
      <alignment horizontal="left" indent="34"/>
    </xf>
    <xf numFmtId="0" fontId="25" fillId="2" borderId="52" xfId="0" applyFont="1" applyFill="1" applyBorder="1" applyAlignment="1">
      <alignment horizontal="left" indent="34"/>
    </xf>
    <xf numFmtId="0" fontId="25" fillId="0" borderId="53" xfId="0" applyFont="1" applyBorder="1" applyAlignment="1" applyProtection="1">
      <alignment horizontal="left" vertical="top"/>
      <protection locked="0"/>
    </xf>
    <xf numFmtId="0" fontId="41" fillId="0" borderId="52" xfId="0" applyFont="1" applyBorder="1" applyAlignment="1" applyProtection="1">
      <alignment horizontal="left" vertical="top"/>
      <protection locked="0"/>
    </xf>
    <xf numFmtId="0" fontId="25" fillId="7" borderId="50" xfId="0" applyFont="1" applyFill="1" applyBorder="1"/>
    <xf numFmtId="0" fontId="25" fillId="7" borderId="49" xfId="0" applyFont="1" applyFill="1" applyBorder="1"/>
    <xf numFmtId="0" fontId="77" fillId="19" borderId="8" xfId="0" applyFont="1" applyFill="1" applyBorder="1" applyAlignment="1">
      <alignment horizontal="center" vertical="center"/>
    </xf>
    <xf numFmtId="0" fontId="77" fillId="19" borderId="8" xfId="0" applyFont="1" applyFill="1" applyBorder="1" applyAlignment="1">
      <alignment vertical="center" wrapText="1"/>
    </xf>
    <xf numFmtId="0" fontId="54" fillId="0" borderId="8" xfId="0" applyFont="1" applyBorder="1" applyAlignment="1">
      <alignment horizontal="center" vertical="center"/>
    </xf>
    <xf numFmtId="0" fontId="54" fillId="0" borderId="8" xfId="0" applyFont="1" applyBorder="1" applyAlignment="1">
      <alignment horizontal="center" vertical="center" wrapText="1"/>
    </xf>
    <xf numFmtId="0" fontId="54" fillId="20" borderId="8" xfId="0" applyFont="1" applyFill="1" applyBorder="1" applyAlignment="1">
      <alignment horizontal="center" vertical="center" wrapText="1"/>
    </xf>
    <xf numFmtId="0" fontId="79" fillId="0" borderId="0" xfId="0" applyFont="1" applyAlignment="1">
      <alignment horizontal="left" vertical="center" indent="1"/>
    </xf>
    <xf numFmtId="168" fontId="81" fillId="0" borderId="29" xfId="0" applyNumberFormat="1" applyFont="1" applyBorder="1" applyAlignment="1" applyProtection="1">
      <alignment horizontal="right" vertical="center"/>
      <protection locked="0"/>
    </xf>
    <xf numFmtId="0" fontId="80" fillId="12" borderId="29" xfId="0" applyFont="1" applyFill="1" applyBorder="1" applyAlignment="1" applyProtection="1">
      <alignment horizontal="left" vertical="center" wrapText="1" indent="2"/>
      <protection hidden="1"/>
    </xf>
    <xf numFmtId="0" fontId="80" fillId="23" borderId="29" xfId="0" applyFont="1" applyFill="1" applyBorder="1" applyAlignment="1" applyProtection="1">
      <alignment horizontal="left" vertical="center" indent="1"/>
      <protection hidden="1"/>
    </xf>
    <xf numFmtId="175" fontId="80" fillId="23" borderId="29" xfId="0" applyNumberFormat="1" applyFont="1" applyFill="1" applyBorder="1" applyAlignment="1" applyProtection="1">
      <alignment horizontal="right" vertical="center"/>
      <protection hidden="1"/>
    </xf>
    <xf numFmtId="4" fontId="81" fillId="0" borderId="0" xfId="0" applyNumberFormat="1" applyFont="1" applyAlignment="1">
      <alignment horizontal="center" vertical="center"/>
    </xf>
    <xf numFmtId="0" fontId="82" fillId="0" borderId="0" xfId="2" applyFont="1" applyBorder="1" applyAlignment="1">
      <alignment horizontal="center" vertical="center"/>
    </xf>
    <xf numFmtId="0" fontId="25" fillId="2" borderId="29" xfId="0" applyFont="1" applyFill="1" applyBorder="1" applyAlignment="1" applyProtection="1">
      <alignment horizontal="left" indent="1"/>
      <protection hidden="1"/>
    </xf>
    <xf numFmtId="0" fontId="0" fillId="6" borderId="0" xfId="0" applyFill="1" applyAlignment="1">
      <alignment vertical="center"/>
    </xf>
    <xf numFmtId="0" fontId="25" fillId="7" borderId="46" xfId="0" applyFont="1" applyFill="1" applyBorder="1" applyAlignment="1" applyProtection="1">
      <alignment horizontal="right" vertical="center"/>
      <protection hidden="1"/>
    </xf>
    <xf numFmtId="0" fontId="25" fillId="7" borderId="45" xfId="0" applyFont="1" applyFill="1" applyBorder="1" applyAlignment="1" applyProtection="1">
      <alignment horizontal="right" vertical="center"/>
      <protection hidden="1"/>
    </xf>
    <xf numFmtId="0" fontId="0" fillId="15" borderId="0" xfId="0" applyFill="1" applyAlignment="1">
      <alignment vertical="center"/>
    </xf>
    <xf numFmtId="0" fontId="80" fillId="9" borderId="29" xfId="0" applyFont="1" applyFill="1" applyBorder="1" applyAlignment="1" applyProtection="1">
      <alignment horizontal="left" vertical="center" indent="2"/>
      <protection hidden="1"/>
    </xf>
    <xf numFmtId="0" fontId="84" fillId="26" borderId="0" xfId="0" applyFont="1" applyFill="1"/>
    <xf numFmtId="0" fontId="84" fillId="0" borderId="0" xfId="0" applyFont="1"/>
    <xf numFmtId="174" fontId="8" fillId="0" borderId="26" xfId="13" applyNumberFormat="1" applyFont="1" applyBorder="1" applyAlignment="1">
      <alignment vertical="center"/>
    </xf>
    <xf numFmtId="0" fontId="10" fillId="9" borderId="29" xfId="0" applyFont="1" applyFill="1" applyBorder="1" applyAlignment="1" applyProtection="1">
      <alignment horizontal="center" vertical="center"/>
      <protection hidden="1"/>
    </xf>
    <xf numFmtId="0" fontId="0" fillId="0" borderId="0" xfId="0" applyAlignment="1">
      <alignment horizontal="right" indent="1"/>
    </xf>
    <xf numFmtId="0" fontId="10" fillId="9" borderId="28" xfId="0" applyFont="1" applyFill="1" applyBorder="1" applyAlignment="1" applyProtection="1">
      <alignment horizontal="right" vertical="center" indent="1"/>
      <protection hidden="1"/>
    </xf>
    <xf numFmtId="0" fontId="10" fillId="9" borderId="29" xfId="0" applyFont="1" applyFill="1" applyBorder="1" applyAlignment="1" applyProtection="1">
      <alignment horizontal="right" vertical="center" wrapText="1" indent="1"/>
      <protection hidden="1"/>
    </xf>
    <xf numFmtId="0" fontId="10" fillId="8" borderId="29" xfId="0" applyFont="1" applyFill="1" applyBorder="1" applyAlignment="1" applyProtection="1">
      <alignment horizontal="right" vertical="center" indent="1"/>
      <protection hidden="1"/>
    </xf>
    <xf numFmtId="0" fontId="10" fillId="9" borderId="29" xfId="0" applyFont="1" applyFill="1" applyBorder="1" applyAlignment="1" applyProtection="1">
      <alignment horizontal="right" vertical="center" indent="1"/>
      <protection hidden="1"/>
    </xf>
    <xf numFmtId="0" fontId="80" fillId="12" borderId="29" xfId="0" applyFont="1" applyFill="1" applyBorder="1" applyAlignment="1" applyProtection="1">
      <alignment horizontal="right" vertical="center" wrapText="1" indent="1"/>
      <protection hidden="1"/>
    </xf>
    <xf numFmtId="0" fontId="10" fillId="12" borderId="29" xfId="0" applyFont="1" applyFill="1" applyBorder="1" applyAlignment="1" applyProtection="1">
      <alignment horizontal="right" vertical="center" wrapText="1" indent="1"/>
      <protection hidden="1"/>
    </xf>
    <xf numFmtId="0" fontId="10" fillId="10" borderId="29" xfId="0" applyFont="1" applyFill="1" applyBorder="1" applyAlignment="1" applyProtection="1">
      <alignment horizontal="right" vertical="center" indent="1"/>
      <protection hidden="1"/>
    </xf>
    <xf numFmtId="0" fontId="80" fillId="9" borderId="29" xfId="0" applyFont="1" applyFill="1" applyBorder="1" applyAlignment="1" applyProtection="1">
      <alignment horizontal="right" vertical="center" indent="1"/>
      <protection hidden="1"/>
    </xf>
    <xf numFmtId="0" fontId="10" fillId="18" borderId="29" xfId="0" applyFont="1" applyFill="1" applyBorder="1" applyAlignment="1">
      <alignment horizontal="right" vertical="center" wrapText="1" indent="1"/>
    </xf>
    <xf numFmtId="0" fontId="10" fillId="23" borderId="29" xfId="0" applyFont="1" applyFill="1" applyBorder="1" applyAlignment="1" applyProtection="1">
      <alignment horizontal="right" vertical="center" indent="1"/>
      <protection hidden="1"/>
    </xf>
    <xf numFmtId="0" fontId="80" fillId="23" borderId="29" xfId="0" applyFont="1" applyFill="1" applyBorder="1" applyAlignment="1" applyProtection="1">
      <alignment horizontal="right" vertical="center" indent="1"/>
      <protection hidden="1"/>
    </xf>
    <xf numFmtId="0" fontId="37" fillId="0" borderId="0" xfId="0" applyFont="1" applyAlignment="1" applyProtection="1">
      <alignment horizontal="right" vertical="center" wrapText="1" indent="1"/>
      <protection hidden="1"/>
    </xf>
    <xf numFmtId="0" fontId="10" fillId="8" borderId="31" xfId="0" applyFont="1" applyFill="1" applyBorder="1" applyAlignment="1" applyProtection="1">
      <alignment horizontal="right" vertical="center" indent="1"/>
      <protection hidden="1"/>
    </xf>
    <xf numFmtId="0" fontId="0" fillId="23" borderId="0" xfId="0" applyFill="1" applyAlignment="1">
      <alignment horizontal="right" indent="1"/>
    </xf>
    <xf numFmtId="164" fontId="60" fillId="3" borderId="64" xfId="0" applyNumberFormat="1" applyFont="1" applyFill="1" applyBorder="1" applyAlignment="1" applyProtection="1">
      <alignment horizontal="left" wrapText="1"/>
      <protection locked="0"/>
    </xf>
    <xf numFmtId="0" fontId="0" fillId="23" borderId="0" xfId="0" applyFill="1" applyAlignment="1">
      <alignment horizontal="center"/>
    </xf>
    <xf numFmtId="0" fontId="10" fillId="23" borderId="65" xfId="0" applyFont="1" applyFill="1" applyBorder="1" applyAlignment="1" applyProtection="1">
      <alignment horizontal="center" vertical="center"/>
      <protection hidden="1"/>
    </xf>
    <xf numFmtId="0" fontId="25" fillId="7" borderId="29" xfId="0" applyFont="1" applyFill="1" applyBorder="1" applyAlignment="1">
      <alignment horizontal="center"/>
    </xf>
    <xf numFmtId="168" fontId="37" fillId="26" borderId="38" xfId="13" applyNumberFormat="1" applyFont="1" applyFill="1" applyBorder="1" applyAlignment="1">
      <alignment vertical="center"/>
    </xf>
    <xf numFmtId="0" fontId="25" fillId="7" borderId="29" xfId="0" applyFont="1" applyFill="1" applyBorder="1"/>
    <xf numFmtId="14" fontId="0" fillId="0" borderId="8" xfId="0" applyNumberFormat="1" applyBorder="1" applyAlignment="1">
      <alignment horizontal="center" vertical="center"/>
    </xf>
    <xf numFmtId="0" fontId="0" fillId="28" borderId="0" xfId="0" applyFill="1"/>
    <xf numFmtId="0" fontId="14" fillId="3" borderId="31" xfId="0" applyFont="1" applyFill="1" applyBorder="1" applyAlignment="1" applyProtection="1">
      <alignment horizontal="right" vertical="center" wrapText="1"/>
      <protection hidden="1"/>
    </xf>
    <xf numFmtId="0" fontId="85" fillId="0" borderId="66" xfId="0" applyFont="1" applyBorder="1" applyAlignment="1" applyProtection="1">
      <alignment horizontal="center" vertical="center" wrapText="1"/>
      <protection hidden="1"/>
    </xf>
    <xf numFmtId="0" fontId="0" fillId="0" borderId="0" xfId="0" applyAlignment="1" applyProtection="1">
      <alignment vertical="center"/>
      <protection hidden="1"/>
    </xf>
    <xf numFmtId="0" fontId="56" fillId="0" borderId="0" xfId="0" applyFont="1" applyAlignment="1" applyProtection="1">
      <alignment horizontal="left" vertical="center"/>
      <protection hidden="1"/>
    </xf>
    <xf numFmtId="0" fontId="86" fillId="0" borderId="0" xfId="0" applyFont="1" applyAlignment="1">
      <alignment horizontal="right" vertical="center" indent="1"/>
    </xf>
    <xf numFmtId="0" fontId="85" fillId="0" borderId="66" xfId="0" applyFont="1" applyBorder="1" applyAlignment="1" applyProtection="1">
      <alignment horizontal="center" vertical="center" wrapText="1"/>
      <protection locked="0"/>
    </xf>
    <xf numFmtId="0" fontId="2" fillId="0" borderId="0" xfId="0" applyFont="1" applyAlignment="1">
      <alignment horizontal="right" vertical="center" indent="1"/>
    </xf>
    <xf numFmtId="44" fontId="8" fillId="0" borderId="29" xfId="5" applyFont="1" applyFill="1" applyBorder="1" applyAlignment="1" applyProtection="1">
      <alignment vertical="center" wrapText="1"/>
      <protection locked="0"/>
    </xf>
    <xf numFmtId="0" fontId="34" fillId="0" borderId="0" xfId="0" applyFont="1" applyAlignment="1">
      <alignment vertical="center"/>
    </xf>
    <xf numFmtId="14" fontId="37" fillId="11" borderId="29" xfId="0" applyNumberFormat="1" applyFont="1" applyFill="1" applyBorder="1" applyAlignment="1">
      <alignment horizontal="center"/>
    </xf>
    <xf numFmtId="0" fontId="87" fillId="2" borderId="29" xfId="0" applyFont="1" applyFill="1" applyBorder="1" applyAlignment="1">
      <alignment horizontal="left" indent="1"/>
    </xf>
    <xf numFmtId="44" fontId="80" fillId="0" borderId="29" xfId="5" applyFont="1" applyFill="1" applyBorder="1" applyProtection="1">
      <protection locked="0"/>
    </xf>
    <xf numFmtId="0" fontId="88" fillId="0" borderId="0" xfId="0" applyFont="1"/>
    <xf numFmtId="0" fontId="87" fillId="2" borderId="29" xfId="0" applyFont="1" applyFill="1" applyBorder="1"/>
    <xf numFmtId="0" fontId="25" fillId="2" borderId="29" xfId="0" applyFont="1" applyFill="1" applyBorder="1" applyAlignment="1" applyProtection="1">
      <alignment horizontal="left" indent="5"/>
      <protection hidden="1"/>
    </xf>
    <xf numFmtId="0" fontId="80" fillId="2" borderId="29" xfId="0" applyFont="1" applyFill="1" applyBorder="1"/>
    <xf numFmtId="168" fontId="0" fillId="0" borderId="0" xfId="0" applyNumberFormat="1"/>
    <xf numFmtId="0" fontId="0" fillId="28" borderId="0" xfId="0" applyFill="1" applyProtection="1">
      <protection hidden="1"/>
    </xf>
    <xf numFmtId="0" fontId="89" fillId="28" borderId="0" xfId="0" applyFont="1" applyFill="1" applyAlignment="1" applyProtection="1">
      <alignment horizontal="right" vertical="center" indent="1"/>
      <protection hidden="1"/>
    </xf>
    <xf numFmtId="0" fontId="80" fillId="2" borderId="29" xfId="0" applyFont="1" applyFill="1" applyBorder="1" applyAlignment="1">
      <alignment horizontal="left" indent="1"/>
    </xf>
    <xf numFmtId="0" fontId="81" fillId="0" borderId="29" xfId="0" applyFont="1" applyBorder="1" applyAlignment="1" applyProtection="1">
      <alignment horizontal="center" vertical="center" wrapText="1"/>
      <protection locked="0"/>
    </xf>
    <xf numFmtId="14" fontId="81" fillId="0" borderId="29" xfId="0" applyNumberFormat="1" applyFont="1" applyBorder="1" applyAlignment="1" applyProtection="1">
      <alignment horizontal="center" vertical="center"/>
      <protection locked="0"/>
    </xf>
    <xf numFmtId="0" fontId="80" fillId="7" borderId="29" xfId="0" applyFont="1" applyFill="1" applyBorder="1" applyAlignment="1">
      <alignment horizontal="center"/>
    </xf>
    <xf numFmtId="0" fontId="80" fillId="2" borderId="29" xfId="0" applyFont="1" applyFill="1" applyBorder="1" applyAlignment="1">
      <alignment horizontal="left" indent="5"/>
    </xf>
    <xf numFmtId="0" fontId="89" fillId="0" borderId="0" xfId="0" applyFont="1" applyAlignment="1">
      <alignment horizontal="right" vertical="center" indent="1"/>
    </xf>
    <xf numFmtId="0" fontId="12" fillId="7" borderId="29" xfId="0" applyFont="1" applyFill="1" applyBorder="1" applyAlignment="1" applyProtection="1">
      <alignment horizontal="right" vertical="center"/>
      <protection hidden="1"/>
    </xf>
    <xf numFmtId="168" fontId="14" fillId="3" borderId="29" xfId="5" applyNumberFormat="1" applyFont="1" applyFill="1" applyBorder="1" applyAlignment="1" applyProtection="1">
      <alignment horizontal="right" vertical="center"/>
      <protection hidden="1"/>
    </xf>
    <xf numFmtId="14" fontId="0" fillId="0" borderId="0" xfId="0" applyNumberFormat="1" applyAlignment="1">
      <alignment vertical="center"/>
    </xf>
    <xf numFmtId="0" fontId="0" fillId="29" borderId="0" xfId="0" applyFill="1" applyAlignment="1">
      <alignment vertical="center"/>
    </xf>
    <xf numFmtId="0" fontId="0" fillId="29" borderId="0" xfId="0" applyFill="1"/>
    <xf numFmtId="14" fontId="0" fillId="30" borderId="8" xfId="0" applyNumberFormat="1" applyFill="1" applyBorder="1" applyAlignment="1">
      <alignment horizontal="center" vertical="center"/>
    </xf>
    <xf numFmtId="0" fontId="0" fillId="16" borderId="0" xfId="0" applyFill="1" applyAlignment="1">
      <alignment vertical="center"/>
    </xf>
    <xf numFmtId="0" fontId="0" fillId="0" borderId="67" xfId="0" applyBorder="1"/>
    <xf numFmtId="0" fontId="0" fillId="0" borderId="68" xfId="0" applyBorder="1"/>
    <xf numFmtId="0" fontId="0" fillId="0" borderId="69" xfId="0" applyBorder="1"/>
    <xf numFmtId="1" fontId="0" fillId="0" borderId="70" xfId="0" applyNumberFormat="1" applyBorder="1"/>
    <xf numFmtId="0" fontId="0" fillId="0" borderId="71" xfId="0" applyBorder="1"/>
    <xf numFmtId="14" fontId="55" fillId="30" borderId="8" xfId="0" applyNumberFormat="1" applyFont="1" applyFill="1" applyBorder="1" applyAlignment="1">
      <alignment wrapText="1"/>
    </xf>
    <xf numFmtId="0" fontId="0" fillId="0" borderId="72" xfId="0" applyBorder="1"/>
    <xf numFmtId="0" fontId="29" fillId="16" borderId="0" xfId="0" applyFont="1" applyFill="1" applyAlignment="1">
      <alignment vertical="center"/>
    </xf>
    <xf numFmtId="0" fontId="29" fillId="0" borderId="0" xfId="0" applyFont="1" applyAlignment="1">
      <alignment vertical="center"/>
    </xf>
    <xf numFmtId="0" fontId="0" fillId="0" borderId="8" xfId="0" applyBorder="1" applyAlignment="1">
      <alignment vertical="center"/>
    </xf>
    <xf numFmtId="44" fontId="0" fillId="28" borderId="8" xfId="0" applyNumberFormat="1" applyFill="1" applyBorder="1" applyAlignment="1">
      <alignment vertical="center"/>
    </xf>
    <xf numFmtId="44" fontId="0" fillId="0" borderId="8" xfId="0" applyNumberFormat="1" applyBorder="1" applyAlignment="1">
      <alignment vertical="center"/>
    </xf>
    <xf numFmtId="0" fontId="0" fillId="0" borderId="73" xfId="0" applyBorder="1"/>
    <xf numFmtId="1" fontId="0" fillId="0" borderId="74" xfId="0" applyNumberFormat="1" applyBorder="1"/>
    <xf numFmtId="0" fontId="29" fillId="5" borderId="0" xfId="0" applyFont="1" applyFill="1" applyAlignment="1">
      <alignment vertical="center"/>
    </xf>
    <xf numFmtId="0" fontId="0" fillId="5" borderId="0" xfId="0" applyFill="1" applyAlignment="1">
      <alignment vertical="center"/>
    </xf>
    <xf numFmtId="0" fontId="9" fillId="0" borderId="0" xfId="0" applyFont="1" applyAlignment="1">
      <alignment horizontal="center" vertical="center"/>
    </xf>
    <xf numFmtId="43" fontId="0" fillId="5" borderId="0" xfId="13" applyFont="1" applyFill="1" applyAlignment="1">
      <alignment vertical="center"/>
    </xf>
    <xf numFmtId="43" fontId="57" fillId="21" borderId="0" xfId="13" applyFont="1" applyFill="1" applyBorder="1"/>
    <xf numFmtId="43" fontId="32" fillId="21" borderId="17" xfId="13" applyFont="1" applyFill="1" applyBorder="1"/>
    <xf numFmtId="43" fontId="57" fillId="0" borderId="0" xfId="13" applyFont="1" applyBorder="1"/>
    <xf numFmtId="43" fontId="57" fillId="0" borderId="0" xfId="13" applyFont="1" applyFill="1" applyBorder="1"/>
    <xf numFmtId="43" fontId="0" fillId="0" borderId="17" xfId="13" applyFont="1" applyBorder="1"/>
    <xf numFmtId="0" fontId="30" fillId="0" borderId="0" xfId="0" applyFont="1" applyAlignment="1">
      <alignment vertical="center"/>
    </xf>
    <xf numFmtId="43" fontId="0" fillId="24" borderId="0" xfId="13" applyFont="1" applyFill="1" applyAlignment="1">
      <alignment vertical="center"/>
    </xf>
    <xf numFmtId="43" fontId="9" fillId="0" borderId="9" xfId="13" applyFont="1" applyBorder="1" applyAlignment="1">
      <alignment vertical="center"/>
    </xf>
    <xf numFmtId="43" fontId="0" fillId="0" borderId="0" xfId="13" applyFont="1" applyAlignment="1">
      <alignment vertical="center"/>
    </xf>
    <xf numFmtId="43" fontId="9" fillId="0" borderId="23" xfId="13" applyFont="1" applyBorder="1"/>
    <xf numFmtId="43" fontId="32" fillId="0" borderId="23" xfId="13" applyFont="1" applyBorder="1"/>
    <xf numFmtId="43" fontId="34" fillId="0" borderId="10" xfId="13" applyFont="1" applyBorder="1"/>
    <xf numFmtId="0" fontId="9" fillId="24" borderId="13" xfId="0" applyFont="1" applyFill="1" applyBorder="1"/>
    <xf numFmtId="44" fontId="9" fillId="24" borderId="23" xfId="0" applyNumberFormat="1" applyFont="1" applyFill="1" applyBorder="1"/>
    <xf numFmtId="44" fontId="9" fillId="24" borderId="10" xfId="0" applyNumberFormat="1" applyFont="1" applyFill="1" applyBorder="1"/>
    <xf numFmtId="0" fontId="9" fillId="5" borderId="0" xfId="0" applyFont="1" applyFill="1" applyAlignment="1">
      <alignment vertical="center"/>
    </xf>
    <xf numFmtId="2" fontId="30" fillId="5" borderId="0" xfId="1" applyNumberFormat="1" applyFont="1" applyFill="1" applyAlignment="1">
      <alignment vertical="center"/>
    </xf>
    <xf numFmtId="0" fontId="9" fillId="5" borderId="0" xfId="1" applyNumberFormat="1" applyFont="1" applyFill="1" applyAlignment="1">
      <alignment vertical="center"/>
    </xf>
    <xf numFmtId="43" fontId="32" fillId="21" borderId="8" xfId="13" applyFont="1" applyFill="1" applyBorder="1"/>
    <xf numFmtId="14" fontId="55" fillId="0" borderId="8" xfId="0" applyNumberFormat="1" applyFont="1" applyBorder="1" applyAlignment="1">
      <alignment vertical="center" wrapText="1"/>
    </xf>
    <xf numFmtId="14" fontId="0" fillId="0" borderId="8" xfId="0" applyNumberFormat="1" applyBorder="1" applyAlignment="1">
      <alignment vertical="center"/>
    </xf>
    <xf numFmtId="0" fontId="85" fillId="0" borderId="66" xfId="0" applyFont="1" applyBorder="1" applyAlignment="1" applyProtection="1">
      <alignment horizontal="center" wrapText="1"/>
      <protection locked="0"/>
    </xf>
    <xf numFmtId="14" fontId="8" fillId="0" borderId="29" xfId="5" applyNumberFormat="1" applyFont="1" applyFill="1" applyBorder="1" applyProtection="1">
      <protection locked="0"/>
    </xf>
    <xf numFmtId="43" fontId="0" fillId="0" borderId="0" xfId="13" applyFont="1"/>
    <xf numFmtId="0" fontId="25" fillId="7" borderId="31" xfId="0" applyFont="1" applyFill="1" applyBorder="1" applyAlignment="1">
      <alignment horizontal="center"/>
    </xf>
    <xf numFmtId="0" fontId="25" fillId="7" borderId="26" xfId="0" applyFont="1" applyFill="1" applyBorder="1" applyAlignment="1">
      <alignment horizontal="center"/>
    </xf>
    <xf numFmtId="44" fontId="25" fillId="0" borderId="29" xfId="5" applyFont="1" applyFill="1" applyBorder="1" applyAlignment="1" applyProtection="1">
      <alignment vertical="center"/>
      <protection locked="0"/>
    </xf>
    <xf numFmtId="43" fontId="0" fillId="5" borderId="0" xfId="13" applyFont="1" applyFill="1"/>
    <xf numFmtId="43" fontId="9" fillId="0" borderId="9" xfId="13" applyFont="1" applyBorder="1"/>
    <xf numFmtId="0" fontId="25" fillId="7" borderId="31" xfId="0" applyFont="1" applyFill="1" applyBorder="1"/>
    <xf numFmtId="0" fontId="25" fillId="7" borderId="26" xfId="0" applyFont="1" applyFill="1" applyBorder="1"/>
    <xf numFmtId="0" fontId="25" fillId="2" borderId="29" xfId="0" applyFont="1" applyFill="1" applyBorder="1" applyAlignment="1">
      <alignment horizontal="left" vertical="center" wrapText="1" indent="1"/>
    </xf>
    <xf numFmtId="0" fontId="0" fillId="0" borderId="0" xfId="0" applyAlignment="1">
      <alignment vertical="top"/>
    </xf>
    <xf numFmtId="0" fontId="25" fillId="2" borderId="29" xfId="0" applyFont="1" applyFill="1" applyBorder="1" applyAlignment="1">
      <alignment horizontal="left" vertical="top" wrapText="1" indent="1"/>
    </xf>
    <xf numFmtId="44" fontId="0" fillId="17" borderId="8" xfId="0" applyNumberFormat="1" applyFill="1" applyBorder="1"/>
    <xf numFmtId="44" fontId="0" fillId="17" borderId="8" xfId="0" applyNumberFormat="1" applyFill="1" applyBorder="1" applyAlignment="1">
      <alignment vertical="center"/>
    </xf>
    <xf numFmtId="9" fontId="0" fillId="0" borderId="0" xfId="1" applyFont="1"/>
    <xf numFmtId="0" fontId="20" fillId="13" borderId="29" xfId="0" applyFont="1" applyFill="1" applyBorder="1" applyAlignment="1">
      <alignment horizontal="center" vertical="center" wrapText="1"/>
    </xf>
    <xf numFmtId="0" fontId="56" fillId="0" borderId="0" xfId="0" applyFont="1" applyAlignment="1">
      <alignment horizontal="center"/>
    </xf>
    <xf numFmtId="169" fontId="83" fillId="26" borderId="29" xfId="0" applyNumberFormat="1" applyFont="1" applyFill="1" applyBorder="1" applyAlignment="1">
      <alignment horizontal="center"/>
    </xf>
    <xf numFmtId="0" fontId="90" fillId="0" borderId="0" xfId="0" applyFont="1"/>
    <xf numFmtId="43" fontId="91" fillId="0" borderId="0" xfId="13" applyFont="1" applyBorder="1" applyAlignment="1" applyProtection="1">
      <alignment horizontal="left" vertical="center"/>
      <protection hidden="1"/>
    </xf>
    <xf numFmtId="0" fontId="25" fillId="31" borderId="29" xfId="0" applyFont="1" applyFill="1" applyBorder="1" applyAlignment="1">
      <alignment horizontal="left" indent="1"/>
    </xf>
    <xf numFmtId="0" fontId="10" fillId="31" borderId="29" xfId="0" applyFont="1" applyFill="1" applyBorder="1" applyAlignment="1" applyProtection="1">
      <alignment horizontal="right" vertical="center" wrapText="1" indent="2"/>
      <protection hidden="1"/>
    </xf>
    <xf numFmtId="176" fontId="0" fillId="0" borderId="0" xfId="0" applyNumberFormat="1" applyAlignment="1">
      <alignment vertical="center"/>
    </xf>
    <xf numFmtId="0" fontId="92" fillId="0" borderId="0" xfId="0" applyFont="1"/>
    <xf numFmtId="43" fontId="37" fillId="26" borderId="38" xfId="13" applyFont="1" applyFill="1" applyBorder="1" applyAlignment="1">
      <alignment horizontal="center" vertical="center"/>
    </xf>
    <xf numFmtId="0" fontId="6" fillId="0" borderId="0" xfId="2" applyAlignment="1">
      <alignment horizontal="center"/>
    </xf>
    <xf numFmtId="0" fontId="45" fillId="28" borderId="0" xfId="0" applyFont="1" applyFill="1"/>
    <xf numFmtId="166" fontId="30" fillId="0" borderId="19" xfId="0" applyNumberFormat="1" applyFont="1" applyBorder="1" applyProtection="1">
      <protection hidden="1"/>
    </xf>
    <xf numFmtId="0" fontId="29" fillId="0" borderId="77" xfId="0" applyFont="1" applyBorder="1" applyAlignment="1" applyProtection="1">
      <alignment horizontal="center"/>
      <protection hidden="1"/>
    </xf>
    <xf numFmtId="164" fontId="29" fillId="0" borderId="20" xfId="0" applyNumberFormat="1" applyFont="1" applyBorder="1" applyProtection="1">
      <protection hidden="1"/>
    </xf>
    <xf numFmtId="0" fontId="37" fillId="0" borderId="79" xfId="0" applyFont="1" applyBorder="1" applyProtection="1">
      <protection hidden="1"/>
    </xf>
    <xf numFmtId="164" fontId="37" fillId="0" borderId="21" xfId="0" applyNumberFormat="1" applyFont="1" applyBorder="1" applyProtection="1">
      <protection hidden="1"/>
    </xf>
    <xf numFmtId="164" fontId="37" fillId="0" borderId="22" xfId="0" applyNumberFormat="1" applyFont="1" applyBorder="1" applyProtection="1">
      <protection hidden="1"/>
    </xf>
    <xf numFmtId="167" fontId="37" fillId="0" borderId="77" xfId="0" applyNumberFormat="1" applyFont="1" applyBorder="1" applyProtection="1">
      <protection hidden="1"/>
    </xf>
    <xf numFmtId="167" fontId="37" fillId="0" borderId="80" xfId="0" applyNumberFormat="1" applyFont="1" applyBorder="1" applyProtection="1">
      <protection hidden="1"/>
    </xf>
    <xf numFmtId="4" fontId="37" fillId="4" borderId="81" xfId="0" applyNumberFormat="1" applyFont="1" applyFill="1" applyBorder="1" applyProtection="1">
      <protection hidden="1"/>
    </xf>
    <xf numFmtId="164" fontId="37" fillId="0" borderId="82" xfId="0" applyNumberFormat="1" applyFont="1" applyBorder="1" applyAlignment="1" applyProtection="1">
      <alignment horizontal="right"/>
      <protection hidden="1"/>
    </xf>
    <xf numFmtId="43" fontId="30" fillId="0" borderId="76" xfId="13" applyFont="1" applyFill="1" applyBorder="1" applyProtection="1">
      <protection hidden="1"/>
    </xf>
    <xf numFmtId="43" fontId="37" fillId="0" borderId="78" xfId="13" applyFont="1" applyFill="1" applyBorder="1" applyAlignment="1" applyProtection="1">
      <alignment horizontal="right"/>
      <protection hidden="1"/>
    </xf>
    <xf numFmtId="43" fontId="37" fillId="4" borderId="83" xfId="13" applyFont="1" applyFill="1" applyBorder="1" applyProtection="1">
      <protection hidden="1"/>
    </xf>
    <xf numFmtId="44" fontId="94" fillId="5" borderId="29" xfId="5" applyFont="1" applyFill="1" applyBorder="1" applyProtection="1">
      <protection hidden="1"/>
    </xf>
    <xf numFmtId="0" fontId="56" fillId="28" borderId="0" xfId="0" applyFont="1" applyFill="1" applyProtection="1">
      <protection hidden="1"/>
    </xf>
    <xf numFmtId="0" fontId="56" fillId="0" borderId="0" xfId="0" applyFont="1" applyProtection="1">
      <protection hidden="1"/>
    </xf>
    <xf numFmtId="0" fontId="94" fillId="2" borderId="29" xfId="0" applyFont="1" applyFill="1" applyBorder="1" applyAlignment="1" applyProtection="1">
      <alignment horizontal="left" indent="1"/>
      <protection hidden="1"/>
    </xf>
    <xf numFmtId="14" fontId="56" fillId="5" borderId="29" xfId="0" applyNumberFormat="1" applyFont="1" applyFill="1" applyBorder="1" applyAlignment="1" applyProtection="1">
      <alignment horizontal="center" vertical="center" wrapText="1"/>
      <protection hidden="1"/>
    </xf>
    <xf numFmtId="0" fontId="94" fillId="2" borderId="29" xfId="0" applyFont="1" applyFill="1" applyBorder="1" applyAlignment="1" applyProtection="1">
      <alignment horizontal="left" vertical="center" indent="1"/>
      <protection hidden="1"/>
    </xf>
    <xf numFmtId="14" fontId="56" fillId="5" borderId="29" xfId="0" applyNumberFormat="1" applyFont="1" applyFill="1" applyBorder="1" applyAlignment="1" applyProtection="1">
      <alignment horizontal="left" vertical="center" indent="1"/>
      <protection hidden="1"/>
    </xf>
    <xf numFmtId="14" fontId="56" fillId="5" borderId="29" xfId="0" applyNumberFormat="1" applyFont="1" applyFill="1" applyBorder="1" applyAlignment="1" applyProtection="1">
      <alignment horizontal="center" vertical="center"/>
      <protection hidden="1"/>
    </xf>
    <xf numFmtId="14" fontId="69" fillId="11" borderId="29" xfId="0" applyNumberFormat="1" applyFont="1" applyFill="1" applyBorder="1" applyAlignment="1" applyProtection="1">
      <alignment horizontal="center"/>
      <protection hidden="1"/>
    </xf>
    <xf numFmtId="14" fontId="69" fillId="11" borderId="29" xfId="0" applyNumberFormat="1" applyFont="1" applyFill="1" applyBorder="1" applyAlignment="1" applyProtection="1">
      <alignment horizontal="left" indent="1"/>
      <protection hidden="1"/>
    </xf>
    <xf numFmtId="0" fontId="94" fillId="7" borderId="29" xfId="0" applyFont="1" applyFill="1" applyBorder="1" applyProtection="1">
      <protection hidden="1"/>
    </xf>
    <xf numFmtId="44" fontId="94" fillId="0" borderId="29" xfId="5" applyFont="1" applyFill="1" applyBorder="1" applyProtection="1">
      <protection hidden="1"/>
    </xf>
    <xf numFmtId="0" fontId="94" fillId="2" borderId="29" xfId="0" applyFont="1" applyFill="1" applyBorder="1" applyProtection="1">
      <protection hidden="1"/>
    </xf>
    <xf numFmtId="0" fontId="96" fillId="0" borderId="0" xfId="0" applyFont="1" applyAlignment="1" applyProtection="1">
      <alignment horizontal="center" vertical="center" wrapText="1"/>
      <protection hidden="1"/>
    </xf>
    <xf numFmtId="0" fontId="94" fillId="7" borderId="29" xfId="0" applyFont="1" applyFill="1" applyBorder="1" applyAlignment="1" applyProtection="1">
      <alignment horizontal="center"/>
      <protection hidden="1"/>
    </xf>
    <xf numFmtId="0" fontId="94" fillId="7" borderId="29" xfId="0" applyFont="1" applyFill="1" applyBorder="1" applyAlignment="1" applyProtection="1">
      <alignment horizontal="right" vertical="center"/>
      <protection hidden="1"/>
    </xf>
    <xf numFmtId="168" fontId="95" fillId="3" borderId="29" xfId="5" applyNumberFormat="1" applyFont="1" applyFill="1" applyBorder="1" applyAlignment="1" applyProtection="1">
      <alignment horizontal="right"/>
      <protection hidden="1"/>
    </xf>
    <xf numFmtId="0" fontId="94" fillId="7" borderId="29" xfId="0" applyFont="1" applyFill="1" applyBorder="1" applyAlignment="1" applyProtection="1">
      <alignment horizontal="right"/>
      <protection hidden="1"/>
    </xf>
    <xf numFmtId="0" fontId="72" fillId="0" borderId="0" xfId="0" applyFont="1" applyAlignment="1" applyProtection="1">
      <alignment horizontal="left" vertical="center" wrapText="1"/>
      <protection hidden="1"/>
    </xf>
    <xf numFmtId="0" fontId="97" fillId="0" borderId="0" xfId="0" applyFont="1" applyAlignment="1">
      <alignment horizontal="center" vertical="center" wrapText="1"/>
    </xf>
    <xf numFmtId="168" fontId="98" fillId="11" borderId="0" xfId="0" applyNumberFormat="1" applyFont="1" applyFill="1" applyAlignment="1" applyProtection="1">
      <alignment horizontal="right" vertical="center"/>
      <protection locked="0"/>
    </xf>
    <xf numFmtId="4" fontId="98" fillId="11" borderId="0" xfId="0" applyNumberFormat="1" applyFont="1" applyFill="1" applyAlignment="1" applyProtection="1">
      <alignment horizontal="center" vertical="center"/>
      <protection locked="0"/>
    </xf>
    <xf numFmtId="169" fontId="98" fillId="11" borderId="0" xfId="0" applyNumberFormat="1" applyFont="1" applyFill="1" applyAlignment="1" applyProtection="1">
      <alignment horizontal="center" vertical="center"/>
      <protection locked="0"/>
    </xf>
    <xf numFmtId="3" fontId="98" fillId="11" borderId="0" xfId="0" applyNumberFormat="1" applyFont="1" applyFill="1" applyAlignment="1" applyProtection="1">
      <alignment horizontal="center" vertical="center"/>
      <protection locked="0"/>
    </xf>
    <xf numFmtId="168" fontId="98" fillId="11" borderId="0" xfId="0" applyNumberFormat="1" applyFont="1" applyFill="1" applyAlignment="1" applyProtection="1">
      <alignment horizontal="right" vertical="center"/>
      <protection hidden="1"/>
    </xf>
    <xf numFmtId="168" fontId="98" fillId="11" borderId="35" xfId="0" applyNumberFormat="1" applyFont="1" applyFill="1" applyBorder="1" applyAlignment="1" applyProtection="1">
      <alignment horizontal="right" vertical="center"/>
      <protection locked="0"/>
    </xf>
    <xf numFmtId="4" fontId="98" fillId="11" borderId="35" xfId="0" applyNumberFormat="1" applyFont="1" applyFill="1" applyBorder="1" applyAlignment="1" applyProtection="1">
      <alignment horizontal="center" vertical="center"/>
      <protection locked="0"/>
    </xf>
    <xf numFmtId="169" fontId="98" fillId="11" borderId="35" xfId="0" applyNumberFormat="1" applyFont="1" applyFill="1" applyBorder="1" applyAlignment="1" applyProtection="1">
      <alignment horizontal="center" vertical="center"/>
      <protection locked="0"/>
    </xf>
    <xf numFmtId="3" fontId="98" fillId="11" borderId="35" xfId="0" applyNumberFormat="1" applyFont="1" applyFill="1" applyBorder="1" applyAlignment="1" applyProtection="1">
      <alignment horizontal="center" vertical="center"/>
      <protection locked="0"/>
    </xf>
    <xf numFmtId="168" fontId="98" fillId="11" borderId="35" xfId="0" applyNumberFormat="1" applyFont="1" applyFill="1" applyBorder="1" applyAlignment="1" applyProtection="1">
      <alignment horizontal="right" vertical="center"/>
      <protection hidden="1"/>
    </xf>
    <xf numFmtId="0" fontId="13" fillId="11" borderId="30" xfId="0" applyFont="1" applyFill="1" applyBorder="1"/>
    <xf numFmtId="169" fontId="83" fillId="0" borderId="29" xfId="0" applyNumberFormat="1" applyFont="1" applyBorder="1" applyAlignment="1">
      <alignment horizontal="center"/>
    </xf>
    <xf numFmtId="169" fontId="83" fillId="26" borderId="86" xfId="1" applyNumberFormat="1" applyFont="1" applyFill="1" applyBorder="1" applyAlignment="1">
      <alignment horizontal="center"/>
    </xf>
    <xf numFmtId="169" fontId="83" fillId="0" borderId="86" xfId="1" applyNumberFormat="1" applyFont="1" applyFill="1" applyBorder="1" applyAlignment="1">
      <alignment horizontal="center"/>
    </xf>
    <xf numFmtId="169" fontId="83" fillId="0" borderId="86" xfId="1" applyNumberFormat="1" applyFont="1" applyFill="1" applyBorder="1" applyAlignment="1">
      <alignment horizontal="center" wrapText="1"/>
    </xf>
    <xf numFmtId="169" fontId="83" fillId="26" borderId="86" xfId="0" applyNumberFormat="1" applyFont="1" applyFill="1" applyBorder="1" applyAlignment="1">
      <alignment horizontal="center"/>
    </xf>
    <xf numFmtId="9" fontId="83" fillId="0" borderId="86" xfId="1" applyFont="1" applyFill="1" applyBorder="1" applyAlignment="1">
      <alignment horizontal="center" wrapText="1"/>
    </xf>
    <xf numFmtId="169" fontId="83" fillId="0" borderId="86" xfId="0" applyNumberFormat="1" applyFont="1" applyBorder="1" applyAlignment="1">
      <alignment horizontal="center"/>
    </xf>
    <xf numFmtId="9" fontId="83" fillId="0" borderId="86" xfId="1" applyFont="1" applyFill="1" applyBorder="1" applyAlignment="1">
      <alignment wrapText="1"/>
    </xf>
    <xf numFmtId="0" fontId="10" fillId="31" borderId="29" xfId="0" applyFont="1" applyFill="1" applyBorder="1" applyAlignment="1" applyProtection="1">
      <alignment horizontal="right" vertical="center" indent="1"/>
      <protection hidden="1"/>
    </xf>
    <xf numFmtId="0" fontId="10" fillId="31" borderId="29" xfId="0" applyFont="1" applyFill="1" applyBorder="1" applyAlignment="1" applyProtection="1">
      <alignment horizontal="left" vertical="center" indent="2"/>
      <protection hidden="1"/>
    </xf>
    <xf numFmtId="169" fontId="83" fillId="26" borderId="0" xfId="0" applyNumberFormat="1" applyFont="1" applyFill="1" applyAlignment="1">
      <alignment horizontal="center"/>
    </xf>
    <xf numFmtId="0" fontId="83" fillId="0" borderId="86" xfId="0" applyFont="1" applyBorder="1" applyAlignment="1">
      <alignment horizontal="left" indent="3"/>
    </xf>
    <xf numFmtId="0" fontId="6" fillId="9" borderId="29" xfId="2" applyFill="1" applyBorder="1" applyAlignment="1" applyProtection="1">
      <alignment horizontal="left" vertical="center" indent="2"/>
      <protection hidden="1"/>
    </xf>
    <xf numFmtId="0" fontId="77" fillId="19" borderId="8" xfId="0" applyFont="1" applyFill="1" applyBorder="1" applyAlignment="1">
      <alignment vertical="center"/>
    </xf>
    <xf numFmtId="0" fontId="54" fillId="20" borderId="8" xfId="0" applyFont="1" applyFill="1" applyBorder="1" applyAlignment="1">
      <alignment horizontal="center" vertical="center"/>
    </xf>
    <xf numFmtId="43" fontId="37" fillId="0" borderId="29" xfId="13" applyFont="1" applyBorder="1" applyAlignment="1" applyProtection="1">
      <alignment vertical="center"/>
      <protection locked="0"/>
    </xf>
    <xf numFmtId="174" fontId="37" fillId="0" borderId="29" xfId="13" applyNumberFormat="1" applyFont="1" applyFill="1" applyBorder="1"/>
    <xf numFmtId="174" fontId="37" fillId="0" borderId="29" xfId="13" applyNumberFormat="1" applyFont="1" applyFill="1" applyBorder="1" applyAlignment="1">
      <alignment vertical="center"/>
    </xf>
    <xf numFmtId="174" fontId="37" fillId="0" borderId="28" xfId="13" applyNumberFormat="1" applyFont="1" applyFill="1" applyBorder="1"/>
    <xf numFmtId="0" fontId="37" fillId="0" borderId="90" xfId="0" applyFont="1" applyBorder="1" applyAlignment="1">
      <alignment horizontal="center" vertical="center" wrapText="1"/>
    </xf>
    <xf numFmtId="0" fontId="37" fillId="0" borderId="91" xfId="0" applyFont="1" applyBorder="1" applyAlignment="1">
      <alignment horizontal="center" vertical="center" wrapText="1"/>
    </xf>
    <xf numFmtId="0" fontId="8" fillId="0" borderId="92" xfId="0" applyFont="1" applyBorder="1" applyAlignment="1">
      <alignment horizontal="center" vertical="center" wrapText="1"/>
    </xf>
    <xf numFmtId="0" fontId="8" fillId="0" borderId="93" xfId="0" applyFont="1" applyBorder="1" applyAlignment="1">
      <alignment horizontal="center" vertical="center" wrapText="1"/>
    </xf>
    <xf numFmtId="0" fontId="54" fillId="5" borderId="8" xfId="0" applyFont="1" applyFill="1" applyBorder="1" applyAlignment="1">
      <alignment horizontal="center" vertical="center"/>
    </xf>
    <xf numFmtId="0" fontId="54" fillId="5" borderId="8" xfId="0" applyFont="1" applyFill="1" applyBorder="1" applyAlignment="1">
      <alignment vertical="center"/>
    </xf>
    <xf numFmtId="0" fontId="0" fillId="5" borderId="0" xfId="0" applyFill="1" applyProtection="1">
      <protection hidden="1"/>
    </xf>
    <xf numFmtId="0" fontId="0" fillId="5" borderId="0" xfId="0" applyFill="1" applyAlignment="1" applyProtection="1">
      <alignment horizontal="center" vertical="center"/>
      <protection hidden="1"/>
    </xf>
    <xf numFmtId="0" fontId="69" fillId="0" borderId="29" xfId="0" applyFont="1" applyBorder="1" applyAlignment="1">
      <alignment horizontal="center"/>
    </xf>
    <xf numFmtId="0" fontId="56" fillId="0" borderId="29" xfId="0" applyFont="1" applyBorder="1" applyAlignment="1">
      <alignment horizontal="center"/>
    </xf>
    <xf numFmtId="0" fontId="58" fillId="3" borderId="30" xfId="0" applyFont="1" applyFill="1" applyBorder="1" applyAlignment="1" applyProtection="1">
      <alignment horizontal="center" vertical="center" wrapText="1"/>
      <protection hidden="1"/>
    </xf>
    <xf numFmtId="0" fontId="0" fillId="0" borderId="26" xfId="0" applyBorder="1" applyAlignment="1" applyProtection="1">
      <alignment horizontal="center" vertical="center" wrapText="1"/>
      <protection hidden="1"/>
    </xf>
    <xf numFmtId="0" fontId="0" fillId="0" borderId="27" xfId="0" applyBorder="1" applyAlignment="1" applyProtection="1">
      <alignment horizontal="center" vertical="center" wrapText="1"/>
      <protection hidden="1"/>
    </xf>
    <xf numFmtId="0" fontId="20" fillId="13" borderId="29" xfId="0" applyFont="1" applyFill="1" applyBorder="1" applyAlignment="1">
      <alignment horizontal="center" vertical="center" wrapText="1"/>
    </xf>
    <xf numFmtId="164" fontId="10" fillId="12" borderId="29" xfId="0" applyNumberFormat="1" applyFont="1" applyFill="1" applyBorder="1" applyAlignment="1" applyProtection="1">
      <alignment horizontal="center" vertical="center"/>
      <protection hidden="1"/>
    </xf>
    <xf numFmtId="0" fontId="20" fillId="13" borderId="29" xfId="0" applyFont="1" applyFill="1" applyBorder="1" applyAlignment="1">
      <alignment horizontal="center" vertical="center"/>
    </xf>
    <xf numFmtId="0" fontId="0" fillId="0" borderId="0" xfId="0" applyAlignment="1">
      <alignment horizontal="center" wrapText="1"/>
    </xf>
    <xf numFmtId="0" fontId="8" fillId="0" borderId="0" xfId="0" applyFont="1" applyAlignment="1">
      <alignment horizontal="center" vertical="center" wrapText="1"/>
    </xf>
    <xf numFmtId="0" fontId="25" fillId="7" borderId="25" xfId="0" applyFont="1" applyFill="1" applyBorder="1" applyAlignment="1">
      <alignment horizontal="center"/>
    </xf>
    <xf numFmtId="0" fontId="25" fillId="7" borderId="30" xfId="0" applyFont="1" applyFill="1" applyBorder="1" applyAlignment="1">
      <alignment horizontal="center"/>
    </xf>
    <xf numFmtId="0" fontId="25" fillId="7" borderId="35" xfId="0" applyFont="1" applyFill="1" applyBorder="1" applyAlignment="1">
      <alignment horizontal="center"/>
    </xf>
    <xf numFmtId="0" fontId="25" fillId="7" borderId="0" xfId="0" applyFont="1" applyFill="1" applyAlignment="1">
      <alignment horizontal="center"/>
    </xf>
    <xf numFmtId="0" fontId="14" fillId="3" borderId="29" xfId="0" applyFont="1" applyFill="1" applyBorder="1" applyAlignment="1">
      <alignment horizontal="center" vertical="center" wrapText="1"/>
    </xf>
    <xf numFmtId="0" fontId="10" fillId="11" borderId="29" xfId="0" applyFont="1" applyFill="1" applyBorder="1" applyAlignment="1">
      <alignment horizontal="right" vertical="center" wrapText="1" indent="1"/>
    </xf>
    <xf numFmtId="0" fontId="25" fillId="2" borderId="25" xfId="0" applyFont="1" applyFill="1" applyBorder="1" applyAlignment="1">
      <alignment horizontal="center" vertical="center" wrapText="1"/>
    </xf>
    <xf numFmtId="0" fontId="25" fillId="2" borderId="30" xfId="0" applyFont="1" applyFill="1" applyBorder="1" applyAlignment="1">
      <alignment horizontal="center" vertical="center" wrapText="1"/>
    </xf>
    <xf numFmtId="0" fontId="25" fillId="2" borderId="33" xfId="0" applyFont="1" applyFill="1" applyBorder="1" applyAlignment="1">
      <alignment horizontal="center" vertical="center" wrapText="1"/>
    </xf>
    <xf numFmtId="0" fontId="25" fillId="2" borderId="65" xfId="0" applyFont="1" applyFill="1" applyBorder="1" applyAlignment="1">
      <alignment horizontal="center" vertical="center" wrapText="1"/>
    </xf>
    <xf numFmtId="0" fontId="25" fillId="2" borderId="42" xfId="0" applyFont="1" applyFill="1" applyBorder="1" applyAlignment="1">
      <alignment horizontal="center" vertical="center" wrapText="1"/>
    </xf>
    <xf numFmtId="0" fontId="25" fillId="2" borderId="64" xfId="0" applyFont="1" applyFill="1" applyBorder="1" applyAlignment="1">
      <alignment horizontal="center" vertical="center" wrapText="1"/>
    </xf>
    <xf numFmtId="44" fontId="25" fillId="0" borderId="32" xfId="5" applyFont="1" applyFill="1" applyBorder="1" applyAlignment="1" applyProtection="1">
      <alignment horizontal="center" vertical="center"/>
      <protection locked="0"/>
    </xf>
    <xf numFmtId="44" fontId="25" fillId="0" borderId="28" xfId="5" applyFont="1" applyFill="1" applyBorder="1" applyAlignment="1" applyProtection="1">
      <alignment horizontal="center" vertical="center"/>
      <protection locked="0"/>
    </xf>
    <xf numFmtId="0" fontId="0" fillId="0" borderId="29" xfId="0" applyBorder="1" applyAlignment="1">
      <alignment horizontal="center" vertical="center" wrapText="1"/>
    </xf>
    <xf numFmtId="0" fontId="42" fillId="11" borderId="29" xfId="0" applyFont="1" applyFill="1" applyBorder="1" applyAlignment="1">
      <alignment horizontal="right" vertical="center" wrapText="1" indent="1"/>
    </xf>
    <xf numFmtId="0" fontId="25" fillId="2" borderId="32" xfId="0" applyFont="1" applyFill="1" applyBorder="1" applyAlignment="1" applyProtection="1">
      <alignment horizontal="left" vertical="center" wrapText="1" indent="1"/>
      <protection hidden="1"/>
    </xf>
    <xf numFmtId="0" fontId="25" fillId="2" borderId="28" xfId="0" applyFont="1" applyFill="1" applyBorder="1" applyAlignment="1" applyProtection="1">
      <alignment horizontal="left" vertical="center" wrapText="1" indent="1"/>
      <protection hidden="1"/>
    </xf>
    <xf numFmtId="0" fontId="25" fillId="7" borderId="31" xfId="0" applyFont="1" applyFill="1" applyBorder="1" applyAlignment="1">
      <alignment horizontal="center"/>
    </xf>
    <xf numFmtId="0" fontId="25" fillId="7" borderId="26" xfId="0" applyFont="1" applyFill="1" applyBorder="1" applyAlignment="1">
      <alignment horizontal="center"/>
    </xf>
    <xf numFmtId="0" fontId="25" fillId="7" borderId="27" xfId="0" applyFont="1" applyFill="1" applyBorder="1" applyAlignment="1">
      <alignment horizontal="center"/>
    </xf>
    <xf numFmtId="0" fontId="10" fillId="11" borderId="29" xfId="0" applyFont="1" applyFill="1" applyBorder="1" applyAlignment="1" applyProtection="1">
      <alignment horizontal="right" vertical="center" wrapText="1" indent="1"/>
      <protection hidden="1"/>
    </xf>
    <xf numFmtId="0" fontId="10" fillId="11" borderId="28" xfId="0" applyFont="1" applyFill="1" applyBorder="1" applyAlignment="1" applyProtection="1">
      <alignment horizontal="right" vertical="center" wrapText="1" indent="1"/>
      <protection hidden="1"/>
    </xf>
    <xf numFmtId="0" fontId="42" fillId="11" borderId="29" xfId="0" applyFont="1" applyFill="1" applyBorder="1" applyAlignment="1" applyProtection="1">
      <alignment horizontal="right" vertical="center" wrapText="1" indent="1"/>
      <protection hidden="1"/>
    </xf>
    <xf numFmtId="0" fontId="20" fillId="11" borderId="29" xfId="0" applyFont="1" applyFill="1" applyBorder="1" applyAlignment="1" applyProtection="1">
      <alignment horizontal="right" vertical="center" wrapText="1" indent="1"/>
      <protection hidden="1"/>
    </xf>
    <xf numFmtId="0" fontId="20" fillId="11" borderId="28" xfId="0" applyFont="1" applyFill="1" applyBorder="1" applyAlignment="1" applyProtection="1">
      <alignment horizontal="right" vertical="center" wrapText="1" indent="1"/>
      <protection hidden="1"/>
    </xf>
    <xf numFmtId="0" fontId="95" fillId="11" borderId="29" xfId="0" applyFont="1" applyFill="1" applyBorder="1" applyAlignment="1" applyProtection="1">
      <alignment horizontal="right" vertical="center" wrapText="1" indent="1"/>
      <protection hidden="1"/>
    </xf>
    <xf numFmtId="10" fontId="6" fillId="6" borderId="0" xfId="2" applyNumberFormat="1" applyFill="1" applyBorder="1" applyAlignment="1" applyProtection="1">
      <alignment horizontal="center"/>
      <protection hidden="1"/>
    </xf>
    <xf numFmtId="44" fontId="42" fillId="3" borderId="45" xfId="5" applyFont="1" applyFill="1" applyBorder="1" applyAlignment="1" applyProtection="1">
      <alignment horizontal="center" vertical="center"/>
      <protection hidden="1"/>
    </xf>
    <xf numFmtId="44" fontId="42" fillId="3" borderId="7" xfId="5" applyFont="1" applyFill="1" applyBorder="1" applyAlignment="1" applyProtection="1">
      <alignment horizontal="center" vertical="center"/>
      <protection hidden="1"/>
    </xf>
    <xf numFmtId="0" fontId="9" fillId="6" borderId="0" xfId="0" applyFont="1" applyFill="1" applyAlignment="1">
      <alignment horizontal="center"/>
    </xf>
    <xf numFmtId="170" fontId="25" fillId="0" borderId="48" xfId="5" applyNumberFormat="1" applyFont="1" applyFill="1" applyBorder="1" applyAlignment="1" applyProtection="1">
      <alignment horizontal="center"/>
      <protection locked="0"/>
    </xf>
    <xf numFmtId="170" fontId="25" fillId="0" borderId="47" xfId="5" applyNumberFormat="1" applyFont="1" applyFill="1" applyBorder="1" applyAlignment="1" applyProtection="1">
      <alignment horizontal="center"/>
      <protection locked="0"/>
    </xf>
    <xf numFmtId="0" fontId="14" fillId="3" borderId="63" xfId="0" applyFont="1" applyFill="1" applyBorder="1" applyAlignment="1">
      <alignment horizontal="right" vertical="center" wrapText="1" indent="15"/>
    </xf>
    <xf numFmtId="0" fontId="14" fillId="3" borderId="62" xfId="0" applyFont="1" applyFill="1" applyBorder="1" applyAlignment="1">
      <alignment horizontal="right" vertical="center" wrapText="1" indent="15"/>
    </xf>
    <xf numFmtId="0" fontId="0" fillId="0" borderId="62" xfId="0" applyBorder="1" applyAlignment="1">
      <alignment horizontal="right" vertical="center" wrapText="1" indent="15"/>
    </xf>
    <xf numFmtId="0" fontId="0" fillId="0" borderId="61" xfId="0" applyBorder="1" applyAlignment="1">
      <alignment horizontal="right" vertical="center" wrapText="1" indent="15"/>
    </xf>
    <xf numFmtId="0" fontId="25" fillId="0" borderId="15" xfId="0" applyFont="1" applyBorder="1" applyAlignment="1">
      <alignment horizontal="center" vertical="center"/>
    </xf>
    <xf numFmtId="0" fontId="25" fillId="0" borderId="1" xfId="0" applyFont="1" applyBorder="1" applyAlignment="1">
      <alignment horizontal="center" vertical="center"/>
    </xf>
    <xf numFmtId="0" fontId="25" fillId="0" borderId="2" xfId="0" applyFont="1" applyBorder="1" applyAlignment="1">
      <alignment horizontal="center" vertical="center"/>
    </xf>
    <xf numFmtId="1" fontId="25" fillId="0" borderId="60" xfId="0" applyNumberFormat="1" applyFont="1" applyBorder="1" applyAlignment="1" applyProtection="1">
      <alignment horizontal="center"/>
      <protection locked="0"/>
    </xf>
    <xf numFmtId="1" fontId="25" fillId="0" borderId="59" xfId="0" applyNumberFormat="1" applyFont="1" applyBorder="1" applyAlignment="1" applyProtection="1">
      <alignment horizontal="center"/>
      <protection locked="0"/>
    </xf>
    <xf numFmtId="170" fontId="25" fillId="0" borderId="51" xfId="5" applyNumberFormat="1" applyFont="1" applyFill="1" applyBorder="1" applyAlignment="1" applyProtection="1">
      <alignment horizontal="center"/>
      <protection locked="0"/>
    </xf>
    <xf numFmtId="0" fontId="14" fillId="3" borderId="26" xfId="0" applyFont="1" applyFill="1" applyBorder="1" applyAlignment="1">
      <alignment horizontal="right" vertical="center" wrapText="1" indent="15"/>
    </xf>
    <xf numFmtId="4" fontId="8" fillId="27" borderId="0" xfId="0" applyNumberFormat="1" applyFont="1" applyFill="1" applyAlignment="1">
      <alignment horizontal="center" vertical="center" wrapText="1"/>
    </xf>
    <xf numFmtId="0" fontId="9" fillId="0" borderId="31" xfId="0" applyFont="1" applyBorder="1" applyAlignment="1">
      <alignment horizontal="center"/>
    </xf>
    <xf numFmtId="0" fontId="9" fillId="0" borderId="27" xfId="0" applyFont="1" applyBorder="1" applyAlignment="1">
      <alignment horizontal="center"/>
    </xf>
    <xf numFmtId="0" fontId="10" fillId="11" borderId="29" xfId="0" applyFont="1" applyFill="1" applyBorder="1" applyAlignment="1">
      <alignment horizontal="left" vertical="center" wrapText="1" indent="1"/>
    </xf>
    <xf numFmtId="4" fontId="42" fillId="8" borderId="29" xfId="0" applyNumberFormat="1" applyFont="1" applyFill="1" applyBorder="1" applyAlignment="1" applyProtection="1">
      <alignment horizontal="center" vertical="center"/>
      <protection hidden="1"/>
    </xf>
    <xf numFmtId="0" fontId="0" fillId="0" borderId="29" xfId="0" applyBorder="1" applyAlignment="1">
      <alignment vertical="center"/>
    </xf>
    <xf numFmtId="4" fontId="42" fillId="11" borderId="35" xfId="0" applyNumberFormat="1" applyFont="1" applyFill="1" applyBorder="1" applyAlignment="1" applyProtection="1">
      <alignment horizontal="center" vertical="center"/>
      <protection hidden="1"/>
    </xf>
    <xf numFmtId="0" fontId="13" fillId="11" borderId="35" xfId="0" applyFont="1" applyFill="1" applyBorder="1" applyAlignment="1">
      <alignment vertical="center"/>
    </xf>
    <xf numFmtId="4" fontId="42" fillId="11" borderId="0" xfId="0" applyNumberFormat="1" applyFont="1" applyFill="1" applyAlignment="1" applyProtection="1">
      <alignment horizontal="center" vertical="center"/>
      <protection hidden="1"/>
    </xf>
    <xf numFmtId="0" fontId="13" fillId="11" borderId="0" xfId="0" applyFont="1" applyFill="1" applyAlignment="1">
      <alignment vertical="center"/>
    </xf>
    <xf numFmtId="4" fontId="37" fillId="27" borderId="0" xfId="0" applyNumberFormat="1" applyFont="1" applyFill="1" applyAlignment="1">
      <alignment horizontal="center" vertical="center" wrapText="1"/>
    </xf>
    <xf numFmtId="0" fontId="71" fillId="20" borderId="30" xfId="0" applyFont="1" applyFill="1" applyBorder="1" applyAlignment="1">
      <alignment horizontal="center" vertical="center" wrapText="1"/>
    </xf>
    <xf numFmtId="0" fontId="71" fillId="20" borderId="0" xfId="0" applyFont="1" applyFill="1" applyAlignment="1">
      <alignment horizontal="center" vertical="center" wrapText="1"/>
    </xf>
    <xf numFmtId="0" fontId="47" fillId="0" borderId="0" xfId="0" applyFont="1" applyAlignment="1">
      <alignment horizontal="left"/>
    </xf>
    <xf numFmtId="0" fontId="14" fillId="3" borderId="25" xfId="0" applyFont="1" applyFill="1" applyBorder="1" applyAlignment="1">
      <alignment horizontal="center" vertical="center"/>
    </xf>
    <xf numFmtId="0" fontId="12" fillId="0" borderId="33" xfId="0" applyFont="1" applyBorder="1" applyAlignment="1">
      <alignment horizontal="center"/>
    </xf>
    <xf numFmtId="0" fontId="42" fillId="23" borderId="29" xfId="0" applyFont="1" applyFill="1" applyBorder="1" applyAlignment="1">
      <alignment horizontal="left" vertical="center" wrapText="1" indent="1"/>
    </xf>
    <xf numFmtId="0" fontId="70" fillId="20" borderId="29" xfId="0" applyFont="1" applyFill="1" applyBorder="1" applyAlignment="1">
      <alignment horizontal="center" vertical="center"/>
    </xf>
    <xf numFmtId="0" fontId="46" fillId="0" borderId="0" xfId="3" applyFont="1" applyBorder="1" applyAlignment="1" applyProtection="1">
      <alignment horizontal="right" vertical="center"/>
      <protection hidden="1"/>
    </xf>
    <xf numFmtId="0" fontId="44" fillId="0" borderId="0" xfId="0" applyFont="1" applyAlignment="1" applyProtection="1">
      <alignment horizontal="right" vertical="center"/>
      <protection hidden="1"/>
    </xf>
    <xf numFmtId="0" fontId="45" fillId="0" borderId="0" xfId="0" applyFont="1" applyAlignment="1" applyProtection="1">
      <alignment horizontal="right"/>
      <protection hidden="1"/>
    </xf>
    <xf numFmtId="0" fontId="20" fillId="0" borderId="29" xfId="0" applyFont="1" applyBorder="1" applyAlignment="1" applyProtection="1">
      <alignment horizontal="left" vertical="center" wrapText="1" indent="1"/>
      <protection hidden="1"/>
    </xf>
    <xf numFmtId="0" fontId="14" fillId="23" borderId="32" xfId="0" applyFont="1" applyFill="1" applyBorder="1" applyAlignment="1">
      <alignment horizontal="right" vertical="center" wrapText="1" indent="2"/>
    </xf>
    <xf numFmtId="0" fontId="2" fillId="23" borderId="29" xfId="0" applyFont="1" applyFill="1" applyBorder="1" applyAlignment="1">
      <alignment horizontal="right" vertical="center" indent="2"/>
    </xf>
    <xf numFmtId="0" fontId="20" fillId="0" borderId="29" xfId="0" applyFont="1" applyBorder="1" applyAlignment="1">
      <alignment horizontal="left" vertical="center" wrapText="1" indent="1"/>
    </xf>
    <xf numFmtId="167" fontId="37" fillId="0" borderId="87" xfId="0" applyNumberFormat="1" applyFont="1" applyBorder="1" applyAlignment="1" applyProtection="1">
      <alignment horizontal="center" vertical="center"/>
      <protection hidden="1"/>
    </xf>
    <xf numFmtId="167" fontId="37" fillId="0" borderId="88" xfId="0" applyNumberFormat="1" applyFont="1" applyBorder="1" applyAlignment="1" applyProtection="1">
      <alignment horizontal="center" vertical="center"/>
      <protection hidden="1"/>
    </xf>
    <xf numFmtId="167" fontId="37" fillId="0" borderId="89" xfId="0" applyNumberFormat="1" applyFont="1" applyBorder="1" applyAlignment="1" applyProtection="1">
      <alignment horizontal="center" vertical="center"/>
      <protection hidden="1"/>
    </xf>
    <xf numFmtId="4" fontId="37" fillId="4" borderId="20" xfId="0" applyNumberFormat="1" applyFont="1" applyFill="1" applyBorder="1" applyProtection="1">
      <protection hidden="1"/>
    </xf>
    <xf numFmtId="4" fontId="8" fillId="0" borderId="20" xfId="0" applyNumberFormat="1" applyFont="1" applyBorder="1" applyProtection="1">
      <protection hidden="1"/>
    </xf>
    <xf numFmtId="4" fontId="37" fillId="4" borderId="81" xfId="0" applyNumberFormat="1" applyFont="1" applyFill="1" applyBorder="1" applyProtection="1">
      <protection hidden="1"/>
    </xf>
    <xf numFmtId="4" fontId="8" fillId="0" borderId="81" xfId="0" applyNumberFormat="1" applyFont="1" applyBorder="1" applyProtection="1">
      <protection hidden="1"/>
    </xf>
    <xf numFmtId="0" fontId="30" fillId="0" borderId="0" xfId="4" applyFont="1" applyBorder="1" applyAlignment="1" applyProtection="1">
      <alignment horizontal="right"/>
      <protection hidden="1"/>
    </xf>
    <xf numFmtId="0" fontId="30" fillId="0" borderId="0" xfId="3" applyFont="1" applyBorder="1" applyAlignment="1" applyProtection="1">
      <alignment horizontal="right" vertical="top" wrapText="1"/>
      <protection hidden="1"/>
    </xf>
    <xf numFmtId="0" fontId="30" fillId="0" borderId="15" xfId="0" applyFont="1" applyBorder="1" applyAlignment="1" applyProtection="1">
      <alignment horizontal="right" vertical="center" wrapText="1"/>
      <protection hidden="1"/>
    </xf>
    <xf numFmtId="0" fontId="30" fillId="0" borderId="1" xfId="0" applyFont="1" applyBorder="1" applyAlignment="1" applyProtection="1">
      <alignment horizontal="right" vertical="center" wrapText="1"/>
      <protection hidden="1"/>
    </xf>
    <xf numFmtId="0" fontId="30" fillId="0" borderId="75" xfId="0" applyFont="1" applyBorder="1" applyAlignment="1" applyProtection="1">
      <alignment horizontal="center"/>
      <protection hidden="1"/>
    </xf>
    <xf numFmtId="0" fontId="30" fillId="0" borderId="19" xfId="0" applyFont="1" applyBorder="1" applyAlignment="1" applyProtection="1">
      <alignment horizontal="center"/>
      <protection hidden="1"/>
    </xf>
    <xf numFmtId="0" fontId="24" fillId="23" borderId="0" xfId="0" quotePrefix="1" applyFont="1" applyFill="1" applyAlignment="1" applyProtection="1">
      <alignment horizontal="center" vertical="center"/>
      <protection hidden="1"/>
    </xf>
    <xf numFmtId="0" fontId="12" fillId="0" borderId="0" xfId="0" applyFont="1" applyAlignment="1" applyProtection="1">
      <alignment horizontal="center" vertical="center" wrapText="1"/>
      <protection hidden="1"/>
    </xf>
    <xf numFmtId="8" fontId="9" fillId="0" borderId="0" xfId="0" applyNumberFormat="1" applyFont="1" applyAlignment="1" applyProtection="1">
      <alignment horizontal="right"/>
      <protection hidden="1"/>
    </xf>
    <xf numFmtId="1" fontId="9" fillId="0" borderId="0" xfId="0" applyNumberFormat="1" applyFont="1" applyAlignment="1" applyProtection="1">
      <alignment horizontal="right"/>
      <protection hidden="1"/>
    </xf>
    <xf numFmtId="10" fontId="30" fillId="0" borderId="0" xfId="3" applyNumberFormat="1" applyFont="1" applyBorder="1" applyAlignment="1" applyProtection="1">
      <alignment horizontal="right" vertical="top" wrapText="1"/>
      <protection hidden="1"/>
    </xf>
    <xf numFmtId="0" fontId="48" fillId="0" borderId="0" xfId="3" applyFont="1" applyBorder="1" applyAlignment="1" applyProtection="1">
      <alignment horizontal="right" vertical="center"/>
      <protection hidden="1"/>
    </xf>
    <xf numFmtId="0" fontId="24" fillId="23" borderId="18" xfId="0" applyFont="1" applyFill="1" applyBorder="1" applyAlignment="1" applyProtection="1">
      <alignment horizontal="center"/>
      <protection hidden="1"/>
    </xf>
    <xf numFmtId="0" fontId="24" fillId="23" borderId="0" xfId="0" applyFont="1" applyFill="1" applyAlignment="1" applyProtection="1">
      <alignment horizontal="center"/>
      <protection hidden="1"/>
    </xf>
    <xf numFmtId="0" fontId="30" fillId="0" borderId="1" xfId="0" applyFont="1" applyBorder="1" applyAlignment="1" applyProtection="1">
      <alignment horizontal="center" vertical="center" wrapText="1"/>
      <protection hidden="1"/>
    </xf>
    <xf numFmtId="0" fontId="30" fillId="0" borderId="2" xfId="0" applyFont="1" applyBorder="1" applyAlignment="1" applyProtection="1">
      <alignment horizontal="center" vertical="center" wrapText="1"/>
      <protection hidden="1"/>
    </xf>
    <xf numFmtId="168" fontId="25" fillId="0" borderId="8" xfId="0" applyNumberFormat="1" applyFont="1" applyBorder="1" applyAlignment="1" applyProtection="1">
      <alignment horizontal="center" vertical="center"/>
      <protection hidden="1"/>
    </xf>
    <xf numFmtId="0" fontId="20" fillId="0" borderId="16" xfId="0" applyFont="1" applyBorder="1" applyAlignment="1" applyProtection="1">
      <alignment horizontal="left" vertical="center" wrapText="1" indent="2"/>
      <protection hidden="1"/>
    </xf>
    <xf numFmtId="0" fontId="20" fillId="0" borderId="0" xfId="0" applyFont="1" applyAlignment="1" applyProtection="1">
      <alignment horizontal="left" vertical="center" wrapText="1" indent="2"/>
      <protection hidden="1"/>
    </xf>
    <xf numFmtId="43" fontId="29" fillId="0" borderId="84" xfId="13" applyFont="1" applyFill="1" applyBorder="1" applyAlignment="1" applyProtection="1">
      <alignment horizontal="center" vertical="center" wrapText="1"/>
      <protection hidden="1"/>
    </xf>
    <xf numFmtId="43" fontId="29" fillId="0" borderId="85" xfId="13" applyFont="1" applyFill="1" applyBorder="1" applyAlignment="1" applyProtection="1">
      <alignment horizontal="center" vertical="center" wrapText="1"/>
      <protection hidden="1"/>
    </xf>
    <xf numFmtId="168" fontId="8" fillId="0" borderId="8" xfId="0" applyNumberFormat="1" applyFont="1" applyBorder="1" applyAlignment="1" applyProtection="1">
      <alignment horizontal="center" vertical="center"/>
      <protection hidden="1"/>
    </xf>
    <xf numFmtId="9" fontId="30" fillId="0" borderId="0" xfId="3" applyNumberFormat="1" applyFont="1" applyBorder="1" applyAlignment="1" applyProtection="1">
      <alignment horizontal="right" vertical="center"/>
      <protection hidden="1"/>
    </xf>
    <xf numFmtId="0" fontId="30" fillId="0" borderId="0" xfId="3" applyFont="1" applyBorder="1" applyAlignment="1" applyProtection="1">
      <alignment horizontal="right" vertical="center"/>
      <protection hidden="1"/>
    </xf>
    <xf numFmtId="0" fontId="25" fillId="0" borderId="15" xfId="0" applyFont="1" applyBorder="1" applyAlignment="1" applyProtection="1">
      <alignment horizontal="center" vertical="center"/>
      <protection hidden="1"/>
    </xf>
    <xf numFmtId="0" fontId="25" fillId="0" borderId="1" xfId="0" applyFont="1" applyBorder="1" applyAlignment="1" applyProtection="1">
      <alignment horizontal="center" vertical="center"/>
      <protection hidden="1"/>
    </xf>
    <xf numFmtId="0" fontId="8" fillId="0" borderId="15" xfId="0" applyFont="1" applyBorder="1" applyAlignment="1" applyProtection="1">
      <alignment horizontal="left" vertical="center" indent="1"/>
      <protection hidden="1"/>
    </xf>
    <xf numFmtId="0" fontId="8" fillId="0" borderId="1" xfId="0" applyFont="1" applyBorder="1" applyAlignment="1" applyProtection="1">
      <alignment horizontal="left" vertical="center" indent="1"/>
      <protection hidden="1"/>
    </xf>
    <xf numFmtId="0" fontId="8" fillId="0" borderId="15" xfId="0" quotePrefix="1" applyFont="1" applyBorder="1" applyAlignment="1" applyProtection="1">
      <alignment horizontal="left" vertical="center" wrapText="1" indent="1"/>
      <protection hidden="1"/>
    </xf>
    <xf numFmtId="0" fontId="8" fillId="0" borderId="1" xfId="0" quotePrefix="1" applyFont="1" applyBorder="1" applyAlignment="1" applyProtection="1">
      <alignment horizontal="left" vertical="center" wrapText="1" indent="1"/>
      <protection hidden="1"/>
    </xf>
    <xf numFmtId="0" fontId="8" fillId="0" borderId="15" xfId="0" applyFont="1" applyBorder="1" applyAlignment="1" applyProtection="1">
      <alignment horizontal="left" vertical="center" indent="7"/>
      <protection hidden="1"/>
    </xf>
    <xf numFmtId="0" fontId="8" fillId="0" borderId="1" xfId="0" applyFont="1" applyBorder="1" applyAlignment="1" applyProtection="1">
      <alignment horizontal="left" vertical="center" indent="7"/>
      <protection hidden="1"/>
    </xf>
    <xf numFmtId="0" fontId="8" fillId="0" borderId="2" xfId="0" applyFont="1" applyBorder="1" applyAlignment="1" applyProtection="1">
      <alignment horizontal="left" vertical="center" indent="7"/>
      <protection hidden="1"/>
    </xf>
    <xf numFmtId="168" fontId="8" fillId="0" borderId="15" xfId="0" applyNumberFormat="1" applyFont="1" applyBorder="1" applyAlignment="1" applyProtection="1">
      <alignment horizontal="center" vertical="center"/>
      <protection hidden="1"/>
    </xf>
    <xf numFmtId="168" fontId="8" fillId="0" borderId="2" xfId="0" applyNumberFormat="1" applyFont="1" applyBorder="1" applyAlignment="1" applyProtection="1">
      <alignment horizontal="center" vertical="center"/>
      <protection hidden="1"/>
    </xf>
  </cellXfs>
  <cellStyles count="14">
    <cellStyle name="Dziesiętny" xfId="13" builtinId="3"/>
    <cellStyle name="Hiperłącze" xfId="2" builtinId="8"/>
    <cellStyle name="Nagłówek 2" xfId="4" builtinId="17"/>
    <cellStyle name="Normalny" xfId="0" builtinId="0"/>
    <cellStyle name="Normalny 2" xfId="7" xr:uid="{00000000-0005-0000-0000-000004000000}"/>
    <cellStyle name="Normalny 2 2" xfId="9" xr:uid="{00000000-0005-0000-0000-000005000000}"/>
    <cellStyle name="Normalny 2_Linia kredytowa" xfId="10" xr:uid="{00000000-0005-0000-0000-000006000000}"/>
    <cellStyle name="Normalny 3" xfId="6" xr:uid="{00000000-0005-0000-0000-000007000000}"/>
    <cellStyle name="Normalny 4" xfId="11" xr:uid="{00000000-0005-0000-0000-000008000000}"/>
    <cellStyle name="Procentowy" xfId="1" builtinId="5"/>
    <cellStyle name="Procentowy 2" xfId="8" xr:uid="{00000000-0005-0000-0000-00000A000000}"/>
    <cellStyle name="Tytuł" xfId="3" builtinId="15"/>
    <cellStyle name="Walutowy" xfId="5" builtinId="4"/>
    <cellStyle name="Walutowy 2" xfId="12" xr:uid="{00000000-0005-0000-0000-00000D000000}"/>
  </cellStyles>
  <dxfs count="16">
    <dxf>
      <font>
        <color theme="0"/>
      </font>
      <fill>
        <patternFill patternType="none">
          <bgColor auto="1"/>
        </patternFill>
      </fill>
      <border>
        <left/>
        <right/>
        <top/>
        <bottom/>
        <vertical/>
        <horizontal/>
      </border>
    </dxf>
    <dxf>
      <font>
        <color theme="0"/>
      </font>
      <fill>
        <patternFill patternType="none">
          <bgColor auto="1"/>
        </patternFill>
      </fill>
      <border>
        <left/>
        <right/>
        <top/>
        <bottom/>
        <vertical/>
        <horizontal/>
      </border>
    </dxf>
    <dxf>
      <font>
        <color theme="4" tint="0.79998168889431442"/>
      </font>
      <fill>
        <patternFill>
          <bgColor theme="4" tint="0.79998168889431442"/>
        </patternFill>
      </fill>
    </dxf>
    <dxf>
      <font>
        <color theme="4" tint="0.79998168889431442"/>
      </font>
      <fill>
        <patternFill>
          <bgColor theme="4" tint="0.79998168889431442"/>
        </patternFill>
      </fill>
    </dxf>
    <dxf>
      <font>
        <color theme="4" tint="0.79998168889431442"/>
      </font>
      <fill>
        <patternFill>
          <bgColor theme="4" tint="0.79998168889431442"/>
        </patternFill>
      </fill>
    </dxf>
    <dxf>
      <font>
        <color theme="4" tint="0.79998168889431442"/>
      </font>
      <fill>
        <patternFill>
          <bgColor theme="4" tint="0.79998168889431442"/>
        </patternFill>
      </fill>
    </dxf>
    <dxf>
      <font>
        <color theme="4" tint="0.79998168889431442"/>
      </font>
      <fill>
        <patternFill>
          <bgColor theme="4" tint="0.79998168889431442"/>
        </patternFill>
      </fill>
    </dxf>
    <dxf>
      <font>
        <color theme="4" tint="0.79998168889431442"/>
      </font>
      <fill>
        <patternFill>
          <bgColor theme="4" tint="0.79998168889431442"/>
        </patternFill>
      </fill>
    </dxf>
    <dxf>
      <font>
        <color theme="4" tint="0.79998168889431442"/>
      </font>
      <fill>
        <patternFill>
          <bgColor theme="4" tint="0.79998168889431442"/>
        </patternFill>
      </fill>
    </dxf>
    <dxf>
      <font>
        <color theme="4" tint="0.79998168889431442"/>
      </font>
      <fill>
        <patternFill>
          <bgColor theme="4" tint="0.79998168889431442"/>
        </patternFill>
      </fill>
    </dxf>
    <dxf>
      <border>
        <left style="hair">
          <color rgb="FFFF6200"/>
        </left>
        <right style="hair">
          <color rgb="FFFF6200"/>
        </right>
        <top style="hair">
          <color rgb="FFFF6200"/>
        </top>
        <bottom style="hair">
          <color rgb="FFFF6200"/>
        </bottom>
        <vertical/>
        <horizontal/>
      </border>
    </dxf>
    <dxf>
      <font>
        <color theme="4" tint="0.79998168889431442"/>
      </font>
      <fill>
        <patternFill>
          <bgColor theme="4" tint="0.79998168889431442"/>
        </patternFill>
      </fill>
    </dxf>
    <dxf>
      <font>
        <color theme="4" tint="0.79998168889431442"/>
      </font>
      <fill>
        <patternFill>
          <bgColor theme="4" tint="0.79998168889431442"/>
        </patternFill>
      </fill>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s>
  <tableStyles count="0" defaultTableStyle="TableStyleMedium2" defaultPivotStyle="PivotStyleLight16"/>
  <colors>
    <mruColors>
      <color rgb="FFDCE6F1"/>
      <color rgb="FFFF6200"/>
      <color rgb="FFFF6600"/>
      <color rgb="FF33CCCC"/>
      <color rgb="FFFF9999"/>
      <color rgb="FFFF0000"/>
      <color rgb="FF788CC8"/>
      <color rgb="FFFF9900"/>
      <color rgb="FFC3BFB7"/>
      <color rgb="FFB4C3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worksheets/sheet16.xml" Type="http://schemas.openxmlformats.org/officeDocument/2006/relationships/worksheet"/><Relationship Id="rId17" Target="worksheets/sheet17.xml" Type="http://schemas.openxmlformats.org/officeDocument/2006/relationships/worksheet"/><Relationship Id="rId18" Target="worksheets/sheet18.xml" Type="http://schemas.openxmlformats.org/officeDocument/2006/relationships/worksheet"/><Relationship Id="rId19" Target="worksheets/sheet19.xml" Type="http://schemas.openxmlformats.org/officeDocument/2006/relationships/worksheet"/><Relationship Id="rId2" Target="worksheets/sheet2.xml" Type="http://schemas.openxmlformats.org/officeDocument/2006/relationships/worksheet"/><Relationship Id="rId20" Target="worksheets/sheet20.xml" Type="http://schemas.openxmlformats.org/officeDocument/2006/relationships/worksheet"/><Relationship Id="rId21" Target="worksheets/sheet21.xml" Type="http://schemas.openxmlformats.org/officeDocument/2006/relationships/worksheet"/><Relationship Id="rId22" Target="worksheets/sheet22.xml" Type="http://schemas.openxmlformats.org/officeDocument/2006/relationships/worksheet"/><Relationship Id="rId23" Target="worksheets/sheet23.xml" Type="http://schemas.openxmlformats.org/officeDocument/2006/relationships/worksheet"/><Relationship Id="rId24" Target="worksheets/sheet24.xml" Type="http://schemas.openxmlformats.org/officeDocument/2006/relationships/worksheet"/><Relationship Id="rId25" Target="worksheets/sheet25.xml" Type="http://schemas.openxmlformats.org/officeDocument/2006/relationships/worksheet"/><Relationship Id="rId26" Target="worksheets/sheet26.xml" Type="http://schemas.openxmlformats.org/officeDocument/2006/relationships/worksheet"/><Relationship Id="rId27" Target="worksheets/sheet27.xml" Type="http://schemas.openxmlformats.org/officeDocument/2006/relationships/worksheet"/><Relationship Id="rId28" Target="worksheets/sheet28.xml" Type="http://schemas.openxmlformats.org/officeDocument/2006/relationships/worksheet"/><Relationship Id="rId29" Target="externalLinks/externalLink1.xml" Type="http://schemas.openxmlformats.org/officeDocument/2006/relationships/externalLink"/><Relationship Id="rId3" Target="worksheets/sheet3.xml" Type="http://schemas.openxmlformats.org/officeDocument/2006/relationships/worksheet"/><Relationship Id="rId30" Target="theme/theme1.xml" Type="http://schemas.openxmlformats.org/officeDocument/2006/relationships/theme"/><Relationship Id="rId31" Target="styles.xml" Type="http://schemas.openxmlformats.org/officeDocument/2006/relationships/styles"/><Relationship Id="rId32" Target="sharedStrings.xml" Type="http://schemas.openxmlformats.org/officeDocument/2006/relationships/sharedStrings"/><Relationship Id="rId33" Target="calcChain.xml" Type="http://schemas.openxmlformats.org/officeDocument/2006/relationships/calcChain"/><Relationship Id="rId34" Target="vbaProject.bin" Type="http://schemas.microsoft.com/office/2006/relationships/vbaProjec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activeX/_rels/activeX1.xml.rels><?xml version="1.0" encoding="UTF-8" standalone="yes"?><Relationships xmlns="http://schemas.openxmlformats.org/package/2006/relationships"><Relationship Id="rId1" Target="activeX1.bin" Type="http://schemas.microsoft.com/office/2006/relationships/activeXControlBinary"/></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checked="Checked" fmlaLink="B2" lockText="1" noThreeD="1"/>
</file>

<file path=xl/ctrlProps/ctrlProp2.xml><?xml version="1.0" encoding="utf-8"?>
<formControlPr xmlns="http://schemas.microsoft.com/office/spreadsheetml/2009/9/main" objectType="CheckBox" checked="Checked" fmlaLink="$Q$1" lockText="1" noThreeD="1"/>
</file>

<file path=xl/drawings/_rels/drawing1.xml.rels><?xml version="1.0" encoding="UTF-8" standalone="yes"?><Relationships xmlns="http://schemas.openxmlformats.org/package/2006/relationships"><Relationship Id="rId1" Target="../media/image1.png" Type="http://schemas.openxmlformats.org/officeDocument/2006/relationships/image"/></Relationships>
</file>

<file path=xl/drawings/_rels/drawing2.xml.rels><?xml version="1.0" encoding="UTF-8" standalone="yes"?><Relationships xmlns="http://schemas.openxmlformats.org/package/2006/relationships"><Relationship Id="rId1" Target="../media/image1.png" Type="http://schemas.openxmlformats.org/officeDocument/2006/relationships/image"/></Relationships>
</file>

<file path=xl/drawings/_rels/drawing3.xml.rels><?xml version="1.0" encoding="UTF-8" standalone="yes"?><Relationships xmlns="http://schemas.openxmlformats.org/package/2006/relationships"><Relationship Id="rId1" Target="../media/image1.png" Type="http://schemas.openxmlformats.org/officeDocument/2006/relationships/image"/></Relationships>
</file>

<file path=xl/drawings/_rels/drawing4.xml.rels><?xml version="1.0" encoding="UTF-8" standalone="yes"?><Relationships xmlns="http://schemas.openxmlformats.org/package/2006/relationships"><Relationship Id="rId1" Target="../media/image1.png" Type="http://schemas.openxmlformats.org/officeDocument/2006/relationships/image"/></Relationships>
</file>

<file path=xl/drawings/_rels/drawing5.xml.rels><?xml version="1.0" encoding="UTF-8" standalone="yes"?><Relationships xmlns="http://schemas.openxmlformats.org/package/2006/relationships"><Relationship Id="rId1" Target="../media/image1.png" Type="http://schemas.openxmlformats.org/officeDocument/2006/relationships/image"/></Relationships>
</file>

<file path=xl/drawings/_rels/drawing6.xml.rels><?xml version="1.0" encoding="UTF-8" standalone="yes"?><Relationships xmlns="http://schemas.openxmlformats.org/package/2006/relationships"><Relationship Id="rId1" Target="../media/image1.png" Type="http://schemas.openxmlformats.org/officeDocument/2006/relationships/image"/></Relationships>
</file>

<file path=xl/drawings/_rels/drawing7.xml.rels><?xml version="1.0" encoding="UTF-8" standalone="yes"?><Relationships xmlns="http://schemas.openxmlformats.org/package/2006/relationships"><Relationship Id="rId1" Target="../media/image1.png" Type="http://schemas.openxmlformats.org/officeDocument/2006/relationships/image"/></Relationships>
</file>

<file path=xl/drawings/_rels/drawing8.xml.rels><?xml version="1.0" encoding="UTF-8" standalone="yes"?><Relationships xmlns="http://schemas.openxmlformats.org/package/2006/relationships"><Relationship Id="rId1" Target="../media/image1.png" Type="http://schemas.openxmlformats.org/officeDocument/2006/relationships/image"/></Relationships>
</file>

<file path=xl/drawings/_rels/vmlDrawing10.vml.rels><?xml version="1.0" encoding="UTF-8" standalone="yes"?><Relationships xmlns="http://schemas.openxmlformats.org/package/2006/relationships"><Relationship Id="rId1" Target="../media/image2.emf" Type="http://schemas.openxmlformats.org/officeDocument/2006/relationships/image"/></Relationships>
</file>

<file path=xl/drawings/_rels/vmlDrawing11.vml.rels><?xml version="1.0" encoding="UTF-8" standalone="yes"?><Relationships xmlns="http://schemas.openxmlformats.org/package/2006/relationships"><Relationship Id="rId1" Target="../media/image3.jpeg" Type="http://schemas.openxmlformats.org/officeDocument/2006/relationships/image"/></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1022350</xdr:colOff>
          <xdr:row>1</xdr:row>
          <xdr:rowOff>31750</xdr:rowOff>
        </xdr:from>
        <xdr:to>
          <xdr:col>1</xdr:col>
          <xdr:colOff>2501900</xdr:colOff>
          <xdr:row>1</xdr:row>
          <xdr:rowOff>279400</xdr:rowOff>
        </xdr:to>
        <xdr:sp macro="" textlink="">
          <xdr:nvSpPr>
            <xdr:cNvPr id="97284" name="ProwizjaKredytowana" hidden="1">
              <a:extLst>
                <a:ext uri="{63B3BB69-23CF-44E3-9099-C40C66FF867C}">
                  <a14:compatExt spid="_x0000_s97284"/>
                </a:ext>
                <a:ext uri="{FF2B5EF4-FFF2-40B4-BE49-F238E27FC236}">
                  <a16:creationId xmlns:a16="http://schemas.microsoft.com/office/drawing/2014/main" id="{00000000-0008-0000-0000-0000047C01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pl-PL" sz="800" b="0" i="0" u="none" strike="noStrike" baseline="0">
                  <a:solidFill>
                    <a:srgbClr val="000000"/>
                  </a:solidFill>
                  <a:latin typeface="Segoe UI"/>
                  <a:cs typeface="Segoe UI"/>
                </a:rPr>
                <a:t>Prowizja kredytowana</a:t>
              </a:r>
            </a:p>
          </xdr:txBody>
        </xdr:sp>
        <xdr:clientData/>
      </xdr:twoCellAnchor>
    </mc:Choice>
    <mc:Fallback/>
  </mc:AlternateContent>
  <xdr:twoCellAnchor editAs="oneCell">
    <xdr:from>
      <xdr:col>0</xdr:col>
      <xdr:colOff>142875</xdr:colOff>
      <xdr:row>0</xdr:row>
      <xdr:rowOff>9525</xdr:rowOff>
    </xdr:from>
    <xdr:to>
      <xdr:col>1</xdr:col>
      <xdr:colOff>342900</xdr:colOff>
      <xdr:row>1</xdr:row>
      <xdr:rowOff>266700</xdr:rowOff>
    </xdr:to>
    <xdr:pic>
      <xdr:nvPicPr>
        <xdr:cNvPr id="3" name="Obraz 2" descr="https://shp-app.pl.ing-ad/apps/mailsignature/Lists/Images/identifier.png">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9525"/>
          <a:ext cx="571500" cy="5715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161925</xdr:colOff>
      <xdr:row>0</xdr:row>
      <xdr:rowOff>0</xdr:rowOff>
    </xdr:from>
    <xdr:to>
      <xdr:col>1</xdr:col>
      <xdr:colOff>733425</xdr:colOff>
      <xdr:row>0</xdr:row>
      <xdr:rowOff>571500</xdr:rowOff>
    </xdr:to>
    <xdr:pic>
      <xdr:nvPicPr>
        <xdr:cNvPr id="3" name="Obraz 2" descr="https://shp-app.pl.ing-ad/apps/mailsignature/Lists/Images/identifier.png">
          <a:extLst>
            <a:ext uri="{FF2B5EF4-FFF2-40B4-BE49-F238E27FC236}">
              <a16:creationId xmlns:a16="http://schemas.microsoft.com/office/drawing/2014/main" id="{00000000-0008-0000-06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0"/>
          <a:ext cx="571500" cy="57150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66675</xdr:colOff>
      <xdr:row>0</xdr:row>
      <xdr:rowOff>9525</xdr:rowOff>
    </xdr:from>
    <xdr:to>
      <xdr:col>1</xdr:col>
      <xdr:colOff>635000</xdr:colOff>
      <xdr:row>0</xdr:row>
      <xdr:rowOff>577850</xdr:rowOff>
    </xdr:to>
    <xdr:pic>
      <xdr:nvPicPr>
        <xdr:cNvPr id="3" name="Obraz 2" descr="https://shp-app.pl.ing-ad/apps/mailsignature/Lists/Images/identifier.png">
          <a:extLst>
            <a:ext uri="{FF2B5EF4-FFF2-40B4-BE49-F238E27FC236}">
              <a16:creationId xmlns:a16="http://schemas.microsoft.com/office/drawing/2014/main" id="{00000000-0008-0000-08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 y="9525"/>
          <a:ext cx="571500" cy="571500"/>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109008</xdr:colOff>
      <xdr:row>0</xdr:row>
      <xdr:rowOff>0</xdr:rowOff>
    </xdr:from>
    <xdr:to>
      <xdr:col>1</xdr:col>
      <xdr:colOff>677333</xdr:colOff>
      <xdr:row>0</xdr:row>
      <xdr:rowOff>571500</xdr:rowOff>
    </xdr:to>
    <xdr:pic>
      <xdr:nvPicPr>
        <xdr:cNvPr id="2" name="Obraz 1" descr="https://shp-app.pl.ing-ad/apps/mailsignature/Lists/Images/identifier.png">
          <a:extLst>
            <a:ext uri="{FF2B5EF4-FFF2-40B4-BE49-F238E27FC236}">
              <a16:creationId xmlns:a16="http://schemas.microsoft.com/office/drawing/2014/main" id="{00000000-0008-0000-0A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3308" y="0"/>
          <a:ext cx="571500" cy="57150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oneCellAnchor>
    <xdr:from>
      <xdr:col>1</xdr:col>
      <xdr:colOff>270894</xdr:colOff>
      <xdr:row>0</xdr:row>
      <xdr:rowOff>122340</xdr:rowOff>
    </xdr:from>
    <xdr:ext cx="571500" cy="571500"/>
    <xdr:pic>
      <xdr:nvPicPr>
        <xdr:cNvPr id="2" name="Obraz 1" descr="https://shp-app.pl.ing-ad/apps/mailsignature/Lists/Images/identifier.png">
          <a:extLst>
            <a:ext uri="{FF2B5EF4-FFF2-40B4-BE49-F238E27FC236}">
              <a16:creationId xmlns:a16="http://schemas.microsoft.com/office/drawing/2014/main" id="{00000000-0008-0000-0E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9519" y="122340"/>
          <a:ext cx="571500" cy="571500"/>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0</xdr:col>
      <xdr:colOff>321468</xdr:colOff>
      <xdr:row>0</xdr:row>
      <xdr:rowOff>0</xdr:rowOff>
    </xdr:from>
    <xdr:to>
      <xdr:col>1</xdr:col>
      <xdr:colOff>468840</xdr:colOff>
      <xdr:row>0</xdr:row>
      <xdr:rowOff>571500</xdr:rowOff>
    </xdr:to>
    <xdr:pic>
      <xdr:nvPicPr>
        <xdr:cNvPr id="2" name="Obraz 1" descr="https://shp-app.pl.ing-ad/apps/mailsignature/Lists/Images/identifier.png">
          <a:extLst>
            <a:ext uri="{FF2B5EF4-FFF2-40B4-BE49-F238E27FC236}">
              <a16:creationId xmlns:a16="http://schemas.microsoft.com/office/drawing/2014/main" id="{00000000-0008-0000-0F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1468" y="0"/>
          <a:ext cx="571500" cy="5715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xdr:col>
          <xdr:colOff>806450</xdr:colOff>
          <xdr:row>0</xdr:row>
          <xdr:rowOff>76200</xdr:rowOff>
        </xdr:from>
        <xdr:to>
          <xdr:col>1</xdr:col>
          <xdr:colOff>2724150</xdr:colOff>
          <xdr:row>0</xdr:row>
          <xdr:rowOff>571500</xdr:rowOff>
        </xdr:to>
        <xdr:sp macro="" textlink="">
          <xdr:nvSpPr>
            <xdr:cNvPr id="132106" name="ProwizjaKredytowana" hidden="1">
              <a:extLst>
                <a:ext uri="{63B3BB69-23CF-44E3-9099-C40C66FF867C}">
                  <a14:compatExt spid="_x0000_s132106"/>
                </a:ext>
                <a:ext uri="{FF2B5EF4-FFF2-40B4-BE49-F238E27FC236}">
                  <a16:creationId xmlns:a16="http://schemas.microsoft.com/office/drawing/2014/main" id="{00000000-0008-0000-0F00-00000A0402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pl-PL" sz="800" b="0" i="0" u="none" strike="noStrike" baseline="0">
                  <a:solidFill>
                    <a:srgbClr val="000000"/>
                  </a:solidFill>
                  <a:latin typeface="Segoe UI"/>
                  <a:cs typeface="Segoe UI"/>
                </a:rPr>
                <a:t>Wniosek o produkt z gwarancją BGK</a:t>
              </a:r>
            </a:p>
          </xdr:txBody>
        </xdr:sp>
        <xdr:clientData/>
      </xdr:twoCellAnchor>
    </mc:Choice>
    <mc:Fallback/>
  </mc:AlternateContent>
  <xdr:twoCellAnchor>
    <xdr:from>
      <xdr:col>6</xdr:col>
      <xdr:colOff>470505</xdr:colOff>
      <xdr:row>1</xdr:row>
      <xdr:rowOff>81944</xdr:rowOff>
    </xdr:from>
    <xdr:to>
      <xdr:col>10</xdr:col>
      <xdr:colOff>155423</xdr:colOff>
      <xdr:row>10</xdr:row>
      <xdr:rowOff>68792</xdr:rowOff>
    </xdr:to>
    <xdr:sp macro="" textlink="">
      <xdr:nvSpPr>
        <xdr:cNvPr id="3" name="Prostokąt 2">
          <a:extLst>
            <a:ext uri="{FF2B5EF4-FFF2-40B4-BE49-F238E27FC236}">
              <a16:creationId xmlns:a16="http://schemas.microsoft.com/office/drawing/2014/main" id="{00000000-0008-0000-0F00-000003000000}"/>
            </a:ext>
          </a:extLst>
        </xdr:cNvPr>
        <xdr:cNvSpPr/>
      </xdr:nvSpPr>
      <xdr:spPr>
        <a:xfrm>
          <a:off x="13032922" y="716944"/>
          <a:ext cx="3389084" cy="1278015"/>
        </a:xfrm>
        <a:prstGeom prst="rect">
          <a:avLst/>
        </a:prstGeom>
        <a:ln>
          <a:solidFill>
            <a:srgbClr val="FF6200"/>
          </a:solidFill>
          <a:prstDash val="dash"/>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r>
            <a:rPr lang="pl-PL" sz="1200">
              <a:solidFill>
                <a:schemeClr val="dk1"/>
              </a:solidFill>
              <a:effectLst/>
              <a:latin typeface="+mn-lt"/>
              <a:ea typeface="+mn-ea"/>
              <a:cs typeface="+mn-cs"/>
            </a:rPr>
            <a:t>Prezentowane wyliczenia mają charakter poglądowy. </a:t>
          </a:r>
        </a:p>
        <a:p>
          <a:r>
            <a:rPr lang="pl-PL" sz="1200">
              <a:solidFill>
                <a:schemeClr val="dk1"/>
              </a:solidFill>
              <a:effectLst/>
              <a:latin typeface="+mn-lt"/>
              <a:ea typeface="+mn-ea"/>
              <a:cs typeface="+mn-cs"/>
            </a:rPr>
            <a:t>Maksymalna kwota pożyczki oraz okres kredytowania mogą się zmienić po analizie wniosku. </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101600</xdr:colOff>
      <xdr:row>23</xdr:row>
      <xdr:rowOff>12700</xdr:rowOff>
    </xdr:from>
    <xdr:to>
      <xdr:col>1</xdr:col>
      <xdr:colOff>673100</xdr:colOff>
      <xdr:row>26</xdr:row>
      <xdr:rowOff>6349</xdr:rowOff>
    </xdr:to>
    <xdr:pic>
      <xdr:nvPicPr>
        <xdr:cNvPr id="3" name="Obraz 2" descr="https://shp-app.pl.ing-ad/apps/mailsignature/Lists/Images/identifier.png">
          <a:extLst>
            <a:ext uri="{FF2B5EF4-FFF2-40B4-BE49-F238E27FC236}">
              <a16:creationId xmlns:a16="http://schemas.microsoft.com/office/drawing/2014/main" id="{00000000-0008-0000-1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1200" y="6464300"/>
          <a:ext cx="571500" cy="571500"/>
        </a:xfrm>
        <a:prstGeom prst="rect">
          <a:avLst/>
        </a:prstGeom>
        <a:noFill/>
        <a:ln>
          <a:noFill/>
        </a:ln>
      </xdr:spPr>
    </xdr:pic>
    <xdr:clientData/>
  </xdr:twoCellAnchor>
  <xdr:twoCellAnchor editAs="oneCell">
    <xdr:from>
      <xdr:col>1</xdr:col>
      <xdr:colOff>190500</xdr:colOff>
      <xdr:row>0</xdr:row>
      <xdr:rowOff>12700</xdr:rowOff>
    </xdr:from>
    <xdr:to>
      <xdr:col>1</xdr:col>
      <xdr:colOff>762000</xdr:colOff>
      <xdr:row>1</xdr:row>
      <xdr:rowOff>266700</xdr:rowOff>
    </xdr:to>
    <xdr:pic>
      <xdr:nvPicPr>
        <xdr:cNvPr id="4" name="Obraz 3" descr="https://shp-app.pl.ing-ad/apps/mailsignature/Lists/Images/identifier.png">
          <a:extLst>
            <a:ext uri="{FF2B5EF4-FFF2-40B4-BE49-F238E27FC236}">
              <a16:creationId xmlns:a16="http://schemas.microsoft.com/office/drawing/2014/main" id="{00000000-0008-0000-10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4000" y="12700"/>
          <a:ext cx="571500" cy="571500"/>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88376</xdr:colOff>
      <xdr:row>0</xdr:row>
      <xdr:rowOff>0</xdr:rowOff>
    </xdr:from>
    <xdr:to>
      <xdr:col>0</xdr:col>
      <xdr:colOff>659876</xdr:colOff>
      <xdr:row>1</xdr:row>
      <xdr:rowOff>257273</xdr:rowOff>
    </xdr:to>
    <xdr:pic>
      <xdr:nvPicPr>
        <xdr:cNvPr id="2" name="Obraz 1" descr="https://shp-app.pl.ing-ad/apps/mailsignature/Lists/Images/identifier.png">
          <a:extLst>
            <a:ext uri="{FF2B5EF4-FFF2-40B4-BE49-F238E27FC236}">
              <a16:creationId xmlns:a16="http://schemas.microsoft.com/office/drawing/2014/main" id="{00000000-0008-0000-1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376" y="0"/>
          <a:ext cx="571500" cy="571500"/>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114300</xdr:colOff>
          <xdr:row>2</xdr:row>
          <xdr:rowOff>215900</xdr:rowOff>
        </xdr:from>
        <xdr:to>
          <xdr:col>9</xdr:col>
          <xdr:colOff>114300</xdr:colOff>
          <xdr:row>3</xdr:row>
          <xdr:rowOff>133350</xdr:rowOff>
        </xdr:to>
        <xdr:sp macro="" textlink="">
          <xdr:nvSpPr>
            <xdr:cNvPr id="50178" name="cmdObszarZadruku" hidden="1">
              <a:extLst>
                <a:ext uri="{63B3BB69-23CF-44E3-9099-C40C66FF867C}">
                  <a14:compatExt spid="_x0000_s50178"/>
                </a:ext>
                <a:ext uri="{FF2B5EF4-FFF2-40B4-BE49-F238E27FC236}">
                  <a16:creationId xmlns:a16="http://schemas.microsoft.com/office/drawing/2014/main" id="{00000000-0008-0000-1200-000002C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Relationships xmlns="http://schemas.openxmlformats.org/package/2006/relationships"><Relationship Id="rId1" Target="file:///C:/Users/b0585480/AppData/Local/Microsoft/Windows/Temporary%20Internet%20Files/Content.Outlook/TDPOT0BW/Roboczy%20new%20kalk.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pir1"/>
      <sheetName val="kpir2"/>
      <sheetName val="kpir3"/>
      <sheetName val="KPiR_dokumenty"/>
      <sheetName val="KPiR_kalkulator"/>
      <sheetName val="rycz_dokumenty"/>
      <sheetName val="Ryczałt_kalkulator"/>
      <sheetName val="Karta_Podatkowa_kalkulator"/>
      <sheetName val="kp1"/>
      <sheetName val="kp2"/>
      <sheetName val="kp3"/>
      <sheetName val="rycz3"/>
      <sheetName val="rycz2"/>
      <sheetName val="rycz1"/>
      <sheetName val="Harmonogram_wydruk"/>
      <sheetName val="kp_dokumenty"/>
      <sheetName val="Siatka_marż"/>
      <sheetName val="Arkusz1"/>
      <sheetName val="wydruk_harmon"/>
      <sheetName val="wydruk_dokumenty"/>
      <sheetName val="zdolność"/>
      <sheetName val="wydruk_harmonogram"/>
    </sheetNames>
    <sheetDataSet>
      <sheetData sheetId="0"/>
      <sheetData sheetId="1">
        <row r="14">
          <cell r="H14" t="e">
            <v>#REF!</v>
          </cell>
        </row>
      </sheetData>
      <sheetData sheetId="2"/>
      <sheetData sheetId="3">
        <row r="59">
          <cell r="F59" t="str">
            <v xml:space="preserve"> 1. Dowód osobisty z adresem stałego zameldowania (w przypadku braku adresu wymagany dodatkowy dokument potwierdzający adres stałego zameldowania lub zaświadczenie z Urzędu)
2. Drugi dokument ze zdjęciem (wymagany od klientów nieposiadających w Banku jakichkolwiek produktów bankowych)</v>
          </cell>
        </row>
      </sheetData>
      <sheetData sheetId="4"/>
      <sheetData sheetId="5"/>
      <sheetData sheetId="6"/>
      <sheetData sheetId="7"/>
      <sheetData sheetId="8"/>
      <sheetData sheetId="9"/>
      <sheetData sheetId="10"/>
      <sheetData sheetId="11"/>
      <sheetData sheetId="12">
        <row r="14">
          <cell r="H14" t="e">
            <v>#REF!</v>
          </cell>
        </row>
      </sheetData>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https://www.bankier.pl/mieszkaniowe/stopy-procentowe/wibor" TargetMode="External" Type="http://schemas.openxmlformats.org/officeDocument/2006/relationships/hyperlink"/><Relationship Id="rId2" Target="../printerSettings/printerSettings1.bin" Type="http://schemas.openxmlformats.org/officeDocument/2006/relationships/printerSettings"/><Relationship Id="rId3" Target="../drawings/drawing1.xml" Type="http://schemas.openxmlformats.org/officeDocument/2006/relationships/drawing"/><Relationship Id="rId4" Target="../drawings/vmlDrawing1.vml" Type="http://schemas.openxmlformats.org/officeDocument/2006/relationships/vmlDrawing"/><Relationship Id="rId5" Target="../ctrlProps/ctrlProp1.xml" Type="http://schemas.openxmlformats.org/officeDocument/2006/relationships/ctrlProp"/><Relationship Id="rId6" Target="../comments1.xml" Type="http://schemas.openxmlformats.org/officeDocument/2006/relationships/comments"/></Relationships>
</file>

<file path=xl/worksheets/_rels/sheet3.xml.rels><?xml version="1.0" encoding="UTF-8" standalone="yes"?><Relationships xmlns="http://schemas.openxmlformats.org/package/2006/relationships"><Relationship Id="rId1" Target="../printerSettings/printerSettings2.bin" Type="http://schemas.openxmlformats.org/officeDocument/2006/relationships/printerSettings"/></Relationships>
</file>

<file path=xl/worksheets/_rels/sheet4.xml.rels><?xml version="1.0" encoding="UTF-8" standalone="yes"?><Relationships xmlns="http://schemas.openxmlformats.org/package/2006/relationships"><Relationship Id="rId1" Target="../printerSettings/printerSettings3.bin" Type="http://schemas.openxmlformats.org/officeDocument/2006/relationships/printerSettings"/></Relationships>
</file>

<file path=xl/worksheets/_rels/sheet5.xml.rels><?xml version="1.0" encoding="UTF-8" standalone="yes"?><Relationships xmlns="http://schemas.openxmlformats.org/package/2006/relationships"><Relationship Id="rId1" Target="../printerSettings/printerSettings4.bin" Type="http://schemas.openxmlformats.org/officeDocument/2006/relationships/printerSettings"/></Relationships>
</file>

<file path=xl/worksheets/_rels/sheet6.xml.rels><?xml version="1.0" encoding="UTF-8" standalone="yes"?><Relationships xmlns="http://schemas.openxmlformats.org/package/2006/relationships"><Relationship Id="rId1" Target="../printerSettings/printerSettings5.bin" Type="http://schemas.openxmlformats.org/officeDocument/2006/relationships/printerSettings"/><Relationship Id="rId2" Target="../drawings/vmlDrawing2.vml" Type="http://schemas.openxmlformats.org/officeDocument/2006/relationships/vmlDrawing"/><Relationship Id="rId3" Target="../comments2.xml" Type="http://schemas.openxmlformats.org/officeDocument/2006/relationships/comments"/></Relationships>
</file>

<file path=xl/worksheets/_rels/sheet7.xml.rels><?xml version="1.0" encoding="UTF-8" standalone="yes"?><Relationships xmlns="http://schemas.openxmlformats.org/package/2006/relationships"><Relationship Id="rId1" Target="../printerSettings/printerSettings6.bin" Type="http://schemas.openxmlformats.org/officeDocument/2006/relationships/printerSettings"/><Relationship Id="rId2" Target="../drawings/drawing2.xml" Type="http://schemas.openxmlformats.org/officeDocument/2006/relationships/drawing"/><Relationship Id="rId3" Target="../drawings/vmlDrawing3.vml" Type="http://schemas.openxmlformats.org/officeDocument/2006/relationships/vmlDrawing"/><Relationship Id="rId4" Target="../comments3.xml" Type="http://schemas.openxmlformats.org/officeDocument/2006/relationships/comments"/></Relationships>
</file>

<file path=xl/worksheets/_rels/sheet8.xml.rels><?xml version="1.0" encoding="UTF-8" standalone="yes"?><Relationships xmlns="http://schemas.openxmlformats.org/package/2006/relationships"><Relationship Id="rId1" Target="../printerSettings/printerSettings7.bin" Type="http://schemas.openxmlformats.org/officeDocument/2006/relationships/printerSettings"/></Relationships>
</file>

<file path=xl/worksheets/_rels/sheet9.xml.rels><?xml version="1.0" encoding="UTF-8" standalone="yes"?><Relationships xmlns="http://schemas.openxmlformats.org/package/2006/relationships"><Relationship Id="rId1" Target="../printerSettings/printerSettings8.bin" Type="http://schemas.openxmlformats.org/officeDocument/2006/relationships/printerSettings"/><Relationship Id="rId2" Target="../drawings/drawing3.xml" Type="http://schemas.openxmlformats.org/officeDocument/2006/relationships/drawing"/></Relationships>
</file>

<file path=xl/worksheets/_rels/sheet10.xml.rels><?xml version="1.0" encoding="UTF-8" standalone="yes"?><Relationships xmlns="http://schemas.openxmlformats.org/package/2006/relationships"><Relationship Id="rId1" Target="../printerSettings/printerSettings9.bin" Type="http://schemas.openxmlformats.org/officeDocument/2006/relationships/printerSettings"/><Relationship Id="rId2" Target="../drawings/vmlDrawing4.vml" Type="http://schemas.openxmlformats.org/officeDocument/2006/relationships/vmlDrawing"/><Relationship Id="rId3" Target="../comments4.xml" Type="http://schemas.openxmlformats.org/officeDocument/2006/relationships/comments"/></Relationships>
</file>

<file path=xl/worksheets/_rels/sheet11.xml.rels><?xml version="1.0" encoding="UTF-8" standalone="yes"?><Relationships xmlns="http://schemas.openxmlformats.org/package/2006/relationships"><Relationship Id="rId1" Target="../drawings/drawing4.xml" Type="http://schemas.openxmlformats.org/officeDocument/2006/relationships/drawing"/></Relationships>
</file>

<file path=xl/worksheets/_rels/sheet12.xml.rels><?xml version="1.0" encoding="UTF-8" standalone="yes"?><Relationships xmlns="http://schemas.openxmlformats.org/package/2006/relationships"><Relationship Id="rId1" Target="../printerSettings/printerSettings10.bin" Type="http://schemas.openxmlformats.org/officeDocument/2006/relationships/printerSettings"/></Relationships>
</file>

<file path=xl/worksheets/_rels/sheet13.xml.rels><?xml version="1.0" encoding="UTF-8" standalone="yes"?><Relationships xmlns="http://schemas.openxmlformats.org/package/2006/relationships"><Relationship Id="rId1" Target="../printerSettings/printerSettings11.bin" Type="http://schemas.openxmlformats.org/officeDocument/2006/relationships/printerSettings"/><Relationship Id="rId2" Target="../drawings/vmlDrawing5.vml" Type="http://schemas.openxmlformats.org/officeDocument/2006/relationships/vmlDrawing"/><Relationship Id="rId3" Target="../comments5.xml" Type="http://schemas.openxmlformats.org/officeDocument/2006/relationships/comments"/></Relationships>
</file>

<file path=xl/worksheets/_rels/sheet14.xml.rels><?xml version="1.0" encoding="UTF-8" standalone="yes"?><Relationships xmlns="http://schemas.openxmlformats.org/package/2006/relationships"><Relationship Id="rId1" Target="../printerSettings/printerSettings12.bin" Type="http://schemas.openxmlformats.org/officeDocument/2006/relationships/printerSettings"/><Relationship Id="rId2" Target="../drawings/vmlDrawing6.vml" Type="http://schemas.openxmlformats.org/officeDocument/2006/relationships/vmlDrawing"/><Relationship Id="rId3" Target="../comments6.xml" Type="http://schemas.openxmlformats.org/officeDocument/2006/relationships/comments"/></Relationships>
</file>

<file path=xl/worksheets/_rels/sheet15.xml.rels><?xml version="1.0" encoding="UTF-8" standalone="yes"?><Relationships xmlns="http://schemas.openxmlformats.org/package/2006/relationships"><Relationship Id="rId1" Target="../printerSettings/printerSettings13.bin" Type="http://schemas.openxmlformats.org/officeDocument/2006/relationships/printerSettings"/><Relationship Id="rId2" Target="../drawings/drawing5.xml" Type="http://schemas.openxmlformats.org/officeDocument/2006/relationships/drawing"/><Relationship Id="rId3" Target="../drawings/vmlDrawing7.vml" Type="http://schemas.openxmlformats.org/officeDocument/2006/relationships/vmlDrawing"/><Relationship Id="rId4" Target="../comments7.xml" Type="http://schemas.openxmlformats.org/officeDocument/2006/relationships/comments"/></Relationships>
</file>

<file path=xl/worksheets/_rels/sheet16.xml.rels><?xml version="1.0" encoding="UTF-8" standalone="yes"?><Relationships xmlns="http://schemas.openxmlformats.org/package/2006/relationships"><Relationship Id="rId1" Target="../printerSettings/printerSettings14.bin" Type="http://schemas.openxmlformats.org/officeDocument/2006/relationships/printerSettings"/><Relationship Id="rId2" Target="../drawings/drawing6.xml" Type="http://schemas.openxmlformats.org/officeDocument/2006/relationships/drawing"/><Relationship Id="rId3" Target="../drawings/vmlDrawing8.vml" Type="http://schemas.openxmlformats.org/officeDocument/2006/relationships/vmlDrawing"/><Relationship Id="rId4" Target="../ctrlProps/ctrlProp2.xml" Type="http://schemas.openxmlformats.org/officeDocument/2006/relationships/ctrlProp"/><Relationship Id="rId5" Target="../comments8.xml" Type="http://schemas.openxmlformats.org/officeDocument/2006/relationships/comments"/></Relationships>
</file>

<file path=xl/worksheets/_rels/sheet17.xml.rels><?xml version="1.0" encoding="UTF-8" standalone="yes"?><Relationships xmlns="http://schemas.openxmlformats.org/package/2006/relationships"><Relationship Id="rId1" Target="../drawings/drawing7.xml" Type="http://schemas.openxmlformats.org/officeDocument/2006/relationships/drawing"/><Relationship Id="rId2" Target="../drawings/vmlDrawing9.vml" Type="http://schemas.openxmlformats.org/officeDocument/2006/relationships/vmlDrawing"/><Relationship Id="rId3" Target="../comments9.xml" Type="http://schemas.openxmlformats.org/officeDocument/2006/relationships/comments"/></Relationships>
</file>

<file path=xl/worksheets/_rels/sheet18.xml.rels><?xml version="1.0" encoding="UTF-8" standalone="yes"?><Relationships xmlns="http://schemas.openxmlformats.org/package/2006/relationships"><Relationship Id="rId1" Target="../printerSettings/printerSettings15.bin" Type="http://schemas.openxmlformats.org/officeDocument/2006/relationships/printerSettings"/><Relationship Id="rId2" Target="../drawings/drawing8.xml" Type="http://schemas.openxmlformats.org/officeDocument/2006/relationships/drawing"/></Relationships>
</file>

<file path=xl/worksheets/_rels/sheet19.xml.rels><?xml version="1.0" encoding="UTF-8" standalone="yes"?><Relationships xmlns="http://schemas.openxmlformats.org/package/2006/relationships"><Relationship Id="rId1" Target="../printerSettings/printerSettings16.bin" Type="http://schemas.openxmlformats.org/officeDocument/2006/relationships/printerSettings"/><Relationship Id="rId2" Target="../drawings/drawing9.xml" Type="http://schemas.openxmlformats.org/officeDocument/2006/relationships/drawing"/><Relationship Id="rId3" Target="../drawings/vmlDrawing10.vml" Type="http://schemas.openxmlformats.org/officeDocument/2006/relationships/vmlDrawing"/><Relationship Id="rId4" Target="../drawings/vmlDrawing11.vml" Type="http://schemas.openxmlformats.org/officeDocument/2006/relationships/vmlDrawing"/><Relationship Id="rId5" Target="../activeX/activeX1.xml" Type="http://schemas.openxmlformats.org/officeDocument/2006/relationships/control"/><Relationship Id="rId6" Target="../media/image2.emf" Type="http://schemas.openxmlformats.org/officeDocument/2006/relationships/image"/><Relationship Id="rId7" Target="../comments10.xml" Type="http://schemas.openxmlformats.org/officeDocument/2006/relationships/comments"/></Relationships>
</file>

<file path=xl/worksheets/_rels/sheet20.xml.rels><?xml version="1.0" encoding="UTF-8" standalone="yes"?><Relationships xmlns="http://schemas.openxmlformats.org/package/2006/relationships"><Relationship Id="rId1" Target="../printerSettings/printerSettings17.bin" Type="http://schemas.openxmlformats.org/officeDocument/2006/relationships/printerSettings"/></Relationships>
</file>

<file path=xl/worksheets/_rels/sheet21.xml.rels><?xml version="1.0" encoding="UTF-8" standalone="yes"?><Relationships xmlns="http://schemas.openxmlformats.org/package/2006/relationships"><Relationship Id="rId1" Target="../printerSettings/printerSettings18.bin" Type="http://schemas.openxmlformats.org/officeDocument/2006/relationships/printerSettings"/></Relationships>
</file>

<file path=xl/worksheets/_rels/sheet22.xml.rels><?xml version="1.0" encoding="UTF-8" standalone="yes"?><Relationships xmlns="http://schemas.openxmlformats.org/package/2006/relationships"><Relationship Id="rId1" Target="../printerSettings/printerSettings19.bin" Type="http://schemas.openxmlformats.org/officeDocument/2006/relationships/printerSettings"/></Relationships>
</file>

<file path=xl/worksheets/_rels/sheet23.xml.rels><?xml version="1.0" encoding="UTF-8" standalone="yes"?><Relationships xmlns="http://schemas.openxmlformats.org/package/2006/relationships"><Relationship Id="rId1" Target="../printerSettings/printerSettings20.bin" Type="http://schemas.openxmlformats.org/officeDocument/2006/relationships/printerSettings"/></Relationships>
</file>

<file path=xl/worksheets/_rels/sheet24.xml.rels><?xml version="1.0" encoding="UTF-8" standalone="yes"?><Relationships xmlns="http://schemas.openxmlformats.org/package/2006/relationships"><Relationship Id="rId1" Target="../printerSettings/printerSettings21.bin" Type="http://schemas.openxmlformats.org/officeDocument/2006/relationships/printerSettings"/></Relationships>
</file>

<file path=xl/worksheets/_rels/sheet25.xml.rels><?xml version="1.0" encoding="UTF-8" standalone="yes"?><Relationships xmlns="http://schemas.openxmlformats.org/package/2006/relationships"><Relationship Id="rId1" Target="../printerSettings/printerSettings22.bin" Type="http://schemas.openxmlformats.org/officeDocument/2006/relationships/printerSettings"/></Relationships>
</file>

<file path=xl/worksheets/_rels/sheet26.xml.rels><?xml version="1.0" encoding="UTF-8" standalone="yes"?><Relationships xmlns="http://schemas.openxmlformats.org/package/2006/relationships"><Relationship Id="rId1" Target="../printerSettings/printerSettings23.bin" Type="http://schemas.openxmlformats.org/officeDocument/2006/relationships/printerSettings"/></Relationships>
</file>

<file path=xl/worksheets/_rels/sheet27.xml.rels><?xml version="1.0" encoding="UTF-8" standalone="yes"?><Relationships xmlns="http://schemas.openxmlformats.org/package/2006/relationships"><Relationship Id="rId1" Target="../printerSettings/printerSettings24.bin" Type="http://schemas.openxmlformats.org/officeDocument/2006/relationships/printerSettings"/></Relationships>
</file>

<file path=xl/worksheets/_rels/sheet28.xml.rels><?xml version="1.0" encoding="UTF-8" standalone="yes"?><Relationships xmlns="http://schemas.openxmlformats.org/package/2006/relationships"><Relationship Id="rId1" Target="../printerSettings/printerSettings25.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dimension ref="A1:BT40"/>
  <sheetViews>
    <sheetView showGridLines="0" showRowColHeaders="0" tabSelected="1" zoomScale="90" zoomScaleNormal="90" workbookViewId="0">
      <selection activeCell="C4" sqref="C4"/>
    </sheetView>
  </sheetViews>
  <sheetFormatPr defaultRowHeight="14.5" x14ac:dyDescent="0.35"/>
  <cols>
    <col min="1" max="1" width="5.54296875" style="88" customWidth="1"/>
    <col min="2" max="2" width="45.54296875" customWidth="1"/>
    <col min="3" max="3" width="16.1796875" customWidth="1"/>
    <col min="4" max="5" width="14.81640625" customWidth="1"/>
    <col min="10" max="10" width="9.1796875" customWidth="1"/>
    <col min="11" max="11" width="9.1796875" hidden="1" customWidth="1"/>
    <col min="12" max="13" width="9.1796875" style="175" hidden="1" customWidth="1"/>
    <col min="14" max="14" width="16.81640625" style="175" hidden="1" customWidth="1"/>
    <col min="15" max="15" width="17.54296875" style="175" hidden="1" customWidth="1"/>
    <col min="16" max="16" width="9.1796875" style="175" hidden="1" customWidth="1"/>
    <col min="17" max="17" width="8.81640625" style="175" hidden="1" customWidth="1"/>
    <col min="18" max="18" width="22.81640625" style="175" hidden="1" customWidth="1"/>
    <col min="19" max="19" width="9.1796875" style="175" hidden="1" customWidth="1"/>
    <col min="20" max="20" width="36.1796875" style="175" hidden="1" customWidth="1"/>
    <col min="21" max="27" width="9.1796875" style="175" hidden="1" customWidth="1"/>
    <col min="28" max="28" width="13.453125" hidden="1" customWidth="1"/>
    <col min="29" max="42" width="9.1796875" hidden="1" customWidth="1"/>
    <col min="43" max="72" width="8.81640625" hidden="1" customWidth="1"/>
    <col min="73" max="150" width="8.81640625" customWidth="1"/>
  </cols>
  <sheetData>
    <row r="1" spans="1:14" ht="25" customHeight="1" x14ac:dyDescent="0.35">
      <c r="A1" s="401"/>
      <c r="B1" s="580" t="s">
        <v>258</v>
      </c>
      <c r="C1" s="581"/>
      <c r="D1" s="581"/>
      <c r="E1" s="582"/>
      <c r="F1" s="31"/>
      <c r="G1" s="59"/>
    </row>
    <row r="2" spans="1:14" ht="25" customHeight="1" x14ac:dyDescent="0.45">
      <c r="A2" s="402"/>
      <c r="B2" s="400" t="b">
        <v>1</v>
      </c>
      <c r="C2" s="165" t="s">
        <v>56</v>
      </c>
      <c r="D2" s="165" t="s">
        <v>57</v>
      </c>
      <c r="E2" s="165" t="s">
        <v>58</v>
      </c>
      <c r="F2" s="33"/>
      <c r="G2" s="59"/>
    </row>
    <row r="3" spans="1:14" ht="14.5" customHeight="1" x14ac:dyDescent="0.35">
      <c r="A3" s="384">
        <v>1</v>
      </c>
      <c r="B3" s="166" t="s">
        <v>0</v>
      </c>
      <c r="C3" s="584" t="s">
        <v>1</v>
      </c>
      <c r="D3" s="584"/>
      <c r="E3" s="584"/>
      <c r="F3" s="31"/>
      <c r="G3" s="59"/>
      <c r="M3" s="175" t="s">
        <v>3</v>
      </c>
    </row>
    <row r="4" spans="1:14" ht="14.5" customHeight="1" x14ac:dyDescent="0.35">
      <c r="A4" s="384">
        <v>2</v>
      </c>
      <c r="B4" s="166" t="s">
        <v>267</v>
      </c>
      <c r="C4" s="265">
        <v>1200000</v>
      </c>
      <c r="D4" s="265">
        <v>1200000</v>
      </c>
      <c r="E4" s="265">
        <v>400000</v>
      </c>
      <c r="F4" s="60"/>
      <c r="G4" s="59"/>
      <c r="L4" s="175" t="s">
        <v>67</v>
      </c>
      <c r="M4" s="175" t="s">
        <v>4</v>
      </c>
    </row>
    <row r="5" spans="1:14" ht="14.5" customHeight="1" x14ac:dyDescent="0.35">
      <c r="A5" s="384">
        <v>3</v>
      </c>
      <c r="B5" s="166" t="s">
        <v>266</v>
      </c>
      <c r="C5" s="266">
        <f>WarOneKw</f>
        <v>1230000</v>
      </c>
      <c r="D5" s="266">
        <f>WarSecKw</f>
        <v>1200000</v>
      </c>
      <c r="E5" s="266">
        <f>WarThirdKw</f>
        <v>400000</v>
      </c>
      <c r="F5" s="539" t="s">
        <v>131</v>
      </c>
      <c r="G5" s="59"/>
      <c r="L5" s="175" t="s">
        <v>119</v>
      </c>
      <c r="M5" s="175" t="s">
        <v>43</v>
      </c>
      <c r="N5" s="175" t="s">
        <v>63</v>
      </c>
    </row>
    <row r="6" spans="1:14" ht="14.5" customHeight="1" x14ac:dyDescent="0.35">
      <c r="A6" s="384">
        <v>4</v>
      </c>
      <c r="B6" s="166" t="s">
        <v>147</v>
      </c>
      <c r="C6" s="167" t="s">
        <v>423</v>
      </c>
      <c r="D6" s="167" t="s">
        <v>423</v>
      </c>
      <c r="E6" s="167" t="s">
        <v>67</v>
      </c>
      <c r="F6" s="60"/>
      <c r="G6" s="59"/>
      <c r="L6" s="175" t="s">
        <v>423</v>
      </c>
      <c r="M6" s="175" t="s">
        <v>66</v>
      </c>
      <c r="N6" s="175" t="s">
        <v>64</v>
      </c>
    </row>
    <row r="7" spans="1:14" ht="14.5" customHeight="1" x14ac:dyDescent="0.35">
      <c r="A7" s="384">
        <v>5</v>
      </c>
      <c r="B7" s="166" t="s">
        <v>2</v>
      </c>
      <c r="C7" s="168">
        <v>120</v>
      </c>
      <c r="D7" s="168">
        <v>120</v>
      </c>
      <c r="E7" s="168">
        <v>120</v>
      </c>
      <c r="F7" s="60"/>
      <c r="G7" s="59"/>
      <c r="L7" s="175" t="s">
        <v>274</v>
      </c>
      <c r="M7" s="176">
        <v>0</v>
      </c>
      <c r="N7" s="175" t="s">
        <v>247</v>
      </c>
    </row>
    <row r="8" spans="1:14" ht="14.5" hidden="1" customHeight="1" x14ac:dyDescent="0.35">
      <c r="A8" s="384">
        <v>6</v>
      </c>
      <c r="B8" s="166" t="s">
        <v>498</v>
      </c>
      <c r="C8" s="167" t="s">
        <v>4</v>
      </c>
      <c r="D8" s="167" t="s">
        <v>4</v>
      </c>
      <c r="E8" s="167" t="s">
        <v>4</v>
      </c>
      <c r="F8" s="577"/>
      <c r="G8" s="59"/>
      <c r="M8" s="176"/>
      <c r="N8" s="175" t="s">
        <v>66</v>
      </c>
    </row>
    <row r="9" spans="1:14" ht="14.5" customHeight="1" x14ac:dyDescent="0.35">
      <c r="A9" s="384">
        <v>7</v>
      </c>
      <c r="B9" s="166" t="s">
        <v>59</v>
      </c>
      <c r="C9" s="169" t="s">
        <v>64</v>
      </c>
      <c r="D9" s="169" t="s">
        <v>63</v>
      </c>
      <c r="E9" s="169" t="s">
        <v>247</v>
      </c>
      <c r="F9" s="60"/>
      <c r="G9" s="498"/>
      <c r="M9" s="176">
        <v>0.02</v>
      </c>
    </row>
    <row r="10" spans="1:14" ht="14.5" customHeight="1" x14ac:dyDescent="0.35">
      <c r="A10" s="384">
        <v>8</v>
      </c>
      <c r="B10" s="166" t="s">
        <v>65</v>
      </c>
      <c r="C10" s="169" t="s">
        <v>4</v>
      </c>
      <c r="D10" s="169" t="s">
        <v>4</v>
      </c>
      <c r="E10" s="169" t="s">
        <v>4</v>
      </c>
      <c r="F10" s="539" t="s">
        <v>131</v>
      </c>
      <c r="G10" s="59"/>
      <c r="M10" s="176"/>
    </row>
    <row r="11" spans="1:14" ht="14.5" customHeight="1" x14ac:dyDescent="0.35">
      <c r="A11" s="384">
        <v>9</v>
      </c>
      <c r="B11" s="563" t="s">
        <v>495</v>
      </c>
      <c r="C11" s="170">
        <v>3.9</v>
      </c>
      <c r="D11" s="170">
        <v>3.9</v>
      </c>
      <c r="E11" s="170">
        <v>3.9</v>
      </c>
      <c r="F11" s="539" t="s">
        <v>131</v>
      </c>
      <c r="G11" s="59"/>
      <c r="L11" s="177">
        <f>+IF(OR(C6=$L$4,C6=$L$7),IF(C4&lt;=50000,60,120),0)</f>
        <v>0</v>
      </c>
    </row>
    <row r="12" spans="1:14" ht="14.5" customHeight="1" x14ac:dyDescent="0.45">
      <c r="A12" s="384">
        <v>10</v>
      </c>
      <c r="B12" s="166" t="s">
        <v>22</v>
      </c>
      <c r="C12" s="171">
        <f>O26</f>
        <v>2.5</v>
      </c>
      <c r="D12" s="171">
        <f>O33</f>
        <v>3.4000000000000004</v>
      </c>
      <c r="E12" s="171">
        <f>O40</f>
        <v>4.3999999999999995</v>
      </c>
      <c r="F12" s="33"/>
      <c r="G12" s="59"/>
    </row>
    <row r="13" spans="1:14" ht="14.5" customHeight="1" x14ac:dyDescent="0.45">
      <c r="A13" s="384">
        <v>11</v>
      </c>
      <c r="B13" s="166" t="s">
        <v>496</v>
      </c>
      <c r="C13" s="172">
        <f>C11/100+C12/100</f>
        <v>6.4000000000000001E-2</v>
      </c>
      <c r="D13" s="172">
        <f>D11/100+D12/100</f>
        <v>7.3000000000000009E-2</v>
      </c>
      <c r="E13" s="172">
        <f>E11/100+E12/100</f>
        <v>8.299999999999999E-2</v>
      </c>
      <c r="F13" s="33"/>
      <c r="G13" s="59"/>
    </row>
    <row r="14" spans="1:14" ht="14.5" customHeight="1" x14ac:dyDescent="0.45">
      <c r="A14" s="384">
        <v>12</v>
      </c>
      <c r="B14" s="166" t="s">
        <v>288</v>
      </c>
      <c r="C14" s="173">
        <f ca="1">TODAY()</f>
        <v>46083</v>
      </c>
      <c r="D14" s="173">
        <f ca="1">TODAY()</f>
        <v>46083</v>
      </c>
      <c r="E14" s="173">
        <f ca="1">TODAY()</f>
        <v>46083</v>
      </c>
      <c r="F14" s="33"/>
      <c r="G14" s="59"/>
    </row>
    <row r="15" spans="1:14" ht="14.5" customHeight="1" x14ac:dyDescent="0.35">
      <c r="A15" s="384">
        <v>13</v>
      </c>
      <c r="B15" s="174" t="s">
        <v>289</v>
      </c>
      <c r="C15" s="173">
        <f ca="1">C14+15</f>
        <v>46098</v>
      </c>
      <c r="D15" s="173">
        <f ca="1">D14+15</f>
        <v>46098</v>
      </c>
      <c r="E15" s="173">
        <f ca="1">E14+15</f>
        <v>46098</v>
      </c>
      <c r="F15" s="539" t="s">
        <v>131</v>
      </c>
      <c r="G15" s="59"/>
    </row>
    <row r="16" spans="1:14" ht="14.5" customHeight="1" x14ac:dyDescent="0.45">
      <c r="A16" s="384">
        <v>14</v>
      </c>
      <c r="B16" s="166" t="s">
        <v>24</v>
      </c>
      <c r="C16" s="267">
        <f ca="1">'Roboczy harmonogram'!N2</f>
        <v>13869.160872339731</v>
      </c>
      <c r="D16" s="267">
        <f ca="1">'Roboczy harmonogram_1'!N2</f>
        <v>14079.050919453606</v>
      </c>
      <c r="E16" s="267">
        <f ca="1">'Roboczy harmonogram_2'!N2</f>
        <v>4900.8327604026426</v>
      </c>
      <c r="F16" s="33"/>
      <c r="G16" s="162"/>
    </row>
    <row r="17" spans="1:27" ht="14.5" customHeight="1" x14ac:dyDescent="0.35">
      <c r="A17" s="384">
        <v>15</v>
      </c>
      <c r="B17" s="174" t="s">
        <v>278</v>
      </c>
      <c r="C17" s="267">
        <f>IF(C6="Podwyższona prowizja 7%",MAX(C4*0.07,200),IF(OR(C9="Bez prowizji",C9="X-sell"),0,MAX(C4*2.5%,200)))</f>
        <v>30000</v>
      </c>
      <c r="D17" s="267">
        <f>IF(D6="Podwyższona prowizja 7%",MAX(D4*0.07,200),IF(OR(D9="Bez prowizji",D9="X-sell"),0,MAX(D4*2.5%,200)))</f>
        <v>0</v>
      </c>
      <c r="E17" s="267">
        <f>IF(E6="Podwyższona prowizja 7%",MAX(E4*0.07,200),IF(OR(E9="Bez prowizji",E9="x-sell"),0,MAX(E4*2.5%,200)))</f>
        <v>0</v>
      </c>
      <c r="F17" s="31"/>
    </row>
    <row r="18" spans="1:27" ht="14.5" customHeight="1" x14ac:dyDescent="0.35">
      <c r="A18" s="384">
        <v>16</v>
      </c>
      <c r="B18" s="166" t="s">
        <v>26</v>
      </c>
      <c r="C18" s="267">
        <f ca="1">SUMIF('Roboczy harmonogram'!O3:O182,"&gt;=0")</f>
        <v>434299.30468076759</v>
      </c>
      <c r="D18" s="267">
        <f ca="1">SUMIF('Roboczy harmonogram_1'!O3:O182,"&gt;=0")</f>
        <v>489486.11033443187</v>
      </c>
      <c r="E18" s="267">
        <f ca="1">SUMIF('Roboczy harmonogram_2'!O3:O182,"&gt;=0")</f>
        <v>188099.93124831721</v>
      </c>
      <c r="F18" s="31"/>
      <c r="G18" s="162"/>
    </row>
    <row r="19" spans="1:27" ht="14.5" customHeight="1" x14ac:dyDescent="0.35">
      <c r="A19" s="384">
        <v>17</v>
      </c>
      <c r="B19" s="174" t="s">
        <v>122</v>
      </c>
      <c r="C19" s="267" t="str">
        <f>IF(C10="TAK",0.12%*WarOneKw,"n/d")</f>
        <v>n/d</v>
      </c>
      <c r="D19" s="267" t="str">
        <f>IF(D10="TAK",0.12%*WarSecKw,"n/d")</f>
        <v>n/d</v>
      </c>
      <c r="E19" s="267" t="str">
        <f>IF(E10="TAK",0.12%*WarThirdKw,"n/d")</f>
        <v>n/d</v>
      </c>
      <c r="F19" s="31"/>
      <c r="Q19" s="175" t="s">
        <v>426</v>
      </c>
      <c r="R19" s="175" t="s">
        <v>427</v>
      </c>
    </row>
    <row r="20" spans="1:27" ht="5.15" customHeight="1" x14ac:dyDescent="0.35">
      <c r="D20" s="32"/>
      <c r="E20" s="34"/>
      <c r="F20" s="31"/>
    </row>
    <row r="21" spans="1:27" ht="21" hidden="1" customHeight="1" x14ac:dyDescent="0.35">
      <c r="B21" s="174" t="str">
        <f>IF(OR($C$7&gt;57,$D$7&gt;57,$E$7&gt;57),"Wymagane dodatkowe zabezpieczenie pożyczki z BGK:","")</f>
        <v>Wymagane dodatkowe zabezpieczenie pożyczki z BGK:</v>
      </c>
      <c r="C21" s="499" t="b">
        <f>IF(AND(C6=$L$6,C8="TAK"),IF(C7&lt;=57,"_",IF(C7&lt;=96,45%*C5,IF(C7&lt;=120,71%*C5,0))))</f>
        <v>0</v>
      </c>
      <c r="D21" s="499" t="b">
        <f t="shared" ref="D21:E21" si="0">IF(AND(D6=$L$6,D8="TAK"),IF(D7&lt;=57,"_",IF(D7&lt;=96,45%*D5,IF(D7&lt;=120,71%*D5,0))))</f>
        <v>0</v>
      </c>
      <c r="E21" s="499" t="b">
        <f t="shared" si="0"/>
        <v>0</v>
      </c>
      <c r="F21" s="576"/>
      <c r="N21" s="175" t="s">
        <v>117</v>
      </c>
      <c r="O21" s="178" t="str">
        <f>IF(AND(C4&gt;0,C4&lt;100000,C6="Profesjonalista"),"Profesjonalista poniżej 100 k PLN",IF(AND(C4&gt;=100000,C6="Profesjonalista"),"Profesjonalista od 100 k PLN",IF(C6="Podwyższona prowizja 7%","Podwyższona prowizja 7%",IF(AND(C4&gt;0,C4&lt;100000),"poniżej 100 k PLN","od 100 k PLN"))))</f>
        <v>od 100 k PLN</v>
      </c>
      <c r="P21" s="178" t="s">
        <v>56</v>
      </c>
      <c r="Q21" s="175">
        <f>IF($C$6=$L$6,1,0)</f>
        <v>1</v>
      </c>
      <c r="R21" s="175">
        <f>IF(AND(Q21=1,C7&gt;57),1,0)</f>
        <v>1</v>
      </c>
      <c r="T21" s="585" t="s">
        <v>60</v>
      </c>
      <c r="U21" s="583" t="s">
        <v>61</v>
      </c>
      <c r="V21" s="583"/>
      <c r="W21" s="583" t="s">
        <v>62</v>
      </c>
      <c r="X21" s="583"/>
      <c r="Y21" s="583" t="s">
        <v>246</v>
      </c>
      <c r="Z21" s="583"/>
    </row>
    <row r="22" spans="1:27" hidden="1" x14ac:dyDescent="0.35">
      <c r="B22" s="501" t="s">
        <v>424</v>
      </c>
      <c r="C22" s="267">
        <f>IFERROR(C21/0.8,0)</f>
        <v>0</v>
      </c>
      <c r="D22" s="267">
        <f t="shared" ref="D22:E22" si="1">IFERROR(D21/0.8,0)</f>
        <v>0</v>
      </c>
      <c r="E22" s="267">
        <f t="shared" si="1"/>
        <v>0</v>
      </c>
      <c r="F22" s="576"/>
      <c r="G22" s="49"/>
      <c r="N22" s="175" t="s">
        <v>118</v>
      </c>
      <c r="O22" s="178" t="str">
        <f>IF(C4&lt;100000,"poniżej 100",IF(C4&lt;500000,"poniżej 500 k PLN","od 500 k PLN"))</f>
        <v>od 500 k PLN</v>
      </c>
      <c r="P22" s="178"/>
      <c r="T22" s="585"/>
      <c r="U22" s="583"/>
      <c r="V22" s="583"/>
      <c r="W22" s="583"/>
      <c r="X22" s="583"/>
      <c r="Y22" s="583"/>
      <c r="Z22" s="583"/>
    </row>
    <row r="23" spans="1:27" hidden="1" x14ac:dyDescent="0.35">
      <c r="B23" s="501" t="s">
        <v>425</v>
      </c>
      <c r="C23" s="267">
        <f>IFERROR(C21/0.65,0)</f>
        <v>0</v>
      </c>
      <c r="D23" s="267">
        <f t="shared" ref="D23:E23" si="2">IFERROR(D21/0.65,0)</f>
        <v>0</v>
      </c>
      <c r="E23" s="267">
        <f t="shared" si="2"/>
        <v>0</v>
      </c>
      <c r="F23" s="576"/>
      <c r="N23" s="175" t="s">
        <v>248</v>
      </c>
      <c r="O23" s="178" t="str">
        <f>IF($C$6=$L$6,O22,IF(C8="NIE",O21,O22))</f>
        <v>od 500 k PLN</v>
      </c>
      <c r="P23" s="178"/>
      <c r="T23" s="585"/>
      <c r="U23" s="495" t="s">
        <v>22</v>
      </c>
      <c r="V23" s="495" t="s">
        <v>5</v>
      </c>
      <c r="W23" s="495" t="s">
        <v>22</v>
      </c>
      <c r="X23" s="495" t="s">
        <v>5</v>
      </c>
      <c r="Y23" s="495" t="s">
        <v>22</v>
      </c>
      <c r="Z23" s="495" t="s">
        <v>5</v>
      </c>
    </row>
    <row r="24" spans="1:27" x14ac:dyDescent="0.35">
      <c r="N24" s="175" t="s">
        <v>249</v>
      </c>
      <c r="O24" s="179">
        <f>IF(C9="Bez prowizji",2,IF(C9="Niższa marża",4,6))</f>
        <v>4</v>
      </c>
      <c r="P24" s="178"/>
      <c r="T24" s="274" t="s">
        <v>115</v>
      </c>
      <c r="U24" s="579"/>
      <c r="V24" s="579"/>
      <c r="W24" s="579"/>
      <c r="X24" s="579"/>
      <c r="Y24" s="579"/>
      <c r="Z24" s="579"/>
    </row>
    <row r="25" spans="1:27" x14ac:dyDescent="0.35">
      <c r="B25" s="247" t="s">
        <v>120</v>
      </c>
      <c r="C25" s="27"/>
      <c r="D25" s="18"/>
      <c r="E25" s="28"/>
      <c r="N25" s="175" t="s">
        <v>250</v>
      </c>
      <c r="O25" s="179">
        <f>VLOOKUP(O23,T24:Z35,O24,0)*100</f>
        <v>2.5</v>
      </c>
      <c r="P25" s="178"/>
      <c r="T25" s="274"/>
      <c r="U25" s="579"/>
      <c r="V25" s="579"/>
      <c r="W25" s="579"/>
      <c r="X25" s="579"/>
      <c r="Y25" s="579"/>
      <c r="Z25" s="579"/>
    </row>
    <row r="26" spans="1:27" x14ac:dyDescent="0.35">
      <c r="B26" s="248" t="s">
        <v>284</v>
      </c>
      <c r="C26" s="27"/>
      <c r="D26" s="18"/>
      <c r="E26" s="28"/>
      <c r="N26" s="175" t="s">
        <v>251</v>
      </c>
      <c r="O26" s="179">
        <f>IF(C10="TAK",O25-0.5,O25)</f>
        <v>2.5</v>
      </c>
      <c r="P26" s="178"/>
      <c r="T26" s="275"/>
      <c r="U26" s="276"/>
      <c r="V26" s="277"/>
      <c r="W26" s="276"/>
      <c r="X26" s="278"/>
      <c r="Y26" s="276"/>
      <c r="Z26" s="277"/>
    </row>
    <row r="27" spans="1:27" x14ac:dyDescent="0.35">
      <c r="C27" s="18"/>
      <c r="D27" s="18"/>
      <c r="E27" s="18"/>
      <c r="T27" s="275" t="s">
        <v>420</v>
      </c>
      <c r="U27" s="497">
        <v>4.7E-2</v>
      </c>
      <c r="V27" s="551">
        <v>0</v>
      </c>
      <c r="W27" s="497">
        <v>4.4999999999999998E-2</v>
      </c>
      <c r="X27" s="551">
        <v>2.5000000000000001E-2</v>
      </c>
      <c r="Y27" s="552">
        <v>4.4999999999999998E-2</v>
      </c>
      <c r="Z27" s="553">
        <v>0</v>
      </c>
      <c r="AA27" s="381" t="s">
        <v>491</v>
      </c>
    </row>
    <row r="28" spans="1:27" x14ac:dyDescent="0.35">
      <c r="O28" s="178" t="str">
        <f>IF(AND(D4&gt;0,D4&lt;100000,D6="Profesjonalista"),"Profesjonalista poniżej 100 k PLN",IF(AND(D4&gt;=100000,D6="Profesjonalista"),"Profesjonalista od 100 k PLN",IF(D6="Podwyższona prowizja 7%","Podwyższona prowizja 7%",IF(AND(D4&gt;0,D4&lt;100000),"poniżej 100 k PLN","od 100 k PLN"))))</f>
        <v>od 100 k PLN</v>
      </c>
      <c r="P28" s="178" t="s">
        <v>57</v>
      </c>
      <c r="Q28" s="175">
        <f>IF($D$6=$L$6,1,0)</f>
        <v>1</v>
      </c>
      <c r="R28" s="175">
        <f>IF(AND(Q28=1,D7&gt;57),1,0)</f>
        <v>1</v>
      </c>
      <c r="T28" s="275" t="s">
        <v>421</v>
      </c>
      <c r="U28" s="497">
        <v>4.5999999999999999E-2</v>
      </c>
      <c r="V28" s="551">
        <v>0</v>
      </c>
      <c r="W28" s="497">
        <v>4.3999999999999997E-2</v>
      </c>
      <c r="X28" s="551">
        <v>2.5000000000000001E-2</v>
      </c>
      <c r="Y28" s="552">
        <v>4.3999999999999997E-2</v>
      </c>
      <c r="Z28" s="554">
        <v>0</v>
      </c>
      <c r="AA28" s="382"/>
    </row>
    <row r="29" spans="1:27" x14ac:dyDescent="0.35">
      <c r="O29" s="178" t="str">
        <f>IF(D4&lt;100000,"poniżej 100",IF(D4&lt;500000,"poniżej 500 k PLN","od 500 k PLN"))</f>
        <v>od 500 k PLN</v>
      </c>
      <c r="P29" s="178"/>
      <c r="T29" s="280" t="s">
        <v>114</v>
      </c>
      <c r="U29" s="578"/>
      <c r="V29" s="578"/>
      <c r="W29" s="578"/>
      <c r="X29" s="578"/>
      <c r="Y29" s="578"/>
      <c r="Z29" s="578"/>
    </row>
    <row r="30" spans="1:27" x14ac:dyDescent="0.35">
      <c r="O30" s="178" t="str">
        <f>IF(D6=$L$6,O29,IF(D8="NIE",O28,O29))</f>
        <v>od 500 k PLN</v>
      </c>
      <c r="P30" s="178"/>
      <c r="T30" s="275" t="s">
        <v>492</v>
      </c>
      <c r="U30" s="279">
        <v>4.1000000000000002E-2</v>
      </c>
      <c r="V30" s="277">
        <v>0</v>
      </c>
      <c r="W30" s="279">
        <v>3.5000000000000003E-2</v>
      </c>
      <c r="X30" s="279">
        <v>2.5000000000000001E-2</v>
      </c>
      <c r="Y30" s="279">
        <v>3.4000000000000002E-2</v>
      </c>
      <c r="Z30" s="277">
        <v>0</v>
      </c>
    </row>
    <row r="31" spans="1:27" x14ac:dyDescent="0.35">
      <c r="O31" s="179">
        <f>IF(D9="Bez prowizji",2,IF(D9="Niższa marża",4,6))</f>
        <v>2</v>
      </c>
      <c r="P31" s="178"/>
      <c r="T31" s="275" t="s">
        <v>418</v>
      </c>
      <c r="U31" s="555">
        <v>3.9E-2</v>
      </c>
      <c r="V31" s="556">
        <v>0</v>
      </c>
      <c r="W31" s="555">
        <v>3.3000000000000002E-2</v>
      </c>
      <c r="X31" s="557">
        <v>2.5000000000000001E-2</v>
      </c>
      <c r="Y31" s="555">
        <v>2.9000000000000001E-2</v>
      </c>
      <c r="Z31" s="556">
        <v>0</v>
      </c>
    </row>
    <row r="32" spans="1:27" x14ac:dyDescent="0.35">
      <c r="O32" s="179">
        <f>VLOOKUP(O30,T24:Z35,O31,0)*100</f>
        <v>3.4000000000000004</v>
      </c>
      <c r="P32" s="178"/>
      <c r="T32" s="275" t="s">
        <v>419</v>
      </c>
      <c r="U32" s="555">
        <v>3.4000000000000002E-2</v>
      </c>
      <c r="V32" s="557">
        <v>0</v>
      </c>
      <c r="W32" s="555">
        <v>2.5000000000000001E-2</v>
      </c>
      <c r="X32" s="557">
        <v>2.5000000000000001E-2</v>
      </c>
      <c r="Y32" s="555">
        <v>2.5000000000000001E-2</v>
      </c>
      <c r="Z32" s="556">
        <v>0</v>
      </c>
    </row>
    <row r="33" spans="15:26" x14ac:dyDescent="0.35">
      <c r="O33" s="179">
        <f>IF(D10="TAK",O32-0.5,O32)</f>
        <v>3.4000000000000004</v>
      </c>
      <c r="P33" s="178"/>
      <c r="T33" s="280" t="s">
        <v>119</v>
      </c>
      <c r="U33" s="557"/>
      <c r="V33" s="557"/>
      <c r="W33" s="557"/>
      <c r="X33" s="554"/>
      <c r="Y33" s="558"/>
      <c r="Z33" s="558"/>
    </row>
    <row r="34" spans="15:26" x14ac:dyDescent="0.35">
      <c r="T34" s="562" t="s">
        <v>493</v>
      </c>
      <c r="U34" s="555">
        <v>4.3999999999999997E-2</v>
      </c>
      <c r="V34" s="557">
        <v>0</v>
      </c>
      <c r="W34" s="555">
        <v>4.2000000000000003E-2</v>
      </c>
      <c r="X34" s="554">
        <v>2.5000000000000001E-2</v>
      </c>
      <c r="Y34" s="558" t="s">
        <v>272</v>
      </c>
      <c r="Z34" s="558" t="s">
        <v>272</v>
      </c>
    </row>
    <row r="35" spans="15:26" x14ac:dyDescent="0.35">
      <c r="O35" s="178" t="str">
        <f>IF(AND(E4&gt;0,E4&lt;100000,E6="Profesjonalista"),"Profesjonalista poniżej 100 k PLN",IF(AND(E4&gt;=100000,E6="Profesjonalista"),"Profesjonalista od 100 k PLN",IF(E6="Podwyższona prowizja 7%","Podwyższona prowizja 7%",IF(AND(E4&gt;0,E4&lt;100000),"poniżej 100 k PLN","od 100 k PLN"))))</f>
        <v>od 100 k PLN</v>
      </c>
      <c r="P35" s="178" t="s">
        <v>58</v>
      </c>
      <c r="Q35" s="175">
        <f>IF($E$6=$L$6,1,0)</f>
        <v>0</v>
      </c>
      <c r="R35" s="175">
        <f>IF(AND(Q35=1,E7&gt;57),1,0)</f>
        <v>0</v>
      </c>
      <c r="T35" s="562" t="s">
        <v>494</v>
      </c>
      <c r="U35" s="561">
        <v>4.2000000000000003E-2</v>
      </c>
      <c r="V35" s="557">
        <v>0</v>
      </c>
      <c r="W35" s="561">
        <v>0.04</v>
      </c>
      <c r="X35" s="554">
        <v>2.5000000000000001E-2</v>
      </c>
      <c r="Y35" s="558" t="s">
        <v>272</v>
      </c>
      <c r="Z35" s="558" t="s">
        <v>272</v>
      </c>
    </row>
    <row r="36" spans="15:26" x14ac:dyDescent="0.35">
      <c r="O36" s="178" t="str">
        <f>IF(E4&lt;100000,"poniżej 100",IF(E4&lt;500000,"poniżej 500 k PLN","od 500 k PLN"))</f>
        <v>poniżej 500 k PLN</v>
      </c>
      <c r="P36" s="178"/>
      <c r="T36" s="280"/>
      <c r="U36" s="279"/>
      <c r="V36" s="277"/>
      <c r="W36" s="279"/>
      <c r="X36" s="279"/>
      <c r="Y36" s="279"/>
      <c r="Z36" s="277"/>
    </row>
    <row r="37" spans="15:26" x14ac:dyDescent="0.35">
      <c r="O37" s="178" t="str">
        <f>IF(E6=L6,O36,IF(E8="NIE",O35,O36))</f>
        <v>od 100 k PLN</v>
      </c>
      <c r="P37" s="178"/>
      <c r="T37" s="180"/>
      <c r="U37" s="180"/>
    </row>
    <row r="38" spans="15:26" x14ac:dyDescent="0.35">
      <c r="O38" s="179">
        <f>IF(E9="Bez prowizji",2,IF(E9="Niższa marża",4,6))</f>
        <v>6</v>
      </c>
      <c r="P38" s="178"/>
      <c r="T38" s="180"/>
      <c r="U38" s="180"/>
    </row>
    <row r="39" spans="15:26" x14ac:dyDescent="0.35">
      <c r="O39" s="179">
        <f>VLOOKUP(O37,T24:Z35,O38,0)*100</f>
        <v>4.3999999999999995</v>
      </c>
      <c r="P39" s="178"/>
      <c r="W39" s="181"/>
      <c r="X39" s="182"/>
    </row>
    <row r="40" spans="15:26" x14ac:dyDescent="0.35">
      <c r="O40" s="179">
        <f>IF(E10="TAK",O39-0.5,O39)</f>
        <v>4.3999999999999995</v>
      </c>
      <c r="P40" s="178"/>
      <c r="T40" s="180"/>
      <c r="U40" s="180"/>
    </row>
  </sheetData>
  <sheetProtection algorithmName="SHA-512" hashValue="cw5JdOBNTg0nDxAAY2tOAN2qTL6wgOhmyFBvij6XcMuL53AJYtH5PcStshLer+dBoHLCtFrQzmhP3BA26yqR/Q==" saltValue="J4t8cxiGS+S4PtGgyn6Ltg==" spinCount="100000" sheet="1" objects="1" scenarios="1"/>
  <mergeCells count="9">
    <mergeCell ref="U29:Z29"/>
    <mergeCell ref="U24:Z24"/>
    <mergeCell ref="U25:Z25"/>
    <mergeCell ref="B1:E1"/>
    <mergeCell ref="Y21:Z22"/>
    <mergeCell ref="C3:E3"/>
    <mergeCell ref="T21:T23"/>
    <mergeCell ref="U21:V22"/>
    <mergeCell ref="W21:X22"/>
  </mergeCells>
  <conditionalFormatting sqref="B21">
    <cfRule type="expression" dxfId="15" priority="5">
      <formula>SUM($R$21:$R$40)=0</formula>
    </cfRule>
  </conditionalFormatting>
  <conditionalFormatting sqref="B22">
    <cfRule type="expression" dxfId="14" priority="3">
      <formula>SUM($R$21:$R$40)=0</formula>
    </cfRule>
  </conditionalFormatting>
  <conditionalFormatting sqref="B22:E23">
    <cfRule type="expression" dxfId="13" priority="2">
      <formula>SUM($R$21:$R$40)=0</formula>
    </cfRule>
  </conditionalFormatting>
  <dataValidations count="11">
    <dataValidation type="whole" errorStyle="information" operator="greaterThan" allowBlank="1" showInputMessage="1" showErrorMessage="1" error="Wpisz kwotę pożyczki w przedziale 10.000 zł - 1.200.000 zł_x000a_Pożyczka w kwocie powyżej 400.000 zł – tylko z zabezpieczeniem" sqref="C4:D4" xr:uid="{00000000-0002-0000-0000-000000000000}">
      <formula1>300000</formula1>
    </dataValidation>
    <dataValidation type="whole" errorStyle="warning" operator="greaterThan" allowBlank="1" showInputMessage="1" showErrorMessage="1" error="Wpisz kwotę pożyczki w przedziale 10.000 zł - 1.200.000 zł_x000a_Pożyczka w kwocie powyżej 400.000 zł – tylko z zabezpieczeniem_x000a_" sqref="E4" xr:uid="{00000000-0002-0000-0000-000001000000}">
      <formula1>300000</formula1>
    </dataValidation>
    <dataValidation type="list" allowBlank="1" showInputMessage="1" showErrorMessage="1" sqref="C9" xr:uid="{00000000-0002-0000-0000-000002000000}">
      <formula1>IF(OR(C6="premium",C6="Promocja-Premium",(AND(C4&lt;=50000,C6="standard",C6="promocja",C8="nie"))),$N$5:$N$6,IF(C6="promocja",$N$5:$N$7,$N$5:$N$7))</formula1>
    </dataValidation>
    <dataValidation type="list" allowBlank="1" showInputMessage="1" showErrorMessage="1" sqref="C8:E8" xr:uid="{00000000-0002-0000-0000-000003000000}">
      <formula1>IF(C6="promocja",$M$4,$M$3:$M$4)</formula1>
    </dataValidation>
    <dataValidation type="list" allowBlank="1" showInputMessage="1" showErrorMessage="1" sqref="C6:E6" xr:uid="{00000000-0002-0000-0000-000004000000}">
      <formula1>$L$4:$L$6</formula1>
    </dataValidation>
    <dataValidation type="list" allowBlank="1" showInputMessage="1" showErrorMessage="1" sqref="D9:E9" xr:uid="{00000000-0002-0000-0000-000005000000}">
      <formula1>IF(OR(D6="premium",D6="Promocja-Premium",(AND(D4&lt;=50000,D6="standard",D8="nie"))),$N$5:$N$6,IF(D6="promocja",$N$5:$N$7,$N$5:$N$7))</formula1>
    </dataValidation>
    <dataValidation type="list" allowBlank="1" showInputMessage="1" showErrorMessage="1" sqref="C10:E10" xr:uid="{00000000-0002-0000-0000-000006000000}">
      <formula1>$M$3:$M$4</formula1>
    </dataValidation>
    <dataValidation allowBlank="1" showInputMessage="1" showErrorMessage="1" error="Wpisz kwotę pożyczki w przedziale 2.600zł - 2.000.000zł" sqref="C5:E5" xr:uid="{00000000-0002-0000-0000-000007000000}"/>
    <dataValidation type="whole" allowBlank="1" showErrorMessage="1" errorTitle="Nieprawidłowa wartość" error="Maksymalny okres kredytowania wynosi 120 m-cy." sqref="C7:E7" xr:uid="{00000000-0002-0000-0000-000008000000}">
      <formula1>1</formula1>
      <formula2>120</formula2>
    </dataValidation>
    <dataValidation type="date" allowBlank="1" showInputMessage="1" showErrorMessage="1" errorTitle="Niepoprawna data" error="Data pierwszej raty musi wystąpić maksymalnie do 45 dni od daty uruchomienia" sqref="C14:E14" xr:uid="{00000000-0002-0000-0000-000009000000}">
      <formula1>3654</formula1>
      <formula2>401404</formula2>
    </dataValidation>
    <dataValidation type="date" allowBlank="1" showInputMessage="1" showErrorMessage="1" errorTitle="Niepoprawna data" error="Data pierwszej raty musi wystąpić maksymalnie do 45 dni od daty uruchomienia" sqref="C15:E15" xr:uid="{00000000-0002-0000-0000-00000A000000}">
      <formula1>C14</formula1>
      <formula2>C14+45</formula2>
    </dataValidation>
  </dataValidations>
  <hyperlinks>
    <hyperlink ref="B11" r:id="rId1" xr:uid="{64D4DEC7-9841-4912-B1DB-9DC399D66E0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97284" r:id="rId5" name="ProwizjaKredytowana">
              <controlPr defaultSize="0" autoFill="0" autoLine="0" autoPict="0">
                <anchor moveWithCells="1">
                  <from>
                    <xdr:col>1</xdr:col>
                    <xdr:colOff>1022350</xdr:colOff>
                    <xdr:row>1</xdr:row>
                    <xdr:rowOff>31750</xdr:rowOff>
                  </from>
                  <to>
                    <xdr:col>1</xdr:col>
                    <xdr:colOff>2501900</xdr:colOff>
                    <xdr:row>1</xdr:row>
                    <xdr:rowOff>279400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2B4513-23A9-494C-B7B4-24B5CED6E163}">
  <sheetPr codeName="Arkusz3"/>
  <dimension ref="A1"/>
  <sheetViews>
    <sheetView workbookViewId="0"/>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10"/>
  <dimension ref="A1:V182"/>
  <sheetViews>
    <sheetView workbookViewId="0">
      <pane ySplit="1" topLeftCell="A2" activePane="bottomLeft" state="frozen"/>
      <selection pane="bottomLeft" activeCell="C3" sqref="C3"/>
    </sheetView>
  </sheetViews>
  <sheetFormatPr defaultRowHeight="14.5" x14ac:dyDescent="0.35"/>
  <cols>
    <col min="1" max="1" width="4" bestFit="1" customWidth="1"/>
    <col min="2" max="2" width="16.1796875" customWidth="1"/>
    <col min="3" max="3" width="16.1796875" style="15" customWidth="1"/>
    <col min="4" max="11" width="16.1796875" customWidth="1"/>
    <col min="12" max="12" width="17.453125" customWidth="1"/>
    <col min="13" max="13" width="12.1796875" customWidth="1"/>
    <col min="14" max="14" width="10.1796875" bestFit="1" customWidth="1"/>
    <col min="15" max="15" width="15.1796875" customWidth="1"/>
    <col min="16" max="16" width="16.81640625" customWidth="1"/>
    <col min="17" max="17" width="16.1796875" customWidth="1"/>
    <col min="19" max="19" width="21.81640625" customWidth="1"/>
    <col min="20" max="20" width="21" customWidth="1"/>
    <col min="21" max="21" width="23.1796875" customWidth="1"/>
    <col min="22" max="22" width="17.1796875" style="16" customWidth="1"/>
  </cols>
  <sheetData>
    <row r="1" spans="1:22" x14ac:dyDescent="0.35">
      <c r="A1" s="1" t="s">
        <v>6</v>
      </c>
      <c r="B1" s="2"/>
      <c r="C1" s="3" t="s">
        <v>7</v>
      </c>
      <c r="D1" s="2" t="s">
        <v>8</v>
      </c>
      <c r="E1" s="2" t="s">
        <v>9</v>
      </c>
      <c r="F1" s="2" t="s">
        <v>10</v>
      </c>
      <c r="G1" s="2" t="s">
        <v>11</v>
      </c>
      <c r="H1" s="2" t="s">
        <v>12</v>
      </c>
      <c r="I1" s="2" t="s">
        <v>13</v>
      </c>
      <c r="J1" s="2" t="s">
        <v>14</v>
      </c>
      <c r="K1" s="2" t="s">
        <v>15</v>
      </c>
      <c r="L1" s="4" t="s">
        <v>16</v>
      </c>
      <c r="M1" s="5" t="s">
        <v>17</v>
      </c>
      <c r="N1" s="4" t="s">
        <v>18</v>
      </c>
      <c r="O1" s="6" t="s">
        <v>19</v>
      </c>
      <c r="P1" s="7" t="s">
        <v>20</v>
      </c>
      <c r="Q1" s="7" t="s">
        <v>21</v>
      </c>
      <c r="S1" s="7" t="s">
        <v>27</v>
      </c>
      <c r="T1" s="7" t="s">
        <v>28</v>
      </c>
      <c r="U1" s="7" t="s">
        <v>29</v>
      </c>
      <c r="V1" s="7" t="s">
        <v>125</v>
      </c>
    </row>
    <row r="2" spans="1:22" x14ac:dyDescent="0.35">
      <c r="A2" s="8">
        <v>0</v>
      </c>
      <c r="B2" s="19">
        <f ca="1">'Dane do harmonogramu'!C14</f>
        <v>46083</v>
      </c>
      <c r="C2" s="10"/>
      <c r="D2" s="9"/>
      <c r="E2" s="9"/>
      <c r="F2" s="9"/>
      <c r="G2" s="11"/>
      <c r="H2" s="11"/>
      <c r="I2" s="11"/>
      <c r="J2" s="11"/>
      <c r="K2" s="11"/>
      <c r="L2" s="7"/>
      <c r="M2" s="12"/>
      <c r="N2" s="158">
        <f ca="1">WarOneKw/VLOOKUP('Dane do harmonogramu'!C7,'Roboczy harmonogram'!$A$1:$O$182,13,1)</f>
        <v>13869.160872339731</v>
      </c>
      <c r="O2" s="7"/>
    </row>
    <row r="3" spans="1:22" x14ac:dyDescent="0.35">
      <c r="A3">
        <v>1</v>
      </c>
      <c r="B3" s="20">
        <f ca="1">'Dane do harmonogramu'!C15</f>
        <v>46098</v>
      </c>
      <c r="C3" s="15">
        <f ca="1">(1+'Dane do harmonogramu'!$C$13*('Roboczy harmonogram'!B3-'Roboczy harmonogram'!B2)/365)</f>
        <v>1.0026301369863013</v>
      </c>
      <c r="D3" s="15">
        <f ca="1">(1+'Dane do harmonogramu'!$C$13*('Roboczy harmonogram'!B3-'Roboczy harmonogram'!B2)/366)</f>
        <v>1.0026229508196722</v>
      </c>
      <c r="E3" s="15">
        <f ca="1">IF(AND(MOD(YEAR(B2),4)=0,MOD(YEAR(B3),4)&lt;&gt;0),1,0)</f>
        <v>0</v>
      </c>
      <c r="F3" s="15">
        <f ca="1">IF(AND(MOD(YEAR(B3),4)=0,MOD(YEAR(B2),4)&lt;&gt;0),1,0)</f>
        <v>0</v>
      </c>
      <c r="G3">
        <f ca="1">IF(E3=1,(1+'Dane do harmonogramu'!$C$13*((('Roboczy harmonogram'!B3-DATE(YEAR(B3),1,1)+1)/365)+((DATE(YEAR(B2),12,31)-'Roboczy harmonogram'!B2)/366))),IF(F3=1,(1+'Dane do harmonogramu'!$C$13*((('Roboczy harmonogram'!B3-DATE(YEAR(B3),1,1)+1)/366)+((DATE(YEAR(B2),12,31)-'Roboczy harmonogram'!B2)/365))),0))</f>
        <v>0</v>
      </c>
      <c r="H3">
        <f ca="1">IF(MOD(YEAR(B3),4)=0,1,0)</f>
        <v>0</v>
      </c>
      <c r="I3">
        <f ca="1">IF(H3=0,C3,IF(H3=1,D3,"blad"))</f>
        <v>1.0026301369863013</v>
      </c>
      <c r="J3">
        <f ca="1">IF(OR(E3=1,F3=1),G3,I3)</f>
        <v>1.0026301369863013</v>
      </c>
      <c r="K3">
        <f ca="1">J3</f>
        <v>1.0026301369863013</v>
      </c>
      <c r="L3">
        <f ca="1">1/K3</f>
        <v>0.99737676248770357</v>
      </c>
      <c r="O3" s="161">
        <f ca="1">(WarOneKw*J3)-WarOneKw</f>
        <v>3235.0684931506403</v>
      </c>
      <c r="P3" s="16">
        <f ca="1">$N$2-O3</f>
        <v>10634.092379189091</v>
      </c>
      <c r="Q3" s="160">
        <f ca="1">WarOneKw-P3</f>
        <v>1219365.9076208109</v>
      </c>
      <c r="S3">
        <f ca="1">IF(A3&lt;='Dane do harmonogramu'!$C$7,'Roboczy harmonogram'!P3,0)</f>
        <v>10634.092379189091</v>
      </c>
      <c r="T3">
        <f ca="1">IF(A3&lt;='Dane do harmonogramu'!$C$7,'Roboczy harmonogram'!O3,0)</f>
        <v>3235.0684931506403</v>
      </c>
      <c r="U3">
        <f ca="1">IF(A3&lt;='Dane do harmonogramu'!$C$7,$N$2,0)</f>
        <v>13869.160872339731</v>
      </c>
      <c r="V3" s="159">
        <f>IF(A3&lt;='Dane do harmonogramu'!$C$7,WarOneKw*0.15%,"")</f>
        <v>1845</v>
      </c>
    </row>
    <row r="4" spans="1:22" x14ac:dyDescent="0.35">
      <c r="A4">
        <v>2</v>
      </c>
      <c r="B4" s="14">
        <f ca="1">DATE(YEAR((B3)),MONTH((B3))+1,IF(AND(DAY(B3)&gt;28,MONTH((B3))+1=2),IF(MOD(YEAR(B3),4)=0,29,28),DAY(B3)))</f>
        <v>46129</v>
      </c>
      <c r="C4" s="15">
        <f ca="1">(1+'Dane do harmonogramu'!$C$13*('Roboczy harmonogram'!B4-'Roboczy harmonogram'!B3)/365)</f>
        <v>1.0054356164383562</v>
      </c>
      <c r="D4" s="15">
        <f ca="1">(1+'Dane do harmonogramu'!$C$13*('Roboczy harmonogram'!B4-'Roboczy harmonogram'!B3)/366)</f>
        <v>1.0054207650273224</v>
      </c>
      <c r="E4" s="15">
        <f t="shared" ref="E4:E67" ca="1" si="0">IF(AND(MOD(YEAR(B3),4)=0,MOD(YEAR(B4),4)&lt;&gt;0),1,0)</f>
        <v>0</v>
      </c>
      <c r="F4" s="15">
        <f t="shared" ref="F4:F67" ca="1" si="1">IF(AND(MOD(YEAR(B4),4)=0,MOD(YEAR(B3),4)&lt;&gt;0),1,0)</f>
        <v>0</v>
      </c>
      <c r="G4">
        <f ca="1">IF(E4=1,(1+'Dane do harmonogramu'!$C$13*((('Roboczy harmonogram'!B4-DATE(YEAR(B4),1,1)+1)/365)+((DATE(YEAR(B3),12,31)-'Roboczy harmonogram'!B3)/366))),IF(F4=1,(1+'Dane do harmonogramu'!$C$13*((('Roboczy harmonogram'!B4-DATE(YEAR(B4),1,1)+1)/366)+((DATE(YEAR(B3),12,31)-'Roboczy harmonogram'!B3)/365))),0))</f>
        <v>0</v>
      </c>
      <c r="H4">
        <f t="shared" ref="H4:H67" ca="1" si="2">IF(MOD(YEAR(B4),4)=0,1,0)</f>
        <v>0</v>
      </c>
      <c r="I4">
        <f t="shared" ref="I4:I67" ca="1" si="3">IF(H4=0,C4,IF(H4=1,D4,"blad"))</f>
        <v>1.0054356164383562</v>
      </c>
      <c r="J4">
        <f t="shared" ref="J4:J67" ca="1" si="4">IF(OR(E4=1,F4=1),G4,I4)</f>
        <v>1.0054356164383562</v>
      </c>
      <c r="K4">
        <f ca="1">PRODUCT($J$3:J4)</f>
        <v>1.0080800498404954</v>
      </c>
      <c r="L4">
        <f t="shared" ref="L4:L67" ca="1" si="5">1/K4</f>
        <v>0.99198471406931044</v>
      </c>
      <c r="M4">
        <f ca="1">L3+L4</f>
        <v>1.989361476557014</v>
      </c>
      <c r="O4">
        <f ca="1">(Q3*J4)-Q3</f>
        <v>6628.0053718348499</v>
      </c>
      <c r="P4" s="16">
        <f ca="1">$N$2-O4</f>
        <v>7241.1555005048813</v>
      </c>
      <c r="Q4" s="17">
        <f ca="1">Q3-P4</f>
        <v>1212124.752120306</v>
      </c>
      <c r="S4">
        <f ca="1">IF(A4&lt;='Dane do harmonogramu'!$C$7,'Roboczy harmonogram'!P4,0)</f>
        <v>7241.1555005048813</v>
      </c>
      <c r="T4">
        <f ca="1">IF(A4&lt;='Dane do harmonogramu'!$C$7,'Roboczy harmonogram'!O4,0)</f>
        <v>6628.0053718348499</v>
      </c>
      <c r="U4">
        <f ca="1">IF(A4&lt;='Dane do harmonogramu'!$C$7,$N$2,0)</f>
        <v>13869.160872339731</v>
      </c>
      <c r="V4" s="16">
        <f ca="1">IF(A3&lt;='Dane do harmonogramu'!$C$7,Q3*0.15%,"")</f>
        <v>1829.0488614312164</v>
      </c>
    </row>
    <row r="5" spans="1:22" x14ac:dyDescent="0.35">
      <c r="A5">
        <v>3</v>
      </c>
      <c r="B5" s="14">
        <f ca="1">DATE(YEAR((B4)),MONTH((B4))+1,IF(AND(DAY(B4)&gt;28,MONTH((B4))+1=2),IF(MOD(YEAR(B4),4)=0,29,28),IF(AND(OR(DAY(B4)=28,DAY(B4)=29),MONTH((B4))=2),DAY(B3),DAY(B4))))</f>
        <v>46159</v>
      </c>
      <c r="C5" s="15">
        <f ca="1">(1+'Dane do harmonogramu'!$C$13*('Roboczy harmonogram'!B5-'Roboczy harmonogram'!B4)/365)</f>
        <v>1.0052602739726026</v>
      </c>
      <c r="D5" s="15">
        <f ca="1">(1+'Dane do harmonogramu'!$C$13*('Roboczy harmonogram'!B5-'Roboczy harmonogram'!B4)/366)</f>
        <v>1.0052459016393442</v>
      </c>
      <c r="E5" s="15">
        <f t="shared" ca="1" si="0"/>
        <v>0</v>
      </c>
      <c r="F5" s="15">
        <f t="shared" ca="1" si="1"/>
        <v>0</v>
      </c>
      <c r="G5">
        <f ca="1">IF(E5=1,(1+'Dane do harmonogramu'!$C$13*((('Roboczy harmonogram'!B5-DATE(YEAR(B5),1,1)+1)/365)+((DATE(YEAR(B4),12,31)-'Roboczy harmonogram'!B4)/366))),IF(F5=1,(1+'Dane do harmonogramu'!$C$13*((('Roboczy harmonogram'!B5-DATE(YEAR(B5),1,1)+1)/366)+((DATE(YEAR(B4),12,31)-'Roboczy harmonogram'!B4)/365))),0))</f>
        <v>0</v>
      </c>
      <c r="H5">
        <f t="shared" ca="1" si="2"/>
        <v>0</v>
      </c>
      <c r="I5">
        <f t="shared" ca="1" si="3"/>
        <v>1.0052602739726026</v>
      </c>
      <c r="J5">
        <f t="shared" ca="1" si="4"/>
        <v>1.0052602739726026</v>
      </c>
      <c r="K5">
        <f ca="1">PRODUCT($J$3:J5)</f>
        <v>1.0133828270889713</v>
      </c>
      <c r="L5">
        <f t="shared" ca="1" si="5"/>
        <v>0.98679390775999765</v>
      </c>
      <c r="M5">
        <f ca="1">SUM($L$3:L5)</f>
        <v>2.9761553843170114</v>
      </c>
      <c r="O5">
        <f t="shared" ref="O5:O68" ca="1" si="6">(Q4*J5)-Q4</f>
        <v>6376.1082851258107</v>
      </c>
      <c r="P5" s="16">
        <f t="shared" ref="P5:P68" ca="1" si="7">$N$2-O5</f>
        <v>7493.0525872139206</v>
      </c>
      <c r="Q5" s="17">
        <f t="shared" ref="Q5:Q68" ca="1" si="8">Q4-P5</f>
        <v>1204631.6995330921</v>
      </c>
      <c r="S5">
        <f ca="1">IF(A5&lt;='Dane do harmonogramu'!$C$7,'Roboczy harmonogram'!P5,0)</f>
        <v>7493.0525872139206</v>
      </c>
      <c r="T5">
        <f ca="1">IF(A5&lt;='Dane do harmonogramu'!$C$7,'Roboczy harmonogram'!O5,0)</f>
        <v>6376.1082851258107</v>
      </c>
      <c r="U5">
        <f ca="1">IF(A5&lt;='Dane do harmonogramu'!$C$7,$N$2,0)</f>
        <v>13869.160872339731</v>
      </c>
      <c r="V5" s="16">
        <f ca="1">IF(A4&lt;='Dane do harmonogramu'!$C$7,Q4*0.15%,"")</f>
        <v>1818.187128180459</v>
      </c>
    </row>
    <row r="6" spans="1:22" x14ac:dyDescent="0.35">
      <c r="A6">
        <v>4</v>
      </c>
      <c r="B6" s="14">
        <f t="shared" ref="B6:B69" ca="1" si="9">DATE(YEAR((B5)),MONTH((B5))+1,IF(AND(DAY(B5)&gt;28,MONTH((B5))+1=2),IF(MOD(YEAR(B5),4)=0,29,28),IF(AND(OR(DAY(B5)=28,DAY(B5)=29),MONTH((B5))=2),DAY(B4),DAY(B5))))</f>
        <v>46190</v>
      </c>
      <c r="C6" s="15">
        <f ca="1">(1+'Dane do harmonogramu'!$C$13*('Roboczy harmonogram'!B6-'Roboczy harmonogram'!B5)/365)</f>
        <v>1.0054356164383562</v>
      </c>
      <c r="D6" s="15">
        <f ca="1">(1+'Dane do harmonogramu'!$C$13*('Roboczy harmonogram'!B6-'Roboczy harmonogram'!B5)/366)</f>
        <v>1.0054207650273224</v>
      </c>
      <c r="E6" s="15">
        <f t="shared" ca="1" si="0"/>
        <v>0</v>
      </c>
      <c r="F6" s="15">
        <f t="shared" ca="1" si="1"/>
        <v>0</v>
      </c>
      <c r="G6">
        <f ca="1">IF(E6=1,(1+'Dane do harmonogramu'!$C$13*((('Roboczy harmonogram'!B6-DATE(YEAR(B6),1,1)+1)/365)+((DATE(YEAR(B5),12,31)-'Roboczy harmonogram'!B5)/366))),IF(F6=1,(1+'Dane do harmonogramu'!$C$13*((('Roboczy harmonogram'!B6-DATE(YEAR(B6),1,1)+1)/366)+((DATE(YEAR(B5),12,31)-'Roboczy harmonogram'!B5)/365))),0))</f>
        <v>0</v>
      </c>
      <c r="H6">
        <f t="shared" ca="1" si="2"/>
        <v>0</v>
      </c>
      <c r="I6">
        <f t="shared" ca="1" si="3"/>
        <v>1.0054356164383562</v>
      </c>
      <c r="J6">
        <f t="shared" ca="1" si="4"/>
        <v>1.0054356164383562</v>
      </c>
      <c r="K6">
        <f ca="1">PRODUCT($J$3:J6)</f>
        <v>1.0188911874422439</v>
      </c>
      <c r="L6">
        <f t="shared" ca="1" si="5"/>
        <v>0.98145907269090515</v>
      </c>
      <c r="M6">
        <f ca="1">SUM($L$3:L6)</f>
        <v>3.9576144570079164</v>
      </c>
      <c r="O6">
        <f t="shared" ca="1" si="6"/>
        <v>6547.9158681470435</v>
      </c>
      <c r="P6" s="16">
        <f t="shared" ca="1" si="7"/>
        <v>7321.2450041926877</v>
      </c>
      <c r="Q6" s="17">
        <f t="shared" ca="1" si="8"/>
        <v>1197310.4545288994</v>
      </c>
      <c r="S6">
        <f ca="1">IF(A6&lt;='Dane do harmonogramu'!$C$7,'Roboczy harmonogram'!P6,0)</f>
        <v>7321.2450041926877</v>
      </c>
      <c r="T6">
        <f ca="1">IF(A6&lt;='Dane do harmonogramu'!$C$7,'Roboczy harmonogram'!O6,0)</f>
        <v>6547.9158681470435</v>
      </c>
      <c r="U6">
        <f ca="1">IF(A6&lt;='Dane do harmonogramu'!$C$7,$N$2,0)</f>
        <v>13869.160872339731</v>
      </c>
      <c r="V6" s="16">
        <f ca="1">IF(A5&lt;='Dane do harmonogramu'!$C$7,Q5*0.15%,"")</f>
        <v>1806.9475492996382</v>
      </c>
    </row>
    <row r="7" spans="1:22" x14ac:dyDescent="0.35">
      <c r="A7">
        <v>5</v>
      </c>
      <c r="B7" s="14">
        <f t="shared" ca="1" si="9"/>
        <v>46220</v>
      </c>
      <c r="C7" s="15">
        <f ca="1">(1+'Dane do harmonogramu'!$C$13*('Roboczy harmonogram'!B7-'Roboczy harmonogram'!B6)/365)</f>
        <v>1.0052602739726026</v>
      </c>
      <c r="D7" s="15">
        <f ca="1">(1+'Dane do harmonogramu'!$C$13*('Roboczy harmonogram'!B7-'Roboczy harmonogram'!B6)/366)</f>
        <v>1.0052459016393442</v>
      </c>
      <c r="E7" s="15">
        <f t="shared" ca="1" si="0"/>
        <v>0</v>
      </c>
      <c r="F7" s="15">
        <f t="shared" ca="1" si="1"/>
        <v>0</v>
      </c>
      <c r="G7">
        <f ca="1">IF(E7=1,(1+'Dane do harmonogramu'!$C$13*((('Roboczy harmonogram'!B7-DATE(YEAR(B7),1,1)+1)/365)+((DATE(YEAR(B6),12,31)-'Roboczy harmonogram'!B6)/366))),IF(F7=1,(1+'Dane do harmonogramu'!$C$13*((('Roboczy harmonogram'!B7-DATE(YEAR(B7),1,1)+1)/366)+((DATE(YEAR(B6),12,31)-'Roboczy harmonogram'!B6)/365))),0))</f>
        <v>0</v>
      </c>
      <c r="H7">
        <f t="shared" ca="1" si="2"/>
        <v>0</v>
      </c>
      <c r="I7">
        <f t="shared" ca="1" si="3"/>
        <v>1.0052602739726026</v>
      </c>
      <c r="J7">
        <f t="shared" ca="1" si="4"/>
        <v>1.0052602739726026</v>
      </c>
      <c r="K7">
        <f ca="1">PRODUCT($J$3:J7)</f>
        <v>1.0242508342364607</v>
      </c>
      <c r="L7">
        <f t="shared" ca="1" si="5"/>
        <v>0.97632334441344271</v>
      </c>
      <c r="M7">
        <f ca="1">SUM($L$3:L7)</f>
        <v>4.9339378014213588</v>
      </c>
      <c r="O7">
        <f t="shared" ca="1" si="6"/>
        <v>6298.1810210833792</v>
      </c>
      <c r="P7" s="16">
        <f t="shared" ca="1" si="7"/>
        <v>7570.979851256352</v>
      </c>
      <c r="Q7" s="17">
        <f t="shared" ca="1" si="8"/>
        <v>1189739.474677643</v>
      </c>
      <c r="S7">
        <f ca="1">IF(A7&lt;='Dane do harmonogramu'!$C$7,'Roboczy harmonogram'!P7,0)</f>
        <v>7570.979851256352</v>
      </c>
      <c r="T7">
        <f ca="1">IF(A7&lt;='Dane do harmonogramu'!$C$7,'Roboczy harmonogram'!O7,0)</f>
        <v>6298.1810210833792</v>
      </c>
      <c r="U7">
        <f ca="1">IF(A7&lt;='Dane do harmonogramu'!$C$7,$N$2,0)</f>
        <v>13869.160872339731</v>
      </c>
      <c r="V7" s="16">
        <f ca="1">IF(A6&lt;='Dane do harmonogramu'!$C$7,Q6*0.15%,"")</f>
        <v>1795.9656817933492</v>
      </c>
    </row>
    <row r="8" spans="1:22" x14ac:dyDescent="0.35">
      <c r="A8">
        <v>6</v>
      </c>
      <c r="B8" s="14">
        <f t="shared" ca="1" si="9"/>
        <v>46251</v>
      </c>
      <c r="C8" s="15">
        <f ca="1">(1+'Dane do harmonogramu'!$C$13*('Roboczy harmonogram'!B8-'Roboczy harmonogram'!B7)/365)</f>
        <v>1.0054356164383562</v>
      </c>
      <c r="D8" s="15">
        <f ca="1">(1+'Dane do harmonogramu'!$C$13*('Roboczy harmonogram'!B8-'Roboczy harmonogram'!B7)/366)</f>
        <v>1.0054207650273224</v>
      </c>
      <c r="E8" s="15">
        <f t="shared" ca="1" si="0"/>
        <v>0</v>
      </c>
      <c r="F8" s="15">
        <f t="shared" ca="1" si="1"/>
        <v>0</v>
      </c>
      <c r="G8">
        <f ca="1">IF(E8=1,(1+'Dane do harmonogramu'!$C$13*((('Roboczy harmonogram'!B8-DATE(YEAR(B8),1,1)+1)/365)+((DATE(YEAR(B7),12,31)-'Roboczy harmonogram'!B7)/366))),IF(F8=1,(1+'Dane do harmonogramu'!$C$13*((('Roboczy harmonogram'!B8-DATE(YEAR(B8),1,1)+1)/366)+((DATE(YEAR(B7),12,31)-'Roboczy harmonogram'!B7)/365))),0))</f>
        <v>0</v>
      </c>
      <c r="H8">
        <f t="shared" ca="1" si="2"/>
        <v>0</v>
      </c>
      <c r="I8">
        <f t="shared" ca="1" si="3"/>
        <v>1.0054356164383562</v>
      </c>
      <c r="J8">
        <f t="shared" ca="1" si="4"/>
        <v>1.0054356164383562</v>
      </c>
      <c r="K8">
        <f ca="1">PRODUCT($J$3:J8)</f>
        <v>1.0298182689080364</v>
      </c>
      <c r="L8">
        <f t="shared" ca="1" si="5"/>
        <v>0.97104511562058993</v>
      </c>
      <c r="M8">
        <f ca="1">SUM($L$3:L8)</f>
        <v>5.9049829170419486</v>
      </c>
      <c r="O8">
        <f t="shared" ca="1" si="6"/>
        <v>6466.9674459190574</v>
      </c>
      <c r="P8" s="16">
        <f t="shared" ca="1" si="7"/>
        <v>7402.1934264206739</v>
      </c>
      <c r="Q8" s="17">
        <f t="shared" ca="1" si="8"/>
        <v>1182337.2812512224</v>
      </c>
      <c r="S8">
        <f ca="1">IF(A8&lt;='Dane do harmonogramu'!$C$7,'Roboczy harmonogram'!P8,0)</f>
        <v>7402.1934264206739</v>
      </c>
      <c r="T8">
        <f ca="1">IF(A8&lt;='Dane do harmonogramu'!$C$7,'Roboczy harmonogram'!O8,0)</f>
        <v>6466.9674459190574</v>
      </c>
      <c r="U8">
        <f ca="1">IF(A8&lt;='Dane do harmonogramu'!$C$7,$N$2,0)</f>
        <v>13869.160872339731</v>
      </c>
      <c r="V8" s="16">
        <f ca="1">IF(A7&lt;='Dane do harmonogramu'!$C$7,Q7*0.15%,"")</f>
        <v>1784.6092120164647</v>
      </c>
    </row>
    <row r="9" spans="1:22" x14ac:dyDescent="0.35">
      <c r="A9">
        <v>7</v>
      </c>
      <c r="B9" s="14">
        <f t="shared" ca="1" si="9"/>
        <v>46282</v>
      </c>
      <c r="C9" s="15">
        <f ca="1">(1+'Dane do harmonogramu'!$C$13*('Roboczy harmonogram'!B9-'Roboczy harmonogram'!B8)/365)</f>
        <v>1.0054356164383562</v>
      </c>
      <c r="D9" s="15">
        <f ca="1">(1+'Dane do harmonogramu'!$C$13*('Roboczy harmonogram'!B9-'Roboczy harmonogram'!B8)/366)</f>
        <v>1.0054207650273224</v>
      </c>
      <c r="E9" s="15">
        <f t="shared" ca="1" si="0"/>
        <v>0</v>
      </c>
      <c r="F9" s="15">
        <f t="shared" ca="1" si="1"/>
        <v>0</v>
      </c>
      <c r="G9">
        <f ca="1">IF(E9=1,(1+'Dane do harmonogramu'!$C$13*((('Roboczy harmonogram'!B9-DATE(YEAR(B9),1,1)+1)/365)+((DATE(YEAR(B8),12,31)-'Roboczy harmonogram'!B8)/366))),IF(F9=1,(1+'Dane do harmonogramu'!$C$13*((('Roboczy harmonogram'!B9-DATE(YEAR(B9),1,1)+1)/366)+((DATE(YEAR(B8),12,31)-'Roboczy harmonogram'!B8)/365))),0))</f>
        <v>0</v>
      </c>
      <c r="H9">
        <f t="shared" ca="1" si="2"/>
        <v>0</v>
      </c>
      <c r="I9">
        <f t="shared" ca="1" si="3"/>
        <v>1.0054356164383562</v>
      </c>
      <c r="J9">
        <f t="shared" ca="1" si="4"/>
        <v>1.0054356164383562</v>
      </c>
      <c r="K9">
        <f ca="1">PRODUCT($J$3:J9)</f>
        <v>1.0354159660190325</v>
      </c>
      <c r="L9">
        <f t="shared" ca="1" si="5"/>
        <v>0.96579542214787373</v>
      </c>
      <c r="M9">
        <f ca="1">SUM($L$3:L9)</f>
        <v>6.8707783391898225</v>
      </c>
      <c r="O9">
        <f t="shared" ca="1" si="6"/>
        <v>6426.7319616505411</v>
      </c>
      <c r="P9" s="16">
        <f t="shared" ca="1" si="7"/>
        <v>7442.4289106891902</v>
      </c>
      <c r="Q9" s="17">
        <f t="shared" ca="1" si="8"/>
        <v>1174894.8523405332</v>
      </c>
      <c r="S9">
        <f ca="1">IF(A9&lt;='Dane do harmonogramu'!$C$7,'Roboczy harmonogram'!P9,0)</f>
        <v>7442.4289106891902</v>
      </c>
      <c r="T9">
        <f ca="1">IF(A9&lt;='Dane do harmonogramu'!$C$7,'Roboczy harmonogram'!O9,0)</f>
        <v>6426.7319616505411</v>
      </c>
      <c r="U9">
        <f ca="1">IF(A9&lt;='Dane do harmonogramu'!$C$7,$N$2,0)</f>
        <v>13869.160872339731</v>
      </c>
      <c r="V9" s="16">
        <f ca="1">IF(A8&lt;='Dane do harmonogramu'!$C$7,Q8*0.15%,"")</f>
        <v>1773.5059218768336</v>
      </c>
    </row>
    <row r="10" spans="1:22" x14ac:dyDescent="0.35">
      <c r="A10">
        <v>8</v>
      </c>
      <c r="B10" s="14">
        <f t="shared" ca="1" si="9"/>
        <v>46312</v>
      </c>
      <c r="C10" s="15">
        <f ca="1">(1+'Dane do harmonogramu'!$C$13*('Roboczy harmonogram'!B10-'Roboczy harmonogram'!B9)/365)</f>
        <v>1.0052602739726026</v>
      </c>
      <c r="D10" s="15">
        <f ca="1">(1+'Dane do harmonogramu'!$C$13*('Roboczy harmonogram'!B10-'Roboczy harmonogram'!B9)/366)</f>
        <v>1.0052459016393442</v>
      </c>
      <c r="E10" s="15">
        <f t="shared" ca="1" si="0"/>
        <v>0</v>
      </c>
      <c r="F10" s="15">
        <f t="shared" ca="1" si="1"/>
        <v>0</v>
      </c>
      <c r="G10">
        <f ca="1">IF(E10=1,(1+'Dane do harmonogramu'!$C$13*((('Roboczy harmonogram'!B10-DATE(YEAR(B10),1,1)+1)/365)+((DATE(YEAR(B9),12,31)-'Roboczy harmonogram'!B9)/366))),IF(F10=1,(1+'Dane do harmonogramu'!$C$13*((('Roboczy harmonogram'!B10-DATE(YEAR(B10),1,1)+1)/366)+((DATE(YEAR(B9),12,31)-'Roboczy harmonogram'!B9)/365))),0))</f>
        <v>0</v>
      </c>
      <c r="H10">
        <f t="shared" ca="1" si="2"/>
        <v>0</v>
      </c>
      <c r="I10">
        <f t="shared" ca="1" si="3"/>
        <v>1.0052602739726026</v>
      </c>
      <c r="J10">
        <f t="shared" ca="1" si="4"/>
        <v>1.0052602739726026</v>
      </c>
      <c r="K10">
        <f ca="1">PRODUCT($J$3:J10)</f>
        <v>1.0408625376758998</v>
      </c>
      <c r="L10">
        <f t="shared" ca="1" si="5"/>
        <v>0.96074165781089582</v>
      </c>
      <c r="M10">
        <f ca="1">SUM($L$3:L10)</f>
        <v>7.8315199970007185</v>
      </c>
      <c r="O10">
        <f t="shared" ca="1" si="6"/>
        <v>6180.2688123118132</v>
      </c>
      <c r="P10" s="16">
        <f t="shared" ca="1" si="7"/>
        <v>7688.892060027918</v>
      </c>
      <c r="Q10" s="17">
        <f t="shared" ca="1" si="8"/>
        <v>1167205.9602805052</v>
      </c>
      <c r="S10">
        <f ca="1">IF(A10&lt;='Dane do harmonogramu'!$C$7,'Roboczy harmonogram'!P10,0)</f>
        <v>7688.892060027918</v>
      </c>
      <c r="T10">
        <f ca="1">IF(A10&lt;='Dane do harmonogramu'!$C$7,'Roboczy harmonogram'!O10,0)</f>
        <v>6180.2688123118132</v>
      </c>
      <c r="U10">
        <f ca="1">IF(A10&lt;='Dane do harmonogramu'!$C$7,$N$2,0)</f>
        <v>13869.160872339731</v>
      </c>
      <c r="V10" s="16">
        <f ca="1">IF(A9&lt;='Dane do harmonogramu'!$C$7,Q9*0.15%,"")</f>
        <v>1762.3422785107998</v>
      </c>
    </row>
    <row r="11" spans="1:22" x14ac:dyDescent="0.35">
      <c r="A11">
        <v>9</v>
      </c>
      <c r="B11" s="14">
        <f t="shared" ca="1" si="9"/>
        <v>46343</v>
      </c>
      <c r="C11" s="15">
        <f ca="1">(1+'Dane do harmonogramu'!$C$13*('Roboczy harmonogram'!B11-'Roboczy harmonogram'!B10)/365)</f>
        <v>1.0054356164383562</v>
      </c>
      <c r="D11" s="15">
        <f ca="1">(1+'Dane do harmonogramu'!$C$13*('Roboczy harmonogram'!B11-'Roboczy harmonogram'!B10)/366)</f>
        <v>1.0054207650273224</v>
      </c>
      <c r="E11" s="15">
        <f t="shared" ca="1" si="0"/>
        <v>0</v>
      </c>
      <c r="F11" s="15">
        <f t="shared" ca="1" si="1"/>
        <v>0</v>
      </c>
      <c r="G11">
        <f ca="1">IF(E11=1,(1+'Dane do harmonogramu'!$C$13*((('Roboczy harmonogram'!B11-DATE(YEAR(B11),1,1)+1)/365)+((DATE(YEAR(B10),12,31)-'Roboczy harmonogram'!B10)/366))),IF(F11=1,(1+'Dane do harmonogramu'!$C$13*((('Roboczy harmonogram'!B11-DATE(YEAR(B11),1,1)+1)/366)+((DATE(YEAR(B10),12,31)-'Roboczy harmonogram'!B10)/365))),0))</f>
        <v>0</v>
      </c>
      <c r="H11">
        <f t="shared" ca="1" si="2"/>
        <v>0</v>
      </c>
      <c r="I11">
        <f t="shared" ca="1" si="3"/>
        <v>1.0054356164383562</v>
      </c>
      <c r="J11">
        <f t="shared" ca="1" si="4"/>
        <v>1.0054356164383562</v>
      </c>
      <c r="K11">
        <f ca="1">PRODUCT($J$3:J11)</f>
        <v>1.0465202671957601</v>
      </c>
      <c r="L11">
        <f t="shared" ca="1" si="5"/>
        <v>0.955547667203412</v>
      </c>
      <c r="M11">
        <f ca="1">SUM($L$3:L11)</f>
        <v>8.7870676642041303</v>
      </c>
      <c r="O11">
        <f t="shared" ca="1" si="6"/>
        <v>6344.4839046481065</v>
      </c>
      <c r="P11" s="16">
        <f t="shared" ca="1" si="7"/>
        <v>7524.6769676916247</v>
      </c>
      <c r="Q11" s="17">
        <f t="shared" ca="1" si="8"/>
        <v>1159681.2833128136</v>
      </c>
      <c r="S11">
        <f ca="1">IF(A11&lt;='Dane do harmonogramu'!$C$7,'Roboczy harmonogram'!P11,0)</f>
        <v>7524.6769676916247</v>
      </c>
      <c r="T11">
        <f ca="1">IF(A11&lt;='Dane do harmonogramu'!$C$7,'Roboczy harmonogram'!O11,0)</f>
        <v>6344.4839046481065</v>
      </c>
      <c r="U11">
        <f ca="1">IF(A11&lt;='Dane do harmonogramu'!$C$7,$N$2,0)</f>
        <v>13869.160872339731</v>
      </c>
      <c r="V11" s="16">
        <f ca="1">IF(A10&lt;='Dane do harmonogramu'!$C$7,Q10*0.15%,"")</f>
        <v>1750.8089404207578</v>
      </c>
    </row>
    <row r="12" spans="1:22" x14ac:dyDescent="0.35">
      <c r="A12">
        <v>10</v>
      </c>
      <c r="B12" s="14">
        <f t="shared" ca="1" si="9"/>
        <v>46373</v>
      </c>
      <c r="C12" s="15">
        <f ca="1">(1+'Dane do harmonogramu'!$C$13*('Roboczy harmonogram'!B12-'Roboczy harmonogram'!B11)/365)</f>
        <v>1.0052602739726026</v>
      </c>
      <c r="D12" s="15">
        <f ca="1">(1+'Dane do harmonogramu'!$C$13*('Roboczy harmonogram'!B12-'Roboczy harmonogram'!B11)/366)</f>
        <v>1.0052459016393442</v>
      </c>
      <c r="E12" s="15">
        <f t="shared" ca="1" si="0"/>
        <v>0</v>
      </c>
      <c r="F12" s="15">
        <f t="shared" ca="1" si="1"/>
        <v>0</v>
      </c>
      <c r="G12">
        <f ca="1">IF(E12=1,(1+'Dane do harmonogramu'!$C$13*((('Roboczy harmonogram'!B12-DATE(YEAR(B12),1,1)+1)/365)+((DATE(YEAR(B11),12,31)-'Roboczy harmonogram'!B11)/366))),IF(F12=1,(1+'Dane do harmonogramu'!$C$13*((('Roboczy harmonogram'!B12-DATE(YEAR(B12),1,1)+1)/366)+((DATE(YEAR(B11),12,31)-'Roboczy harmonogram'!B11)/365))),0))</f>
        <v>0</v>
      </c>
      <c r="H12">
        <f t="shared" ca="1" si="2"/>
        <v>0</v>
      </c>
      <c r="I12">
        <f t="shared" ca="1" si="3"/>
        <v>1.0052602739726026</v>
      </c>
      <c r="J12">
        <f t="shared" ca="1" si="4"/>
        <v>1.0052602739726026</v>
      </c>
      <c r="K12">
        <f ca="1">PRODUCT($J$3:J12)</f>
        <v>1.052025250519091</v>
      </c>
      <c r="L12">
        <f t="shared" ca="1" si="5"/>
        <v>0.95054752678852461</v>
      </c>
      <c r="M12">
        <f ca="1">SUM($L$3:L12)</f>
        <v>9.7376151909926545</v>
      </c>
      <c r="O12">
        <f t="shared" ca="1" si="6"/>
        <v>6100.2412711249199</v>
      </c>
      <c r="P12" s="16">
        <f t="shared" ca="1" si="7"/>
        <v>7768.9196012148113</v>
      </c>
      <c r="Q12" s="17">
        <f t="shared" ca="1" si="8"/>
        <v>1151912.3637115988</v>
      </c>
      <c r="S12">
        <f ca="1">IF(A12&lt;='Dane do harmonogramu'!$C$7,'Roboczy harmonogram'!P12,0)</f>
        <v>7768.9196012148113</v>
      </c>
      <c r="T12">
        <f ca="1">IF(A12&lt;='Dane do harmonogramu'!$C$7,'Roboczy harmonogram'!O12,0)</f>
        <v>6100.2412711249199</v>
      </c>
      <c r="U12">
        <f ca="1">IF(A12&lt;='Dane do harmonogramu'!$C$7,$N$2,0)</f>
        <v>13869.160872339731</v>
      </c>
      <c r="V12" s="16">
        <f ca="1">IF(A11&lt;='Dane do harmonogramu'!$C$7,Q11*0.15%,"")</f>
        <v>1739.5219249692204</v>
      </c>
    </row>
    <row r="13" spans="1:22" x14ac:dyDescent="0.35">
      <c r="A13">
        <v>11</v>
      </c>
      <c r="B13" s="14">
        <f t="shared" ca="1" si="9"/>
        <v>46404</v>
      </c>
      <c r="C13" s="15">
        <f ca="1">(1+'Dane do harmonogramu'!$C$13*('Roboczy harmonogram'!B13-'Roboczy harmonogram'!B12)/365)</f>
        <v>1.0054356164383562</v>
      </c>
      <c r="D13" s="15">
        <f ca="1">(1+'Dane do harmonogramu'!$C$13*('Roboczy harmonogram'!B13-'Roboczy harmonogram'!B12)/366)</f>
        <v>1.0054207650273224</v>
      </c>
      <c r="E13" s="15">
        <f t="shared" ca="1" si="0"/>
        <v>0</v>
      </c>
      <c r="F13" s="15">
        <f t="shared" ca="1" si="1"/>
        <v>0</v>
      </c>
      <c r="G13">
        <f ca="1">IF(E13=1,(1+'Dane do harmonogramu'!$C$13*((('Roboczy harmonogram'!B13-DATE(YEAR(B13),1,1)+1)/365)+((DATE(YEAR(B12),12,31)-'Roboczy harmonogram'!B12)/366))),IF(F13=1,(1+'Dane do harmonogramu'!$C$13*((('Roboczy harmonogram'!B13-DATE(YEAR(B13),1,1)+1)/366)+((DATE(YEAR(B12),12,31)-'Roboczy harmonogram'!B12)/365))),0))</f>
        <v>0</v>
      </c>
      <c r="H13">
        <f t="shared" ca="1" si="2"/>
        <v>0</v>
      </c>
      <c r="I13">
        <f t="shared" ca="1" si="3"/>
        <v>1.0054356164383562</v>
      </c>
      <c r="J13">
        <f t="shared" ca="1" si="4"/>
        <v>1.0054356164383562</v>
      </c>
      <c r="K13">
        <f ca="1">PRODUCT($J$3:J13)</f>
        <v>1.0577436562643785</v>
      </c>
      <c r="L13">
        <f t="shared" ca="1" si="5"/>
        <v>0.94540864800048896</v>
      </c>
      <c r="M13">
        <f ca="1">SUM($L$3:L13)</f>
        <v>10.683023838993144</v>
      </c>
      <c r="O13">
        <f t="shared" ca="1" si="6"/>
        <v>6261.3537797364406</v>
      </c>
      <c r="P13" s="16">
        <f t="shared" ca="1" si="7"/>
        <v>7607.8070926032906</v>
      </c>
      <c r="Q13" s="17">
        <f t="shared" ca="1" si="8"/>
        <v>1144304.5566189955</v>
      </c>
      <c r="S13">
        <f ca="1">IF(A13&lt;='Dane do harmonogramu'!$C$7,'Roboczy harmonogram'!P13,0)</f>
        <v>7607.8070926032906</v>
      </c>
      <c r="T13">
        <f ca="1">IF(A13&lt;='Dane do harmonogramu'!$C$7,'Roboczy harmonogram'!O13,0)</f>
        <v>6261.3537797364406</v>
      </c>
      <c r="U13">
        <f ca="1">IF(A13&lt;='Dane do harmonogramu'!$C$7,$N$2,0)</f>
        <v>13869.160872339731</v>
      </c>
      <c r="V13" s="16">
        <f ca="1">IF(A12&lt;='Dane do harmonogramu'!$C$7,Q12*0.15%,"")</f>
        <v>1727.8685455673983</v>
      </c>
    </row>
    <row r="14" spans="1:22" x14ac:dyDescent="0.35">
      <c r="A14">
        <v>12</v>
      </c>
      <c r="B14" s="14">
        <f t="shared" ca="1" si="9"/>
        <v>46435</v>
      </c>
      <c r="C14" s="15">
        <f ca="1">(1+'Dane do harmonogramu'!$C$13*('Roboczy harmonogram'!B14-'Roboczy harmonogram'!B13)/365)</f>
        <v>1.0054356164383562</v>
      </c>
      <c r="D14" s="15">
        <f ca="1">(1+'Dane do harmonogramu'!$C$13*('Roboczy harmonogram'!B14-'Roboczy harmonogram'!B13)/366)</f>
        <v>1.0054207650273224</v>
      </c>
      <c r="E14" s="15">
        <f t="shared" ca="1" si="0"/>
        <v>0</v>
      </c>
      <c r="F14" s="15">
        <f t="shared" ca="1" si="1"/>
        <v>0</v>
      </c>
      <c r="G14">
        <f ca="1">IF(E14=1,(1+'Dane do harmonogramu'!$C$13*((('Roboczy harmonogram'!B14-DATE(YEAR(B14),1,1)+1)/365)+((DATE(YEAR(B13),12,31)-'Roboczy harmonogram'!B13)/366))),IF(F14=1,(1+'Dane do harmonogramu'!$C$13*((('Roboczy harmonogram'!B14-DATE(YEAR(B14),1,1)+1)/366)+((DATE(YEAR(B13),12,31)-'Roboczy harmonogram'!B13)/365))),0))</f>
        <v>0</v>
      </c>
      <c r="H14">
        <f t="shared" ca="1" si="2"/>
        <v>0</v>
      </c>
      <c r="I14">
        <f t="shared" ca="1" si="3"/>
        <v>1.0054356164383562</v>
      </c>
      <c r="J14">
        <f t="shared" ca="1" si="4"/>
        <v>1.0054356164383562</v>
      </c>
      <c r="K14">
        <f ca="1">PRODUCT($J$3:J14)</f>
        <v>1.0634931450699361</v>
      </c>
      <c r="L14">
        <f t="shared" ca="1" si="5"/>
        <v>0.94029755117437952</v>
      </c>
      <c r="M14">
        <f ca="1">SUM($L$3:L14)</f>
        <v>11.623321390167524</v>
      </c>
      <c r="O14">
        <f t="shared" ca="1" si="6"/>
        <v>6220.0006584441289</v>
      </c>
      <c r="P14" s="16">
        <f t="shared" ca="1" si="7"/>
        <v>7649.1602138956023</v>
      </c>
      <c r="Q14" s="17">
        <f t="shared" ca="1" si="8"/>
        <v>1136655.3964050999</v>
      </c>
      <c r="S14">
        <f ca="1">IF(A14&lt;='Dane do harmonogramu'!$C$7,'Roboczy harmonogram'!P14,0)</f>
        <v>7649.1602138956023</v>
      </c>
      <c r="T14">
        <f ca="1">IF(A14&lt;='Dane do harmonogramu'!$C$7,'Roboczy harmonogram'!O14,0)</f>
        <v>6220.0006584441289</v>
      </c>
      <c r="U14">
        <f ca="1">IF(A14&lt;='Dane do harmonogramu'!$C$7,$N$2,0)</f>
        <v>13869.160872339731</v>
      </c>
      <c r="V14" s="16">
        <f ca="1">IF(A13&lt;='Dane do harmonogramu'!$C$7,Q13*0.15%,"")</f>
        <v>1716.4568349284932</v>
      </c>
    </row>
    <row r="15" spans="1:22" x14ac:dyDescent="0.35">
      <c r="A15">
        <v>13</v>
      </c>
      <c r="B15" s="14">
        <f t="shared" ca="1" si="9"/>
        <v>46463</v>
      </c>
      <c r="C15" s="15">
        <f ca="1">(1+'Dane do harmonogramu'!$C$13*('Roboczy harmonogram'!B15-'Roboczy harmonogram'!B14)/365)</f>
        <v>1.004909589041096</v>
      </c>
      <c r="D15" s="15">
        <f ca="1">(1+'Dane do harmonogramu'!$C$13*('Roboczy harmonogram'!B15-'Roboczy harmonogram'!B14)/366)</f>
        <v>1.004896174863388</v>
      </c>
      <c r="E15" s="15">
        <f t="shared" ca="1" si="0"/>
        <v>0</v>
      </c>
      <c r="F15" s="15">
        <f t="shared" ca="1" si="1"/>
        <v>0</v>
      </c>
      <c r="G15">
        <f ca="1">IF(E15=1,(1+'Dane do harmonogramu'!$C$13*((('Roboczy harmonogram'!B15-DATE(YEAR(B15),1,1)+1)/365)+((DATE(YEAR(B14),12,31)-'Roboczy harmonogram'!B14)/366))),IF(F15=1,(1+'Dane do harmonogramu'!$C$13*((('Roboczy harmonogram'!B15-DATE(YEAR(B15),1,1)+1)/366)+((DATE(YEAR(B14),12,31)-'Roboczy harmonogram'!B14)/365))),0))</f>
        <v>0</v>
      </c>
      <c r="H15">
        <f t="shared" ca="1" si="2"/>
        <v>0</v>
      </c>
      <c r="I15">
        <f t="shared" ca="1" si="3"/>
        <v>1.004909589041096</v>
      </c>
      <c r="J15">
        <f t="shared" ca="1" si="4"/>
        <v>1.004909589041096</v>
      </c>
      <c r="K15">
        <f ca="1">PRODUCT($J$3:J15)</f>
        <v>1.068714459360252</v>
      </c>
      <c r="L15">
        <f t="shared" ca="1" si="5"/>
        <v>0.9357036308824852</v>
      </c>
      <c r="M15">
        <f ca="1">SUM($L$3:L15)</f>
        <v>12.55902502105001</v>
      </c>
      <c r="O15">
        <f t="shared" ca="1" si="6"/>
        <v>5580.510877693072</v>
      </c>
      <c r="P15" s="16">
        <f t="shared" ca="1" si="7"/>
        <v>8288.6499946466593</v>
      </c>
      <c r="Q15" s="17">
        <f t="shared" ca="1" si="8"/>
        <v>1128366.7464104532</v>
      </c>
      <c r="S15">
        <f ca="1">IF(A15&lt;='Dane do harmonogramu'!$C$7,'Roboczy harmonogram'!P15,0)</f>
        <v>8288.6499946466593</v>
      </c>
      <c r="T15">
        <f ca="1">IF(A15&lt;='Dane do harmonogramu'!$C$7,'Roboczy harmonogram'!O15,0)</f>
        <v>5580.510877693072</v>
      </c>
      <c r="U15">
        <f ca="1">IF(A15&lt;='Dane do harmonogramu'!$C$7,$N$2,0)</f>
        <v>13869.160872339731</v>
      </c>
      <c r="V15" s="16">
        <f ca="1">IF(A14&lt;='Dane do harmonogramu'!$C$7,Q14*0.15%,"")</f>
        <v>1704.9830946076499</v>
      </c>
    </row>
    <row r="16" spans="1:22" x14ac:dyDescent="0.35">
      <c r="A16">
        <v>14</v>
      </c>
      <c r="B16" s="14">
        <f t="shared" ca="1" si="9"/>
        <v>46494</v>
      </c>
      <c r="C16" s="15">
        <f ca="1">(1+'Dane do harmonogramu'!$C$13*('Roboczy harmonogram'!B16-'Roboczy harmonogram'!B15)/365)</f>
        <v>1.0054356164383562</v>
      </c>
      <c r="D16" s="15">
        <f ca="1">(1+'Dane do harmonogramu'!$C$13*('Roboczy harmonogram'!B16-'Roboczy harmonogram'!B15)/366)</f>
        <v>1.0054207650273224</v>
      </c>
      <c r="E16" s="15">
        <f t="shared" ca="1" si="0"/>
        <v>0</v>
      </c>
      <c r="F16" s="15">
        <f t="shared" ca="1" si="1"/>
        <v>0</v>
      </c>
      <c r="G16">
        <f ca="1">IF(E16=1,(1+'Dane do harmonogramu'!$C$13*((('Roboczy harmonogram'!B16-DATE(YEAR(B16),1,1)+1)/365)+((DATE(YEAR(B15),12,31)-'Roboczy harmonogram'!B15)/366))),IF(F16=1,(1+'Dane do harmonogramu'!$C$13*((('Roboczy harmonogram'!B16-DATE(YEAR(B16),1,1)+1)/366)+((DATE(YEAR(B15),12,31)-'Roboczy harmonogram'!B15)/365))),0))</f>
        <v>0</v>
      </c>
      <c r="H16">
        <f t="shared" ca="1" si="2"/>
        <v>0</v>
      </c>
      <c r="I16">
        <f t="shared" ca="1" si="3"/>
        <v>1.0054356164383562</v>
      </c>
      <c r="J16">
        <f t="shared" ca="1" si="4"/>
        <v>1.0054356164383562</v>
      </c>
      <c r="K16">
        <f ca="1">PRODUCT($J$3:J16)</f>
        <v>1.0745235812434595</v>
      </c>
      <c r="L16">
        <f t="shared" ca="1" si="5"/>
        <v>0.93064500161344121</v>
      </c>
      <c r="M16">
        <f ca="1">SUM($L$3:L16)</f>
        <v>13.489670022663452</v>
      </c>
      <c r="O16">
        <f t="shared" ca="1" si="6"/>
        <v>6133.3688352832105</v>
      </c>
      <c r="P16" s="16">
        <f t="shared" ca="1" si="7"/>
        <v>7735.7920370565207</v>
      </c>
      <c r="Q16" s="17">
        <f t="shared" ca="1" si="8"/>
        <v>1120630.9543733967</v>
      </c>
      <c r="S16">
        <f ca="1">IF(A16&lt;='Dane do harmonogramu'!$C$7,'Roboczy harmonogram'!P16,0)</f>
        <v>7735.7920370565207</v>
      </c>
      <c r="T16">
        <f ca="1">IF(A16&lt;='Dane do harmonogramu'!$C$7,'Roboczy harmonogram'!O16,0)</f>
        <v>6133.3688352832105</v>
      </c>
      <c r="U16">
        <f ca="1">IF(A16&lt;='Dane do harmonogramu'!$C$7,$N$2,0)</f>
        <v>13869.160872339731</v>
      </c>
      <c r="V16" s="16">
        <f ca="1">IF(A15&lt;='Dane do harmonogramu'!$C$7,Q15*0.15%,"")</f>
        <v>1692.5501196156799</v>
      </c>
    </row>
    <row r="17" spans="1:22" x14ac:dyDescent="0.35">
      <c r="A17">
        <v>15</v>
      </c>
      <c r="B17" s="14">
        <f t="shared" ca="1" si="9"/>
        <v>46524</v>
      </c>
      <c r="C17" s="15">
        <f ca="1">(1+'Dane do harmonogramu'!$C$13*('Roboczy harmonogram'!B17-'Roboczy harmonogram'!B16)/365)</f>
        <v>1.0052602739726026</v>
      </c>
      <c r="D17" s="15">
        <f ca="1">(1+'Dane do harmonogramu'!$C$13*('Roboczy harmonogram'!B17-'Roboczy harmonogram'!B16)/366)</f>
        <v>1.0052459016393442</v>
      </c>
      <c r="E17" s="15">
        <f t="shared" ca="1" si="0"/>
        <v>0</v>
      </c>
      <c r="F17" s="15">
        <f t="shared" ca="1" si="1"/>
        <v>0</v>
      </c>
      <c r="G17">
        <f ca="1">IF(E17=1,(1+'Dane do harmonogramu'!$C$13*((('Roboczy harmonogram'!B17-DATE(YEAR(B17),1,1)+1)/365)+((DATE(YEAR(B16),12,31)-'Roboczy harmonogram'!B16)/366))),IF(F17=1,(1+'Dane do harmonogramu'!$C$13*((('Roboczy harmonogram'!B17-DATE(YEAR(B17),1,1)+1)/366)+((DATE(YEAR(B16),12,31)-'Roboczy harmonogram'!B16)/365))),0))</f>
        <v>0</v>
      </c>
      <c r="H17">
        <f t="shared" ca="1" si="2"/>
        <v>0</v>
      </c>
      <c r="I17">
        <f t="shared" ca="1" si="3"/>
        <v>1.0052602739726026</v>
      </c>
      <c r="J17">
        <f t="shared" ca="1" si="4"/>
        <v>1.0052602739726026</v>
      </c>
      <c r="K17">
        <f ca="1">PRODUCT($J$3:J17)</f>
        <v>1.0801758696708221</v>
      </c>
      <c r="L17">
        <f t="shared" ca="1" si="5"/>
        <v>0.92577517057916203</v>
      </c>
      <c r="M17">
        <f ca="1">SUM($L$3:L17)</f>
        <v>14.415445193242613</v>
      </c>
      <c r="O17">
        <f t="shared" ca="1" si="6"/>
        <v>5894.8258421833161</v>
      </c>
      <c r="P17" s="16">
        <f t="shared" ca="1" si="7"/>
        <v>7974.3350301564151</v>
      </c>
      <c r="Q17" s="17">
        <f t="shared" ca="1" si="8"/>
        <v>1112656.6193432403</v>
      </c>
      <c r="S17">
        <f ca="1">IF(A17&lt;='Dane do harmonogramu'!$C$7,'Roboczy harmonogram'!P17,0)</f>
        <v>7974.3350301564151</v>
      </c>
      <c r="T17">
        <f ca="1">IF(A17&lt;='Dane do harmonogramu'!$C$7,'Roboczy harmonogram'!O17,0)</f>
        <v>5894.8258421833161</v>
      </c>
      <c r="U17">
        <f ca="1">IF(A17&lt;='Dane do harmonogramu'!$C$7,$N$2,0)</f>
        <v>13869.160872339731</v>
      </c>
      <c r="V17" s="16">
        <f ca="1">IF(A16&lt;='Dane do harmonogramu'!$C$7,Q16*0.15%,"")</f>
        <v>1680.9464315600951</v>
      </c>
    </row>
    <row r="18" spans="1:22" x14ac:dyDescent="0.35">
      <c r="A18">
        <v>16</v>
      </c>
      <c r="B18" s="14">
        <f t="shared" ca="1" si="9"/>
        <v>46555</v>
      </c>
      <c r="C18" s="15">
        <f ca="1">(1+'Dane do harmonogramu'!$C$13*('Roboczy harmonogram'!B18-'Roboczy harmonogram'!B17)/365)</f>
        <v>1.0054356164383562</v>
      </c>
      <c r="D18" s="15">
        <f ca="1">(1+'Dane do harmonogramu'!$C$13*('Roboczy harmonogram'!B18-'Roboczy harmonogram'!B17)/366)</f>
        <v>1.0054207650273224</v>
      </c>
      <c r="E18" s="15">
        <f t="shared" ca="1" si="0"/>
        <v>0</v>
      </c>
      <c r="F18" s="15">
        <f t="shared" ca="1" si="1"/>
        <v>0</v>
      </c>
      <c r="G18">
        <f ca="1">IF(E18=1,(1+'Dane do harmonogramu'!$C$13*((('Roboczy harmonogram'!B18-DATE(YEAR(B18),1,1)+1)/365)+((DATE(YEAR(B17),12,31)-'Roboczy harmonogram'!B17)/366))),IF(F18=1,(1+'Dane do harmonogramu'!$C$13*((('Roboczy harmonogram'!B18-DATE(YEAR(B18),1,1)+1)/366)+((DATE(YEAR(B17),12,31)-'Roboczy harmonogram'!B17)/365))),0))</f>
        <v>0</v>
      </c>
      <c r="H18">
        <f t="shared" ca="1" si="2"/>
        <v>0</v>
      </c>
      <c r="I18">
        <f t="shared" ca="1" si="3"/>
        <v>1.0054356164383562</v>
      </c>
      <c r="J18">
        <f t="shared" ca="1" si="4"/>
        <v>1.0054356164383562</v>
      </c>
      <c r="K18">
        <f ca="1">PRODUCT($J$3:J18)</f>
        <v>1.0860472913843207</v>
      </c>
      <c r="L18">
        <f t="shared" ca="1" si="5"/>
        <v>0.92077021685248972</v>
      </c>
      <c r="M18">
        <f ca="1">SUM($L$3:L18)</f>
        <v>15.336215410095102</v>
      </c>
      <c r="O18">
        <f t="shared" ca="1" si="6"/>
        <v>6047.9746103479993</v>
      </c>
      <c r="P18" s="16">
        <f t="shared" ca="1" si="7"/>
        <v>7821.186261991732</v>
      </c>
      <c r="Q18" s="17">
        <f t="shared" ca="1" si="8"/>
        <v>1104835.4330812485</v>
      </c>
      <c r="S18">
        <f ca="1">IF(A18&lt;='Dane do harmonogramu'!$C$7,'Roboczy harmonogram'!P18,0)</f>
        <v>7821.186261991732</v>
      </c>
      <c r="T18">
        <f ca="1">IF(A18&lt;='Dane do harmonogramu'!$C$7,'Roboczy harmonogram'!O18,0)</f>
        <v>6047.9746103479993</v>
      </c>
      <c r="U18">
        <f ca="1">IF(A18&lt;='Dane do harmonogramu'!$C$7,$N$2,0)</f>
        <v>13869.160872339731</v>
      </c>
      <c r="V18" s="16">
        <f ca="1">IF(A17&lt;='Dane do harmonogramu'!$C$7,Q17*0.15%,"")</f>
        <v>1668.9849290148604</v>
      </c>
    </row>
    <row r="19" spans="1:22" x14ac:dyDescent="0.35">
      <c r="A19">
        <v>17</v>
      </c>
      <c r="B19" s="14">
        <f t="shared" ca="1" si="9"/>
        <v>46585</v>
      </c>
      <c r="C19" s="15">
        <f ca="1">(1+'Dane do harmonogramu'!$C$13*('Roboczy harmonogram'!B19-'Roboczy harmonogram'!B18)/365)</f>
        <v>1.0052602739726026</v>
      </c>
      <c r="D19" s="15">
        <f ca="1">(1+'Dane do harmonogramu'!$C$13*('Roboczy harmonogram'!B19-'Roboczy harmonogram'!B18)/366)</f>
        <v>1.0052459016393442</v>
      </c>
      <c r="E19" s="15">
        <f t="shared" ca="1" si="0"/>
        <v>0</v>
      </c>
      <c r="F19" s="15">
        <f t="shared" ca="1" si="1"/>
        <v>0</v>
      </c>
      <c r="G19">
        <f ca="1">IF(E19=1,(1+'Dane do harmonogramu'!$C$13*((('Roboczy harmonogram'!B19-DATE(YEAR(B19),1,1)+1)/365)+((DATE(YEAR(B18),12,31)-'Roboczy harmonogram'!B18)/366))),IF(F19=1,(1+'Dane do harmonogramu'!$C$13*((('Roboczy harmonogram'!B19-DATE(YEAR(B19),1,1)+1)/366)+((DATE(YEAR(B18),12,31)-'Roboczy harmonogram'!B18)/365))),0))</f>
        <v>0</v>
      </c>
      <c r="H19">
        <f t="shared" ca="1" si="2"/>
        <v>0</v>
      </c>
      <c r="I19">
        <f t="shared" ca="1" si="3"/>
        <v>1.0052602739726026</v>
      </c>
      <c r="J19">
        <f t="shared" ca="1" si="4"/>
        <v>1.0052602739726026</v>
      </c>
      <c r="K19">
        <f ca="1">PRODUCT($J$3:J19)</f>
        <v>1.0917601976842053</v>
      </c>
      <c r="L19">
        <f t="shared" ca="1" si="5"/>
        <v>0.91595205808121316</v>
      </c>
      <c r="M19">
        <f ca="1">SUM($L$3:L19)</f>
        <v>16.252167468176314</v>
      </c>
      <c r="O19">
        <f t="shared" ca="1" si="6"/>
        <v>5811.7370726463851</v>
      </c>
      <c r="P19" s="16">
        <f t="shared" ca="1" si="7"/>
        <v>8057.4237996933462</v>
      </c>
      <c r="Q19" s="17">
        <f t="shared" ca="1" si="8"/>
        <v>1096778.0092815552</v>
      </c>
      <c r="S19">
        <f ca="1">IF(A19&lt;='Dane do harmonogramu'!$C$7,'Roboczy harmonogram'!P19,0)</f>
        <v>8057.4237996933462</v>
      </c>
      <c r="T19">
        <f ca="1">IF(A19&lt;='Dane do harmonogramu'!$C$7,'Roboczy harmonogram'!O19,0)</f>
        <v>5811.7370726463851</v>
      </c>
      <c r="U19">
        <f ca="1">IF(A19&lt;='Dane do harmonogramu'!$C$7,$N$2,0)</f>
        <v>13869.160872339731</v>
      </c>
      <c r="V19" s="16">
        <f ca="1">IF(A18&lt;='Dane do harmonogramu'!$C$7,Q18*0.15%,"")</f>
        <v>1657.2531496218728</v>
      </c>
    </row>
    <row r="20" spans="1:22" x14ac:dyDescent="0.35">
      <c r="A20">
        <v>18</v>
      </c>
      <c r="B20" s="14">
        <f t="shared" ca="1" si="9"/>
        <v>46616</v>
      </c>
      <c r="C20" s="15">
        <f ca="1">(1+'Dane do harmonogramu'!$C$13*('Roboczy harmonogram'!B20-'Roboczy harmonogram'!B19)/365)</f>
        <v>1.0054356164383562</v>
      </c>
      <c r="D20" s="15">
        <f ca="1">(1+'Dane do harmonogramu'!$C$13*('Roboczy harmonogram'!B20-'Roboczy harmonogram'!B19)/366)</f>
        <v>1.0054207650273224</v>
      </c>
      <c r="E20" s="15">
        <f t="shared" ca="1" si="0"/>
        <v>0</v>
      </c>
      <c r="F20" s="15">
        <f t="shared" ca="1" si="1"/>
        <v>0</v>
      </c>
      <c r="G20">
        <f ca="1">IF(E20=1,(1+'Dane do harmonogramu'!$C$13*((('Roboczy harmonogram'!B20-DATE(YEAR(B20),1,1)+1)/365)+((DATE(YEAR(B19),12,31)-'Roboczy harmonogram'!B19)/366))),IF(F20=1,(1+'Dane do harmonogramu'!$C$13*((('Roboczy harmonogram'!B20-DATE(YEAR(B20),1,1)+1)/366)+((DATE(YEAR(B19),12,31)-'Roboczy harmonogram'!B19)/365))),0))</f>
        <v>0</v>
      </c>
      <c r="H20">
        <f t="shared" ca="1" si="2"/>
        <v>0</v>
      </c>
      <c r="I20">
        <f t="shared" ca="1" si="3"/>
        <v>1.0054356164383562</v>
      </c>
      <c r="J20">
        <f t="shared" ca="1" si="4"/>
        <v>1.0054356164383562</v>
      </c>
      <c r="K20">
        <f ca="1">PRODUCT($J$3:J20)</f>
        <v>1.0976945873614805</v>
      </c>
      <c r="L20">
        <f t="shared" ca="1" si="5"/>
        <v>0.91100021036242129</v>
      </c>
      <c r="M20">
        <f ca="1">SUM($L$3:L20)</f>
        <v>17.163167678538734</v>
      </c>
      <c r="O20">
        <f t="shared" ca="1" si="6"/>
        <v>5961.6645764785353</v>
      </c>
      <c r="P20" s="16">
        <f t="shared" ca="1" si="7"/>
        <v>7907.4962958611959</v>
      </c>
      <c r="Q20" s="17">
        <f t="shared" ca="1" si="8"/>
        <v>1088870.512985694</v>
      </c>
      <c r="S20">
        <f ca="1">IF(A20&lt;='Dane do harmonogramu'!$C$7,'Roboczy harmonogram'!P20,0)</f>
        <v>7907.4962958611959</v>
      </c>
      <c r="T20">
        <f ca="1">IF(A20&lt;='Dane do harmonogramu'!$C$7,'Roboczy harmonogram'!O20,0)</f>
        <v>5961.6645764785353</v>
      </c>
      <c r="U20">
        <f ca="1">IF(A20&lt;='Dane do harmonogramu'!$C$7,$N$2,0)</f>
        <v>13869.160872339731</v>
      </c>
      <c r="V20" s="16">
        <f ca="1">IF(A19&lt;='Dane do harmonogramu'!$C$7,Q19*0.15%,"")</f>
        <v>1645.1670139223329</v>
      </c>
    </row>
    <row r="21" spans="1:22" x14ac:dyDescent="0.35">
      <c r="A21">
        <v>19</v>
      </c>
      <c r="B21" s="14">
        <f t="shared" ca="1" si="9"/>
        <v>46647</v>
      </c>
      <c r="C21" s="15">
        <f ca="1">(1+'Dane do harmonogramu'!$C$13*('Roboczy harmonogram'!B21-'Roboczy harmonogram'!B20)/365)</f>
        <v>1.0054356164383562</v>
      </c>
      <c r="D21" s="15">
        <f ca="1">(1+'Dane do harmonogramu'!$C$13*('Roboczy harmonogram'!B21-'Roboczy harmonogram'!B20)/366)</f>
        <v>1.0054207650273224</v>
      </c>
      <c r="E21" s="15">
        <f t="shared" ca="1" si="0"/>
        <v>0</v>
      </c>
      <c r="F21" s="15">
        <f t="shared" ca="1" si="1"/>
        <v>0</v>
      </c>
      <c r="G21">
        <f ca="1">IF(E21=1,(1+'Dane do harmonogramu'!$C$13*((('Roboczy harmonogram'!B21-DATE(YEAR(B21),1,1)+1)/365)+((DATE(YEAR(B20),12,31)-'Roboczy harmonogram'!B20)/366))),IF(F21=1,(1+'Dane do harmonogramu'!$C$13*((('Roboczy harmonogram'!B21-DATE(YEAR(B21),1,1)+1)/366)+((DATE(YEAR(B20),12,31)-'Roboczy harmonogram'!B20)/365))),0))</f>
        <v>0</v>
      </c>
      <c r="H21">
        <f t="shared" ca="1" si="2"/>
        <v>0</v>
      </c>
      <c r="I21">
        <f t="shared" ca="1" si="3"/>
        <v>1.0054356164383562</v>
      </c>
      <c r="J21">
        <f t="shared" ca="1" si="4"/>
        <v>1.0054356164383562</v>
      </c>
      <c r="K21">
        <f ca="1">PRODUCT($J$3:J21)</f>
        <v>1.1036612341048373</v>
      </c>
      <c r="L21">
        <f t="shared" ca="1" si="5"/>
        <v>0.9060751334725321</v>
      </c>
      <c r="M21">
        <f ca="1">SUM($L$3:L21)</f>
        <v>18.069242812011268</v>
      </c>
      <c r="O21">
        <f t="shared" ca="1" si="6"/>
        <v>5918.6824596263468</v>
      </c>
      <c r="P21" s="16">
        <f t="shared" ca="1" si="7"/>
        <v>7950.4784127133844</v>
      </c>
      <c r="Q21" s="17">
        <f t="shared" ca="1" si="8"/>
        <v>1080920.0345729806</v>
      </c>
      <c r="S21">
        <f ca="1">IF(A21&lt;='Dane do harmonogramu'!$C$7,'Roboczy harmonogram'!P21,0)</f>
        <v>7950.4784127133844</v>
      </c>
      <c r="T21">
        <f ca="1">IF(A21&lt;='Dane do harmonogramu'!$C$7,'Roboczy harmonogram'!O21,0)</f>
        <v>5918.6824596263468</v>
      </c>
      <c r="U21">
        <f ca="1">IF(A21&lt;='Dane do harmonogramu'!$C$7,$N$2,0)</f>
        <v>13869.160872339731</v>
      </c>
      <c r="V21" s="16">
        <f ca="1">IF(A20&lt;='Dane do harmonogramu'!$C$7,Q20*0.15%,"")</f>
        <v>1633.3057694785409</v>
      </c>
    </row>
    <row r="22" spans="1:22" x14ac:dyDescent="0.35">
      <c r="A22">
        <v>20</v>
      </c>
      <c r="B22" s="14">
        <f t="shared" ca="1" si="9"/>
        <v>46677</v>
      </c>
      <c r="C22" s="15">
        <f ca="1">(1+'Dane do harmonogramu'!$C$13*('Roboczy harmonogram'!B22-'Roboczy harmonogram'!B21)/365)</f>
        <v>1.0052602739726026</v>
      </c>
      <c r="D22" s="15">
        <f ca="1">(1+'Dane do harmonogramu'!$C$13*('Roboczy harmonogram'!B22-'Roboczy harmonogram'!B21)/366)</f>
        <v>1.0052459016393442</v>
      </c>
      <c r="E22" s="15">
        <f t="shared" ca="1" si="0"/>
        <v>0</v>
      </c>
      <c r="F22" s="15">
        <f t="shared" ca="1" si="1"/>
        <v>0</v>
      </c>
      <c r="G22">
        <f ca="1">IF(E22=1,(1+'Dane do harmonogramu'!$C$13*((('Roboczy harmonogram'!B22-DATE(YEAR(B22),1,1)+1)/365)+((DATE(YEAR(B21),12,31)-'Roboczy harmonogram'!B21)/366))),IF(F22=1,(1+'Dane do harmonogramu'!$C$13*((('Roboczy harmonogram'!B22-DATE(YEAR(B22),1,1)+1)/366)+((DATE(YEAR(B21),12,31)-'Roboczy harmonogram'!B21)/365))),0))</f>
        <v>0</v>
      </c>
      <c r="H22">
        <f t="shared" ca="1" si="2"/>
        <v>0</v>
      </c>
      <c r="I22">
        <f t="shared" ca="1" si="3"/>
        <v>1.0052602739726026</v>
      </c>
      <c r="J22">
        <f t="shared" ca="1" si="4"/>
        <v>1.0052602739726026</v>
      </c>
      <c r="K22">
        <f ca="1">PRODUCT($J$3:J22)</f>
        <v>1.1094667945691694</v>
      </c>
      <c r="L22">
        <f t="shared" ca="1" si="5"/>
        <v>0.90133387037358081</v>
      </c>
      <c r="M22">
        <f ca="1">SUM($L$3:L22)</f>
        <v>18.970576682384849</v>
      </c>
      <c r="O22">
        <f t="shared" ca="1" si="6"/>
        <v>5685.9355243290775</v>
      </c>
      <c r="P22" s="16">
        <f t="shared" ca="1" si="7"/>
        <v>8183.2253480106538</v>
      </c>
      <c r="Q22" s="17">
        <f t="shared" ca="1" si="8"/>
        <v>1072736.8092249699</v>
      </c>
      <c r="S22">
        <f ca="1">IF(A22&lt;='Dane do harmonogramu'!$C$7,'Roboczy harmonogram'!P22,0)</f>
        <v>8183.2253480106538</v>
      </c>
      <c r="T22">
        <f ca="1">IF(A22&lt;='Dane do harmonogramu'!$C$7,'Roboczy harmonogram'!O22,0)</f>
        <v>5685.9355243290775</v>
      </c>
      <c r="U22">
        <f ca="1">IF(A22&lt;='Dane do harmonogramu'!$C$7,$N$2,0)</f>
        <v>13869.160872339731</v>
      </c>
      <c r="V22" s="16">
        <f ca="1">IF(A21&lt;='Dane do harmonogramu'!$C$7,Q21*0.15%,"")</f>
        <v>1621.380051859471</v>
      </c>
    </row>
    <row r="23" spans="1:22" x14ac:dyDescent="0.35">
      <c r="A23">
        <v>21</v>
      </c>
      <c r="B23" s="14">
        <f t="shared" ca="1" si="9"/>
        <v>46708</v>
      </c>
      <c r="C23" s="15">
        <f ca="1">(1+'Dane do harmonogramu'!$C$13*('Roboczy harmonogram'!B23-'Roboczy harmonogram'!B22)/365)</f>
        <v>1.0054356164383562</v>
      </c>
      <c r="D23" s="15">
        <f ca="1">(1+'Dane do harmonogramu'!$C$13*('Roboczy harmonogram'!B23-'Roboczy harmonogram'!B22)/366)</f>
        <v>1.0054207650273224</v>
      </c>
      <c r="E23" s="15">
        <f t="shared" ca="1" si="0"/>
        <v>0</v>
      </c>
      <c r="F23" s="15">
        <f t="shared" ca="1" si="1"/>
        <v>0</v>
      </c>
      <c r="G23">
        <f ca="1">IF(E23=1,(1+'Dane do harmonogramu'!$C$13*((('Roboczy harmonogram'!B23-DATE(YEAR(B23),1,1)+1)/365)+((DATE(YEAR(B22),12,31)-'Roboczy harmonogram'!B22)/366))),IF(F23=1,(1+'Dane do harmonogramu'!$C$13*((('Roboczy harmonogram'!B23-DATE(YEAR(B23),1,1)+1)/366)+((DATE(YEAR(B22),12,31)-'Roboczy harmonogram'!B22)/365))),0))</f>
        <v>0</v>
      </c>
      <c r="H23">
        <f t="shared" ca="1" si="2"/>
        <v>0</v>
      </c>
      <c r="I23">
        <f t="shared" ca="1" si="3"/>
        <v>1.0054356164383562</v>
      </c>
      <c r="J23">
        <f t="shared" ca="1" si="4"/>
        <v>1.0054356164383562</v>
      </c>
      <c r="K23">
        <f ca="1">PRODUCT($J$3:J23)</f>
        <v>1.1154974305155401</v>
      </c>
      <c r="L23">
        <f t="shared" ca="1" si="5"/>
        <v>0.89646105194329173</v>
      </c>
      <c r="M23">
        <f ca="1">SUM($L$3:L23)</f>
        <v>19.867037734328139</v>
      </c>
      <c r="O23">
        <f t="shared" ca="1" si="6"/>
        <v>5830.9858342530206</v>
      </c>
      <c r="P23" s="16">
        <f t="shared" ca="1" si="7"/>
        <v>8038.1750380867106</v>
      </c>
      <c r="Q23" s="17">
        <f t="shared" ca="1" si="8"/>
        <v>1064698.6341868832</v>
      </c>
      <c r="S23">
        <f ca="1">IF(A23&lt;='Dane do harmonogramu'!$C$7,'Roboczy harmonogram'!P23,0)</f>
        <v>8038.1750380867106</v>
      </c>
      <c r="T23">
        <f ca="1">IF(A23&lt;='Dane do harmonogramu'!$C$7,'Roboczy harmonogram'!O23,0)</f>
        <v>5830.9858342530206</v>
      </c>
      <c r="U23">
        <f ca="1">IF(A23&lt;='Dane do harmonogramu'!$C$7,$N$2,0)</f>
        <v>13869.160872339731</v>
      </c>
      <c r="V23" s="16">
        <f ca="1">IF(A22&lt;='Dane do harmonogramu'!$C$7,Q22*0.15%,"")</f>
        <v>1609.105213837455</v>
      </c>
    </row>
    <row r="24" spans="1:22" x14ac:dyDescent="0.35">
      <c r="A24">
        <v>22</v>
      </c>
      <c r="B24" s="14">
        <f t="shared" ca="1" si="9"/>
        <v>46738</v>
      </c>
      <c r="C24" s="15">
        <f ca="1">(1+'Dane do harmonogramu'!$C$13*('Roboczy harmonogram'!B24-'Roboczy harmonogram'!B23)/365)</f>
        <v>1.0052602739726026</v>
      </c>
      <c r="D24" s="15">
        <f ca="1">(1+'Dane do harmonogramu'!$C$13*('Roboczy harmonogram'!B24-'Roboczy harmonogram'!B23)/366)</f>
        <v>1.0052459016393442</v>
      </c>
      <c r="E24" s="15">
        <f t="shared" ca="1" si="0"/>
        <v>0</v>
      </c>
      <c r="F24" s="15">
        <f t="shared" ca="1" si="1"/>
        <v>0</v>
      </c>
      <c r="G24">
        <f ca="1">IF(E24=1,(1+'Dane do harmonogramu'!$C$13*((('Roboczy harmonogram'!B24-DATE(YEAR(B24),1,1)+1)/365)+((DATE(YEAR(B23),12,31)-'Roboczy harmonogram'!B23)/366))),IF(F24=1,(1+'Dane do harmonogramu'!$C$13*((('Roboczy harmonogram'!B24-DATE(YEAR(B24),1,1)+1)/366)+((DATE(YEAR(B23),12,31)-'Roboczy harmonogram'!B23)/365))),0))</f>
        <v>0</v>
      </c>
      <c r="H24">
        <f t="shared" ca="1" si="2"/>
        <v>0</v>
      </c>
      <c r="I24">
        <f t="shared" ca="1" si="3"/>
        <v>1.0052602739726026</v>
      </c>
      <c r="J24">
        <f t="shared" ca="1" si="4"/>
        <v>1.0052602739726026</v>
      </c>
      <c r="K24">
        <f ca="1">PRODUCT($J$3:J24)</f>
        <v>1.121365252615786</v>
      </c>
      <c r="L24">
        <f t="shared" ca="1" si="5"/>
        <v>0.89177009691295517</v>
      </c>
      <c r="M24">
        <f ca="1">SUM($L$3:L24)</f>
        <v>20.758807831241093</v>
      </c>
      <c r="O24">
        <f t="shared" ca="1" si="6"/>
        <v>5600.6065140787978</v>
      </c>
      <c r="P24" s="16">
        <f t="shared" ca="1" si="7"/>
        <v>8268.5543582609334</v>
      </c>
      <c r="Q24" s="17">
        <f t="shared" ca="1" si="8"/>
        <v>1056430.0798286223</v>
      </c>
      <c r="S24">
        <f ca="1">IF(A24&lt;='Dane do harmonogramu'!$C$7,'Roboczy harmonogram'!P24,0)</f>
        <v>8268.5543582609334</v>
      </c>
      <c r="T24">
        <f ca="1">IF(A24&lt;='Dane do harmonogramu'!$C$7,'Roboczy harmonogram'!O24,0)</f>
        <v>5600.6065140787978</v>
      </c>
      <c r="U24">
        <f ca="1">IF(A24&lt;='Dane do harmonogramu'!$C$7,$N$2,0)</f>
        <v>13869.160872339731</v>
      </c>
      <c r="V24" s="16">
        <f ca="1">IF(A23&lt;='Dane do harmonogramu'!$C$7,Q23*0.15%,"")</f>
        <v>1597.0479512803249</v>
      </c>
    </row>
    <row r="25" spans="1:22" x14ac:dyDescent="0.35">
      <c r="A25">
        <v>23</v>
      </c>
      <c r="B25" s="14">
        <f t="shared" ca="1" si="9"/>
        <v>46769</v>
      </c>
      <c r="C25" s="15">
        <f ca="1">(1+'Dane do harmonogramu'!$C$13*('Roboczy harmonogram'!B25-'Roboczy harmonogram'!B24)/365)</f>
        <v>1.0054356164383562</v>
      </c>
      <c r="D25" s="15">
        <f ca="1">(1+'Dane do harmonogramu'!$C$13*('Roboczy harmonogram'!B25-'Roboczy harmonogram'!B24)/366)</f>
        <v>1.0054207650273224</v>
      </c>
      <c r="E25" s="15">
        <f t="shared" ca="1" si="0"/>
        <v>0</v>
      </c>
      <c r="F25" s="15">
        <f t="shared" ca="1" si="1"/>
        <v>1</v>
      </c>
      <c r="G25">
        <f ca="1">IF(E25=1,(1+'Dane do harmonogramu'!$C$13*((('Roboczy harmonogram'!B25-DATE(YEAR(B25),1,1)+1)/365)+((DATE(YEAR(B24),12,31)-'Roboczy harmonogram'!B24)/366))),IF(F25=1,(1+'Dane do harmonogramu'!$C$13*((('Roboczy harmonogram'!B25-DATE(YEAR(B25),1,1)+1)/366)+((DATE(YEAR(B24),12,31)-'Roboczy harmonogram'!B24)/365))),0))</f>
        <v>1.0054274721161764</v>
      </c>
      <c r="H25">
        <f t="shared" ca="1" si="2"/>
        <v>1</v>
      </c>
      <c r="I25">
        <f t="shared" ca="1" si="3"/>
        <v>1.0054207650273224</v>
      </c>
      <c r="J25">
        <f t="shared" ca="1" si="4"/>
        <v>1.0054274721161764</v>
      </c>
      <c r="K25">
        <f ca="1">PRODUCT($J$3:J25)</f>
        <v>1.1274514312564075</v>
      </c>
      <c r="L25">
        <f t="shared" ca="1" si="5"/>
        <v>0.88695616704803115</v>
      </c>
      <c r="M25">
        <f ca="1">SUM($L$3:L25)</f>
        <v>21.645763998289123</v>
      </c>
      <c r="O25">
        <f t="shared" ca="1" si="6"/>
        <v>5733.7448009599466</v>
      </c>
      <c r="P25" s="16">
        <f t="shared" ca="1" si="7"/>
        <v>8135.4160713797846</v>
      </c>
      <c r="Q25" s="17">
        <f t="shared" ca="1" si="8"/>
        <v>1048294.6637572425</v>
      </c>
      <c r="S25">
        <f ca="1">IF(A25&lt;='Dane do harmonogramu'!$C$7,'Roboczy harmonogram'!P25,0)</f>
        <v>8135.4160713797846</v>
      </c>
      <c r="T25">
        <f ca="1">IF(A25&lt;='Dane do harmonogramu'!$C$7,'Roboczy harmonogram'!O25,0)</f>
        <v>5733.7448009599466</v>
      </c>
      <c r="U25">
        <f ca="1">IF(A25&lt;='Dane do harmonogramu'!$C$7,$N$2,0)</f>
        <v>13869.160872339731</v>
      </c>
      <c r="V25" s="16">
        <f ca="1">IF(A24&lt;='Dane do harmonogramu'!$C$7,Q24*0.15%,"")</f>
        <v>1584.6451197429335</v>
      </c>
    </row>
    <row r="26" spans="1:22" x14ac:dyDescent="0.35">
      <c r="A26">
        <v>24</v>
      </c>
      <c r="B26" s="14">
        <f t="shared" ca="1" si="9"/>
        <v>46800</v>
      </c>
      <c r="C26" s="15">
        <f ca="1">(1+'Dane do harmonogramu'!$C$13*('Roboczy harmonogram'!B26-'Roboczy harmonogram'!B25)/365)</f>
        <v>1.0054356164383562</v>
      </c>
      <c r="D26" s="15">
        <f ca="1">(1+'Dane do harmonogramu'!$C$13*('Roboczy harmonogram'!B26-'Roboczy harmonogram'!B25)/366)</f>
        <v>1.0054207650273224</v>
      </c>
      <c r="E26" s="15">
        <f t="shared" ca="1" si="0"/>
        <v>0</v>
      </c>
      <c r="F26" s="15">
        <f t="shared" ca="1" si="1"/>
        <v>0</v>
      </c>
      <c r="G26">
        <f ca="1">IF(E26=1,(1+'Dane do harmonogramu'!$C$13*((('Roboczy harmonogram'!B26-DATE(YEAR(B26),1,1)+1)/365)+((DATE(YEAR(B25),12,31)-'Roboczy harmonogram'!B25)/366))),IF(F26=1,(1+'Dane do harmonogramu'!$C$13*((('Roboczy harmonogram'!B26-DATE(YEAR(B26),1,1)+1)/366)+((DATE(YEAR(B25),12,31)-'Roboczy harmonogram'!B25)/365))),0))</f>
        <v>0</v>
      </c>
      <c r="H26">
        <f t="shared" ca="1" si="2"/>
        <v>1</v>
      </c>
      <c r="I26">
        <f t="shared" ca="1" si="3"/>
        <v>1.0054207650273224</v>
      </c>
      <c r="J26">
        <f t="shared" ca="1" si="4"/>
        <v>1.0054207650273224</v>
      </c>
      <c r="K26">
        <f ca="1">PRODUCT($J$3:J26)</f>
        <v>1.1335630805449668</v>
      </c>
      <c r="L26">
        <f t="shared" ca="1" si="5"/>
        <v>0.88217410849270461</v>
      </c>
      <c r="M26">
        <f ca="1">SUM($L$3:L26)</f>
        <v>22.527938106781829</v>
      </c>
      <c r="O26">
        <f t="shared" ca="1" si="6"/>
        <v>5682.5590516238008</v>
      </c>
      <c r="P26" s="16">
        <f t="shared" ca="1" si="7"/>
        <v>8186.6018207159304</v>
      </c>
      <c r="Q26" s="17">
        <f t="shared" ca="1" si="8"/>
        <v>1040108.0619365266</v>
      </c>
      <c r="S26">
        <f ca="1">IF(A26&lt;='Dane do harmonogramu'!$C$7,'Roboczy harmonogram'!P26,0)</f>
        <v>8186.6018207159304</v>
      </c>
      <c r="T26">
        <f ca="1">IF(A26&lt;='Dane do harmonogramu'!$C$7,'Roboczy harmonogram'!O26,0)</f>
        <v>5682.5590516238008</v>
      </c>
      <c r="U26">
        <f ca="1">IF(A26&lt;='Dane do harmonogramu'!$C$7,$N$2,0)</f>
        <v>13869.160872339731</v>
      </c>
      <c r="V26" s="16">
        <f ca="1">IF(A25&lt;='Dane do harmonogramu'!$C$7,Q25*0.15%,"")</f>
        <v>1572.4419956358638</v>
      </c>
    </row>
    <row r="27" spans="1:22" x14ac:dyDescent="0.35">
      <c r="A27">
        <v>25</v>
      </c>
      <c r="B27" s="14">
        <f t="shared" ca="1" si="9"/>
        <v>46829</v>
      </c>
      <c r="C27" s="15">
        <f ca="1">(1+'Dane do harmonogramu'!$C$13*('Roboczy harmonogram'!B27-'Roboczy harmonogram'!B26)/365)</f>
        <v>1.0050849315068493</v>
      </c>
      <c r="D27" s="15">
        <f ca="1">(1+'Dane do harmonogramu'!$C$13*('Roboczy harmonogram'!B27-'Roboczy harmonogram'!B26)/366)</f>
        <v>1.0050710382513661</v>
      </c>
      <c r="E27" s="15">
        <f t="shared" ca="1" si="0"/>
        <v>0</v>
      </c>
      <c r="F27" s="15">
        <f t="shared" ca="1" si="1"/>
        <v>0</v>
      </c>
      <c r="G27">
        <f ca="1">IF(E27=1,(1+'Dane do harmonogramu'!$C$13*((('Roboczy harmonogram'!B27-DATE(YEAR(B27),1,1)+1)/365)+((DATE(YEAR(B26),12,31)-'Roboczy harmonogram'!B26)/366))),IF(F27=1,(1+'Dane do harmonogramu'!$C$13*((('Roboczy harmonogram'!B27-DATE(YEAR(B27),1,1)+1)/366)+((DATE(YEAR(B26),12,31)-'Roboczy harmonogram'!B26)/365))),0))</f>
        <v>0</v>
      </c>
      <c r="H27">
        <f t="shared" ca="1" si="2"/>
        <v>1</v>
      </c>
      <c r="I27">
        <f t="shared" ca="1" si="3"/>
        <v>1.0050710382513661</v>
      </c>
      <c r="J27">
        <f t="shared" ca="1" si="4"/>
        <v>1.0050710382513661</v>
      </c>
      <c r="K27">
        <f ca="1">PRODUCT($J$3:J27)</f>
        <v>1.1393114222867466</v>
      </c>
      <c r="L27">
        <f t="shared" ca="1" si="5"/>
        <v>0.87772314087123748</v>
      </c>
      <c r="M27">
        <f ca="1">SUM($L$3:L27)</f>
        <v>23.405661247653065</v>
      </c>
      <c r="O27">
        <f t="shared" ca="1" si="6"/>
        <v>5274.4277676343918</v>
      </c>
      <c r="P27" s="16">
        <f t="shared" ca="1" si="7"/>
        <v>8594.7331047053394</v>
      </c>
      <c r="Q27" s="17">
        <f t="shared" ca="1" si="8"/>
        <v>1031513.3288318212</v>
      </c>
      <c r="S27">
        <f ca="1">IF(A27&lt;='Dane do harmonogramu'!$C$7,'Roboczy harmonogram'!P27,0)</f>
        <v>8594.7331047053394</v>
      </c>
      <c r="T27">
        <f ca="1">IF(A27&lt;='Dane do harmonogramu'!$C$7,'Roboczy harmonogram'!O27,0)</f>
        <v>5274.4277676343918</v>
      </c>
      <c r="U27">
        <f ca="1">IF(A27&lt;='Dane do harmonogramu'!$C$7,$N$2,0)</f>
        <v>13869.160872339731</v>
      </c>
      <c r="V27" s="16">
        <f ca="1">IF(A26&lt;='Dane do harmonogramu'!$C$7,Q26*0.15%,"")</f>
        <v>1560.1620929047899</v>
      </c>
    </row>
    <row r="28" spans="1:22" x14ac:dyDescent="0.35">
      <c r="A28">
        <v>26</v>
      </c>
      <c r="B28" s="14">
        <f t="shared" ca="1" si="9"/>
        <v>46860</v>
      </c>
      <c r="C28" s="15">
        <f ca="1">(1+'Dane do harmonogramu'!$C$13*('Roboczy harmonogram'!B28-'Roboczy harmonogram'!B27)/365)</f>
        <v>1.0054356164383562</v>
      </c>
      <c r="D28" s="15">
        <f ca="1">(1+'Dane do harmonogramu'!$C$13*('Roboczy harmonogram'!B28-'Roboczy harmonogram'!B27)/366)</f>
        <v>1.0054207650273224</v>
      </c>
      <c r="E28" s="15">
        <f t="shared" ca="1" si="0"/>
        <v>0</v>
      </c>
      <c r="F28" s="15">
        <f t="shared" ca="1" si="1"/>
        <v>0</v>
      </c>
      <c r="G28">
        <f ca="1">IF(E28=1,(1+'Dane do harmonogramu'!$C$13*((('Roboczy harmonogram'!B28-DATE(YEAR(B28),1,1)+1)/365)+((DATE(YEAR(B27),12,31)-'Roboczy harmonogram'!B27)/366))),IF(F28=1,(1+'Dane do harmonogramu'!$C$13*((('Roboczy harmonogram'!B28-DATE(YEAR(B28),1,1)+1)/366)+((DATE(YEAR(B27),12,31)-'Roboczy harmonogram'!B27)/365))),0))</f>
        <v>0</v>
      </c>
      <c r="H28">
        <f t="shared" ca="1" si="2"/>
        <v>1</v>
      </c>
      <c r="I28">
        <f t="shared" ca="1" si="3"/>
        <v>1.0054207650273224</v>
      </c>
      <c r="J28">
        <f t="shared" ca="1" si="4"/>
        <v>1.0054207650273224</v>
      </c>
      <c r="K28">
        <f ca="1">PRODUCT($J$3:J28)</f>
        <v>1.1454873617999075</v>
      </c>
      <c r="L28">
        <f t="shared" ca="1" si="5"/>
        <v>0.87299086253443881</v>
      </c>
      <c r="M28">
        <f ca="1">SUM($L$3:L28)</f>
        <v>24.278652110187505</v>
      </c>
      <c r="O28">
        <f t="shared" ca="1" si="6"/>
        <v>5591.5913781484123</v>
      </c>
      <c r="P28" s="16">
        <f t="shared" ca="1" si="7"/>
        <v>8277.5694941913189</v>
      </c>
      <c r="Q28" s="17">
        <f t="shared" ca="1" si="8"/>
        <v>1023235.7593376299</v>
      </c>
      <c r="S28">
        <f ca="1">IF(A28&lt;='Dane do harmonogramu'!$C$7,'Roboczy harmonogram'!P28,0)</f>
        <v>8277.5694941913189</v>
      </c>
      <c r="T28">
        <f ca="1">IF(A28&lt;='Dane do harmonogramu'!$C$7,'Roboczy harmonogram'!O28,0)</f>
        <v>5591.5913781484123</v>
      </c>
      <c r="U28">
        <f ca="1">IF(A28&lt;='Dane do harmonogramu'!$C$7,$N$2,0)</f>
        <v>13869.160872339731</v>
      </c>
      <c r="V28" s="16">
        <f ca="1">IF(A27&lt;='Dane do harmonogramu'!$C$7,Q27*0.15%,"")</f>
        <v>1547.2699932477319</v>
      </c>
    </row>
    <row r="29" spans="1:22" x14ac:dyDescent="0.35">
      <c r="A29">
        <v>27</v>
      </c>
      <c r="B29" s="14">
        <f t="shared" ca="1" si="9"/>
        <v>46890</v>
      </c>
      <c r="C29" s="15">
        <f ca="1">(1+'Dane do harmonogramu'!$C$13*('Roboczy harmonogram'!B29-'Roboczy harmonogram'!B28)/365)</f>
        <v>1.0052602739726026</v>
      </c>
      <c r="D29" s="15">
        <f ca="1">(1+'Dane do harmonogramu'!$C$13*('Roboczy harmonogram'!B29-'Roboczy harmonogram'!B28)/366)</f>
        <v>1.0052459016393442</v>
      </c>
      <c r="E29" s="15">
        <f t="shared" ca="1" si="0"/>
        <v>0</v>
      </c>
      <c r="F29" s="15">
        <f t="shared" ca="1" si="1"/>
        <v>0</v>
      </c>
      <c r="G29">
        <f ca="1">IF(E29=1,(1+'Dane do harmonogramu'!$C$13*((('Roboczy harmonogram'!B29-DATE(YEAR(B29),1,1)+1)/365)+((DATE(YEAR(B28),12,31)-'Roboczy harmonogram'!B28)/366))),IF(F29=1,(1+'Dane do harmonogramu'!$C$13*((('Roboczy harmonogram'!B29-DATE(YEAR(B29),1,1)+1)/366)+((DATE(YEAR(B28),12,31)-'Roboczy harmonogram'!B28)/365))),0))</f>
        <v>0</v>
      </c>
      <c r="H29">
        <f t="shared" ca="1" si="2"/>
        <v>1</v>
      </c>
      <c r="I29">
        <f t="shared" ca="1" si="3"/>
        <v>1.0052459016393442</v>
      </c>
      <c r="J29">
        <f t="shared" ca="1" si="4"/>
        <v>1.0052459016393442</v>
      </c>
      <c r="K29">
        <f ca="1">PRODUCT($J$3:J29)</f>
        <v>1.1514964758290218</v>
      </c>
      <c r="L29">
        <f t="shared" ca="1" si="5"/>
        <v>0.86843513722440902</v>
      </c>
      <c r="M29">
        <f ca="1">SUM($L$3:L29)</f>
        <v>25.147087247411914</v>
      </c>
      <c r="O29">
        <f t="shared" ca="1" si="6"/>
        <v>5367.7941473448882</v>
      </c>
      <c r="P29" s="16">
        <f t="shared" ca="1" si="7"/>
        <v>8501.366724994843</v>
      </c>
      <c r="Q29" s="17">
        <f t="shared" ca="1" si="8"/>
        <v>1014734.392612635</v>
      </c>
      <c r="S29">
        <f ca="1">IF(A29&lt;='Dane do harmonogramu'!$C$7,'Roboczy harmonogram'!P29,0)</f>
        <v>8501.366724994843</v>
      </c>
      <c r="T29">
        <f ca="1">IF(A29&lt;='Dane do harmonogramu'!$C$7,'Roboczy harmonogram'!O29,0)</f>
        <v>5367.7941473448882</v>
      </c>
      <c r="U29">
        <f ca="1">IF(A29&lt;='Dane do harmonogramu'!$C$7,$N$2,0)</f>
        <v>13869.160872339731</v>
      </c>
      <c r="V29" s="16">
        <f ca="1">IF(A28&lt;='Dane do harmonogramu'!$C$7,Q28*0.15%,"")</f>
        <v>1534.8536390064448</v>
      </c>
    </row>
    <row r="30" spans="1:22" x14ac:dyDescent="0.35">
      <c r="A30">
        <v>28</v>
      </c>
      <c r="B30" s="14">
        <f t="shared" ca="1" si="9"/>
        <v>46921</v>
      </c>
      <c r="C30" s="15">
        <f ca="1">(1+'Dane do harmonogramu'!$C$13*('Roboczy harmonogram'!B30-'Roboczy harmonogram'!B29)/365)</f>
        <v>1.0054356164383562</v>
      </c>
      <c r="D30" s="15">
        <f ca="1">(1+'Dane do harmonogramu'!$C$13*('Roboczy harmonogram'!B30-'Roboczy harmonogram'!B29)/366)</f>
        <v>1.0054207650273224</v>
      </c>
      <c r="E30" s="15">
        <f t="shared" ca="1" si="0"/>
        <v>0</v>
      </c>
      <c r="F30" s="15">
        <f t="shared" ca="1" si="1"/>
        <v>0</v>
      </c>
      <c r="G30">
        <f ca="1">IF(E30=1,(1+'Dane do harmonogramu'!$C$13*((('Roboczy harmonogram'!B30-DATE(YEAR(B30),1,1)+1)/365)+((DATE(YEAR(B29),12,31)-'Roboczy harmonogram'!B29)/366))),IF(F30=1,(1+'Dane do harmonogramu'!$C$13*((('Roboczy harmonogram'!B30-DATE(YEAR(B30),1,1)+1)/366)+((DATE(YEAR(B29),12,31)-'Roboczy harmonogram'!B29)/365))),0))</f>
        <v>0</v>
      </c>
      <c r="H30">
        <f t="shared" ca="1" si="2"/>
        <v>1</v>
      </c>
      <c r="I30">
        <f t="shared" ca="1" si="3"/>
        <v>1.0054207650273224</v>
      </c>
      <c r="J30">
        <f t="shared" ca="1" si="4"/>
        <v>1.0054207650273224</v>
      </c>
      <c r="K30">
        <f ca="1">PRODUCT($J$3:J30)</f>
        <v>1.1577384676542808</v>
      </c>
      <c r="L30">
        <f t="shared" ca="1" si="5"/>
        <v>0.86375293551929899</v>
      </c>
      <c r="M30">
        <f ca="1">SUM($L$3:L30)</f>
        <v>26.010840182931211</v>
      </c>
      <c r="O30">
        <f t="shared" ca="1" si="6"/>
        <v>5500.6367074957816</v>
      </c>
      <c r="P30" s="16">
        <f t="shared" ca="1" si="7"/>
        <v>8368.5241648439496</v>
      </c>
      <c r="Q30" s="17">
        <f t="shared" ca="1" si="8"/>
        <v>1006365.8684477911</v>
      </c>
      <c r="S30">
        <f ca="1">IF(A30&lt;='Dane do harmonogramu'!$C$7,'Roboczy harmonogram'!P30,0)</f>
        <v>8368.5241648439496</v>
      </c>
      <c r="T30">
        <f ca="1">IF(A30&lt;='Dane do harmonogramu'!$C$7,'Roboczy harmonogram'!O30,0)</f>
        <v>5500.6367074957816</v>
      </c>
      <c r="U30">
        <f ca="1">IF(A30&lt;='Dane do harmonogramu'!$C$7,$N$2,0)</f>
        <v>13869.160872339731</v>
      </c>
      <c r="V30" s="16">
        <f ca="1">IF(A29&lt;='Dane do harmonogramu'!$C$7,Q29*0.15%,"")</f>
        <v>1522.1015889189525</v>
      </c>
    </row>
    <row r="31" spans="1:22" x14ac:dyDescent="0.35">
      <c r="A31">
        <v>29</v>
      </c>
      <c r="B31" s="14">
        <f t="shared" ca="1" si="9"/>
        <v>46951</v>
      </c>
      <c r="C31" s="15">
        <f ca="1">(1+'Dane do harmonogramu'!$C$13*('Roboczy harmonogram'!B31-'Roboczy harmonogram'!B30)/365)</f>
        <v>1.0052602739726026</v>
      </c>
      <c r="D31" s="15">
        <f ca="1">(1+'Dane do harmonogramu'!$C$13*('Roboczy harmonogram'!B31-'Roboczy harmonogram'!B30)/366)</f>
        <v>1.0052459016393442</v>
      </c>
      <c r="E31" s="15">
        <f t="shared" ca="1" si="0"/>
        <v>0</v>
      </c>
      <c r="F31" s="15">
        <f t="shared" ca="1" si="1"/>
        <v>0</v>
      </c>
      <c r="G31">
        <f ca="1">IF(E31=1,(1+'Dane do harmonogramu'!$C$13*((('Roboczy harmonogram'!B31-DATE(YEAR(B31),1,1)+1)/365)+((DATE(YEAR(B30),12,31)-'Roboczy harmonogram'!B30)/366))),IF(F31=1,(1+'Dane do harmonogramu'!$C$13*((('Roboczy harmonogram'!B31-DATE(YEAR(B31),1,1)+1)/366)+((DATE(YEAR(B30),12,31)-'Roboczy harmonogram'!B30)/365))),0))</f>
        <v>0</v>
      </c>
      <c r="H31">
        <f t="shared" ca="1" si="2"/>
        <v>1</v>
      </c>
      <c r="I31">
        <f t="shared" ca="1" si="3"/>
        <v>1.0052459016393442</v>
      </c>
      <c r="J31">
        <f t="shared" ca="1" si="4"/>
        <v>1.0052459016393442</v>
      </c>
      <c r="K31">
        <f ca="1">PRODUCT($J$3:J31)</f>
        <v>1.1638118497796803</v>
      </c>
      <c r="L31">
        <f t="shared" ca="1" si="5"/>
        <v>0.8592454185694266</v>
      </c>
      <c r="M31">
        <f ca="1">SUM($L$3:L31)</f>
        <v>26.870085601500637</v>
      </c>
      <c r="O31">
        <f t="shared" ca="1" si="6"/>
        <v>5279.2963590703439</v>
      </c>
      <c r="P31" s="16">
        <f t="shared" ca="1" si="7"/>
        <v>8589.8645132693873</v>
      </c>
      <c r="Q31" s="17">
        <f t="shared" ca="1" si="8"/>
        <v>997776.00393452169</v>
      </c>
      <c r="S31">
        <f ca="1">IF(A31&lt;='Dane do harmonogramu'!$C$7,'Roboczy harmonogram'!P31,0)</f>
        <v>8589.8645132693873</v>
      </c>
      <c r="T31">
        <f ca="1">IF(A31&lt;='Dane do harmonogramu'!$C$7,'Roboczy harmonogram'!O31,0)</f>
        <v>5279.2963590703439</v>
      </c>
      <c r="U31">
        <f ca="1">IF(A31&lt;='Dane do harmonogramu'!$C$7,$N$2,0)</f>
        <v>13869.160872339731</v>
      </c>
      <c r="V31" s="16">
        <f ca="1">IF(A30&lt;='Dane do harmonogramu'!$C$7,Q30*0.15%,"")</f>
        <v>1509.5488026716866</v>
      </c>
    </row>
    <row r="32" spans="1:22" x14ac:dyDescent="0.35">
      <c r="A32">
        <v>30</v>
      </c>
      <c r="B32" s="14">
        <f t="shared" ca="1" si="9"/>
        <v>46982</v>
      </c>
      <c r="C32" s="15">
        <f ca="1">(1+'Dane do harmonogramu'!$C$13*('Roboczy harmonogram'!B32-'Roboczy harmonogram'!B31)/365)</f>
        <v>1.0054356164383562</v>
      </c>
      <c r="D32" s="15">
        <f ca="1">(1+'Dane do harmonogramu'!$C$13*('Roboczy harmonogram'!B32-'Roboczy harmonogram'!B31)/366)</f>
        <v>1.0054207650273224</v>
      </c>
      <c r="E32" s="15">
        <f t="shared" ca="1" si="0"/>
        <v>0</v>
      </c>
      <c r="F32" s="15">
        <f t="shared" ca="1" si="1"/>
        <v>0</v>
      </c>
      <c r="G32">
        <f ca="1">IF(E32=1,(1+'Dane do harmonogramu'!$C$13*((('Roboczy harmonogram'!B32-DATE(YEAR(B32),1,1)+1)/365)+((DATE(YEAR(B31),12,31)-'Roboczy harmonogram'!B31)/366))),IF(F32=1,(1+'Dane do harmonogramu'!$C$13*((('Roboczy harmonogram'!B32-DATE(YEAR(B32),1,1)+1)/366)+((DATE(YEAR(B31),12,31)-'Roboczy harmonogram'!B31)/365))),0))</f>
        <v>0</v>
      </c>
      <c r="H32">
        <f t="shared" ca="1" si="2"/>
        <v>1</v>
      </c>
      <c r="I32">
        <f t="shared" ca="1" si="3"/>
        <v>1.0054207650273224</v>
      </c>
      <c r="J32">
        <f t="shared" ca="1" si="4"/>
        <v>1.0054207650273224</v>
      </c>
      <c r="K32">
        <f ca="1">PRODUCT($J$3:J32)</f>
        <v>1.1701206003533493</v>
      </c>
      <c r="L32">
        <f t="shared" ca="1" si="5"/>
        <v>0.85461276358866189</v>
      </c>
      <c r="M32">
        <f ca="1">SUM($L$3:L32)</f>
        <v>27.724698365089299</v>
      </c>
      <c r="O32">
        <f t="shared" ca="1" si="6"/>
        <v>5408.7092672296567</v>
      </c>
      <c r="P32" s="16">
        <f t="shared" ca="1" si="7"/>
        <v>8460.4516051100745</v>
      </c>
      <c r="Q32" s="17">
        <f t="shared" ca="1" si="8"/>
        <v>989315.55232941161</v>
      </c>
      <c r="S32">
        <f ca="1">IF(A32&lt;='Dane do harmonogramu'!$C$7,'Roboczy harmonogram'!P32,0)</f>
        <v>8460.4516051100745</v>
      </c>
      <c r="T32">
        <f ca="1">IF(A32&lt;='Dane do harmonogramu'!$C$7,'Roboczy harmonogram'!O32,0)</f>
        <v>5408.7092672296567</v>
      </c>
      <c r="U32">
        <f ca="1">IF(A32&lt;='Dane do harmonogramu'!$C$7,$N$2,0)</f>
        <v>13869.160872339731</v>
      </c>
      <c r="V32" s="16">
        <f ca="1">IF(A31&lt;='Dane do harmonogramu'!$C$7,Q31*0.15%,"")</f>
        <v>1496.6640059017825</v>
      </c>
    </row>
    <row r="33" spans="1:22" x14ac:dyDescent="0.35">
      <c r="A33">
        <v>31</v>
      </c>
      <c r="B33" s="14">
        <f t="shared" ca="1" si="9"/>
        <v>47013</v>
      </c>
      <c r="C33" s="15">
        <f ca="1">(1+'Dane do harmonogramu'!$C$13*('Roboczy harmonogram'!B33-'Roboczy harmonogram'!B32)/365)</f>
        <v>1.0054356164383562</v>
      </c>
      <c r="D33" s="15">
        <f ca="1">(1+'Dane do harmonogramu'!$C$13*('Roboczy harmonogram'!B33-'Roboczy harmonogram'!B32)/366)</f>
        <v>1.0054207650273224</v>
      </c>
      <c r="E33" s="15">
        <f t="shared" ca="1" si="0"/>
        <v>0</v>
      </c>
      <c r="F33" s="15">
        <f t="shared" ca="1" si="1"/>
        <v>0</v>
      </c>
      <c r="G33">
        <f ca="1">IF(E33=1,(1+'Dane do harmonogramu'!$C$13*((('Roboczy harmonogram'!B33-DATE(YEAR(B33),1,1)+1)/365)+((DATE(YEAR(B32),12,31)-'Roboczy harmonogram'!B32)/366))),IF(F33=1,(1+'Dane do harmonogramu'!$C$13*((('Roboczy harmonogram'!B33-DATE(YEAR(B33),1,1)+1)/366)+((DATE(YEAR(B32),12,31)-'Roboczy harmonogram'!B32)/365))),0))</f>
        <v>0</v>
      </c>
      <c r="H33">
        <f t="shared" ca="1" si="2"/>
        <v>1</v>
      </c>
      <c r="I33">
        <f t="shared" ca="1" si="3"/>
        <v>1.0054207650273224</v>
      </c>
      <c r="J33">
        <f t="shared" ca="1" si="4"/>
        <v>1.0054207650273224</v>
      </c>
      <c r="K33">
        <f ca="1">PRODUCT($J$3:J33)</f>
        <v>1.1764635491814941</v>
      </c>
      <c r="L33">
        <f t="shared" ca="1" si="5"/>
        <v>0.85000508574679956</v>
      </c>
      <c r="M33">
        <f ca="1">SUM($L$3:L33)</f>
        <v>28.5747034508361</v>
      </c>
      <c r="O33">
        <f t="shared" ca="1" si="6"/>
        <v>5362.8471470533404</v>
      </c>
      <c r="P33" s="16">
        <f t="shared" ca="1" si="7"/>
        <v>8506.3137252863908</v>
      </c>
      <c r="Q33" s="17">
        <f t="shared" ca="1" si="8"/>
        <v>980809.23860412522</v>
      </c>
      <c r="S33">
        <f ca="1">IF(A33&lt;='Dane do harmonogramu'!$C$7,'Roboczy harmonogram'!P33,0)</f>
        <v>8506.3137252863908</v>
      </c>
      <c r="T33">
        <f ca="1">IF(A33&lt;='Dane do harmonogramu'!$C$7,'Roboczy harmonogram'!O33,0)</f>
        <v>5362.8471470533404</v>
      </c>
      <c r="U33">
        <f ca="1">IF(A33&lt;='Dane do harmonogramu'!$C$7,$N$2,0)</f>
        <v>13869.160872339731</v>
      </c>
      <c r="V33" s="16">
        <f ca="1">IF(A32&lt;='Dane do harmonogramu'!$C$7,Q32*0.15%,"")</f>
        <v>1483.9733284941174</v>
      </c>
    </row>
    <row r="34" spans="1:22" x14ac:dyDescent="0.35">
      <c r="A34">
        <v>32</v>
      </c>
      <c r="B34" s="14">
        <f t="shared" ca="1" si="9"/>
        <v>47043</v>
      </c>
      <c r="C34" s="15">
        <f ca="1">(1+'Dane do harmonogramu'!$C$13*('Roboczy harmonogram'!B34-'Roboczy harmonogram'!B33)/365)</f>
        <v>1.0052602739726026</v>
      </c>
      <c r="D34" s="15">
        <f ca="1">(1+'Dane do harmonogramu'!$C$13*('Roboczy harmonogram'!B34-'Roboczy harmonogram'!B33)/366)</f>
        <v>1.0052459016393442</v>
      </c>
      <c r="E34" s="15">
        <f t="shared" ca="1" si="0"/>
        <v>0</v>
      </c>
      <c r="F34" s="15">
        <f t="shared" ca="1" si="1"/>
        <v>0</v>
      </c>
      <c r="G34">
        <f ca="1">IF(E34=1,(1+'Dane do harmonogramu'!$C$13*((('Roboczy harmonogram'!B34-DATE(YEAR(B34),1,1)+1)/365)+((DATE(YEAR(B33),12,31)-'Roboczy harmonogram'!B33)/366))),IF(F34=1,(1+'Dane do harmonogramu'!$C$13*((('Roboczy harmonogram'!B34-DATE(YEAR(B34),1,1)+1)/366)+((DATE(YEAR(B33),12,31)-'Roboczy harmonogram'!B33)/365))),0))</f>
        <v>0</v>
      </c>
      <c r="H34">
        <f t="shared" ca="1" si="2"/>
        <v>1</v>
      </c>
      <c r="I34">
        <f t="shared" ca="1" si="3"/>
        <v>1.0052459016393442</v>
      </c>
      <c r="J34">
        <f t="shared" ca="1" si="4"/>
        <v>1.0052459016393442</v>
      </c>
      <c r="K34">
        <f ca="1">PRODUCT($J$3:J34)</f>
        <v>1.1826351612427741</v>
      </c>
      <c r="L34">
        <f t="shared" ca="1" si="5"/>
        <v>0.84556931230519849</v>
      </c>
      <c r="M34">
        <f ca="1">SUM($L$3:L34)</f>
        <v>29.420272763141298</v>
      </c>
      <c r="O34">
        <f t="shared" ca="1" si="6"/>
        <v>5145.2287926774006</v>
      </c>
      <c r="P34" s="16">
        <f t="shared" ca="1" si="7"/>
        <v>8723.9320796623306</v>
      </c>
      <c r="Q34" s="17">
        <f t="shared" ca="1" si="8"/>
        <v>972085.30652446288</v>
      </c>
      <c r="S34">
        <f ca="1">IF(A34&lt;='Dane do harmonogramu'!$C$7,'Roboczy harmonogram'!P34,0)</f>
        <v>8723.9320796623306</v>
      </c>
      <c r="T34">
        <f ca="1">IF(A34&lt;='Dane do harmonogramu'!$C$7,'Roboczy harmonogram'!O34,0)</f>
        <v>5145.2287926774006</v>
      </c>
      <c r="U34">
        <f ca="1">IF(A34&lt;='Dane do harmonogramu'!$C$7,$N$2,0)</f>
        <v>13869.160872339731</v>
      </c>
      <c r="V34" s="16">
        <f ca="1">IF(A33&lt;='Dane do harmonogramu'!$C$7,Q33*0.15%,"")</f>
        <v>1471.213857906188</v>
      </c>
    </row>
    <row r="35" spans="1:22" x14ac:dyDescent="0.35">
      <c r="A35">
        <v>33</v>
      </c>
      <c r="B35" s="14">
        <f t="shared" ca="1" si="9"/>
        <v>47074</v>
      </c>
      <c r="C35" s="15">
        <f ca="1">(1+'Dane do harmonogramu'!$C$13*('Roboczy harmonogram'!B35-'Roboczy harmonogram'!B34)/365)</f>
        <v>1.0054356164383562</v>
      </c>
      <c r="D35" s="15">
        <f ca="1">(1+'Dane do harmonogramu'!$C$13*('Roboczy harmonogram'!B35-'Roboczy harmonogram'!B34)/366)</f>
        <v>1.0054207650273224</v>
      </c>
      <c r="E35" s="15">
        <f t="shared" ca="1" si="0"/>
        <v>0</v>
      </c>
      <c r="F35" s="15">
        <f t="shared" ca="1" si="1"/>
        <v>0</v>
      </c>
      <c r="G35">
        <f ca="1">IF(E35=1,(1+'Dane do harmonogramu'!$C$13*((('Roboczy harmonogram'!B35-DATE(YEAR(B35),1,1)+1)/365)+((DATE(YEAR(B34),12,31)-'Roboczy harmonogram'!B34)/366))),IF(F35=1,(1+'Dane do harmonogramu'!$C$13*((('Roboczy harmonogram'!B35-DATE(YEAR(B35),1,1)+1)/366)+((DATE(YEAR(B34),12,31)-'Roboczy harmonogram'!B34)/365))),0))</f>
        <v>0</v>
      </c>
      <c r="H35">
        <f t="shared" ca="1" si="2"/>
        <v>1</v>
      </c>
      <c r="I35">
        <f t="shared" ca="1" si="3"/>
        <v>1.0054207650273224</v>
      </c>
      <c r="J35">
        <f t="shared" ca="1" si="4"/>
        <v>1.0054207650273224</v>
      </c>
      <c r="K35">
        <f ca="1">PRODUCT($J$3:J35)</f>
        <v>1.1890459485649207</v>
      </c>
      <c r="L35">
        <f t="shared" ca="1" si="5"/>
        <v>0.84101039258147814</v>
      </c>
      <c r="M35">
        <f ca="1">SUM($L$3:L35)</f>
        <v>30.261283155722776</v>
      </c>
      <c r="O35">
        <f t="shared" ca="1" si="6"/>
        <v>5269.446033181739</v>
      </c>
      <c r="P35" s="16">
        <f t="shared" ca="1" si="7"/>
        <v>8599.7148391579922</v>
      </c>
      <c r="Q35" s="17">
        <f t="shared" ca="1" si="8"/>
        <v>963485.59168530488</v>
      </c>
      <c r="S35">
        <f ca="1">IF(A35&lt;='Dane do harmonogramu'!$C$7,'Roboczy harmonogram'!P35,0)</f>
        <v>8599.7148391579922</v>
      </c>
      <c r="T35">
        <f ca="1">IF(A35&lt;='Dane do harmonogramu'!$C$7,'Roboczy harmonogram'!O35,0)</f>
        <v>5269.446033181739</v>
      </c>
      <c r="U35">
        <f ca="1">IF(A35&lt;='Dane do harmonogramu'!$C$7,$N$2,0)</f>
        <v>13869.160872339731</v>
      </c>
      <c r="V35" s="16">
        <f ca="1">IF(A34&lt;='Dane do harmonogramu'!$C$7,Q34*0.15%,"")</f>
        <v>1458.1279597866944</v>
      </c>
    </row>
    <row r="36" spans="1:22" x14ac:dyDescent="0.35">
      <c r="A36">
        <v>34</v>
      </c>
      <c r="B36" s="14">
        <f t="shared" ca="1" si="9"/>
        <v>47104</v>
      </c>
      <c r="C36" s="15">
        <f ca="1">(1+'Dane do harmonogramu'!$C$13*('Roboczy harmonogram'!B36-'Roboczy harmonogram'!B35)/365)</f>
        <v>1.0052602739726026</v>
      </c>
      <c r="D36" s="15">
        <f ca="1">(1+'Dane do harmonogramu'!$C$13*('Roboczy harmonogram'!B36-'Roboczy harmonogram'!B35)/366)</f>
        <v>1.0052459016393442</v>
      </c>
      <c r="E36" s="15">
        <f t="shared" ca="1" si="0"/>
        <v>0</v>
      </c>
      <c r="F36" s="15">
        <f t="shared" ca="1" si="1"/>
        <v>0</v>
      </c>
      <c r="G36">
        <f ca="1">IF(E36=1,(1+'Dane do harmonogramu'!$C$13*((('Roboczy harmonogram'!B36-DATE(YEAR(B36),1,1)+1)/365)+((DATE(YEAR(B35),12,31)-'Roboczy harmonogram'!B35)/366))),IF(F36=1,(1+'Dane do harmonogramu'!$C$13*((('Roboczy harmonogram'!B36-DATE(YEAR(B36),1,1)+1)/366)+((DATE(YEAR(B35),12,31)-'Roboczy harmonogram'!B35)/365))),0))</f>
        <v>0</v>
      </c>
      <c r="H36">
        <f t="shared" ca="1" si="2"/>
        <v>1</v>
      </c>
      <c r="I36">
        <f t="shared" ca="1" si="3"/>
        <v>1.0052459016393442</v>
      </c>
      <c r="J36">
        <f t="shared" ca="1" si="4"/>
        <v>1.0052459016393442</v>
      </c>
      <c r="K36">
        <f ca="1">PRODUCT($J$3:J36)</f>
        <v>1.1952835666557531</v>
      </c>
      <c r="L36">
        <f t="shared" ca="1" si="5"/>
        <v>0.83662155817792183</v>
      </c>
      <c r="M36">
        <f ca="1">SUM($L$3:L36)</f>
        <v>31.097904713900697</v>
      </c>
      <c r="O36">
        <f t="shared" ca="1" si="6"/>
        <v>5054.3506449065171</v>
      </c>
      <c r="P36" s="16">
        <f t="shared" ca="1" si="7"/>
        <v>8814.8102274332141</v>
      </c>
      <c r="Q36" s="17">
        <f t="shared" ca="1" si="8"/>
        <v>954670.78145787166</v>
      </c>
      <c r="S36">
        <f ca="1">IF(A36&lt;='Dane do harmonogramu'!$C$7,'Roboczy harmonogram'!P36,0)</f>
        <v>8814.8102274332141</v>
      </c>
      <c r="T36">
        <f ca="1">IF(A36&lt;='Dane do harmonogramu'!$C$7,'Roboczy harmonogram'!O36,0)</f>
        <v>5054.3506449065171</v>
      </c>
      <c r="U36">
        <f ca="1">IF(A36&lt;='Dane do harmonogramu'!$C$7,$N$2,0)</f>
        <v>13869.160872339731</v>
      </c>
      <c r="V36" s="16">
        <f ca="1">IF(A35&lt;='Dane do harmonogramu'!$C$7,Q35*0.15%,"")</f>
        <v>1445.2283875279575</v>
      </c>
    </row>
    <row r="37" spans="1:22" x14ac:dyDescent="0.35">
      <c r="A37">
        <v>35</v>
      </c>
      <c r="B37" s="14">
        <f t="shared" ca="1" si="9"/>
        <v>47135</v>
      </c>
      <c r="C37" s="15">
        <f ca="1">(1+'Dane do harmonogramu'!$C$13*('Roboczy harmonogram'!B37-'Roboczy harmonogram'!B36)/365)</f>
        <v>1.0054356164383562</v>
      </c>
      <c r="D37" s="15">
        <f ca="1">(1+'Dane do harmonogramu'!$C$13*('Roboczy harmonogram'!B37-'Roboczy harmonogram'!B36)/366)</f>
        <v>1.0054207650273224</v>
      </c>
      <c r="E37" s="15">
        <f t="shared" ca="1" si="0"/>
        <v>1</v>
      </c>
      <c r="F37" s="15">
        <f t="shared" ca="1" si="1"/>
        <v>0</v>
      </c>
      <c r="G37">
        <f ca="1">IF(E37=1,(1+'Dane do harmonogramu'!$C$13*((('Roboczy harmonogram'!B37-DATE(YEAR(B37),1,1)+1)/365)+((DATE(YEAR(B36),12,31)-'Roboczy harmonogram'!B36)/366))),IF(F37=1,(1+'Dane do harmonogramu'!$C$13*((('Roboczy harmonogram'!B37-DATE(YEAR(B37),1,1)+1)/366)+((DATE(YEAR(B36),12,31)-'Roboczy harmonogram'!B36)/365))),0))</f>
        <v>1.0054289093495021</v>
      </c>
      <c r="H37">
        <f t="shared" ca="1" si="2"/>
        <v>0</v>
      </c>
      <c r="I37">
        <f t="shared" ca="1" si="3"/>
        <v>1.0054356164383562</v>
      </c>
      <c r="J37">
        <f t="shared" ca="1" si="4"/>
        <v>1.0054289093495021</v>
      </c>
      <c r="K37">
        <f ca="1">PRODUCT($J$3:J37)</f>
        <v>1.2017726527860768</v>
      </c>
      <c r="L37">
        <f t="shared" ca="1" si="5"/>
        <v>0.83210414023126089</v>
      </c>
      <c r="M37">
        <f ca="1">SUM($L$3:L37)</f>
        <v>31.930008854131959</v>
      </c>
      <c r="O37">
        <f t="shared" ca="1" si="6"/>
        <v>5182.8211311531486</v>
      </c>
      <c r="P37" s="16">
        <f t="shared" ca="1" si="7"/>
        <v>8686.3397411865826</v>
      </c>
      <c r="Q37" s="17">
        <f t="shared" ca="1" si="8"/>
        <v>945984.44171668508</v>
      </c>
      <c r="S37">
        <f ca="1">IF(A37&lt;='Dane do harmonogramu'!$C$7,'Roboczy harmonogram'!P37,0)</f>
        <v>8686.3397411865826</v>
      </c>
      <c r="T37">
        <f ca="1">IF(A37&lt;='Dane do harmonogramu'!$C$7,'Roboczy harmonogram'!O37,0)</f>
        <v>5182.8211311531486</v>
      </c>
      <c r="U37">
        <f ca="1">IF(A37&lt;='Dane do harmonogramu'!$C$7,$N$2,0)</f>
        <v>13869.160872339731</v>
      </c>
      <c r="V37" s="16">
        <f ca="1">IF(A36&lt;='Dane do harmonogramu'!$C$7,Q36*0.15%,"")</f>
        <v>1432.0061721868076</v>
      </c>
    </row>
    <row r="38" spans="1:22" x14ac:dyDescent="0.35">
      <c r="A38">
        <v>36</v>
      </c>
      <c r="B38" s="14">
        <f t="shared" ca="1" si="9"/>
        <v>47166</v>
      </c>
      <c r="C38" s="15">
        <f ca="1">(1+'Dane do harmonogramu'!$C$13*('Roboczy harmonogram'!B38-'Roboczy harmonogram'!B37)/365)</f>
        <v>1.0054356164383562</v>
      </c>
      <c r="D38" s="15">
        <f ca="1">(1+'Dane do harmonogramu'!$C$13*('Roboczy harmonogram'!B38-'Roboczy harmonogram'!B37)/366)</f>
        <v>1.0054207650273224</v>
      </c>
      <c r="E38" s="15">
        <f t="shared" ca="1" si="0"/>
        <v>0</v>
      </c>
      <c r="F38" s="15">
        <f t="shared" ca="1" si="1"/>
        <v>0</v>
      </c>
      <c r="G38">
        <f ca="1">IF(E38=1,(1+'Dane do harmonogramu'!$C$13*((('Roboczy harmonogram'!B38-DATE(YEAR(B38),1,1)+1)/365)+((DATE(YEAR(B37),12,31)-'Roboczy harmonogram'!B37)/366))),IF(F38=1,(1+'Dane do harmonogramu'!$C$13*((('Roboczy harmonogram'!B38-DATE(YEAR(B38),1,1)+1)/366)+((DATE(YEAR(B37),12,31)-'Roboczy harmonogram'!B37)/365))),0))</f>
        <v>0</v>
      </c>
      <c r="H38">
        <f t="shared" ca="1" si="2"/>
        <v>0</v>
      </c>
      <c r="I38">
        <f t="shared" ca="1" si="3"/>
        <v>1.0054356164383562</v>
      </c>
      <c r="J38">
        <f t="shared" ca="1" si="4"/>
        <v>1.0054356164383562</v>
      </c>
      <c r="K38">
        <f ca="1">PRODUCT($J$3:J38)</f>
        <v>1.2083050279727279</v>
      </c>
      <c r="L38">
        <f t="shared" ca="1" si="5"/>
        <v>0.82760559366187669</v>
      </c>
      <c r="M38">
        <f ca="1">SUM($L$3:L38)</f>
        <v>32.757614447793834</v>
      </c>
      <c r="O38">
        <f t="shared" ca="1" si="6"/>
        <v>5142.0085818244843</v>
      </c>
      <c r="P38" s="16">
        <f t="shared" ca="1" si="7"/>
        <v>8727.1522905152469</v>
      </c>
      <c r="Q38" s="17">
        <f t="shared" ca="1" si="8"/>
        <v>937257.28942616982</v>
      </c>
      <c r="S38">
        <f ca="1">IF(A38&lt;='Dane do harmonogramu'!$C$7,'Roboczy harmonogram'!P38,0)</f>
        <v>8727.1522905152469</v>
      </c>
      <c r="T38">
        <f ca="1">IF(A38&lt;='Dane do harmonogramu'!$C$7,'Roboczy harmonogram'!O38,0)</f>
        <v>5142.0085818244843</v>
      </c>
      <c r="U38">
        <f ca="1">IF(A38&lt;='Dane do harmonogramu'!$C$7,$N$2,0)</f>
        <v>13869.160872339731</v>
      </c>
      <c r="V38" s="16">
        <f ca="1">IF(A37&lt;='Dane do harmonogramu'!$C$7,Q37*0.15%,"")</f>
        <v>1418.9766625750276</v>
      </c>
    </row>
    <row r="39" spans="1:22" x14ac:dyDescent="0.35">
      <c r="A39">
        <v>37</v>
      </c>
      <c r="B39" s="14">
        <f t="shared" ca="1" si="9"/>
        <v>47194</v>
      </c>
      <c r="C39" s="15">
        <f ca="1">(1+'Dane do harmonogramu'!$C$13*('Roboczy harmonogram'!B39-'Roboczy harmonogram'!B38)/365)</f>
        <v>1.004909589041096</v>
      </c>
      <c r="D39" s="15">
        <f ca="1">(1+'Dane do harmonogramu'!$C$13*('Roboczy harmonogram'!B39-'Roboczy harmonogram'!B38)/366)</f>
        <v>1.004896174863388</v>
      </c>
      <c r="E39" s="15">
        <f t="shared" ca="1" si="0"/>
        <v>0</v>
      </c>
      <c r="F39" s="15">
        <f t="shared" ca="1" si="1"/>
        <v>0</v>
      </c>
      <c r="G39">
        <f ca="1">IF(E39=1,(1+'Dane do harmonogramu'!$C$13*((('Roboczy harmonogram'!B39-DATE(YEAR(B39),1,1)+1)/365)+((DATE(YEAR(B38),12,31)-'Roboczy harmonogram'!B38)/366))),IF(F39=1,(1+'Dane do harmonogramu'!$C$13*((('Roboczy harmonogram'!B39-DATE(YEAR(B39),1,1)+1)/366)+((DATE(YEAR(B38),12,31)-'Roboczy harmonogram'!B38)/365))),0))</f>
        <v>0</v>
      </c>
      <c r="H39">
        <f t="shared" ca="1" si="2"/>
        <v>0</v>
      </c>
      <c r="I39">
        <f t="shared" ca="1" si="3"/>
        <v>1.004909589041096</v>
      </c>
      <c r="J39">
        <f t="shared" ca="1" si="4"/>
        <v>1.004909589041096</v>
      </c>
      <c r="K39">
        <f ca="1">PRODUCT($J$3:J39)</f>
        <v>1.2142373090963638</v>
      </c>
      <c r="L39">
        <f t="shared" ca="1" si="5"/>
        <v>0.82356224150631696</v>
      </c>
      <c r="M39">
        <f ca="1">SUM($L$3:L39)</f>
        <v>33.58117668930015</v>
      </c>
      <c r="O39">
        <f t="shared" ca="1" si="6"/>
        <v>4601.5481168540427</v>
      </c>
      <c r="P39" s="16">
        <f t="shared" ca="1" si="7"/>
        <v>9267.6127554856885</v>
      </c>
      <c r="Q39" s="17">
        <f t="shared" ca="1" si="8"/>
        <v>927989.67667068413</v>
      </c>
      <c r="S39">
        <f ca="1">IF(A39&lt;='Dane do harmonogramu'!$C$7,'Roboczy harmonogram'!P39,0)</f>
        <v>9267.6127554856885</v>
      </c>
      <c r="T39">
        <f ca="1">IF(A39&lt;='Dane do harmonogramu'!$C$7,'Roboczy harmonogram'!O39,0)</f>
        <v>4601.5481168540427</v>
      </c>
      <c r="U39">
        <f ca="1">IF(A39&lt;='Dane do harmonogramu'!$C$7,$N$2,0)</f>
        <v>13869.160872339731</v>
      </c>
      <c r="V39" s="16">
        <f ca="1">IF(A38&lt;='Dane do harmonogramu'!$C$7,Q38*0.15%,"")</f>
        <v>1405.8859341392547</v>
      </c>
    </row>
    <row r="40" spans="1:22" x14ac:dyDescent="0.35">
      <c r="A40">
        <v>38</v>
      </c>
      <c r="B40" s="14">
        <f t="shared" ca="1" si="9"/>
        <v>47225</v>
      </c>
      <c r="C40" s="15">
        <f ca="1">(1+'Dane do harmonogramu'!$C$13*('Roboczy harmonogram'!B40-'Roboczy harmonogram'!B39)/365)</f>
        <v>1.0054356164383562</v>
      </c>
      <c r="D40" s="15">
        <f ca="1">(1+'Dane do harmonogramu'!$C$13*('Roboczy harmonogram'!B40-'Roboczy harmonogram'!B39)/366)</f>
        <v>1.0054207650273224</v>
      </c>
      <c r="E40" s="15">
        <f t="shared" ca="1" si="0"/>
        <v>0</v>
      </c>
      <c r="F40" s="15">
        <f t="shared" ca="1" si="1"/>
        <v>0</v>
      </c>
      <c r="G40">
        <f ca="1">IF(E40=1,(1+'Dane do harmonogramu'!$C$13*((('Roboczy harmonogram'!B40-DATE(YEAR(B40),1,1)+1)/365)+((DATE(YEAR(B39),12,31)-'Roboczy harmonogram'!B39)/366))),IF(F40=1,(1+'Dane do harmonogramu'!$C$13*((('Roboczy harmonogram'!B40-DATE(YEAR(B40),1,1)+1)/366)+((DATE(YEAR(B39),12,31)-'Roboczy harmonogram'!B39)/365))),0))</f>
        <v>0</v>
      </c>
      <c r="H40">
        <f t="shared" ca="1" si="2"/>
        <v>0</v>
      </c>
      <c r="I40">
        <f t="shared" ca="1" si="3"/>
        <v>1.0054356164383562</v>
      </c>
      <c r="J40">
        <f t="shared" ca="1" si="4"/>
        <v>1.0054356164383562</v>
      </c>
      <c r="K40">
        <f ca="1">PRODUCT($J$3:J40)</f>
        <v>1.2208374373737534</v>
      </c>
      <c r="L40">
        <f t="shared" ca="1" si="5"/>
        <v>0.81910987440816407</v>
      </c>
      <c r="M40">
        <f ca="1">SUM($L$3:L40)</f>
        <v>34.400286563708313</v>
      </c>
      <c r="O40">
        <f t="shared" ca="1" si="6"/>
        <v>5044.1959411359858</v>
      </c>
      <c r="P40" s="16">
        <f t="shared" ca="1" si="7"/>
        <v>8824.9649312037454</v>
      </c>
      <c r="Q40" s="17">
        <f t="shared" ca="1" si="8"/>
        <v>919164.71173948038</v>
      </c>
      <c r="S40">
        <f ca="1">IF(A40&lt;='Dane do harmonogramu'!$C$7,'Roboczy harmonogram'!P40,0)</f>
        <v>8824.9649312037454</v>
      </c>
      <c r="T40">
        <f ca="1">IF(A40&lt;='Dane do harmonogramu'!$C$7,'Roboczy harmonogram'!O40,0)</f>
        <v>5044.1959411359858</v>
      </c>
      <c r="U40">
        <f ca="1">IF(A40&lt;='Dane do harmonogramu'!$C$7,$N$2,0)</f>
        <v>13869.160872339731</v>
      </c>
      <c r="V40" s="16">
        <f ca="1">IF(A39&lt;='Dane do harmonogramu'!$C$7,Q39*0.15%,"")</f>
        <v>1391.9845150060262</v>
      </c>
    </row>
    <row r="41" spans="1:22" x14ac:dyDescent="0.35">
      <c r="A41">
        <v>39</v>
      </c>
      <c r="B41" s="14">
        <f t="shared" ca="1" si="9"/>
        <v>47255</v>
      </c>
      <c r="C41" s="15">
        <f ca="1">(1+'Dane do harmonogramu'!$C$13*('Roboczy harmonogram'!B41-'Roboczy harmonogram'!B40)/365)</f>
        <v>1.0052602739726026</v>
      </c>
      <c r="D41" s="15">
        <f ca="1">(1+'Dane do harmonogramu'!$C$13*('Roboczy harmonogram'!B41-'Roboczy harmonogram'!B40)/366)</f>
        <v>1.0052459016393442</v>
      </c>
      <c r="E41" s="15">
        <f t="shared" ca="1" si="0"/>
        <v>0</v>
      </c>
      <c r="F41" s="15">
        <f t="shared" ca="1" si="1"/>
        <v>0</v>
      </c>
      <c r="G41">
        <f ca="1">IF(E41=1,(1+'Dane do harmonogramu'!$C$13*((('Roboczy harmonogram'!B41-DATE(YEAR(B41),1,1)+1)/365)+((DATE(YEAR(B40),12,31)-'Roboczy harmonogram'!B40)/366))),IF(F41=1,(1+'Dane do harmonogramu'!$C$13*((('Roboczy harmonogram'!B41-DATE(YEAR(B41),1,1)+1)/366)+((DATE(YEAR(B40),12,31)-'Roboczy harmonogram'!B40)/365))),0))</f>
        <v>0</v>
      </c>
      <c r="H41">
        <f t="shared" ca="1" si="2"/>
        <v>0</v>
      </c>
      <c r="I41">
        <f t="shared" ca="1" si="3"/>
        <v>1.0052602739726026</v>
      </c>
      <c r="J41">
        <f t="shared" ca="1" si="4"/>
        <v>1.0052602739726026</v>
      </c>
      <c r="K41">
        <f ca="1">PRODUCT($J$3:J41)</f>
        <v>1.2272593767703495</v>
      </c>
      <c r="L41">
        <f t="shared" ca="1" si="5"/>
        <v>0.81482367861926286</v>
      </c>
      <c r="M41">
        <f ca="1">SUM($L$3:L41)</f>
        <v>35.215110242327576</v>
      </c>
      <c r="O41">
        <f t="shared" ca="1" si="6"/>
        <v>4835.0582096979488</v>
      </c>
      <c r="P41" s="16">
        <f t="shared" ca="1" si="7"/>
        <v>9034.1026626417824</v>
      </c>
      <c r="Q41" s="17">
        <f t="shared" ca="1" si="8"/>
        <v>910130.60907683859</v>
      </c>
      <c r="S41">
        <f ca="1">IF(A41&lt;='Dane do harmonogramu'!$C$7,'Roboczy harmonogram'!P41,0)</f>
        <v>9034.1026626417824</v>
      </c>
      <c r="T41">
        <f ca="1">IF(A41&lt;='Dane do harmonogramu'!$C$7,'Roboczy harmonogram'!O41,0)</f>
        <v>4835.0582096979488</v>
      </c>
      <c r="U41">
        <f ca="1">IF(A41&lt;='Dane do harmonogramu'!$C$7,$N$2,0)</f>
        <v>13869.160872339731</v>
      </c>
      <c r="V41" s="16">
        <f ca="1">IF(A40&lt;='Dane do harmonogramu'!$C$7,Q40*0.15%,"")</f>
        <v>1378.7470676092205</v>
      </c>
    </row>
    <row r="42" spans="1:22" x14ac:dyDescent="0.35">
      <c r="A42">
        <v>40</v>
      </c>
      <c r="B42" s="14">
        <f t="shared" ca="1" si="9"/>
        <v>47286</v>
      </c>
      <c r="C42" s="15">
        <f ca="1">(1+'Dane do harmonogramu'!$C$13*('Roboczy harmonogram'!B42-'Roboczy harmonogram'!B41)/365)</f>
        <v>1.0054356164383562</v>
      </c>
      <c r="D42" s="15">
        <f ca="1">(1+'Dane do harmonogramu'!$C$13*('Roboczy harmonogram'!B42-'Roboczy harmonogram'!B41)/366)</f>
        <v>1.0054207650273224</v>
      </c>
      <c r="E42" s="15">
        <f t="shared" ca="1" si="0"/>
        <v>0</v>
      </c>
      <c r="F42" s="15">
        <f t="shared" ca="1" si="1"/>
        <v>0</v>
      </c>
      <c r="G42">
        <f ca="1">IF(E42=1,(1+'Dane do harmonogramu'!$C$13*((('Roboczy harmonogram'!B42-DATE(YEAR(B42),1,1)+1)/365)+((DATE(YEAR(B41),12,31)-'Roboczy harmonogram'!B41)/366))),IF(F42=1,(1+'Dane do harmonogramu'!$C$13*((('Roboczy harmonogram'!B42-DATE(YEAR(B42),1,1)+1)/366)+((DATE(YEAR(B41),12,31)-'Roboczy harmonogram'!B41)/365))),0))</f>
        <v>0</v>
      </c>
      <c r="H42">
        <f t="shared" ca="1" si="2"/>
        <v>0</v>
      </c>
      <c r="I42">
        <f t="shared" ca="1" si="3"/>
        <v>1.0054356164383562</v>
      </c>
      <c r="J42">
        <f t="shared" ca="1" si="4"/>
        <v>1.0054356164383562</v>
      </c>
      <c r="K42">
        <f ca="1">PRODUCT($J$3:J42)</f>
        <v>1.2339302880128491</v>
      </c>
      <c r="L42">
        <f t="shared" ca="1" si="5"/>
        <v>0.81041855420408226</v>
      </c>
      <c r="M42">
        <f ca="1">SUM($L$3:L42)</f>
        <v>36.02552879653166</v>
      </c>
      <c r="O42">
        <f t="shared" ca="1" si="6"/>
        <v>4947.1208997492213</v>
      </c>
      <c r="P42" s="16">
        <f t="shared" ca="1" si="7"/>
        <v>8922.0399725905099</v>
      </c>
      <c r="Q42" s="17">
        <f t="shared" ca="1" si="8"/>
        <v>901208.56910424808</v>
      </c>
      <c r="S42">
        <f ca="1">IF(A42&lt;='Dane do harmonogramu'!$C$7,'Roboczy harmonogram'!P42,0)</f>
        <v>8922.0399725905099</v>
      </c>
      <c r="T42">
        <f ca="1">IF(A42&lt;='Dane do harmonogramu'!$C$7,'Roboczy harmonogram'!O42,0)</f>
        <v>4947.1208997492213</v>
      </c>
      <c r="U42">
        <f ca="1">IF(A42&lt;='Dane do harmonogramu'!$C$7,$N$2,0)</f>
        <v>13869.160872339731</v>
      </c>
      <c r="V42" s="16">
        <f ca="1">IF(A41&lt;='Dane do harmonogramu'!$C$7,Q41*0.15%,"")</f>
        <v>1365.195913615258</v>
      </c>
    </row>
    <row r="43" spans="1:22" x14ac:dyDescent="0.35">
      <c r="A43">
        <v>41</v>
      </c>
      <c r="B43" s="14">
        <f t="shared" ca="1" si="9"/>
        <v>47316</v>
      </c>
      <c r="C43" s="15">
        <f ca="1">(1+'Dane do harmonogramu'!$C$13*('Roboczy harmonogram'!B43-'Roboczy harmonogram'!B42)/365)</f>
        <v>1.0052602739726026</v>
      </c>
      <c r="D43" s="15">
        <f ca="1">(1+'Dane do harmonogramu'!$C$13*('Roboczy harmonogram'!B43-'Roboczy harmonogram'!B42)/366)</f>
        <v>1.0052459016393442</v>
      </c>
      <c r="E43" s="15">
        <f t="shared" ca="1" si="0"/>
        <v>0</v>
      </c>
      <c r="F43" s="15">
        <f t="shared" ca="1" si="1"/>
        <v>0</v>
      </c>
      <c r="G43">
        <f ca="1">IF(E43=1,(1+'Dane do harmonogramu'!$C$13*((('Roboczy harmonogram'!B43-DATE(YEAR(B43),1,1)+1)/365)+((DATE(YEAR(B42),12,31)-'Roboczy harmonogram'!B42)/366))),IF(F43=1,(1+'Dane do harmonogramu'!$C$13*((('Roboczy harmonogram'!B43-DATE(YEAR(B43),1,1)+1)/366)+((DATE(YEAR(B42),12,31)-'Roboczy harmonogram'!B42)/365))),0))</f>
        <v>0</v>
      </c>
      <c r="H43">
        <f t="shared" ca="1" si="2"/>
        <v>0</v>
      </c>
      <c r="I43">
        <f t="shared" ca="1" si="3"/>
        <v>1.0052602739726026</v>
      </c>
      <c r="J43">
        <f t="shared" ca="1" si="4"/>
        <v>1.0052602739726026</v>
      </c>
      <c r="K43">
        <f ca="1">PRODUCT($J$3:J43)</f>
        <v>1.2404210993908891</v>
      </c>
      <c r="L43">
        <f t="shared" ca="1" si="5"/>
        <v>0.80617783790605602</v>
      </c>
      <c r="M43">
        <f ca="1">SUM($L$3:L43)</f>
        <v>36.831706634437715</v>
      </c>
      <c r="O43">
        <f t="shared" ca="1" si="6"/>
        <v>4740.603979945532</v>
      </c>
      <c r="P43" s="16">
        <f t="shared" ca="1" si="7"/>
        <v>9128.5568923941992</v>
      </c>
      <c r="Q43" s="17">
        <f t="shared" ca="1" si="8"/>
        <v>892080.01221185387</v>
      </c>
      <c r="S43">
        <f ca="1">IF(A43&lt;='Dane do harmonogramu'!$C$7,'Roboczy harmonogram'!P43,0)</f>
        <v>9128.5568923941992</v>
      </c>
      <c r="T43">
        <f ca="1">IF(A43&lt;='Dane do harmonogramu'!$C$7,'Roboczy harmonogram'!O43,0)</f>
        <v>4740.603979945532</v>
      </c>
      <c r="U43">
        <f ca="1">IF(A43&lt;='Dane do harmonogramu'!$C$7,$N$2,0)</f>
        <v>13869.160872339731</v>
      </c>
      <c r="V43" s="16">
        <f ca="1">IF(A42&lt;='Dane do harmonogramu'!$C$7,Q42*0.15%,"")</f>
        <v>1351.8128536563722</v>
      </c>
    </row>
    <row r="44" spans="1:22" x14ac:dyDescent="0.35">
      <c r="A44">
        <v>42</v>
      </c>
      <c r="B44" s="14">
        <f t="shared" ca="1" si="9"/>
        <v>47347</v>
      </c>
      <c r="C44" s="15">
        <f ca="1">(1+'Dane do harmonogramu'!$C$13*('Roboczy harmonogram'!B44-'Roboczy harmonogram'!B43)/365)</f>
        <v>1.0054356164383562</v>
      </c>
      <c r="D44" s="15">
        <f ca="1">(1+'Dane do harmonogramu'!$C$13*('Roboczy harmonogram'!B44-'Roboczy harmonogram'!B43)/366)</f>
        <v>1.0054207650273224</v>
      </c>
      <c r="E44" s="15">
        <f t="shared" ca="1" si="0"/>
        <v>0</v>
      </c>
      <c r="F44" s="15">
        <f t="shared" ca="1" si="1"/>
        <v>0</v>
      </c>
      <c r="G44">
        <f ca="1">IF(E44=1,(1+'Dane do harmonogramu'!$C$13*((('Roboczy harmonogram'!B44-DATE(YEAR(B44),1,1)+1)/365)+((DATE(YEAR(B43),12,31)-'Roboczy harmonogram'!B43)/366))),IF(F44=1,(1+'Dane do harmonogramu'!$C$13*((('Roboczy harmonogram'!B44-DATE(YEAR(B44),1,1)+1)/366)+((DATE(YEAR(B43),12,31)-'Roboczy harmonogram'!B43)/365))),0))</f>
        <v>0</v>
      </c>
      <c r="H44">
        <f t="shared" ca="1" si="2"/>
        <v>0</v>
      </c>
      <c r="I44">
        <f t="shared" ca="1" si="3"/>
        <v>1.0054356164383562</v>
      </c>
      <c r="J44">
        <f t="shared" ca="1" si="4"/>
        <v>1.0054356164383562</v>
      </c>
      <c r="K44">
        <f ca="1">PRODUCT($J$3:J44)</f>
        <v>1.247163552709222</v>
      </c>
      <c r="L44">
        <f t="shared" ca="1" si="5"/>
        <v>0.80181945489642725</v>
      </c>
      <c r="M44">
        <f ca="1">SUM($L$3:L44)</f>
        <v>37.63352608933414</v>
      </c>
      <c r="O44">
        <f t="shared" ca="1" si="6"/>
        <v>4849.0047787077492</v>
      </c>
      <c r="P44" s="16">
        <f t="shared" ca="1" si="7"/>
        <v>9020.156093631982</v>
      </c>
      <c r="Q44" s="17">
        <f t="shared" ca="1" si="8"/>
        <v>883059.85611822188</v>
      </c>
      <c r="S44">
        <f ca="1">IF(A44&lt;='Dane do harmonogramu'!$C$7,'Roboczy harmonogram'!P44,0)</f>
        <v>9020.156093631982</v>
      </c>
      <c r="T44">
        <f ca="1">IF(A44&lt;='Dane do harmonogramu'!$C$7,'Roboczy harmonogram'!O44,0)</f>
        <v>4849.0047787077492</v>
      </c>
      <c r="U44">
        <f ca="1">IF(A44&lt;='Dane do harmonogramu'!$C$7,$N$2,0)</f>
        <v>13869.160872339731</v>
      </c>
      <c r="V44" s="16">
        <f ca="1">IF(A43&lt;='Dane do harmonogramu'!$C$7,Q43*0.15%,"")</f>
        <v>1338.1200183177809</v>
      </c>
    </row>
    <row r="45" spans="1:22" x14ac:dyDescent="0.35">
      <c r="A45">
        <v>43</v>
      </c>
      <c r="B45" s="14">
        <f t="shared" ca="1" si="9"/>
        <v>47378</v>
      </c>
      <c r="C45" s="15">
        <f ca="1">(1+'Dane do harmonogramu'!$C$13*('Roboczy harmonogram'!B45-'Roboczy harmonogram'!B44)/365)</f>
        <v>1.0054356164383562</v>
      </c>
      <c r="D45" s="15">
        <f ca="1">(1+'Dane do harmonogramu'!$C$13*('Roboczy harmonogram'!B45-'Roboczy harmonogram'!B44)/366)</f>
        <v>1.0054207650273224</v>
      </c>
      <c r="E45" s="15">
        <f t="shared" ca="1" si="0"/>
        <v>0</v>
      </c>
      <c r="F45" s="15">
        <f t="shared" ca="1" si="1"/>
        <v>0</v>
      </c>
      <c r="G45">
        <f ca="1">IF(E45=1,(1+'Dane do harmonogramu'!$C$13*((('Roboczy harmonogram'!B45-DATE(YEAR(B45),1,1)+1)/365)+((DATE(YEAR(B44),12,31)-'Roboczy harmonogram'!B44)/366))),IF(F45=1,(1+'Dane do harmonogramu'!$C$13*((('Roboczy harmonogram'!B45-DATE(YEAR(B45),1,1)+1)/366)+((DATE(YEAR(B44),12,31)-'Roboczy harmonogram'!B44)/365))),0))</f>
        <v>0</v>
      </c>
      <c r="H45">
        <f t="shared" ca="1" si="2"/>
        <v>0</v>
      </c>
      <c r="I45">
        <f t="shared" ca="1" si="3"/>
        <v>1.0054356164383562</v>
      </c>
      <c r="J45">
        <f t="shared" ca="1" si="4"/>
        <v>1.0054356164383562</v>
      </c>
      <c r="K45">
        <f ca="1">PRODUCT($J$3:J45)</f>
        <v>1.2539426554176469</v>
      </c>
      <c r="L45">
        <f t="shared" ca="1" si="5"/>
        <v>0.79748463430884164</v>
      </c>
      <c r="M45">
        <f ca="1">SUM($L$3:L45)</f>
        <v>38.431010723642984</v>
      </c>
      <c r="O45">
        <f t="shared" ca="1" si="6"/>
        <v>4799.9746699687093</v>
      </c>
      <c r="P45" s="16">
        <f t="shared" ca="1" si="7"/>
        <v>9069.1862023710219</v>
      </c>
      <c r="Q45" s="17">
        <f t="shared" ca="1" si="8"/>
        <v>873990.66991585086</v>
      </c>
      <c r="S45">
        <f ca="1">IF(A45&lt;='Dane do harmonogramu'!$C$7,'Roboczy harmonogram'!P45,0)</f>
        <v>9069.1862023710219</v>
      </c>
      <c r="T45">
        <f ca="1">IF(A45&lt;='Dane do harmonogramu'!$C$7,'Roboczy harmonogram'!O45,0)</f>
        <v>4799.9746699687093</v>
      </c>
      <c r="U45">
        <f ca="1">IF(A45&lt;='Dane do harmonogramu'!$C$7,$N$2,0)</f>
        <v>13869.160872339731</v>
      </c>
      <c r="V45" s="16">
        <f ca="1">IF(A44&lt;='Dane do harmonogramu'!$C$7,Q44*0.15%,"")</f>
        <v>1324.5897841773328</v>
      </c>
    </row>
    <row r="46" spans="1:22" x14ac:dyDescent="0.35">
      <c r="A46">
        <v>44</v>
      </c>
      <c r="B46" s="14">
        <f t="shared" ca="1" si="9"/>
        <v>47408</v>
      </c>
      <c r="C46" s="15">
        <f ca="1">(1+'Dane do harmonogramu'!$C$13*('Roboczy harmonogram'!B46-'Roboczy harmonogram'!B45)/365)</f>
        <v>1.0052602739726026</v>
      </c>
      <c r="D46" s="15">
        <f ca="1">(1+'Dane do harmonogramu'!$C$13*('Roboczy harmonogram'!B46-'Roboczy harmonogram'!B45)/366)</f>
        <v>1.0052459016393442</v>
      </c>
      <c r="E46" s="15">
        <f t="shared" ca="1" si="0"/>
        <v>0</v>
      </c>
      <c r="F46" s="15">
        <f t="shared" ca="1" si="1"/>
        <v>0</v>
      </c>
      <c r="G46">
        <f ca="1">IF(E46=1,(1+'Dane do harmonogramu'!$C$13*((('Roboczy harmonogram'!B46-DATE(YEAR(B46),1,1)+1)/365)+((DATE(YEAR(B45),12,31)-'Roboczy harmonogram'!B45)/366))),IF(F46=1,(1+'Dane do harmonogramu'!$C$13*((('Roboczy harmonogram'!B46-DATE(YEAR(B46),1,1)+1)/366)+((DATE(YEAR(B45),12,31)-'Roboczy harmonogram'!B45)/365))),0))</f>
        <v>0</v>
      </c>
      <c r="H46">
        <f t="shared" ca="1" si="2"/>
        <v>0</v>
      </c>
      <c r="I46">
        <f t="shared" ca="1" si="3"/>
        <v>1.0052602739726026</v>
      </c>
      <c r="J46">
        <f t="shared" ca="1" si="4"/>
        <v>1.0052602739726026</v>
      </c>
      <c r="K46">
        <f ca="1">PRODUCT($J$3:J46)</f>
        <v>1.2605387373310766</v>
      </c>
      <c r="L46">
        <f t="shared" ca="1" si="5"/>
        <v>0.79331159795793971</v>
      </c>
      <c r="M46">
        <f ca="1">SUM($L$3:L46)</f>
        <v>39.224322321600923</v>
      </c>
      <c r="O46">
        <f t="shared" ca="1" si="6"/>
        <v>4597.4303732558619</v>
      </c>
      <c r="P46" s="16">
        <f t="shared" ca="1" si="7"/>
        <v>9271.7304990838693</v>
      </c>
      <c r="Q46" s="17">
        <f t="shared" ca="1" si="8"/>
        <v>864718.93941676698</v>
      </c>
      <c r="S46">
        <f ca="1">IF(A46&lt;='Dane do harmonogramu'!$C$7,'Roboczy harmonogram'!P46,0)</f>
        <v>9271.7304990838693</v>
      </c>
      <c r="T46">
        <f ca="1">IF(A46&lt;='Dane do harmonogramu'!$C$7,'Roboczy harmonogram'!O46,0)</f>
        <v>4597.4303732558619</v>
      </c>
      <c r="U46">
        <f ca="1">IF(A46&lt;='Dane do harmonogramu'!$C$7,$N$2,0)</f>
        <v>13869.160872339731</v>
      </c>
      <c r="V46" s="16">
        <f ca="1">IF(A45&lt;='Dane do harmonogramu'!$C$7,Q45*0.15%,"")</f>
        <v>1310.9860048737762</v>
      </c>
    </row>
    <row r="47" spans="1:22" x14ac:dyDescent="0.35">
      <c r="A47">
        <v>45</v>
      </c>
      <c r="B47" s="14">
        <f t="shared" ca="1" si="9"/>
        <v>47439</v>
      </c>
      <c r="C47" s="15">
        <f ca="1">(1+'Dane do harmonogramu'!$C$13*('Roboczy harmonogram'!B47-'Roboczy harmonogram'!B46)/365)</f>
        <v>1.0054356164383562</v>
      </c>
      <c r="D47" s="15">
        <f ca="1">(1+'Dane do harmonogramu'!$C$13*('Roboczy harmonogram'!B47-'Roboczy harmonogram'!B46)/366)</f>
        <v>1.0054207650273224</v>
      </c>
      <c r="E47" s="15">
        <f t="shared" ca="1" si="0"/>
        <v>0</v>
      </c>
      <c r="F47" s="15">
        <f t="shared" ca="1" si="1"/>
        <v>0</v>
      </c>
      <c r="G47">
        <f ca="1">IF(E47=1,(1+'Dane do harmonogramu'!$C$13*((('Roboczy harmonogram'!B47-DATE(YEAR(B47),1,1)+1)/365)+((DATE(YEAR(B46),12,31)-'Roboczy harmonogram'!B46)/366))),IF(F47=1,(1+'Dane do harmonogramu'!$C$13*((('Roboczy harmonogram'!B47-DATE(YEAR(B47),1,1)+1)/366)+((DATE(YEAR(B46),12,31)-'Roboczy harmonogram'!B46)/365))),0))</f>
        <v>0</v>
      </c>
      <c r="H47">
        <f t="shared" ca="1" si="2"/>
        <v>0</v>
      </c>
      <c r="I47">
        <f t="shared" ca="1" si="3"/>
        <v>1.0054356164383562</v>
      </c>
      <c r="J47">
        <f t="shared" ca="1" si="4"/>
        <v>1.0054356164383562</v>
      </c>
      <c r="K47">
        <f ca="1">PRODUCT($J$3:J47)</f>
        <v>1.2673905424128982</v>
      </c>
      <c r="L47">
        <f t="shared" ca="1" si="5"/>
        <v>0.78902277280384969</v>
      </c>
      <c r="M47">
        <f ca="1">SUM($L$3:L47)</f>
        <v>40.013345094404769</v>
      </c>
      <c r="O47">
        <f t="shared" ca="1" si="6"/>
        <v>4700.2804816517746</v>
      </c>
      <c r="P47" s="16">
        <f t="shared" ca="1" si="7"/>
        <v>9168.8803906879566</v>
      </c>
      <c r="Q47" s="17">
        <f t="shared" ca="1" si="8"/>
        <v>855550.05902607902</v>
      </c>
      <c r="S47">
        <f ca="1">IF(A47&lt;='Dane do harmonogramu'!$C$7,'Roboczy harmonogram'!P47,0)</f>
        <v>9168.8803906879566</v>
      </c>
      <c r="T47">
        <f ca="1">IF(A47&lt;='Dane do harmonogramu'!$C$7,'Roboczy harmonogram'!O47,0)</f>
        <v>4700.2804816517746</v>
      </c>
      <c r="U47">
        <f ca="1">IF(A47&lt;='Dane do harmonogramu'!$C$7,$N$2,0)</f>
        <v>13869.160872339731</v>
      </c>
      <c r="V47" s="16">
        <f ca="1">IF(A46&lt;='Dane do harmonogramu'!$C$7,Q46*0.15%,"")</f>
        <v>1297.0784091251505</v>
      </c>
    </row>
    <row r="48" spans="1:22" x14ac:dyDescent="0.35">
      <c r="A48">
        <v>46</v>
      </c>
      <c r="B48" s="14">
        <f t="shared" ca="1" si="9"/>
        <v>47469</v>
      </c>
      <c r="C48" s="15">
        <f ca="1">(1+'Dane do harmonogramu'!$C$13*('Roboczy harmonogram'!B48-'Roboczy harmonogram'!B47)/365)</f>
        <v>1.0052602739726026</v>
      </c>
      <c r="D48" s="15">
        <f ca="1">(1+'Dane do harmonogramu'!$C$13*('Roboczy harmonogram'!B48-'Roboczy harmonogram'!B47)/366)</f>
        <v>1.0052459016393442</v>
      </c>
      <c r="E48" s="15">
        <f t="shared" ca="1" si="0"/>
        <v>0</v>
      </c>
      <c r="F48" s="15">
        <f t="shared" ca="1" si="1"/>
        <v>0</v>
      </c>
      <c r="G48">
        <f ca="1">IF(E48=1,(1+'Dane do harmonogramu'!$C$13*((('Roboczy harmonogram'!B48-DATE(YEAR(B48),1,1)+1)/365)+((DATE(YEAR(B47),12,31)-'Roboczy harmonogram'!B47)/366))),IF(F48=1,(1+'Dane do harmonogramu'!$C$13*((('Roboczy harmonogram'!B48-DATE(YEAR(B48),1,1)+1)/366)+((DATE(YEAR(B47),12,31)-'Roboczy harmonogram'!B47)/365))),0))</f>
        <v>0</v>
      </c>
      <c r="H48">
        <f t="shared" ca="1" si="2"/>
        <v>0</v>
      </c>
      <c r="I48">
        <f t="shared" ca="1" si="3"/>
        <v>1.0052602739726026</v>
      </c>
      <c r="J48">
        <f t="shared" ca="1" si="4"/>
        <v>1.0052602739726026</v>
      </c>
      <c r="K48">
        <f ca="1">PRODUCT($J$3:J48)</f>
        <v>1.2740573638962756</v>
      </c>
      <c r="L48">
        <f t="shared" ca="1" si="5"/>
        <v>0.78489401524420899</v>
      </c>
      <c r="M48">
        <f ca="1">SUM($L$3:L48)</f>
        <v>40.798239109648975</v>
      </c>
      <c r="O48">
        <f t="shared" ca="1" si="6"/>
        <v>4500.4277077534935</v>
      </c>
      <c r="P48" s="16">
        <f t="shared" ca="1" si="7"/>
        <v>9368.7331645862378</v>
      </c>
      <c r="Q48" s="17">
        <f t="shared" ca="1" si="8"/>
        <v>846181.32586149278</v>
      </c>
      <c r="S48">
        <f ca="1">IF(A48&lt;='Dane do harmonogramu'!$C$7,'Roboczy harmonogram'!P48,0)</f>
        <v>9368.7331645862378</v>
      </c>
      <c r="T48">
        <f ca="1">IF(A48&lt;='Dane do harmonogramu'!$C$7,'Roboczy harmonogram'!O48,0)</f>
        <v>4500.4277077534935</v>
      </c>
      <c r="U48">
        <f ca="1">IF(A48&lt;='Dane do harmonogramu'!$C$7,$N$2,0)</f>
        <v>13869.160872339731</v>
      </c>
      <c r="V48" s="16">
        <f ca="1">IF(A47&lt;='Dane do harmonogramu'!$C$7,Q47*0.15%,"")</f>
        <v>1283.3250885391185</v>
      </c>
    </row>
    <row r="49" spans="1:22" x14ac:dyDescent="0.35">
      <c r="A49">
        <v>47</v>
      </c>
      <c r="B49" s="14">
        <f t="shared" ca="1" si="9"/>
        <v>47500</v>
      </c>
      <c r="C49" s="15">
        <f ca="1">(1+'Dane do harmonogramu'!$C$13*('Roboczy harmonogram'!B49-'Roboczy harmonogram'!B48)/365)</f>
        <v>1.0054356164383562</v>
      </c>
      <c r="D49" s="15">
        <f ca="1">(1+'Dane do harmonogramu'!$C$13*('Roboczy harmonogram'!B49-'Roboczy harmonogram'!B48)/366)</f>
        <v>1.0054207650273224</v>
      </c>
      <c r="E49" s="15">
        <f t="shared" ca="1" si="0"/>
        <v>0</v>
      </c>
      <c r="F49" s="15">
        <f t="shared" ca="1" si="1"/>
        <v>0</v>
      </c>
      <c r="G49">
        <f ca="1">IF(E49=1,(1+'Dane do harmonogramu'!$C$13*((('Roboczy harmonogram'!B49-DATE(YEAR(B49),1,1)+1)/365)+((DATE(YEAR(B48),12,31)-'Roboczy harmonogram'!B48)/366))),IF(F49=1,(1+'Dane do harmonogramu'!$C$13*((('Roboczy harmonogram'!B49-DATE(YEAR(B49),1,1)+1)/366)+((DATE(YEAR(B48),12,31)-'Roboczy harmonogram'!B48)/365))),0))</f>
        <v>0</v>
      </c>
      <c r="H49">
        <f t="shared" ca="1" si="2"/>
        <v>0</v>
      </c>
      <c r="I49">
        <f t="shared" ca="1" si="3"/>
        <v>1.0054356164383562</v>
      </c>
      <c r="J49">
        <f t="shared" ca="1" si="4"/>
        <v>1.0054356164383562</v>
      </c>
      <c r="K49">
        <f ca="1">PRODUCT($J$3:J49)</f>
        <v>1.2809826510468789</v>
      </c>
      <c r="L49">
        <f t="shared" ca="1" si="5"/>
        <v>0.78065069748037041</v>
      </c>
      <c r="M49">
        <f ca="1">SUM($L$3:L49)</f>
        <v>41.578889807129343</v>
      </c>
      <c r="O49">
        <f t="shared" ca="1" si="6"/>
        <v>4599.5171246827813</v>
      </c>
      <c r="P49" s="16">
        <f t="shared" ca="1" si="7"/>
        <v>9269.6437476569499</v>
      </c>
      <c r="Q49" s="17">
        <f t="shared" ca="1" si="8"/>
        <v>836911.68211383582</v>
      </c>
      <c r="S49">
        <f ca="1">IF(A49&lt;='Dane do harmonogramu'!$C$7,'Roboczy harmonogram'!P49,0)</f>
        <v>9269.6437476569499</v>
      </c>
      <c r="T49">
        <f ca="1">IF(A49&lt;='Dane do harmonogramu'!$C$7,'Roboczy harmonogram'!O49,0)</f>
        <v>4599.5171246827813</v>
      </c>
      <c r="U49">
        <f ca="1">IF(A49&lt;='Dane do harmonogramu'!$C$7,$N$2,0)</f>
        <v>13869.160872339731</v>
      </c>
      <c r="V49" s="16">
        <f ca="1">IF(A48&lt;='Dane do harmonogramu'!$C$7,Q48*0.15%,"")</f>
        <v>1269.2719887922392</v>
      </c>
    </row>
    <row r="50" spans="1:22" x14ac:dyDescent="0.35">
      <c r="A50">
        <v>48</v>
      </c>
      <c r="B50" s="14">
        <f t="shared" ca="1" si="9"/>
        <v>47531</v>
      </c>
      <c r="C50" s="15">
        <f ca="1">(1+'Dane do harmonogramu'!$C$13*('Roboczy harmonogram'!B50-'Roboczy harmonogram'!B49)/365)</f>
        <v>1.0054356164383562</v>
      </c>
      <c r="D50" s="15">
        <f ca="1">(1+'Dane do harmonogramu'!$C$13*('Roboczy harmonogram'!B50-'Roboczy harmonogram'!B49)/366)</f>
        <v>1.0054207650273224</v>
      </c>
      <c r="E50" s="15">
        <f t="shared" ca="1" si="0"/>
        <v>0</v>
      </c>
      <c r="F50" s="15">
        <f t="shared" ca="1" si="1"/>
        <v>0</v>
      </c>
      <c r="G50">
        <f ca="1">IF(E50=1,(1+'Dane do harmonogramu'!$C$13*((('Roboczy harmonogram'!B50-DATE(YEAR(B50),1,1)+1)/365)+((DATE(YEAR(B49),12,31)-'Roboczy harmonogram'!B49)/366))),IF(F50=1,(1+'Dane do harmonogramu'!$C$13*((('Roboczy harmonogram'!B50-DATE(YEAR(B50),1,1)+1)/366)+((DATE(YEAR(B49),12,31)-'Roboczy harmonogram'!B49)/365))),0))</f>
        <v>0</v>
      </c>
      <c r="H50">
        <f t="shared" ca="1" si="2"/>
        <v>0</v>
      </c>
      <c r="I50">
        <f t="shared" ca="1" si="3"/>
        <v>1.0054356164383562</v>
      </c>
      <c r="J50">
        <f t="shared" ca="1" si="4"/>
        <v>1.0054356164383562</v>
      </c>
      <c r="K50">
        <f ca="1">PRODUCT($J$3:J50)</f>
        <v>1.2879455814021585</v>
      </c>
      <c r="L50">
        <f t="shared" ca="1" si="5"/>
        <v>0.77643032006936319</v>
      </c>
      <c r="M50">
        <f ca="1">SUM($L$3:L50)</f>
        <v>42.355320127198709</v>
      </c>
      <c r="O50">
        <f t="shared" ca="1" si="6"/>
        <v>4549.1308967503719</v>
      </c>
      <c r="P50" s="16">
        <f t="shared" ca="1" si="7"/>
        <v>9320.0299755893593</v>
      </c>
      <c r="Q50" s="17">
        <f t="shared" ca="1" si="8"/>
        <v>827591.65213824646</v>
      </c>
      <c r="S50">
        <f ca="1">IF(A50&lt;='Dane do harmonogramu'!$C$7,'Roboczy harmonogram'!P50,0)</f>
        <v>9320.0299755893593</v>
      </c>
      <c r="T50">
        <f ca="1">IF(A50&lt;='Dane do harmonogramu'!$C$7,'Roboczy harmonogram'!O50,0)</f>
        <v>4549.1308967503719</v>
      </c>
      <c r="U50">
        <f ca="1">IF(A50&lt;='Dane do harmonogramu'!$C$7,$N$2,0)</f>
        <v>13869.160872339731</v>
      </c>
      <c r="V50" s="16">
        <f ca="1">IF(A49&lt;='Dane do harmonogramu'!$C$7,Q49*0.15%,"")</f>
        <v>1255.3675231707537</v>
      </c>
    </row>
    <row r="51" spans="1:22" x14ac:dyDescent="0.35">
      <c r="A51">
        <v>49</v>
      </c>
      <c r="B51" s="14">
        <f t="shared" ca="1" si="9"/>
        <v>47559</v>
      </c>
      <c r="C51" s="15">
        <f ca="1">(1+'Dane do harmonogramu'!$C$13*('Roboczy harmonogram'!B51-'Roboczy harmonogram'!B50)/365)</f>
        <v>1.004909589041096</v>
      </c>
      <c r="D51" s="15">
        <f ca="1">(1+'Dane do harmonogramu'!$C$13*('Roboczy harmonogram'!B51-'Roboczy harmonogram'!B50)/366)</f>
        <v>1.004896174863388</v>
      </c>
      <c r="E51" s="15">
        <f t="shared" ca="1" si="0"/>
        <v>0</v>
      </c>
      <c r="F51" s="15">
        <f t="shared" ca="1" si="1"/>
        <v>0</v>
      </c>
      <c r="G51">
        <f ca="1">IF(E51=1,(1+'Dane do harmonogramu'!$C$13*((('Roboczy harmonogram'!B51-DATE(YEAR(B51),1,1)+1)/365)+((DATE(YEAR(B50),12,31)-'Roboczy harmonogram'!B50)/366))),IF(F51=1,(1+'Dane do harmonogramu'!$C$13*((('Roboczy harmonogram'!B51-DATE(YEAR(B51),1,1)+1)/366)+((DATE(YEAR(B50),12,31)-'Roboczy harmonogram'!B50)/365))),0))</f>
        <v>0</v>
      </c>
      <c r="H51">
        <f t="shared" ca="1" si="2"/>
        <v>0</v>
      </c>
      <c r="I51">
        <f t="shared" ca="1" si="3"/>
        <v>1.004909589041096</v>
      </c>
      <c r="J51">
        <f t="shared" ca="1" si="4"/>
        <v>1.004909589041096</v>
      </c>
      <c r="K51">
        <f ca="1">PRODUCT($J$3:J51)</f>
        <v>1.2942688649141385</v>
      </c>
      <c r="L51">
        <f t="shared" ca="1" si="5"/>
        <v>0.77263698997065788</v>
      </c>
      <c r="M51">
        <f ca="1">SUM($L$3:L51)</f>
        <v>43.127957117169366</v>
      </c>
      <c r="O51">
        <f t="shared" ca="1" si="6"/>
        <v>4063.1349058403866</v>
      </c>
      <c r="P51" s="16">
        <f t="shared" ca="1" si="7"/>
        <v>9806.0259664993446</v>
      </c>
      <c r="Q51" s="17">
        <f t="shared" ca="1" si="8"/>
        <v>817785.62617174711</v>
      </c>
      <c r="S51">
        <f ca="1">IF(A51&lt;='Dane do harmonogramu'!$C$7,'Roboczy harmonogram'!P51,0)</f>
        <v>9806.0259664993446</v>
      </c>
      <c r="T51">
        <f ca="1">IF(A51&lt;='Dane do harmonogramu'!$C$7,'Roboczy harmonogram'!O51,0)</f>
        <v>4063.1349058403866</v>
      </c>
      <c r="U51">
        <f ca="1">IF(A51&lt;='Dane do harmonogramu'!$C$7,$N$2,0)</f>
        <v>13869.160872339731</v>
      </c>
      <c r="V51" s="16">
        <f ca="1">IF(A50&lt;='Dane do harmonogramu'!$C$7,Q50*0.15%,"")</f>
        <v>1241.3874782073697</v>
      </c>
    </row>
    <row r="52" spans="1:22" x14ac:dyDescent="0.35">
      <c r="A52">
        <v>50</v>
      </c>
      <c r="B52" s="14">
        <f t="shared" ca="1" si="9"/>
        <v>47590</v>
      </c>
      <c r="C52" s="15">
        <f ca="1">(1+'Dane do harmonogramu'!$C$13*('Roboczy harmonogram'!B52-'Roboczy harmonogram'!B51)/365)</f>
        <v>1.0054356164383562</v>
      </c>
      <c r="D52" s="15">
        <f ca="1">(1+'Dane do harmonogramu'!$C$13*('Roboczy harmonogram'!B52-'Roboczy harmonogram'!B51)/366)</f>
        <v>1.0054207650273224</v>
      </c>
      <c r="E52" s="15">
        <f t="shared" ca="1" si="0"/>
        <v>0</v>
      </c>
      <c r="F52" s="15">
        <f t="shared" ca="1" si="1"/>
        <v>0</v>
      </c>
      <c r="G52">
        <f ca="1">IF(E52=1,(1+'Dane do harmonogramu'!$C$13*((('Roboczy harmonogram'!B52-DATE(YEAR(B52),1,1)+1)/365)+((DATE(YEAR(B51),12,31)-'Roboczy harmonogram'!B51)/366))),IF(F52=1,(1+'Dane do harmonogramu'!$C$13*((('Roboczy harmonogram'!B52-DATE(YEAR(B52),1,1)+1)/366)+((DATE(YEAR(B51),12,31)-'Roboczy harmonogram'!B51)/365))),0))</f>
        <v>0</v>
      </c>
      <c r="H52">
        <f t="shared" ca="1" si="2"/>
        <v>0</v>
      </c>
      <c r="I52">
        <f t="shared" ca="1" si="3"/>
        <v>1.0054356164383562</v>
      </c>
      <c r="J52">
        <f t="shared" ca="1" si="4"/>
        <v>1.0054356164383562</v>
      </c>
      <c r="K52">
        <f ca="1">PRODUCT($J$3:J52)</f>
        <v>1.3013040140319185</v>
      </c>
      <c r="L52">
        <f t="shared" ca="1" si="5"/>
        <v>0.76845993650755917</v>
      </c>
      <c r="M52">
        <f ca="1">SUM($L$3:L52)</f>
        <v>43.896417053676927</v>
      </c>
      <c r="O52">
        <f t="shared" ca="1" si="6"/>
        <v>4445.1689926706022</v>
      </c>
      <c r="P52" s="16">
        <f t="shared" ca="1" si="7"/>
        <v>9423.991879669129</v>
      </c>
      <c r="Q52" s="17">
        <f t="shared" ca="1" si="8"/>
        <v>808361.63429207797</v>
      </c>
      <c r="S52">
        <f ca="1">IF(A52&lt;='Dane do harmonogramu'!$C$7,'Roboczy harmonogram'!P52,0)</f>
        <v>9423.991879669129</v>
      </c>
      <c r="T52">
        <f ca="1">IF(A52&lt;='Dane do harmonogramu'!$C$7,'Roboczy harmonogram'!O52,0)</f>
        <v>4445.1689926706022</v>
      </c>
      <c r="U52">
        <f ca="1">IF(A52&lt;='Dane do harmonogramu'!$C$7,$N$2,0)</f>
        <v>13869.160872339731</v>
      </c>
      <c r="V52" s="16">
        <f ca="1">IF(A51&lt;='Dane do harmonogramu'!$C$7,Q51*0.15%,"")</f>
        <v>1226.6784392576208</v>
      </c>
    </row>
    <row r="53" spans="1:22" x14ac:dyDescent="0.35">
      <c r="A53">
        <v>51</v>
      </c>
      <c r="B53" s="14">
        <f t="shared" ca="1" si="9"/>
        <v>47620</v>
      </c>
      <c r="C53" s="15">
        <f ca="1">(1+'Dane do harmonogramu'!$C$13*('Roboczy harmonogram'!B53-'Roboczy harmonogram'!B52)/365)</f>
        <v>1.0052602739726026</v>
      </c>
      <c r="D53" s="15">
        <f ca="1">(1+'Dane do harmonogramu'!$C$13*('Roboczy harmonogram'!B53-'Roboczy harmonogram'!B52)/366)</f>
        <v>1.0052459016393442</v>
      </c>
      <c r="E53" s="15">
        <f t="shared" ca="1" si="0"/>
        <v>0</v>
      </c>
      <c r="F53" s="15">
        <f t="shared" ca="1" si="1"/>
        <v>0</v>
      </c>
      <c r="G53">
        <f ca="1">IF(E53=1,(1+'Dane do harmonogramu'!$C$13*((('Roboczy harmonogram'!B53-DATE(YEAR(B53),1,1)+1)/365)+((DATE(YEAR(B52),12,31)-'Roboczy harmonogram'!B52)/366))),IF(F53=1,(1+'Dane do harmonogramu'!$C$13*((('Roboczy harmonogram'!B53-DATE(YEAR(B53),1,1)+1)/366)+((DATE(YEAR(B52),12,31)-'Roboczy harmonogram'!B52)/365))),0))</f>
        <v>0</v>
      </c>
      <c r="H53">
        <f t="shared" ca="1" si="2"/>
        <v>0</v>
      </c>
      <c r="I53">
        <f t="shared" ca="1" si="3"/>
        <v>1.0052602739726026</v>
      </c>
      <c r="J53">
        <f t="shared" ca="1" si="4"/>
        <v>1.0052602739726026</v>
      </c>
      <c r="K53">
        <f ca="1">PRODUCT($J$3:J53)</f>
        <v>1.308149229667374</v>
      </c>
      <c r="L53">
        <f t="shared" ca="1" si="5"/>
        <v>0.76443877909424152</v>
      </c>
      <c r="M53">
        <f ca="1">SUM($L$3:L53)</f>
        <v>44.660855832771169</v>
      </c>
      <c r="O53">
        <f t="shared" ca="1" si="6"/>
        <v>4252.2036653171526</v>
      </c>
      <c r="P53" s="16">
        <f t="shared" ca="1" si="7"/>
        <v>9616.9572070225786</v>
      </c>
      <c r="Q53" s="17">
        <f t="shared" ca="1" si="8"/>
        <v>798744.67708505539</v>
      </c>
      <c r="S53">
        <f ca="1">IF(A53&lt;='Dane do harmonogramu'!$C$7,'Roboczy harmonogram'!P53,0)</f>
        <v>9616.9572070225786</v>
      </c>
      <c r="T53">
        <f ca="1">IF(A53&lt;='Dane do harmonogramu'!$C$7,'Roboczy harmonogram'!O53,0)</f>
        <v>4252.2036653171526</v>
      </c>
      <c r="U53">
        <f ca="1">IF(A53&lt;='Dane do harmonogramu'!$C$7,$N$2,0)</f>
        <v>13869.160872339731</v>
      </c>
      <c r="V53" s="16">
        <f ca="1">IF(A52&lt;='Dane do harmonogramu'!$C$7,Q52*0.15%,"")</f>
        <v>1212.542451438117</v>
      </c>
    </row>
    <row r="54" spans="1:22" x14ac:dyDescent="0.35">
      <c r="A54">
        <v>52</v>
      </c>
      <c r="B54" s="14">
        <f t="shared" ca="1" si="9"/>
        <v>47651</v>
      </c>
      <c r="C54" s="15">
        <f ca="1">(1+'Dane do harmonogramu'!$C$13*('Roboczy harmonogram'!B54-'Roboczy harmonogram'!B53)/365)</f>
        <v>1.0054356164383562</v>
      </c>
      <c r="D54" s="15">
        <f ca="1">(1+'Dane do harmonogramu'!$C$13*('Roboczy harmonogram'!B54-'Roboczy harmonogram'!B53)/366)</f>
        <v>1.0054207650273224</v>
      </c>
      <c r="E54" s="15">
        <f t="shared" ca="1" si="0"/>
        <v>0</v>
      </c>
      <c r="F54" s="15">
        <f t="shared" ca="1" si="1"/>
        <v>0</v>
      </c>
      <c r="G54">
        <f ca="1">IF(E54=1,(1+'Dane do harmonogramu'!$C$13*((('Roboczy harmonogram'!B54-DATE(YEAR(B54),1,1)+1)/365)+((DATE(YEAR(B53),12,31)-'Roboczy harmonogram'!B53)/366))),IF(F54=1,(1+'Dane do harmonogramu'!$C$13*((('Roboczy harmonogram'!B54-DATE(YEAR(B54),1,1)+1)/366)+((DATE(YEAR(B53),12,31)-'Roboczy harmonogram'!B53)/365))),0))</f>
        <v>0</v>
      </c>
      <c r="H54">
        <f t="shared" ca="1" si="2"/>
        <v>0</v>
      </c>
      <c r="I54">
        <f t="shared" ca="1" si="3"/>
        <v>1.0054356164383562</v>
      </c>
      <c r="J54">
        <f t="shared" ca="1" si="4"/>
        <v>1.0054356164383562</v>
      </c>
      <c r="K54">
        <f ca="1">PRODUCT($J$3:J54)</f>
        <v>1.315259827123977</v>
      </c>
      <c r="L54">
        <f t="shared" ca="1" si="5"/>
        <v>0.76030604704673266</v>
      </c>
      <c r="M54">
        <f ca="1">SUM($L$3:L54)</f>
        <v>45.421161879817902</v>
      </c>
      <c r="O54">
        <f t="shared" ca="1" si="6"/>
        <v>4341.6696968131</v>
      </c>
      <c r="P54" s="16">
        <f t="shared" ca="1" si="7"/>
        <v>9527.4911755266312</v>
      </c>
      <c r="Q54" s="17">
        <f t="shared" ca="1" si="8"/>
        <v>789217.18590952875</v>
      </c>
      <c r="S54">
        <f ca="1">IF(A54&lt;='Dane do harmonogramu'!$C$7,'Roboczy harmonogram'!P54,0)</f>
        <v>9527.4911755266312</v>
      </c>
      <c r="T54">
        <f ca="1">IF(A54&lt;='Dane do harmonogramu'!$C$7,'Roboczy harmonogram'!O54,0)</f>
        <v>4341.6696968131</v>
      </c>
      <c r="U54">
        <f ca="1">IF(A54&lt;='Dane do harmonogramu'!$C$7,$N$2,0)</f>
        <v>13869.160872339731</v>
      </c>
      <c r="V54" s="16">
        <f ca="1">IF(A53&lt;='Dane do harmonogramu'!$C$7,Q53*0.15%,"")</f>
        <v>1198.1170156275832</v>
      </c>
    </row>
    <row r="55" spans="1:22" x14ac:dyDescent="0.35">
      <c r="A55">
        <v>53</v>
      </c>
      <c r="B55" s="14">
        <f t="shared" ca="1" si="9"/>
        <v>47681</v>
      </c>
      <c r="C55" s="15">
        <f ca="1">(1+'Dane do harmonogramu'!$C$13*('Roboczy harmonogram'!B55-'Roboczy harmonogram'!B54)/365)</f>
        <v>1.0052602739726026</v>
      </c>
      <c r="D55" s="15">
        <f ca="1">(1+'Dane do harmonogramu'!$C$13*('Roboczy harmonogram'!B55-'Roboczy harmonogram'!B54)/366)</f>
        <v>1.0052459016393442</v>
      </c>
      <c r="E55" s="15">
        <f t="shared" ca="1" si="0"/>
        <v>0</v>
      </c>
      <c r="F55" s="15">
        <f t="shared" ca="1" si="1"/>
        <v>0</v>
      </c>
      <c r="G55">
        <f ca="1">IF(E55=1,(1+'Dane do harmonogramu'!$C$13*((('Roboczy harmonogram'!B55-DATE(YEAR(B55),1,1)+1)/365)+((DATE(YEAR(B54),12,31)-'Roboczy harmonogram'!B54)/366))),IF(F55=1,(1+'Dane do harmonogramu'!$C$13*((('Roboczy harmonogram'!B55-DATE(YEAR(B55),1,1)+1)/366)+((DATE(YEAR(B54),12,31)-'Roboczy harmonogram'!B54)/365))),0))</f>
        <v>0</v>
      </c>
      <c r="H55">
        <f t="shared" ca="1" si="2"/>
        <v>0</v>
      </c>
      <c r="I55">
        <f t="shared" ca="1" si="3"/>
        <v>1.0052602739726026</v>
      </c>
      <c r="J55">
        <f t="shared" ca="1" si="4"/>
        <v>1.0052602739726026</v>
      </c>
      <c r="K55">
        <f ca="1">PRODUCT($J$3:J55)</f>
        <v>1.3221784541598072</v>
      </c>
      <c r="L55">
        <f t="shared" ca="1" si="5"/>
        <v>0.75632755688449105</v>
      </c>
      <c r="M55">
        <f ca="1">SUM($L$3:L55)</f>
        <v>46.177489436702395</v>
      </c>
      <c r="O55">
        <f t="shared" ca="1" si="6"/>
        <v>4151.4986217706464</v>
      </c>
      <c r="P55" s="16">
        <f t="shared" ca="1" si="7"/>
        <v>9717.6622505690848</v>
      </c>
      <c r="Q55" s="17">
        <f t="shared" ca="1" si="8"/>
        <v>779499.52365895966</v>
      </c>
      <c r="S55">
        <f ca="1">IF(A55&lt;='Dane do harmonogramu'!$C$7,'Roboczy harmonogram'!P55,0)</f>
        <v>9717.6622505690848</v>
      </c>
      <c r="T55">
        <f ca="1">IF(A55&lt;='Dane do harmonogramu'!$C$7,'Roboczy harmonogram'!O55,0)</f>
        <v>4151.4986217706464</v>
      </c>
      <c r="U55">
        <f ca="1">IF(A55&lt;='Dane do harmonogramu'!$C$7,$N$2,0)</f>
        <v>13869.160872339731</v>
      </c>
      <c r="V55" s="16">
        <f ca="1">IF(A54&lt;='Dane do harmonogramu'!$C$7,Q54*0.15%,"")</f>
        <v>1183.8257788642932</v>
      </c>
    </row>
    <row r="56" spans="1:22" x14ac:dyDescent="0.35">
      <c r="A56">
        <v>54</v>
      </c>
      <c r="B56" s="14">
        <f t="shared" ca="1" si="9"/>
        <v>47712</v>
      </c>
      <c r="C56" s="15">
        <f ca="1">(1+'Dane do harmonogramu'!$C$13*('Roboczy harmonogram'!B56-'Roboczy harmonogram'!B55)/365)</f>
        <v>1.0054356164383562</v>
      </c>
      <c r="D56" s="15">
        <f ca="1">(1+'Dane do harmonogramu'!$C$13*('Roboczy harmonogram'!B56-'Roboczy harmonogram'!B55)/366)</f>
        <v>1.0054207650273224</v>
      </c>
      <c r="E56" s="15">
        <f t="shared" ca="1" si="0"/>
        <v>0</v>
      </c>
      <c r="F56" s="15">
        <f t="shared" ca="1" si="1"/>
        <v>0</v>
      </c>
      <c r="G56">
        <f ca="1">IF(E56=1,(1+'Dane do harmonogramu'!$C$13*((('Roboczy harmonogram'!B56-DATE(YEAR(B56),1,1)+1)/365)+((DATE(YEAR(B55),12,31)-'Roboczy harmonogram'!B55)/366))),IF(F56=1,(1+'Dane do harmonogramu'!$C$13*((('Roboczy harmonogram'!B56-DATE(YEAR(B56),1,1)+1)/366)+((DATE(YEAR(B55),12,31)-'Roboczy harmonogram'!B55)/365))),0))</f>
        <v>0</v>
      </c>
      <c r="H56">
        <f t="shared" ca="1" si="2"/>
        <v>0</v>
      </c>
      <c r="I56">
        <f t="shared" ca="1" si="3"/>
        <v>1.0054356164383562</v>
      </c>
      <c r="J56">
        <f t="shared" ca="1" si="4"/>
        <v>1.0054356164383562</v>
      </c>
      <c r="K56">
        <f ca="1">PRODUCT($J$3:J56)</f>
        <v>1.3293653090996786</v>
      </c>
      <c r="L56">
        <f t="shared" ca="1" si="5"/>
        <v>0.75223867597181138</v>
      </c>
      <c r="M56">
        <f ca="1">SUM($L$3:L56)</f>
        <v>46.929728112674205</v>
      </c>
      <c r="O56">
        <f t="shared" ca="1" si="6"/>
        <v>4237.0604244915303</v>
      </c>
      <c r="P56" s="16">
        <f t="shared" ca="1" si="7"/>
        <v>9632.1004478482009</v>
      </c>
      <c r="Q56" s="17">
        <f t="shared" ca="1" si="8"/>
        <v>769867.42321111145</v>
      </c>
      <c r="S56">
        <f ca="1">IF(A56&lt;='Dane do harmonogramu'!$C$7,'Roboczy harmonogram'!P56,0)</f>
        <v>9632.1004478482009</v>
      </c>
      <c r="T56">
        <f ca="1">IF(A56&lt;='Dane do harmonogramu'!$C$7,'Roboczy harmonogram'!O56,0)</f>
        <v>4237.0604244915303</v>
      </c>
      <c r="U56">
        <f ca="1">IF(A56&lt;='Dane do harmonogramu'!$C$7,$N$2,0)</f>
        <v>13869.160872339731</v>
      </c>
      <c r="V56" s="16">
        <f ca="1">IF(A55&lt;='Dane do harmonogramu'!$C$7,Q55*0.15%,"")</f>
        <v>1169.2492854884395</v>
      </c>
    </row>
    <row r="57" spans="1:22" x14ac:dyDescent="0.35">
      <c r="A57">
        <v>55</v>
      </c>
      <c r="B57" s="14">
        <f t="shared" ca="1" si="9"/>
        <v>47743</v>
      </c>
      <c r="C57" s="15">
        <f ca="1">(1+'Dane do harmonogramu'!$C$13*('Roboczy harmonogram'!B57-'Roboczy harmonogram'!B56)/365)</f>
        <v>1.0054356164383562</v>
      </c>
      <c r="D57" s="15">
        <f ca="1">(1+'Dane do harmonogramu'!$C$13*('Roboczy harmonogram'!B57-'Roboczy harmonogram'!B56)/366)</f>
        <v>1.0054207650273224</v>
      </c>
      <c r="E57" s="15">
        <f t="shared" ca="1" si="0"/>
        <v>0</v>
      </c>
      <c r="F57" s="15">
        <f t="shared" ca="1" si="1"/>
        <v>0</v>
      </c>
      <c r="G57">
        <f ca="1">IF(E57=1,(1+'Dane do harmonogramu'!$C$13*((('Roboczy harmonogram'!B57-DATE(YEAR(B57),1,1)+1)/365)+((DATE(YEAR(B56),12,31)-'Roboczy harmonogram'!B56)/366))),IF(F57=1,(1+'Dane do harmonogramu'!$C$13*((('Roboczy harmonogram'!B57-DATE(YEAR(B57),1,1)+1)/366)+((DATE(YEAR(B56),12,31)-'Roboczy harmonogram'!B56)/365))),0))</f>
        <v>0</v>
      </c>
      <c r="H57">
        <f t="shared" ca="1" si="2"/>
        <v>0</v>
      </c>
      <c r="I57">
        <f t="shared" ca="1" si="3"/>
        <v>1.0054356164383562</v>
      </c>
      <c r="J57">
        <f t="shared" ca="1" si="4"/>
        <v>1.0054356164383562</v>
      </c>
      <c r="K57">
        <f ca="1">PRODUCT($J$3:J57)</f>
        <v>1.3365912290264013</v>
      </c>
      <c r="L57">
        <f t="shared" ca="1" si="5"/>
        <v>0.74817190049078741</v>
      </c>
      <c r="M57">
        <f ca="1">SUM($L$3:L57)</f>
        <v>47.677900013164994</v>
      </c>
      <c r="O57">
        <f t="shared" ca="1" si="6"/>
        <v>4184.7040209613042</v>
      </c>
      <c r="P57" s="16">
        <f t="shared" ca="1" si="7"/>
        <v>9684.456851378427</v>
      </c>
      <c r="Q57" s="17">
        <f t="shared" ca="1" si="8"/>
        <v>760182.96635973302</v>
      </c>
      <c r="S57">
        <f ca="1">IF(A57&lt;='Dane do harmonogramu'!$C$7,'Roboczy harmonogram'!P57,0)</f>
        <v>9684.456851378427</v>
      </c>
      <c r="T57">
        <f ca="1">IF(A57&lt;='Dane do harmonogramu'!$C$7,'Roboczy harmonogram'!O57,0)</f>
        <v>4184.7040209613042</v>
      </c>
      <c r="U57">
        <f ca="1">IF(A57&lt;='Dane do harmonogramu'!$C$7,$N$2,0)</f>
        <v>13869.160872339731</v>
      </c>
      <c r="V57" s="16">
        <f ca="1">IF(A56&lt;='Dane do harmonogramu'!$C$7,Q56*0.15%,"")</f>
        <v>1154.8011348166672</v>
      </c>
    </row>
    <row r="58" spans="1:22" x14ac:dyDescent="0.35">
      <c r="A58">
        <v>56</v>
      </c>
      <c r="B58" s="14">
        <f t="shared" ca="1" si="9"/>
        <v>47773</v>
      </c>
      <c r="C58" s="15">
        <f ca="1">(1+'Dane do harmonogramu'!$C$13*('Roboczy harmonogram'!B58-'Roboczy harmonogram'!B57)/365)</f>
        <v>1.0052602739726026</v>
      </c>
      <c r="D58" s="15">
        <f ca="1">(1+'Dane do harmonogramu'!$C$13*('Roboczy harmonogram'!B58-'Roboczy harmonogram'!B57)/366)</f>
        <v>1.0052459016393442</v>
      </c>
      <c r="E58" s="15">
        <f t="shared" ca="1" si="0"/>
        <v>0</v>
      </c>
      <c r="F58" s="15">
        <f t="shared" ca="1" si="1"/>
        <v>0</v>
      </c>
      <c r="G58">
        <f ca="1">IF(E58=1,(1+'Dane do harmonogramu'!$C$13*((('Roboczy harmonogram'!B58-DATE(YEAR(B58),1,1)+1)/365)+((DATE(YEAR(B57),12,31)-'Roboczy harmonogram'!B57)/366))),IF(F58=1,(1+'Dane do harmonogramu'!$C$13*((('Roboczy harmonogram'!B58-DATE(YEAR(B58),1,1)+1)/366)+((DATE(YEAR(B57),12,31)-'Roboczy harmonogram'!B57)/365))),0))</f>
        <v>0</v>
      </c>
      <c r="H58">
        <f t="shared" ca="1" si="2"/>
        <v>0</v>
      </c>
      <c r="I58">
        <f t="shared" ca="1" si="3"/>
        <v>1.0052602739726026</v>
      </c>
      <c r="J58">
        <f t="shared" ca="1" si="4"/>
        <v>1.0052602739726026</v>
      </c>
      <c r="K58">
        <f ca="1">PRODUCT($J$3:J58)</f>
        <v>1.3436220650804578</v>
      </c>
      <c r="L58">
        <f t="shared" ca="1" si="5"/>
        <v>0.74425690526310218</v>
      </c>
      <c r="M58">
        <f ca="1">SUM($L$3:L58)</f>
        <v>48.422156918428094</v>
      </c>
      <c r="O58">
        <f t="shared" ca="1" si="6"/>
        <v>3998.7706723579904</v>
      </c>
      <c r="P58" s="16">
        <f t="shared" ca="1" si="7"/>
        <v>9870.3901999817408</v>
      </c>
      <c r="Q58" s="17">
        <f t="shared" ca="1" si="8"/>
        <v>750312.57615975128</v>
      </c>
      <c r="S58">
        <f ca="1">IF(A58&lt;='Dane do harmonogramu'!$C$7,'Roboczy harmonogram'!P58,0)</f>
        <v>9870.3901999817408</v>
      </c>
      <c r="T58">
        <f ca="1">IF(A58&lt;='Dane do harmonogramu'!$C$7,'Roboczy harmonogram'!O58,0)</f>
        <v>3998.7706723579904</v>
      </c>
      <c r="U58">
        <f ca="1">IF(A58&lt;='Dane do harmonogramu'!$C$7,$N$2,0)</f>
        <v>13869.160872339731</v>
      </c>
      <c r="V58" s="16">
        <f ca="1">IF(A57&lt;='Dane do harmonogramu'!$C$7,Q57*0.15%,"")</f>
        <v>1140.2744495395996</v>
      </c>
    </row>
    <row r="59" spans="1:22" x14ac:dyDescent="0.35">
      <c r="A59">
        <v>57</v>
      </c>
      <c r="B59" s="14">
        <f t="shared" ca="1" si="9"/>
        <v>47804</v>
      </c>
      <c r="C59" s="15">
        <f ca="1">(1+'Dane do harmonogramu'!$C$13*('Roboczy harmonogram'!B59-'Roboczy harmonogram'!B58)/365)</f>
        <v>1.0054356164383562</v>
      </c>
      <c r="D59" s="15">
        <f ca="1">(1+'Dane do harmonogramu'!$C$13*('Roboczy harmonogram'!B59-'Roboczy harmonogram'!B58)/366)</f>
        <v>1.0054207650273224</v>
      </c>
      <c r="E59" s="15">
        <f t="shared" ca="1" si="0"/>
        <v>0</v>
      </c>
      <c r="F59" s="15">
        <f t="shared" ca="1" si="1"/>
        <v>0</v>
      </c>
      <c r="G59">
        <f ca="1">IF(E59=1,(1+'Dane do harmonogramu'!$C$13*((('Roboczy harmonogram'!B59-DATE(YEAR(B59),1,1)+1)/365)+((DATE(YEAR(B58),12,31)-'Roboczy harmonogram'!B58)/366))),IF(F59=1,(1+'Dane do harmonogramu'!$C$13*((('Roboczy harmonogram'!B59-DATE(YEAR(B59),1,1)+1)/366)+((DATE(YEAR(B58),12,31)-'Roboczy harmonogram'!B58)/365))),0))</f>
        <v>0</v>
      </c>
      <c r="H59">
        <f t="shared" ca="1" si="2"/>
        <v>0</v>
      </c>
      <c r="I59">
        <f t="shared" ca="1" si="3"/>
        <v>1.0054356164383562</v>
      </c>
      <c r="J59">
        <f t="shared" ca="1" si="4"/>
        <v>1.0054356164383562</v>
      </c>
      <c r="K59">
        <f ca="1">PRODUCT($J$3:J59)</f>
        <v>1.3509254792643473</v>
      </c>
      <c r="L59">
        <f t="shared" ca="1" si="5"/>
        <v>0.74023328107228736</v>
      </c>
      <c r="M59">
        <f ca="1">SUM($L$3:L59)</f>
        <v>49.162390199500379</v>
      </c>
      <c r="O59">
        <f t="shared" ca="1" si="6"/>
        <v>4078.4113728792872</v>
      </c>
      <c r="P59" s="16">
        <f t="shared" ca="1" si="7"/>
        <v>9790.749499460444</v>
      </c>
      <c r="Q59" s="17">
        <f t="shared" ca="1" si="8"/>
        <v>740521.82666029083</v>
      </c>
      <c r="S59">
        <f ca="1">IF(A59&lt;='Dane do harmonogramu'!$C$7,'Roboczy harmonogram'!P59,0)</f>
        <v>9790.749499460444</v>
      </c>
      <c r="T59">
        <f ca="1">IF(A59&lt;='Dane do harmonogramu'!$C$7,'Roboczy harmonogram'!O59,0)</f>
        <v>4078.4113728792872</v>
      </c>
      <c r="U59">
        <f ca="1">IF(A59&lt;='Dane do harmonogramu'!$C$7,$N$2,0)</f>
        <v>13869.160872339731</v>
      </c>
      <c r="V59" s="16">
        <f ca="1">IF(A58&lt;='Dane do harmonogramu'!$C$7,Q58*0.15%,"")</f>
        <v>1125.468864239627</v>
      </c>
    </row>
    <row r="60" spans="1:22" x14ac:dyDescent="0.35">
      <c r="A60">
        <v>58</v>
      </c>
      <c r="B60" s="14">
        <f t="shared" ca="1" si="9"/>
        <v>47834</v>
      </c>
      <c r="C60" s="15">
        <f ca="1">(1+'Dane do harmonogramu'!$C$13*('Roboczy harmonogram'!B60-'Roboczy harmonogram'!B59)/365)</f>
        <v>1.0052602739726026</v>
      </c>
      <c r="D60" s="15">
        <f ca="1">(1+'Dane do harmonogramu'!$C$13*('Roboczy harmonogram'!B60-'Roboczy harmonogram'!B59)/366)</f>
        <v>1.0052459016393442</v>
      </c>
      <c r="E60" s="15">
        <f t="shared" ca="1" si="0"/>
        <v>0</v>
      </c>
      <c r="F60" s="15">
        <f t="shared" ca="1" si="1"/>
        <v>0</v>
      </c>
      <c r="G60">
        <f ca="1">IF(E60=1,(1+'Dane do harmonogramu'!$C$13*((('Roboczy harmonogram'!B60-DATE(YEAR(B60),1,1)+1)/365)+((DATE(YEAR(B59),12,31)-'Roboczy harmonogram'!B59)/366))),IF(F60=1,(1+'Dane do harmonogramu'!$C$13*((('Roboczy harmonogram'!B60-DATE(YEAR(B60),1,1)+1)/366)+((DATE(YEAR(B59),12,31)-'Roboczy harmonogram'!B59)/365))),0))</f>
        <v>0</v>
      </c>
      <c r="H60">
        <f t="shared" ca="1" si="2"/>
        <v>0</v>
      </c>
      <c r="I60">
        <f t="shared" ca="1" si="3"/>
        <v>1.0052602739726026</v>
      </c>
      <c r="J60">
        <f t="shared" ca="1" si="4"/>
        <v>1.0052602739726026</v>
      </c>
      <c r="K60">
        <f ca="1">PRODUCT($J$3:J60)</f>
        <v>1.3580317174018472</v>
      </c>
      <c r="L60">
        <f t="shared" ca="1" si="5"/>
        <v>0.73635982664173361</v>
      </c>
      <c r="M60">
        <f ca="1">SUM($L$3:L60)</f>
        <v>49.89875002614211</v>
      </c>
      <c r="O60">
        <f t="shared" ca="1" si="6"/>
        <v>3895.3476909253513</v>
      </c>
      <c r="P60" s="16">
        <f t="shared" ca="1" si="7"/>
        <v>9973.8131814143799</v>
      </c>
      <c r="Q60" s="17">
        <f t="shared" ca="1" si="8"/>
        <v>730548.01347887644</v>
      </c>
      <c r="S60">
        <f ca="1">IF(A60&lt;='Dane do harmonogramu'!$C$7,'Roboczy harmonogram'!P60,0)</f>
        <v>9973.8131814143799</v>
      </c>
      <c r="T60">
        <f ca="1">IF(A60&lt;='Dane do harmonogramu'!$C$7,'Roboczy harmonogram'!O60,0)</f>
        <v>3895.3476909253513</v>
      </c>
      <c r="U60">
        <f ca="1">IF(A60&lt;='Dane do harmonogramu'!$C$7,$N$2,0)</f>
        <v>13869.160872339731</v>
      </c>
      <c r="V60" s="16">
        <f ca="1">IF(A59&lt;='Dane do harmonogramu'!$C$7,Q59*0.15%,"")</f>
        <v>1110.7827399904363</v>
      </c>
    </row>
    <row r="61" spans="1:22" x14ac:dyDescent="0.35">
      <c r="A61">
        <v>59</v>
      </c>
      <c r="B61" s="14">
        <f t="shared" ca="1" si="9"/>
        <v>47865</v>
      </c>
      <c r="C61" s="15">
        <f ca="1">(1+'Dane do harmonogramu'!$C$13*('Roboczy harmonogram'!B61-'Roboczy harmonogram'!B60)/365)</f>
        <v>1.0054356164383562</v>
      </c>
      <c r="D61" s="15">
        <f ca="1">(1+'Dane do harmonogramu'!$C$13*('Roboczy harmonogram'!B61-'Roboczy harmonogram'!B60)/366)</f>
        <v>1.0054207650273224</v>
      </c>
      <c r="E61" s="15">
        <f t="shared" ca="1" si="0"/>
        <v>0</v>
      </c>
      <c r="F61" s="15">
        <f t="shared" ca="1" si="1"/>
        <v>0</v>
      </c>
      <c r="G61">
        <f ca="1">IF(E61=1,(1+'Dane do harmonogramu'!$C$13*((('Roboczy harmonogram'!B61-DATE(YEAR(B61),1,1)+1)/365)+((DATE(YEAR(B60),12,31)-'Roboczy harmonogram'!B60)/366))),IF(F61=1,(1+'Dane do harmonogramu'!$C$13*((('Roboczy harmonogram'!B61-DATE(YEAR(B61),1,1)+1)/366)+((DATE(YEAR(B60),12,31)-'Roboczy harmonogram'!B60)/365))),0))</f>
        <v>0</v>
      </c>
      <c r="H61">
        <f t="shared" ca="1" si="2"/>
        <v>0</v>
      </c>
      <c r="I61">
        <f t="shared" ca="1" si="3"/>
        <v>1.0054356164383562</v>
      </c>
      <c r="J61">
        <f t="shared" ca="1" si="4"/>
        <v>1.0054356164383562</v>
      </c>
      <c r="K61">
        <f ca="1">PRODUCT($J$3:J61)</f>
        <v>1.3654134569287659</v>
      </c>
      <c r="L61">
        <f t="shared" ca="1" si="5"/>
        <v>0.73237889587620375</v>
      </c>
      <c r="M61">
        <f ca="1">SUM($L$3:L61)</f>
        <v>50.631128922018313</v>
      </c>
      <c r="O61">
        <f t="shared" ca="1" si="6"/>
        <v>3970.9787910742452</v>
      </c>
      <c r="P61" s="16">
        <f t="shared" ca="1" si="7"/>
        <v>9898.182081265486</v>
      </c>
      <c r="Q61" s="17">
        <f t="shared" ca="1" si="8"/>
        <v>720649.83139761095</v>
      </c>
      <c r="S61">
        <f ca="1">IF(A61&lt;='Dane do harmonogramu'!$C$7,'Roboczy harmonogram'!P61,0)</f>
        <v>9898.182081265486</v>
      </c>
      <c r="T61">
        <f ca="1">IF(A61&lt;='Dane do harmonogramu'!$C$7,'Roboczy harmonogram'!O61,0)</f>
        <v>3970.9787910742452</v>
      </c>
      <c r="U61">
        <f ca="1">IF(A61&lt;='Dane do harmonogramu'!$C$7,$N$2,0)</f>
        <v>13869.160872339731</v>
      </c>
      <c r="V61" s="16">
        <f ca="1">IF(A60&lt;='Dane do harmonogramu'!$C$7,Q60*0.15%,"")</f>
        <v>1095.8220202183147</v>
      </c>
    </row>
    <row r="62" spans="1:22" x14ac:dyDescent="0.35">
      <c r="A62">
        <v>60</v>
      </c>
      <c r="B62" s="14">
        <f t="shared" ca="1" si="9"/>
        <v>47896</v>
      </c>
      <c r="C62" s="15">
        <f ca="1">(1+'Dane do harmonogramu'!$C$13*('Roboczy harmonogram'!B62-'Roboczy harmonogram'!B61)/365)</f>
        <v>1.0054356164383562</v>
      </c>
      <c r="D62" s="15">
        <f ca="1">(1+'Dane do harmonogramu'!$C$13*('Roboczy harmonogram'!B62-'Roboczy harmonogram'!B61)/366)</f>
        <v>1.0054207650273224</v>
      </c>
      <c r="E62" s="15">
        <f t="shared" ca="1" si="0"/>
        <v>0</v>
      </c>
      <c r="F62" s="15">
        <f t="shared" ca="1" si="1"/>
        <v>0</v>
      </c>
      <c r="G62">
        <f ca="1">IF(E62=1,(1+'Dane do harmonogramu'!$C$13*((('Roboczy harmonogram'!B62-DATE(YEAR(B62),1,1)+1)/365)+((DATE(YEAR(B61),12,31)-'Roboczy harmonogram'!B61)/366))),IF(F62=1,(1+'Dane do harmonogramu'!$C$13*((('Roboczy harmonogram'!B62-DATE(YEAR(B62),1,1)+1)/366)+((DATE(YEAR(B61),12,31)-'Roboczy harmonogram'!B61)/365))),0))</f>
        <v>0</v>
      </c>
      <c r="H62">
        <f t="shared" ca="1" si="2"/>
        <v>0</v>
      </c>
      <c r="I62">
        <f t="shared" ca="1" si="3"/>
        <v>1.0054356164383562</v>
      </c>
      <c r="J62">
        <f t="shared" ca="1" si="4"/>
        <v>1.0054356164383562</v>
      </c>
      <c r="K62">
        <f ca="1">PRODUCT($J$3:J62)</f>
        <v>1.3728353207604007</v>
      </c>
      <c r="L62">
        <f t="shared" ca="1" si="5"/>
        <v>0.72841948693897918</v>
      </c>
      <c r="M62">
        <f ca="1">SUM($L$3:L62)</f>
        <v>51.359548408957295</v>
      </c>
      <c r="O62">
        <f t="shared" ca="1" si="6"/>
        <v>3917.1760698434664</v>
      </c>
      <c r="P62" s="16">
        <f t="shared" ca="1" si="7"/>
        <v>9951.9848024962648</v>
      </c>
      <c r="Q62" s="17">
        <f t="shared" ca="1" si="8"/>
        <v>710697.84659511468</v>
      </c>
      <c r="S62">
        <f ca="1">IF(A62&lt;='Dane do harmonogramu'!$C$7,'Roboczy harmonogram'!P62,0)</f>
        <v>9951.9848024962648</v>
      </c>
      <c r="T62">
        <f ca="1">IF(A62&lt;='Dane do harmonogramu'!$C$7,'Roboczy harmonogram'!O62,0)</f>
        <v>3917.1760698434664</v>
      </c>
      <c r="U62">
        <f ca="1">IF(A62&lt;='Dane do harmonogramu'!$C$7,$N$2,0)</f>
        <v>13869.160872339731</v>
      </c>
      <c r="V62" s="16">
        <f ca="1">IF(A61&lt;='Dane do harmonogramu'!$C$7,Q61*0.15%,"")</f>
        <v>1080.9747470964164</v>
      </c>
    </row>
    <row r="63" spans="1:22" x14ac:dyDescent="0.35">
      <c r="A63">
        <v>61</v>
      </c>
      <c r="B63" s="14">
        <f t="shared" ca="1" si="9"/>
        <v>47924</v>
      </c>
      <c r="C63" s="15">
        <f ca="1">(1+'Dane do harmonogramu'!$C$13*('Roboczy harmonogram'!B63-'Roboczy harmonogram'!B62)/365)</f>
        <v>1.004909589041096</v>
      </c>
      <c r="D63" s="15">
        <f ca="1">(1+'Dane do harmonogramu'!$C$13*('Roboczy harmonogram'!B63-'Roboczy harmonogram'!B62)/366)</f>
        <v>1.004896174863388</v>
      </c>
      <c r="E63" s="15">
        <f t="shared" ca="1" si="0"/>
        <v>0</v>
      </c>
      <c r="F63" s="15">
        <f t="shared" ca="1" si="1"/>
        <v>0</v>
      </c>
      <c r="G63">
        <f ca="1">IF(E63=1,(1+'Dane do harmonogramu'!$C$13*((('Roboczy harmonogram'!B63-DATE(YEAR(B63),1,1)+1)/365)+((DATE(YEAR(B62),12,31)-'Roboczy harmonogram'!B62)/366))),IF(F63=1,(1+'Dane do harmonogramu'!$C$13*((('Roboczy harmonogram'!B63-DATE(YEAR(B63),1,1)+1)/366)+((DATE(YEAR(B62),12,31)-'Roboczy harmonogram'!B62)/365))),0))</f>
        <v>0</v>
      </c>
      <c r="H63">
        <f t="shared" ca="1" si="2"/>
        <v>0</v>
      </c>
      <c r="I63">
        <f t="shared" ca="1" si="3"/>
        <v>1.004909589041096</v>
      </c>
      <c r="J63">
        <f t="shared" ca="1" si="4"/>
        <v>1.004909589041096</v>
      </c>
      <c r="K63">
        <f ca="1">PRODUCT($J$3:J63)</f>
        <v>1.3795753780064355</v>
      </c>
      <c r="L63">
        <f t="shared" ca="1" si="5"/>
        <v>0.72486071869813784</v>
      </c>
      <c r="M63">
        <f ca="1">SUM($L$3:L63)</f>
        <v>52.084409127655434</v>
      </c>
      <c r="O63">
        <f t="shared" ca="1" si="6"/>
        <v>3489.2343591739191</v>
      </c>
      <c r="P63" s="16">
        <f t="shared" ca="1" si="7"/>
        <v>10379.926513165812</v>
      </c>
      <c r="Q63" s="17">
        <f t="shared" ca="1" si="8"/>
        <v>700317.92008194886</v>
      </c>
      <c r="S63">
        <f ca="1">IF(A63&lt;='Dane do harmonogramu'!$C$7,'Roboczy harmonogram'!P63,0)</f>
        <v>10379.926513165812</v>
      </c>
      <c r="T63">
        <f ca="1">IF(A63&lt;='Dane do harmonogramu'!$C$7,'Roboczy harmonogram'!O63,0)</f>
        <v>3489.2343591739191</v>
      </c>
      <c r="U63">
        <f ca="1">IF(A63&lt;='Dane do harmonogramu'!$C$7,$N$2,0)</f>
        <v>13869.160872339731</v>
      </c>
      <c r="V63" s="16">
        <f ca="1">IF(A62&lt;='Dane do harmonogramu'!$C$7,Q62*0.15%,"")</f>
        <v>1066.046769892672</v>
      </c>
    </row>
    <row r="64" spans="1:22" x14ac:dyDescent="0.35">
      <c r="A64">
        <v>62</v>
      </c>
      <c r="B64" s="14">
        <f t="shared" ca="1" si="9"/>
        <v>47955</v>
      </c>
      <c r="C64" s="15">
        <f ca="1">(1+'Dane do harmonogramu'!$C$13*('Roboczy harmonogram'!B64-'Roboczy harmonogram'!B63)/365)</f>
        <v>1.0054356164383562</v>
      </c>
      <c r="D64" s="15">
        <f ca="1">(1+'Dane do harmonogramu'!$C$13*('Roboczy harmonogram'!B64-'Roboczy harmonogram'!B63)/366)</f>
        <v>1.0054207650273224</v>
      </c>
      <c r="E64" s="15">
        <f t="shared" ca="1" si="0"/>
        <v>0</v>
      </c>
      <c r="F64" s="15">
        <f t="shared" ca="1" si="1"/>
        <v>0</v>
      </c>
      <c r="G64">
        <f ca="1">IF(E64=1,(1+'Dane do harmonogramu'!$C$13*((('Roboczy harmonogram'!B64-DATE(YEAR(B64),1,1)+1)/365)+((DATE(YEAR(B63),12,31)-'Roboczy harmonogram'!B63)/366))),IF(F64=1,(1+'Dane do harmonogramu'!$C$13*((('Roboczy harmonogram'!B64-DATE(YEAR(B64),1,1)+1)/366)+((DATE(YEAR(B63),12,31)-'Roboczy harmonogram'!B63)/365))),0))</f>
        <v>0</v>
      </c>
      <c r="H64">
        <f t="shared" ca="1" si="2"/>
        <v>0</v>
      </c>
      <c r="I64">
        <f t="shared" ca="1" si="3"/>
        <v>1.0054356164383562</v>
      </c>
      <c r="J64">
        <f t="shared" ca="1" si="4"/>
        <v>1.0054356164383562</v>
      </c>
      <c r="K64">
        <f ca="1">PRODUCT($J$3:J64)</f>
        <v>1.3870742206090787</v>
      </c>
      <c r="L64">
        <f t="shared" ca="1" si="5"/>
        <v>0.72094195475775591</v>
      </c>
      <c r="M64">
        <f ca="1">SUM($L$3:L64)</f>
        <v>52.805351082413189</v>
      </c>
      <c r="O64">
        <f t="shared" ca="1" si="6"/>
        <v>3806.6595984728774</v>
      </c>
      <c r="P64" s="16">
        <f t="shared" ca="1" si="7"/>
        <v>10062.501273866854</v>
      </c>
      <c r="Q64" s="17">
        <f t="shared" ca="1" si="8"/>
        <v>690255.418808082</v>
      </c>
      <c r="S64">
        <f ca="1">IF(A64&lt;='Dane do harmonogramu'!$C$7,'Roboczy harmonogram'!P64,0)</f>
        <v>10062.501273866854</v>
      </c>
      <c r="T64">
        <f ca="1">IF(A64&lt;='Dane do harmonogramu'!$C$7,'Roboczy harmonogram'!O64,0)</f>
        <v>3806.6595984728774</v>
      </c>
      <c r="U64">
        <f ca="1">IF(A64&lt;='Dane do harmonogramu'!$C$7,$N$2,0)</f>
        <v>13869.160872339731</v>
      </c>
      <c r="V64" s="16">
        <f ca="1">IF(A63&lt;='Dane do harmonogramu'!$C$7,Q63*0.15%,"")</f>
        <v>1050.4768801229234</v>
      </c>
    </row>
    <row r="65" spans="1:22" x14ac:dyDescent="0.35">
      <c r="A65">
        <v>63</v>
      </c>
      <c r="B65" s="14">
        <f t="shared" ca="1" si="9"/>
        <v>47985</v>
      </c>
      <c r="C65" s="15">
        <f ca="1">(1+'Dane do harmonogramu'!$C$13*('Roboczy harmonogram'!B65-'Roboczy harmonogram'!B64)/365)</f>
        <v>1.0052602739726026</v>
      </c>
      <c r="D65" s="15">
        <f ca="1">(1+'Dane do harmonogramu'!$C$13*('Roboczy harmonogram'!B65-'Roboczy harmonogram'!B64)/366)</f>
        <v>1.0052459016393442</v>
      </c>
      <c r="E65" s="15">
        <f t="shared" ca="1" si="0"/>
        <v>0</v>
      </c>
      <c r="F65" s="15">
        <f t="shared" ca="1" si="1"/>
        <v>0</v>
      </c>
      <c r="G65">
        <f ca="1">IF(E65=1,(1+'Dane do harmonogramu'!$C$13*((('Roboczy harmonogram'!B65-DATE(YEAR(B65),1,1)+1)/365)+((DATE(YEAR(B64),12,31)-'Roboczy harmonogram'!B64)/366))),IF(F65=1,(1+'Dane do harmonogramu'!$C$13*((('Roboczy harmonogram'!B65-DATE(YEAR(B65),1,1)+1)/366)+((DATE(YEAR(B64),12,31)-'Roboczy harmonogram'!B64)/365))),0))</f>
        <v>0</v>
      </c>
      <c r="H65">
        <f t="shared" ca="1" si="2"/>
        <v>0</v>
      </c>
      <c r="I65">
        <f t="shared" ca="1" si="3"/>
        <v>1.0052602739726026</v>
      </c>
      <c r="J65">
        <f t="shared" ca="1" si="4"/>
        <v>1.0052602739726026</v>
      </c>
      <c r="K65">
        <f ca="1">PRODUCT($J$3:J65)</f>
        <v>1.3943706110298166</v>
      </c>
      <c r="L65">
        <f t="shared" ca="1" si="5"/>
        <v>0.71716944698185148</v>
      </c>
      <c r="M65">
        <f ca="1">SUM($L$3:L65)</f>
        <v>53.522520529395038</v>
      </c>
      <c r="O65">
        <f t="shared" ca="1" si="6"/>
        <v>3630.932614004123</v>
      </c>
      <c r="P65" s="16">
        <f t="shared" ca="1" si="7"/>
        <v>10238.228258335608</v>
      </c>
      <c r="Q65" s="17">
        <f t="shared" ca="1" si="8"/>
        <v>680017.19054974639</v>
      </c>
      <c r="S65">
        <f ca="1">IF(A65&lt;='Dane do harmonogramu'!$C$7,'Roboczy harmonogram'!P65,0)</f>
        <v>10238.228258335608</v>
      </c>
      <c r="T65">
        <f ca="1">IF(A65&lt;='Dane do harmonogramu'!$C$7,'Roboczy harmonogram'!O65,0)</f>
        <v>3630.932614004123</v>
      </c>
      <c r="U65">
        <f ca="1">IF(A65&lt;='Dane do harmonogramu'!$C$7,$N$2,0)</f>
        <v>13869.160872339731</v>
      </c>
      <c r="V65" s="16">
        <f ca="1">IF(A64&lt;='Dane do harmonogramu'!$C$7,Q64*0.15%,"")</f>
        <v>1035.383128212123</v>
      </c>
    </row>
    <row r="66" spans="1:22" x14ac:dyDescent="0.35">
      <c r="A66">
        <v>64</v>
      </c>
      <c r="B66" s="14">
        <f t="shared" ca="1" si="9"/>
        <v>48016</v>
      </c>
      <c r="C66" s="15">
        <f ca="1">(1+'Dane do harmonogramu'!$C$13*('Roboczy harmonogram'!B66-'Roboczy harmonogram'!B65)/365)</f>
        <v>1.0054356164383562</v>
      </c>
      <c r="D66" s="15">
        <f ca="1">(1+'Dane do harmonogramu'!$C$13*('Roboczy harmonogram'!B66-'Roboczy harmonogram'!B65)/366)</f>
        <v>1.0054207650273224</v>
      </c>
      <c r="E66" s="15">
        <f t="shared" ca="1" si="0"/>
        <v>0</v>
      </c>
      <c r="F66" s="15">
        <f t="shared" ca="1" si="1"/>
        <v>0</v>
      </c>
      <c r="G66">
        <f ca="1">IF(E66=1,(1+'Dane do harmonogramu'!$C$13*((('Roboczy harmonogram'!B66-DATE(YEAR(B66),1,1)+1)/365)+((DATE(YEAR(B65),12,31)-'Roboczy harmonogram'!B65)/366))),IF(F66=1,(1+'Dane do harmonogramu'!$C$13*((('Roboczy harmonogram'!B66-DATE(YEAR(B66),1,1)+1)/366)+((DATE(YEAR(B65),12,31)-'Roboczy harmonogram'!B65)/365))),0))</f>
        <v>0</v>
      </c>
      <c r="H66">
        <f t="shared" ca="1" si="2"/>
        <v>0</v>
      </c>
      <c r="I66">
        <f t="shared" ca="1" si="3"/>
        <v>1.0054356164383562</v>
      </c>
      <c r="J66">
        <f t="shared" ca="1" si="4"/>
        <v>1.0054356164383562</v>
      </c>
      <c r="K66">
        <f ca="1">PRODUCT($J$3:J66)</f>
        <v>1.4019498748442911</v>
      </c>
      <c r="L66">
        <f t="shared" ca="1" si="5"/>
        <v>0.71329226382723987</v>
      </c>
      <c r="M66">
        <f ca="1">SUM($L$3:L66)</f>
        <v>54.23581279322228</v>
      </c>
      <c r="O66">
        <f t="shared" ca="1" si="6"/>
        <v>3696.3126193169737</v>
      </c>
      <c r="P66" s="16">
        <f t="shared" ca="1" si="7"/>
        <v>10172.848253022757</v>
      </c>
      <c r="Q66" s="17">
        <f t="shared" ca="1" si="8"/>
        <v>669844.34229672363</v>
      </c>
      <c r="S66">
        <f ca="1">IF(A66&lt;='Dane do harmonogramu'!$C$7,'Roboczy harmonogram'!P66,0)</f>
        <v>10172.848253022757</v>
      </c>
      <c r="T66">
        <f ca="1">IF(A66&lt;='Dane do harmonogramu'!$C$7,'Roboczy harmonogram'!O66,0)</f>
        <v>3696.3126193169737</v>
      </c>
      <c r="U66">
        <f ca="1">IF(A66&lt;='Dane do harmonogramu'!$C$7,$N$2,0)</f>
        <v>13869.160872339731</v>
      </c>
      <c r="V66" s="16">
        <f ca="1">IF(A65&lt;='Dane do harmonogramu'!$C$7,Q65*0.15%,"")</f>
        <v>1020.0257858246196</v>
      </c>
    </row>
    <row r="67" spans="1:22" x14ac:dyDescent="0.35">
      <c r="A67">
        <v>65</v>
      </c>
      <c r="B67" s="14">
        <f t="shared" ca="1" si="9"/>
        <v>48046</v>
      </c>
      <c r="C67" s="15">
        <f ca="1">(1+'Dane do harmonogramu'!$C$13*('Roboczy harmonogram'!B67-'Roboczy harmonogram'!B66)/365)</f>
        <v>1.0052602739726026</v>
      </c>
      <c r="D67" s="15">
        <f ca="1">(1+'Dane do harmonogramu'!$C$13*('Roboczy harmonogram'!B67-'Roboczy harmonogram'!B66)/366)</f>
        <v>1.0052459016393442</v>
      </c>
      <c r="E67" s="15">
        <f t="shared" ca="1" si="0"/>
        <v>0</v>
      </c>
      <c r="F67" s="15">
        <f t="shared" ca="1" si="1"/>
        <v>0</v>
      </c>
      <c r="G67">
        <f ca="1">IF(E67=1,(1+'Dane do harmonogramu'!$C$13*((('Roboczy harmonogram'!B67-DATE(YEAR(B67),1,1)+1)/365)+((DATE(YEAR(B66),12,31)-'Roboczy harmonogram'!B66)/366))),IF(F67=1,(1+'Dane do harmonogramu'!$C$13*((('Roboczy harmonogram'!B67-DATE(YEAR(B67),1,1)+1)/366)+((DATE(YEAR(B66),12,31)-'Roboczy harmonogram'!B66)/365))),0))</f>
        <v>0</v>
      </c>
      <c r="H67">
        <f t="shared" ca="1" si="2"/>
        <v>0</v>
      </c>
      <c r="I67">
        <f t="shared" ca="1" si="3"/>
        <v>1.0052602739726026</v>
      </c>
      <c r="J67">
        <f t="shared" ca="1" si="4"/>
        <v>1.0052602739726026</v>
      </c>
      <c r="K67">
        <f ca="1">PRODUCT($J$3:J67)</f>
        <v>1.4093245152818281</v>
      </c>
      <c r="L67">
        <f t="shared" ca="1" si="5"/>
        <v>0.70955978495841754</v>
      </c>
      <c r="M67">
        <f ca="1">SUM($L$3:L67)</f>
        <v>54.945372578180695</v>
      </c>
      <c r="O67">
        <f t="shared" ca="1" si="6"/>
        <v>3523.5647594785551</v>
      </c>
      <c r="P67" s="16">
        <f t="shared" ca="1" si="7"/>
        <v>10345.596112861176</v>
      </c>
      <c r="Q67" s="17">
        <f t="shared" ca="1" si="8"/>
        <v>659498.74618386244</v>
      </c>
      <c r="S67">
        <f ca="1">IF(A67&lt;='Dane do harmonogramu'!$C$7,'Roboczy harmonogram'!P67,0)</f>
        <v>10345.596112861176</v>
      </c>
      <c r="T67">
        <f ca="1">IF(A67&lt;='Dane do harmonogramu'!$C$7,'Roboczy harmonogram'!O67,0)</f>
        <v>3523.5647594785551</v>
      </c>
      <c r="U67">
        <f ca="1">IF(A67&lt;='Dane do harmonogramu'!$C$7,$N$2,0)</f>
        <v>13869.160872339731</v>
      </c>
      <c r="V67" s="16">
        <f ca="1">IF(A66&lt;='Dane do harmonogramu'!$C$7,Q66*0.15%,"")</f>
        <v>1004.7665134450855</v>
      </c>
    </row>
    <row r="68" spans="1:22" x14ac:dyDescent="0.35">
      <c r="A68">
        <v>66</v>
      </c>
      <c r="B68" s="14">
        <f t="shared" ca="1" si="9"/>
        <v>48077</v>
      </c>
      <c r="C68" s="15">
        <f ca="1">(1+'Dane do harmonogramu'!$C$13*('Roboczy harmonogram'!B68-'Roboczy harmonogram'!B67)/365)</f>
        <v>1.0054356164383562</v>
      </c>
      <c r="D68" s="15">
        <f ca="1">(1+'Dane do harmonogramu'!$C$13*('Roboczy harmonogram'!B68-'Roboczy harmonogram'!B67)/366)</f>
        <v>1.0054207650273224</v>
      </c>
      <c r="E68" s="15">
        <f t="shared" ref="E68:E131" ca="1" si="10">IF(AND(MOD(YEAR(B67),4)=0,MOD(YEAR(B68),4)&lt;&gt;0),1,0)</f>
        <v>0</v>
      </c>
      <c r="F68" s="15">
        <f t="shared" ref="F68:F131" ca="1" si="11">IF(AND(MOD(YEAR(B68),4)=0,MOD(YEAR(B67),4)&lt;&gt;0),1,0)</f>
        <v>0</v>
      </c>
      <c r="G68">
        <f ca="1">IF(E68=1,(1+'Dane do harmonogramu'!$C$13*((('Roboczy harmonogram'!B68-DATE(YEAR(B68),1,1)+1)/365)+((DATE(YEAR(B67),12,31)-'Roboczy harmonogram'!B67)/366))),IF(F68=1,(1+'Dane do harmonogramu'!$C$13*((('Roboczy harmonogram'!B68-DATE(YEAR(B68),1,1)+1)/366)+((DATE(YEAR(B67),12,31)-'Roboczy harmonogram'!B67)/365))),0))</f>
        <v>0</v>
      </c>
      <c r="H68">
        <f t="shared" ref="H68:H131" ca="1" si="12">IF(MOD(YEAR(B68),4)=0,1,0)</f>
        <v>0</v>
      </c>
      <c r="I68">
        <f t="shared" ref="I68:I131" ca="1" si="13">IF(H68=0,C68,IF(H68=1,D68,"blad"))</f>
        <v>1.0054356164383562</v>
      </c>
      <c r="J68">
        <f t="shared" ref="J68:J131" ca="1" si="14">IF(OR(E68=1,F68=1),G68,I68)</f>
        <v>1.0054356164383562</v>
      </c>
      <c r="K68">
        <f ca="1">PRODUCT($J$3:J68)</f>
        <v>1.4169850627840723</v>
      </c>
      <c r="L68">
        <f t="shared" ref="L68:L131" ca="1" si="15">1/K68</f>
        <v>0.70572374138878646</v>
      </c>
      <c r="M68">
        <f ca="1">SUM($L$3:L68)</f>
        <v>55.651096319569483</v>
      </c>
      <c r="O68">
        <f t="shared" ca="1" si="6"/>
        <v>3584.7822258323431</v>
      </c>
      <c r="P68" s="16">
        <f t="shared" ca="1" si="7"/>
        <v>10284.378646507388</v>
      </c>
      <c r="Q68" s="17">
        <f t="shared" ca="1" si="8"/>
        <v>649214.36753735505</v>
      </c>
      <c r="S68">
        <f ca="1">IF(A68&lt;='Dane do harmonogramu'!$C$7,'Roboczy harmonogram'!P68,0)</f>
        <v>10284.378646507388</v>
      </c>
      <c r="T68">
        <f ca="1">IF(A68&lt;='Dane do harmonogramu'!$C$7,'Roboczy harmonogram'!O68,0)</f>
        <v>3584.7822258323431</v>
      </c>
      <c r="U68">
        <f ca="1">IF(A68&lt;='Dane do harmonogramu'!$C$7,$N$2,0)</f>
        <v>13869.160872339731</v>
      </c>
      <c r="V68" s="16">
        <f ca="1">IF(A67&lt;='Dane do harmonogramu'!$C$7,Q67*0.15%,"")</f>
        <v>989.24811927579367</v>
      </c>
    </row>
    <row r="69" spans="1:22" x14ac:dyDescent="0.35">
      <c r="A69">
        <v>67</v>
      </c>
      <c r="B69" s="14">
        <f t="shared" ca="1" si="9"/>
        <v>48108</v>
      </c>
      <c r="C69" s="15">
        <f ca="1">(1+'Dane do harmonogramu'!$C$13*('Roboczy harmonogram'!B69-'Roboczy harmonogram'!B68)/365)</f>
        <v>1.0054356164383562</v>
      </c>
      <c r="D69" s="15">
        <f ca="1">(1+'Dane do harmonogramu'!$C$13*('Roboczy harmonogram'!B69-'Roboczy harmonogram'!B68)/366)</f>
        <v>1.0054207650273224</v>
      </c>
      <c r="E69" s="15">
        <f t="shared" ca="1" si="10"/>
        <v>0</v>
      </c>
      <c r="F69" s="15">
        <f t="shared" ca="1" si="11"/>
        <v>0</v>
      </c>
      <c r="G69">
        <f ca="1">IF(E69=1,(1+'Dane do harmonogramu'!$C$13*((('Roboczy harmonogram'!B69-DATE(YEAR(B69),1,1)+1)/365)+((DATE(YEAR(B68),12,31)-'Roboczy harmonogram'!B68)/366))),IF(F69=1,(1+'Dane do harmonogramu'!$C$13*((('Roboczy harmonogram'!B69-DATE(YEAR(B69),1,1)+1)/366)+((DATE(YEAR(B68),12,31)-'Roboczy harmonogram'!B68)/365))),0))</f>
        <v>0</v>
      </c>
      <c r="H69">
        <f t="shared" ca="1" si="12"/>
        <v>0</v>
      </c>
      <c r="I69">
        <f t="shared" ca="1" si="13"/>
        <v>1.0054356164383562</v>
      </c>
      <c r="J69">
        <f t="shared" ca="1" si="14"/>
        <v>1.0054356164383562</v>
      </c>
      <c r="K69">
        <f ca="1">PRODUCT($J$3:J69)</f>
        <v>1.4246872500842467</v>
      </c>
      <c r="L69">
        <f t="shared" ca="1" si="15"/>
        <v>0.7019084363539202</v>
      </c>
      <c r="M69">
        <f ca="1">SUM($L$3:L69)</f>
        <v>56.353004755923401</v>
      </c>
      <c r="O69">
        <f t="shared" ref="O69:O132" ca="1" si="16">(Q68*J69)-Q68</f>
        <v>3528.8802882031305</v>
      </c>
      <c r="P69" s="16">
        <f t="shared" ref="P69:P132" ca="1" si="17">$N$2-O69</f>
        <v>10340.280584136601</v>
      </c>
      <c r="Q69" s="17">
        <f t="shared" ref="Q69:Q132" ca="1" si="18">Q68-P69</f>
        <v>638874.08695321844</v>
      </c>
      <c r="S69">
        <f ca="1">IF(A69&lt;='Dane do harmonogramu'!$C$7,'Roboczy harmonogram'!P69,0)</f>
        <v>10340.280584136601</v>
      </c>
      <c r="T69">
        <f ca="1">IF(A69&lt;='Dane do harmonogramu'!$C$7,'Roboczy harmonogram'!O69,0)</f>
        <v>3528.8802882031305</v>
      </c>
      <c r="U69">
        <f ca="1">IF(A69&lt;='Dane do harmonogramu'!$C$7,$N$2,0)</f>
        <v>13869.160872339731</v>
      </c>
      <c r="V69" s="16">
        <f ca="1">IF(A68&lt;='Dane do harmonogramu'!$C$7,Q68*0.15%,"")</f>
        <v>973.82155130603257</v>
      </c>
    </row>
    <row r="70" spans="1:22" x14ac:dyDescent="0.35">
      <c r="A70">
        <v>68</v>
      </c>
      <c r="B70" s="14">
        <f t="shared" ref="B70:B133" ca="1" si="19">DATE(YEAR((B69)),MONTH((B69))+1,IF(AND(DAY(B69)&gt;28,MONTH((B69))+1=2),IF(MOD(YEAR(B69),4)=0,29,28),IF(AND(OR(DAY(B69)=28,DAY(B69)=29),MONTH((B69))=2),DAY(B68),DAY(B69))))</f>
        <v>48138</v>
      </c>
      <c r="C70" s="15">
        <f ca="1">(1+'Dane do harmonogramu'!$C$13*('Roboczy harmonogram'!B70-'Roboczy harmonogram'!B69)/365)</f>
        <v>1.0052602739726026</v>
      </c>
      <c r="D70" s="15">
        <f ca="1">(1+'Dane do harmonogramu'!$C$13*('Roboczy harmonogram'!B70-'Roboczy harmonogram'!B69)/366)</f>
        <v>1.0052459016393442</v>
      </c>
      <c r="E70" s="15">
        <f t="shared" ca="1" si="10"/>
        <v>0</v>
      </c>
      <c r="F70" s="15">
        <f t="shared" ca="1" si="11"/>
        <v>0</v>
      </c>
      <c r="G70">
        <f ca="1">IF(E70=1,(1+'Dane do harmonogramu'!$C$13*((('Roboczy harmonogram'!B70-DATE(YEAR(B70),1,1)+1)/365)+((DATE(YEAR(B69),12,31)-'Roboczy harmonogram'!B69)/366))),IF(F70=1,(1+'Dane do harmonogramu'!$C$13*((('Roboczy harmonogram'!B70-DATE(YEAR(B70),1,1)+1)/366)+((DATE(YEAR(B69),12,31)-'Roboczy harmonogram'!B69)/365))),0))</f>
        <v>0</v>
      </c>
      <c r="H70">
        <f t="shared" ca="1" si="12"/>
        <v>0</v>
      </c>
      <c r="I70">
        <f t="shared" ca="1" si="13"/>
        <v>1.0052602739726026</v>
      </c>
      <c r="J70">
        <f t="shared" ca="1" si="14"/>
        <v>1.0052602739726026</v>
      </c>
      <c r="K70">
        <f ca="1">PRODUCT($J$3:J70)</f>
        <v>1.4321814953449636</v>
      </c>
      <c r="L70">
        <f t="shared" ca="1" si="15"/>
        <v>0.69823552618876294</v>
      </c>
      <c r="M70">
        <f ca="1">SUM($L$3:L70)</f>
        <v>57.051240282112161</v>
      </c>
      <c r="O70">
        <f t="shared" ca="1" si="16"/>
        <v>3360.6527313702973</v>
      </c>
      <c r="P70" s="16">
        <f t="shared" ca="1" si="17"/>
        <v>10508.508140969434</v>
      </c>
      <c r="Q70" s="17">
        <f t="shared" ca="1" si="18"/>
        <v>628365.578812249</v>
      </c>
      <c r="S70">
        <f ca="1">IF(A70&lt;='Dane do harmonogramu'!$C$7,'Roboczy harmonogram'!P70,0)</f>
        <v>10508.508140969434</v>
      </c>
      <c r="T70">
        <f ca="1">IF(A70&lt;='Dane do harmonogramu'!$C$7,'Roboczy harmonogram'!O70,0)</f>
        <v>3360.6527313702973</v>
      </c>
      <c r="U70">
        <f ca="1">IF(A70&lt;='Dane do harmonogramu'!$C$7,$N$2,0)</f>
        <v>13869.160872339731</v>
      </c>
      <c r="V70" s="16">
        <f ca="1">IF(A69&lt;='Dane do harmonogramu'!$C$7,Q69*0.15%,"")</f>
        <v>958.3111304298277</v>
      </c>
    </row>
    <row r="71" spans="1:22" x14ac:dyDescent="0.35">
      <c r="A71">
        <v>69</v>
      </c>
      <c r="B71" s="14">
        <f t="shared" ca="1" si="19"/>
        <v>48169</v>
      </c>
      <c r="C71" s="15">
        <f ca="1">(1+'Dane do harmonogramu'!$C$13*('Roboczy harmonogram'!B71-'Roboczy harmonogram'!B70)/365)</f>
        <v>1.0054356164383562</v>
      </c>
      <c r="D71" s="15">
        <f ca="1">(1+'Dane do harmonogramu'!$C$13*('Roboczy harmonogram'!B71-'Roboczy harmonogram'!B70)/366)</f>
        <v>1.0054207650273224</v>
      </c>
      <c r="E71" s="15">
        <f t="shared" ca="1" si="10"/>
        <v>0</v>
      </c>
      <c r="F71" s="15">
        <f t="shared" ca="1" si="11"/>
        <v>0</v>
      </c>
      <c r="G71">
        <f ca="1">IF(E71=1,(1+'Dane do harmonogramu'!$C$13*((('Roboczy harmonogram'!B71-DATE(YEAR(B71),1,1)+1)/365)+((DATE(YEAR(B70),12,31)-'Roboczy harmonogram'!B70)/366))),IF(F71=1,(1+'Dane do harmonogramu'!$C$13*((('Roboczy harmonogram'!B71-DATE(YEAR(B71),1,1)+1)/366)+((DATE(YEAR(B70),12,31)-'Roboczy harmonogram'!B70)/365))),0))</f>
        <v>0</v>
      </c>
      <c r="H71">
        <f t="shared" ca="1" si="12"/>
        <v>0</v>
      </c>
      <c r="I71">
        <f t="shared" ca="1" si="13"/>
        <v>1.0054356164383562</v>
      </c>
      <c r="J71">
        <f t="shared" ca="1" si="14"/>
        <v>1.0054356164383562</v>
      </c>
      <c r="K71">
        <f ca="1">PRODUCT($J$3:J71)</f>
        <v>1.4399662846237704</v>
      </c>
      <c r="L71">
        <f t="shared" ca="1" si="15"/>
        <v>0.69446070416938732</v>
      </c>
      <c r="M71">
        <f ca="1">SUM($L$3:L71)</f>
        <v>57.745700986281548</v>
      </c>
      <c r="O71">
        <f t="shared" ca="1" si="16"/>
        <v>3415.5542694891337</v>
      </c>
      <c r="P71" s="16">
        <f t="shared" ca="1" si="17"/>
        <v>10453.606602850597</v>
      </c>
      <c r="Q71" s="17">
        <f t="shared" ca="1" si="18"/>
        <v>617911.9722093984</v>
      </c>
      <c r="S71">
        <f ca="1">IF(A71&lt;='Dane do harmonogramu'!$C$7,'Roboczy harmonogram'!P71,0)</f>
        <v>10453.606602850597</v>
      </c>
      <c r="T71">
        <f ca="1">IF(A71&lt;='Dane do harmonogramu'!$C$7,'Roboczy harmonogram'!O71,0)</f>
        <v>3415.5542694891337</v>
      </c>
      <c r="U71">
        <f ca="1">IF(A71&lt;='Dane do harmonogramu'!$C$7,$N$2,0)</f>
        <v>13869.160872339731</v>
      </c>
      <c r="V71" s="16">
        <f ca="1">IF(A70&lt;='Dane do harmonogramu'!$C$7,Q70*0.15%,"")</f>
        <v>942.54836821837353</v>
      </c>
    </row>
    <row r="72" spans="1:22" x14ac:dyDescent="0.35">
      <c r="A72">
        <v>70</v>
      </c>
      <c r="B72" s="14">
        <f t="shared" ca="1" si="19"/>
        <v>48199</v>
      </c>
      <c r="C72" s="15">
        <f ca="1">(1+'Dane do harmonogramu'!$C$13*('Roboczy harmonogram'!B72-'Roboczy harmonogram'!B71)/365)</f>
        <v>1.0052602739726026</v>
      </c>
      <c r="D72" s="15">
        <f ca="1">(1+'Dane do harmonogramu'!$C$13*('Roboczy harmonogram'!B72-'Roboczy harmonogram'!B71)/366)</f>
        <v>1.0052459016393442</v>
      </c>
      <c r="E72" s="15">
        <f t="shared" ca="1" si="10"/>
        <v>0</v>
      </c>
      <c r="F72" s="15">
        <f t="shared" ca="1" si="11"/>
        <v>0</v>
      </c>
      <c r="G72">
        <f ca="1">IF(E72=1,(1+'Dane do harmonogramu'!$C$13*((('Roboczy harmonogram'!B72-DATE(YEAR(B72),1,1)+1)/365)+((DATE(YEAR(B71),12,31)-'Roboczy harmonogram'!B71)/366))),IF(F72=1,(1+'Dane do harmonogramu'!$C$13*((('Roboczy harmonogram'!B72-DATE(YEAR(B72),1,1)+1)/366)+((DATE(YEAR(B71),12,31)-'Roboczy harmonogram'!B71)/365))),0))</f>
        <v>0</v>
      </c>
      <c r="H72">
        <f t="shared" ca="1" si="12"/>
        <v>0</v>
      </c>
      <c r="I72">
        <f t="shared" ca="1" si="13"/>
        <v>1.0052602739726026</v>
      </c>
      <c r="J72">
        <f t="shared" ca="1" si="14"/>
        <v>1.0052602739726026</v>
      </c>
      <c r="K72">
        <f ca="1">PRODUCT($J$3:J72)</f>
        <v>1.4475409017922021</v>
      </c>
      <c r="L72">
        <f t="shared" ca="1" si="15"/>
        <v>0.69082676611203098</v>
      </c>
      <c r="M72">
        <f ca="1">SUM($L$3:L72)</f>
        <v>58.43652775239358</v>
      </c>
      <c r="O72">
        <f t="shared" ca="1" si="16"/>
        <v>3250.3862647726201</v>
      </c>
      <c r="P72" s="16">
        <f t="shared" ca="1" si="17"/>
        <v>10618.774607567111</v>
      </c>
      <c r="Q72" s="17">
        <f t="shared" ca="1" si="18"/>
        <v>607293.19760183129</v>
      </c>
      <c r="S72">
        <f ca="1">IF(A72&lt;='Dane do harmonogramu'!$C$7,'Roboczy harmonogram'!P72,0)</f>
        <v>10618.774607567111</v>
      </c>
      <c r="T72">
        <f ca="1">IF(A72&lt;='Dane do harmonogramu'!$C$7,'Roboczy harmonogram'!O72,0)</f>
        <v>3250.3862647726201</v>
      </c>
      <c r="U72">
        <f ca="1">IF(A72&lt;='Dane do harmonogramu'!$C$7,$N$2,0)</f>
        <v>13869.160872339731</v>
      </c>
      <c r="V72" s="16">
        <f ca="1">IF(A71&lt;='Dane do harmonogramu'!$C$7,Q71*0.15%,"")</f>
        <v>926.86795831409768</v>
      </c>
    </row>
    <row r="73" spans="1:22" x14ac:dyDescent="0.35">
      <c r="A73">
        <v>71</v>
      </c>
      <c r="B73" s="14">
        <f t="shared" ca="1" si="19"/>
        <v>48230</v>
      </c>
      <c r="C73" s="15">
        <f ca="1">(1+'Dane do harmonogramu'!$C$13*('Roboczy harmonogram'!B73-'Roboczy harmonogram'!B72)/365)</f>
        <v>1.0054356164383562</v>
      </c>
      <c r="D73" s="15">
        <f ca="1">(1+'Dane do harmonogramu'!$C$13*('Roboczy harmonogram'!B73-'Roboczy harmonogram'!B72)/366)</f>
        <v>1.0054207650273224</v>
      </c>
      <c r="E73" s="15">
        <f t="shared" ca="1" si="10"/>
        <v>0</v>
      </c>
      <c r="F73" s="15">
        <f t="shared" ca="1" si="11"/>
        <v>1</v>
      </c>
      <c r="G73">
        <f ca="1">IF(E73=1,(1+'Dane do harmonogramu'!$C$13*((('Roboczy harmonogram'!B73-DATE(YEAR(B73),1,1)+1)/365)+((DATE(YEAR(B72),12,31)-'Roboczy harmonogram'!B72)/366))),IF(F73=1,(1+'Dane do harmonogramu'!$C$13*((('Roboczy harmonogram'!B73-DATE(YEAR(B73),1,1)+1)/366)+((DATE(YEAR(B72),12,31)-'Roboczy harmonogram'!B72)/365))),0))</f>
        <v>1.0054274721161764</v>
      </c>
      <c r="H73">
        <f t="shared" ca="1" si="12"/>
        <v>1</v>
      </c>
      <c r="I73">
        <f t="shared" ca="1" si="13"/>
        <v>1.0054207650273224</v>
      </c>
      <c r="J73">
        <f t="shared" ca="1" si="14"/>
        <v>1.0054274721161764</v>
      </c>
      <c r="K73">
        <f ca="1">PRODUCT($J$3:J73)</f>
        <v>1.4553973896737042</v>
      </c>
      <c r="L73">
        <f t="shared" ca="1" si="15"/>
        <v>0.68709756324641824</v>
      </c>
      <c r="M73">
        <f ca="1">SUM($L$3:L73)</f>
        <v>59.123625315639998</v>
      </c>
      <c r="O73">
        <f t="shared" ca="1" si="16"/>
        <v>3296.0668963275384</v>
      </c>
      <c r="P73" s="16">
        <f t="shared" ca="1" si="17"/>
        <v>10573.093976012193</v>
      </c>
      <c r="Q73" s="17">
        <f t="shared" ca="1" si="18"/>
        <v>596720.10362581909</v>
      </c>
      <c r="S73">
        <f ca="1">IF(A73&lt;='Dane do harmonogramu'!$C$7,'Roboczy harmonogram'!P73,0)</f>
        <v>10573.093976012193</v>
      </c>
      <c r="T73">
        <f ca="1">IF(A73&lt;='Dane do harmonogramu'!$C$7,'Roboczy harmonogram'!O73,0)</f>
        <v>3296.0668963275384</v>
      </c>
      <c r="U73">
        <f ca="1">IF(A73&lt;='Dane do harmonogramu'!$C$7,$N$2,0)</f>
        <v>13869.160872339731</v>
      </c>
      <c r="V73" s="16">
        <f ca="1">IF(A72&lt;='Dane do harmonogramu'!$C$7,Q72*0.15%,"")</f>
        <v>910.93979640274699</v>
      </c>
    </row>
    <row r="74" spans="1:22" x14ac:dyDescent="0.35">
      <c r="A74">
        <v>72</v>
      </c>
      <c r="B74" s="14">
        <f t="shared" ca="1" si="19"/>
        <v>48261</v>
      </c>
      <c r="C74" s="15">
        <f ca="1">(1+'Dane do harmonogramu'!$C$13*('Roboczy harmonogram'!B74-'Roboczy harmonogram'!B73)/365)</f>
        <v>1.0054356164383562</v>
      </c>
      <c r="D74" s="15">
        <f ca="1">(1+'Dane do harmonogramu'!$C$13*('Roboczy harmonogram'!B74-'Roboczy harmonogram'!B73)/366)</f>
        <v>1.0054207650273224</v>
      </c>
      <c r="E74" s="15">
        <f t="shared" ca="1" si="10"/>
        <v>0</v>
      </c>
      <c r="F74" s="15">
        <f t="shared" ca="1" si="11"/>
        <v>0</v>
      </c>
      <c r="G74">
        <f ca="1">IF(E74=1,(1+'Dane do harmonogramu'!$C$13*((('Roboczy harmonogram'!B74-DATE(YEAR(B74),1,1)+1)/365)+((DATE(YEAR(B73),12,31)-'Roboczy harmonogram'!B73)/366))),IF(F74=1,(1+'Dane do harmonogramu'!$C$13*((('Roboczy harmonogram'!B74-DATE(YEAR(B74),1,1)+1)/366)+((DATE(YEAR(B73),12,31)-'Roboczy harmonogram'!B73)/365))),0))</f>
        <v>0</v>
      </c>
      <c r="H74">
        <f t="shared" ca="1" si="12"/>
        <v>1</v>
      </c>
      <c r="I74">
        <f t="shared" ca="1" si="13"/>
        <v>1.0054207650273224</v>
      </c>
      <c r="J74">
        <f t="shared" ca="1" si="14"/>
        <v>1.0054207650273224</v>
      </c>
      <c r="K74">
        <f ca="1">PRODUCT($J$3:J74)</f>
        <v>1.4632867569445036</v>
      </c>
      <c r="L74">
        <f t="shared" ca="1" si="15"/>
        <v>0.68339305010051821</v>
      </c>
      <c r="M74">
        <f ca="1">SUM($L$3:L74)</f>
        <v>59.807018365740518</v>
      </c>
      <c r="O74">
        <f t="shared" ca="1" si="16"/>
        <v>3234.6794688350055</v>
      </c>
      <c r="P74" s="16">
        <f t="shared" ca="1" si="17"/>
        <v>10634.481403504726</v>
      </c>
      <c r="Q74" s="17">
        <f t="shared" ca="1" si="18"/>
        <v>586085.62222231436</v>
      </c>
      <c r="S74">
        <f ca="1">IF(A74&lt;='Dane do harmonogramu'!$C$7,'Roboczy harmonogram'!P74,0)</f>
        <v>10634.481403504726</v>
      </c>
      <c r="T74">
        <f ca="1">IF(A74&lt;='Dane do harmonogramu'!$C$7,'Roboczy harmonogram'!O74,0)</f>
        <v>3234.6794688350055</v>
      </c>
      <c r="U74">
        <f ca="1">IF(A74&lt;='Dane do harmonogramu'!$C$7,$N$2,0)</f>
        <v>13869.160872339731</v>
      </c>
      <c r="V74" s="16">
        <f ca="1">IF(A73&lt;='Dane do harmonogramu'!$C$7,Q73*0.15%,"")</f>
        <v>895.08015543872864</v>
      </c>
    </row>
    <row r="75" spans="1:22" x14ac:dyDescent="0.35">
      <c r="A75">
        <v>73</v>
      </c>
      <c r="B75" s="14">
        <f t="shared" ca="1" si="19"/>
        <v>48290</v>
      </c>
      <c r="C75" s="15">
        <f ca="1">(1+'Dane do harmonogramu'!$C$13*('Roboczy harmonogram'!B75-'Roboczy harmonogram'!B74)/365)</f>
        <v>1.0050849315068493</v>
      </c>
      <c r="D75" s="15">
        <f ca="1">(1+'Dane do harmonogramu'!$C$13*('Roboczy harmonogram'!B75-'Roboczy harmonogram'!B74)/366)</f>
        <v>1.0050710382513661</v>
      </c>
      <c r="E75" s="15">
        <f t="shared" ca="1" si="10"/>
        <v>0</v>
      </c>
      <c r="F75" s="15">
        <f t="shared" ca="1" si="11"/>
        <v>0</v>
      </c>
      <c r="G75">
        <f ca="1">IF(E75=1,(1+'Dane do harmonogramu'!$C$13*((('Roboczy harmonogram'!B75-DATE(YEAR(B75),1,1)+1)/365)+((DATE(YEAR(B74),12,31)-'Roboczy harmonogram'!B74)/366))),IF(F75=1,(1+'Dane do harmonogramu'!$C$13*((('Roboczy harmonogram'!B75-DATE(YEAR(B75),1,1)+1)/366)+((DATE(YEAR(B74),12,31)-'Roboczy harmonogram'!B74)/365))),0))</f>
        <v>0</v>
      </c>
      <c r="H75">
        <f t="shared" ca="1" si="12"/>
        <v>1</v>
      </c>
      <c r="I75">
        <f t="shared" ca="1" si="13"/>
        <v>1.0050710382513661</v>
      </c>
      <c r="J75">
        <f t="shared" ca="1" si="14"/>
        <v>1.0050710382513661</v>
      </c>
      <c r="K75">
        <f ca="1">PRODUCT($J$3:J75)</f>
        <v>1.4707071400616867</v>
      </c>
      <c r="L75">
        <f t="shared" ca="1" si="15"/>
        <v>0.67994502288066438</v>
      </c>
      <c r="M75">
        <f ca="1">SUM($L$3:L75)</f>
        <v>60.486963388621184</v>
      </c>
      <c r="O75">
        <f t="shared" ca="1" si="16"/>
        <v>2972.0626088650897</v>
      </c>
      <c r="P75" s="16">
        <f t="shared" ca="1" si="17"/>
        <v>10897.098263474641</v>
      </c>
      <c r="Q75" s="17">
        <f t="shared" ca="1" si="18"/>
        <v>575188.52395883971</v>
      </c>
      <c r="S75">
        <f ca="1">IF(A75&lt;='Dane do harmonogramu'!$C$7,'Roboczy harmonogram'!P75,0)</f>
        <v>10897.098263474641</v>
      </c>
      <c r="T75">
        <f ca="1">IF(A75&lt;='Dane do harmonogramu'!$C$7,'Roboczy harmonogram'!O75,0)</f>
        <v>2972.0626088650897</v>
      </c>
      <c r="U75">
        <f ca="1">IF(A75&lt;='Dane do harmonogramu'!$C$7,$N$2,0)</f>
        <v>13869.160872339731</v>
      </c>
      <c r="V75" s="16">
        <f ca="1">IF(A74&lt;='Dane do harmonogramu'!$C$7,Q74*0.15%,"")</f>
        <v>879.12843333347155</v>
      </c>
    </row>
    <row r="76" spans="1:22" x14ac:dyDescent="0.35">
      <c r="A76">
        <v>74</v>
      </c>
      <c r="B76" s="14">
        <f t="shared" ca="1" si="19"/>
        <v>48321</v>
      </c>
      <c r="C76" s="15">
        <f ca="1">(1+'Dane do harmonogramu'!$C$13*('Roboczy harmonogram'!B76-'Roboczy harmonogram'!B75)/365)</f>
        <v>1.0054356164383562</v>
      </c>
      <c r="D76" s="15">
        <f ca="1">(1+'Dane do harmonogramu'!$C$13*('Roboczy harmonogram'!B76-'Roboczy harmonogram'!B75)/366)</f>
        <v>1.0054207650273224</v>
      </c>
      <c r="E76" s="15">
        <f t="shared" ca="1" si="10"/>
        <v>0</v>
      </c>
      <c r="F76" s="15">
        <f t="shared" ca="1" si="11"/>
        <v>0</v>
      </c>
      <c r="G76">
        <f ca="1">IF(E76=1,(1+'Dane do harmonogramu'!$C$13*((('Roboczy harmonogram'!B76-DATE(YEAR(B76),1,1)+1)/365)+((DATE(YEAR(B75),12,31)-'Roboczy harmonogram'!B75)/366))),IF(F76=1,(1+'Dane do harmonogramu'!$C$13*((('Roboczy harmonogram'!B76-DATE(YEAR(B76),1,1)+1)/366)+((DATE(YEAR(B75),12,31)-'Roboczy harmonogram'!B75)/365))),0))</f>
        <v>0</v>
      </c>
      <c r="H76">
        <f t="shared" ca="1" si="12"/>
        <v>1</v>
      </c>
      <c r="I76">
        <f t="shared" ca="1" si="13"/>
        <v>1.0054207650273224</v>
      </c>
      <c r="J76">
        <f t="shared" ca="1" si="14"/>
        <v>1.0054207650273224</v>
      </c>
      <c r="K76">
        <f ca="1">PRODUCT($J$3:J76)</f>
        <v>1.4786794978919664</v>
      </c>
      <c r="L76">
        <f t="shared" ca="1" si="15"/>
        <v>0.67627907293339695</v>
      </c>
      <c r="M76">
        <f ca="1">SUM($L$3:L76)</f>
        <v>61.163242461554582</v>
      </c>
      <c r="O76">
        <f t="shared" ca="1" si="16"/>
        <v>3117.9618347932119</v>
      </c>
      <c r="P76" s="16">
        <f t="shared" ca="1" si="17"/>
        <v>10751.199037546519</v>
      </c>
      <c r="Q76" s="17">
        <f t="shared" ca="1" si="18"/>
        <v>564437.32492129318</v>
      </c>
      <c r="S76">
        <f ca="1">IF(A76&lt;='Dane do harmonogramu'!$C$7,'Roboczy harmonogram'!P76,0)</f>
        <v>10751.199037546519</v>
      </c>
      <c r="T76">
        <f ca="1">IF(A76&lt;='Dane do harmonogramu'!$C$7,'Roboczy harmonogram'!O76,0)</f>
        <v>3117.9618347932119</v>
      </c>
      <c r="U76">
        <f ca="1">IF(A76&lt;='Dane do harmonogramu'!$C$7,$N$2,0)</f>
        <v>13869.160872339731</v>
      </c>
      <c r="V76" s="16">
        <f ca="1">IF(A75&lt;='Dane do harmonogramu'!$C$7,Q75*0.15%,"")</f>
        <v>862.78278593825962</v>
      </c>
    </row>
    <row r="77" spans="1:22" x14ac:dyDescent="0.35">
      <c r="A77">
        <v>75</v>
      </c>
      <c r="B77" s="14">
        <f t="shared" ca="1" si="19"/>
        <v>48351</v>
      </c>
      <c r="C77" s="15">
        <f ca="1">(1+'Dane do harmonogramu'!$C$13*('Roboczy harmonogram'!B77-'Roboczy harmonogram'!B76)/365)</f>
        <v>1.0052602739726026</v>
      </c>
      <c r="D77" s="15">
        <f ca="1">(1+'Dane do harmonogramu'!$C$13*('Roboczy harmonogram'!B77-'Roboczy harmonogram'!B76)/366)</f>
        <v>1.0052459016393442</v>
      </c>
      <c r="E77" s="15">
        <f t="shared" ca="1" si="10"/>
        <v>0</v>
      </c>
      <c r="F77" s="15">
        <f t="shared" ca="1" si="11"/>
        <v>0</v>
      </c>
      <c r="G77">
        <f ca="1">IF(E77=1,(1+'Dane do harmonogramu'!$C$13*((('Roboczy harmonogram'!B77-DATE(YEAR(B77),1,1)+1)/365)+((DATE(YEAR(B76),12,31)-'Roboczy harmonogram'!B76)/366))),IF(F77=1,(1+'Dane do harmonogramu'!$C$13*((('Roboczy harmonogram'!B77-DATE(YEAR(B77),1,1)+1)/366)+((DATE(YEAR(B76),12,31)-'Roboczy harmonogram'!B76)/365))),0))</f>
        <v>0</v>
      </c>
      <c r="H77">
        <f t="shared" ca="1" si="12"/>
        <v>1</v>
      </c>
      <c r="I77">
        <f t="shared" ca="1" si="13"/>
        <v>1.0052459016393442</v>
      </c>
      <c r="J77">
        <f t="shared" ca="1" si="14"/>
        <v>1.0052459016393442</v>
      </c>
      <c r="K77">
        <f ca="1">PRODUCT($J$3:J77)</f>
        <v>1.4864365050940225</v>
      </c>
      <c r="L77">
        <f t="shared" ca="1" si="15"/>
        <v>0.672749893165969</v>
      </c>
      <c r="M77">
        <f ca="1">SUM($L$3:L77)</f>
        <v>61.835992354720553</v>
      </c>
      <c r="O77">
        <f t="shared" ca="1" si="16"/>
        <v>2960.9826881117187</v>
      </c>
      <c r="P77" s="16">
        <f t="shared" ca="1" si="17"/>
        <v>10908.178184228012</v>
      </c>
      <c r="Q77" s="17">
        <f t="shared" ca="1" si="18"/>
        <v>553529.14673706517</v>
      </c>
      <c r="S77">
        <f ca="1">IF(A77&lt;='Dane do harmonogramu'!$C$7,'Roboczy harmonogram'!P77,0)</f>
        <v>10908.178184228012</v>
      </c>
      <c r="T77">
        <f ca="1">IF(A77&lt;='Dane do harmonogramu'!$C$7,'Roboczy harmonogram'!O77,0)</f>
        <v>2960.9826881117187</v>
      </c>
      <c r="U77">
        <f ca="1">IF(A77&lt;='Dane do harmonogramu'!$C$7,$N$2,0)</f>
        <v>13869.160872339731</v>
      </c>
      <c r="V77" s="16">
        <f ca="1">IF(A76&lt;='Dane do harmonogramu'!$C$7,Q76*0.15%,"")</f>
        <v>846.65598738193978</v>
      </c>
    </row>
    <row r="78" spans="1:22" x14ac:dyDescent="0.35">
      <c r="A78">
        <v>76</v>
      </c>
      <c r="B78" s="14">
        <f t="shared" ca="1" si="19"/>
        <v>48382</v>
      </c>
      <c r="C78" s="15">
        <f ca="1">(1+'Dane do harmonogramu'!$C$13*('Roboczy harmonogram'!B78-'Roboczy harmonogram'!B77)/365)</f>
        <v>1.0054356164383562</v>
      </c>
      <c r="D78" s="15">
        <f ca="1">(1+'Dane do harmonogramu'!$C$13*('Roboczy harmonogram'!B78-'Roboczy harmonogram'!B77)/366)</f>
        <v>1.0054207650273224</v>
      </c>
      <c r="E78" s="15">
        <f t="shared" ca="1" si="10"/>
        <v>0</v>
      </c>
      <c r="F78" s="15">
        <f t="shared" ca="1" si="11"/>
        <v>0</v>
      </c>
      <c r="G78">
        <f ca="1">IF(E78=1,(1+'Dane do harmonogramu'!$C$13*((('Roboczy harmonogram'!B78-DATE(YEAR(B78),1,1)+1)/365)+((DATE(YEAR(B77),12,31)-'Roboczy harmonogram'!B77)/366))),IF(F78=1,(1+'Dane do harmonogramu'!$C$13*((('Roboczy harmonogram'!B78-DATE(YEAR(B78),1,1)+1)/366)+((DATE(YEAR(B77),12,31)-'Roboczy harmonogram'!B77)/365))),0))</f>
        <v>0</v>
      </c>
      <c r="H78">
        <f t="shared" ca="1" si="12"/>
        <v>1</v>
      </c>
      <c r="I78">
        <f t="shared" ca="1" si="13"/>
        <v>1.0054207650273224</v>
      </c>
      <c r="J78">
        <f t="shared" ca="1" si="14"/>
        <v>1.0054207650273224</v>
      </c>
      <c r="K78">
        <f ca="1">PRODUCT($J$3:J78)</f>
        <v>1.4944941281161714</v>
      </c>
      <c r="L78">
        <f t="shared" ca="1" si="15"/>
        <v>0.66912273603946004</v>
      </c>
      <c r="M78">
        <f ca="1">SUM($L$3:L78)</f>
        <v>62.505115090760015</v>
      </c>
      <c r="O78">
        <f t="shared" ca="1" si="16"/>
        <v>3000.5514402359258</v>
      </c>
      <c r="P78" s="16">
        <f t="shared" ca="1" si="17"/>
        <v>10868.609432103805</v>
      </c>
      <c r="Q78" s="17">
        <f t="shared" ca="1" si="18"/>
        <v>542660.53730496136</v>
      </c>
      <c r="S78">
        <f ca="1">IF(A78&lt;='Dane do harmonogramu'!$C$7,'Roboczy harmonogram'!P78,0)</f>
        <v>10868.609432103805</v>
      </c>
      <c r="T78">
        <f ca="1">IF(A78&lt;='Dane do harmonogramu'!$C$7,'Roboczy harmonogram'!O78,0)</f>
        <v>3000.5514402359258</v>
      </c>
      <c r="U78">
        <f ca="1">IF(A78&lt;='Dane do harmonogramu'!$C$7,$N$2,0)</f>
        <v>13869.160872339731</v>
      </c>
      <c r="V78" s="16">
        <f ca="1">IF(A77&lt;='Dane do harmonogramu'!$C$7,Q77*0.15%,"")</f>
        <v>830.2937201055978</v>
      </c>
    </row>
    <row r="79" spans="1:22" x14ac:dyDescent="0.35">
      <c r="A79">
        <v>77</v>
      </c>
      <c r="B79" s="14">
        <f t="shared" ca="1" si="19"/>
        <v>48412</v>
      </c>
      <c r="C79" s="15">
        <f ca="1">(1+'Dane do harmonogramu'!$C$13*('Roboczy harmonogram'!B79-'Roboczy harmonogram'!B78)/365)</f>
        <v>1.0052602739726026</v>
      </c>
      <c r="D79" s="15">
        <f ca="1">(1+'Dane do harmonogramu'!$C$13*('Roboczy harmonogram'!B79-'Roboczy harmonogram'!B78)/366)</f>
        <v>1.0052459016393442</v>
      </c>
      <c r="E79" s="15">
        <f t="shared" ca="1" si="10"/>
        <v>0</v>
      </c>
      <c r="F79" s="15">
        <f t="shared" ca="1" si="11"/>
        <v>0</v>
      </c>
      <c r="G79">
        <f ca="1">IF(E79=1,(1+'Dane do harmonogramu'!$C$13*((('Roboczy harmonogram'!B79-DATE(YEAR(B79),1,1)+1)/365)+((DATE(YEAR(B78),12,31)-'Roboczy harmonogram'!B78)/366))),IF(F79=1,(1+'Dane do harmonogramu'!$C$13*((('Roboczy harmonogram'!B79-DATE(YEAR(B79),1,1)+1)/366)+((DATE(YEAR(B78),12,31)-'Roboczy harmonogram'!B78)/365))),0))</f>
        <v>0</v>
      </c>
      <c r="H79">
        <f t="shared" ca="1" si="12"/>
        <v>1</v>
      </c>
      <c r="I79">
        <f t="shared" ca="1" si="13"/>
        <v>1.0052459016393442</v>
      </c>
      <c r="J79">
        <f t="shared" ca="1" si="14"/>
        <v>1.0052459016393442</v>
      </c>
      <c r="K79">
        <f ca="1">PRODUCT($J$3:J79)</f>
        <v>1.5023340973128465</v>
      </c>
      <c r="L79">
        <f t="shared" ca="1" si="15"/>
        <v>0.66563090180050655</v>
      </c>
      <c r="M79">
        <f ca="1">SUM($L$3:L79)</f>
        <v>63.170745992560519</v>
      </c>
      <c r="O79">
        <f t="shared" ca="1" si="16"/>
        <v>2846.7438022554852</v>
      </c>
      <c r="P79" s="16">
        <f t="shared" ca="1" si="17"/>
        <v>11022.417070084246</v>
      </c>
      <c r="Q79" s="17">
        <f t="shared" ca="1" si="18"/>
        <v>531638.1202348771</v>
      </c>
      <c r="S79">
        <f ca="1">IF(A79&lt;='Dane do harmonogramu'!$C$7,'Roboczy harmonogram'!P79,0)</f>
        <v>11022.417070084246</v>
      </c>
      <c r="T79">
        <f ca="1">IF(A79&lt;='Dane do harmonogramu'!$C$7,'Roboczy harmonogram'!O79,0)</f>
        <v>2846.7438022554852</v>
      </c>
      <c r="U79">
        <f ca="1">IF(A79&lt;='Dane do harmonogramu'!$C$7,$N$2,0)</f>
        <v>13869.160872339731</v>
      </c>
      <c r="V79" s="16">
        <f ca="1">IF(A78&lt;='Dane do harmonogramu'!$C$7,Q78*0.15%,"")</f>
        <v>813.99080595744203</v>
      </c>
    </row>
    <row r="80" spans="1:22" x14ac:dyDescent="0.35">
      <c r="A80">
        <v>78</v>
      </c>
      <c r="B80" s="14">
        <f t="shared" ca="1" si="19"/>
        <v>48443</v>
      </c>
      <c r="C80" s="15">
        <f ca="1">(1+'Dane do harmonogramu'!$C$13*('Roboczy harmonogram'!B80-'Roboczy harmonogram'!B79)/365)</f>
        <v>1.0054356164383562</v>
      </c>
      <c r="D80" s="15">
        <f ca="1">(1+'Dane do harmonogramu'!$C$13*('Roboczy harmonogram'!B80-'Roboczy harmonogram'!B79)/366)</f>
        <v>1.0054207650273224</v>
      </c>
      <c r="E80" s="15">
        <f t="shared" ca="1" si="10"/>
        <v>0</v>
      </c>
      <c r="F80" s="15">
        <f t="shared" ca="1" si="11"/>
        <v>0</v>
      </c>
      <c r="G80">
        <f ca="1">IF(E80=1,(1+'Dane do harmonogramu'!$C$13*((('Roboczy harmonogram'!B80-DATE(YEAR(B80),1,1)+1)/365)+((DATE(YEAR(B79),12,31)-'Roboczy harmonogram'!B79)/366))),IF(F80=1,(1+'Dane do harmonogramu'!$C$13*((('Roboczy harmonogram'!B80-DATE(YEAR(B80),1,1)+1)/366)+((DATE(YEAR(B79),12,31)-'Roboczy harmonogram'!B79)/365))),0))</f>
        <v>0</v>
      </c>
      <c r="H80">
        <f t="shared" ca="1" si="12"/>
        <v>1</v>
      </c>
      <c r="I80">
        <f t="shared" ca="1" si="13"/>
        <v>1.0054207650273224</v>
      </c>
      <c r="J80">
        <f t="shared" ca="1" si="14"/>
        <v>1.0054207650273224</v>
      </c>
      <c r="K80">
        <f ca="1">PRODUCT($J$3:J80)</f>
        <v>1.510477897446914</v>
      </c>
      <c r="L80">
        <f t="shared" ca="1" si="15"/>
        <v>0.6620421269918948</v>
      </c>
      <c r="M80">
        <f ca="1">SUM($L$3:L80)</f>
        <v>63.832788119552411</v>
      </c>
      <c r="O80">
        <f t="shared" ca="1" si="16"/>
        <v>2881.885329360608</v>
      </c>
      <c r="P80" s="16">
        <f t="shared" ca="1" si="17"/>
        <v>10987.275542979123</v>
      </c>
      <c r="Q80" s="17">
        <f t="shared" ca="1" si="18"/>
        <v>520650.84469189798</v>
      </c>
      <c r="S80">
        <f ca="1">IF(A80&lt;='Dane do harmonogramu'!$C$7,'Roboczy harmonogram'!P80,0)</f>
        <v>10987.275542979123</v>
      </c>
      <c r="T80">
        <f ca="1">IF(A80&lt;='Dane do harmonogramu'!$C$7,'Roboczy harmonogram'!O80,0)</f>
        <v>2881.885329360608</v>
      </c>
      <c r="U80">
        <f ca="1">IF(A80&lt;='Dane do harmonogramu'!$C$7,$N$2,0)</f>
        <v>13869.160872339731</v>
      </c>
      <c r="V80" s="16">
        <f ca="1">IF(A79&lt;='Dane do harmonogramu'!$C$7,Q79*0.15%,"")</f>
        <v>797.45718035231562</v>
      </c>
    </row>
    <row r="81" spans="1:22" x14ac:dyDescent="0.35">
      <c r="A81">
        <v>79</v>
      </c>
      <c r="B81" s="14">
        <f t="shared" ca="1" si="19"/>
        <v>48474</v>
      </c>
      <c r="C81" s="15">
        <f ca="1">(1+'Dane do harmonogramu'!$C$13*('Roboczy harmonogram'!B81-'Roboczy harmonogram'!B80)/365)</f>
        <v>1.0054356164383562</v>
      </c>
      <c r="D81" s="15">
        <f ca="1">(1+'Dane do harmonogramu'!$C$13*('Roboczy harmonogram'!B81-'Roboczy harmonogram'!B80)/366)</f>
        <v>1.0054207650273224</v>
      </c>
      <c r="E81" s="15">
        <f t="shared" ca="1" si="10"/>
        <v>0</v>
      </c>
      <c r="F81" s="15">
        <f t="shared" ca="1" si="11"/>
        <v>0</v>
      </c>
      <c r="G81">
        <f ca="1">IF(E81=1,(1+'Dane do harmonogramu'!$C$13*((('Roboczy harmonogram'!B81-DATE(YEAR(B81),1,1)+1)/365)+((DATE(YEAR(B80),12,31)-'Roboczy harmonogram'!B80)/366))),IF(F81=1,(1+'Dane do harmonogramu'!$C$13*((('Roboczy harmonogram'!B81-DATE(YEAR(B81),1,1)+1)/366)+((DATE(YEAR(B80),12,31)-'Roboczy harmonogram'!B80)/365))),0))</f>
        <v>0</v>
      </c>
      <c r="H81">
        <f t="shared" ca="1" si="12"/>
        <v>1</v>
      </c>
      <c r="I81">
        <f t="shared" ca="1" si="13"/>
        <v>1.0054207650273224</v>
      </c>
      <c r="J81">
        <f t="shared" ca="1" si="14"/>
        <v>1.0054207650273224</v>
      </c>
      <c r="K81">
        <f ca="1">PRODUCT($J$3:J81)</f>
        <v>1.5186658432079376</v>
      </c>
      <c r="L81">
        <f t="shared" ca="1" si="15"/>
        <v>0.6584727012017737</v>
      </c>
      <c r="M81">
        <f ca="1">SUM($L$3:L81)</f>
        <v>64.491260820754178</v>
      </c>
      <c r="O81">
        <f t="shared" ca="1" si="16"/>
        <v>2822.3258903516689</v>
      </c>
      <c r="P81" s="16">
        <f t="shared" ca="1" si="17"/>
        <v>11046.834981988062</v>
      </c>
      <c r="Q81" s="17">
        <f t="shared" ca="1" si="18"/>
        <v>509604.00970990991</v>
      </c>
      <c r="S81">
        <f ca="1">IF(A81&lt;='Dane do harmonogramu'!$C$7,'Roboczy harmonogram'!P81,0)</f>
        <v>11046.834981988062</v>
      </c>
      <c r="T81">
        <f ca="1">IF(A81&lt;='Dane do harmonogramu'!$C$7,'Roboczy harmonogram'!O81,0)</f>
        <v>2822.3258903516689</v>
      </c>
      <c r="U81">
        <f ca="1">IF(A81&lt;='Dane do harmonogramu'!$C$7,$N$2,0)</f>
        <v>13869.160872339731</v>
      </c>
      <c r="V81" s="16">
        <f ca="1">IF(A80&lt;='Dane do harmonogramu'!$C$7,Q80*0.15%,"")</f>
        <v>780.97626703784692</v>
      </c>
    </row>
    <row r="82" spans="1:22" x14ac:dyDescent="0.35">
      <c r="A82">
        <v>80</v>
      </c>
      <c r="B82" s="14">
        <f t="shared" ca="1" si="19"/>
        <v>48504</v>
      </c>
      <c r="C82" s="15">
        <f ca="1">(1+'Dane do harmonogramu'!$C$13*('Roboczy harmonogram'!B82-'Roboczy harmonogram'!B81)/365)</f>
        <v>1.0052602739726026</v>
      </c>
      <c r="D82" s="15">
        <f ca="1">(1+'Dane do harmonogramu'!$C$13*('Roboczy harmonogram'!B82-'Roboczy harmonogram'!B81)/366)</f>
        <v>1.0052459016393442</v>
      </c>
      <c r="E82" s="15">
        <f t="shared" ca="1" si="10"/>
        <v>0</v>
      </c>
      <c r="F82" s="15">
        <f t="shared" ca="1" si="11"/>
        <v>0</v>
      </c>
      <c r="G82">
        <f ca="1">IF(E82=1,(1+'Dane do harmonogramu'!$C$13*((('Roboczy harmonogram'!B82-DATE(YEAR(B82),1,1)+1)/365)+((DATE(YEAR(B81),12,31)-'Roboczy harmonogram'!B81)/366))),IF(F82=1,(1+'Dane do harmonogramu'!$C$13*((('Roboczy harmonogram'!B82-DATE(YEAR(B82),1,1)+1)/366)+((DATE(YEAR(B81),12,31)-'Roboczy harmonogram'!B81)/365))),0))</f>
        <v>0</v>
      </c>
      <c r="H82">
        <f t="shared" ca="1" si="12"/>
        <v>1</v>
      </c>
      <c r="I82">
        <f t="shared" ca="1" si="13"/>
        <v>1.0052459016393442</v>
      </c>
      <c r="J82">
        <f t="shared" ca="1" si="14"/>
        <v>1.0052459016393442</v>
      </c>
      <c r="K82">
        <f ca="1">PRODUCT($J$3:J82)</f>
        <v>1.5266326148444382</v>
      </c>
      <c r="L82">
        <f t="shared" ca="1" si="15"/>
        <v>0.65503644444403453</v>
      </c>
      <c r="M82">
        <f ca="1">SUM($L$3:L82)</f>
        <v>65.146297265198214</v>
      </c>
      <c r="O82">
        <f t="shared" ca="1" si="16"/>
        <v>2673.3325099535869</v>
      </c>
      <c r="P82" s="16">
        <f t="shared" ca="1" si="17"/>
        <v>11195.828362386144</v>
      </c>
      <c r="Q82" s="17">
        <f t="shared" ca="1" si="18"/>
        <v>498408.18134752376</v>
      </c>
      <c r="S82">
        <f ca="1">IF(A82&lt;='Dane do harmonogramu'!$C$7,'Roboczy harmonogram'!P82,0)</f>
        <v>11195.828362386144</v>
      </c>
      <c r="T82">
        <f ca="1">IF(A82&lt;='Dane do harmonogramu'!$C$7,'Roboczy harmonogram'!O82,0)</f>
        <v>2673.3325099535869</v>
      </c>
      <c r="U82">
        <f ca="1">IF(A82&lt;='Dane do harmonogramu'!$C$7,$N$2,0)</f>
        <v>13869.160872339731</v>
      </c>
      <c r="V82" s="16">
        <f ca="1">IF(A81&lt;='Dane do harmonogramu'!$C$7,Q81*0.15%,"")</f>
        <v>764.4060145648649</v>
      </c>
    </row>
    <row r="83" spans="1:22" x14ac:dyDescent="0.35">
      <c r="A83">
        <v>81</v>
      </c>
      <c r="B83" s="14">
        <f t="shared" ca="1" si="19"/>
        <v>48535</v>
      </c>
      <c r="C83" s="15">
        <f ca="1">(1+'Dane do harmonogramu'!$C$13*('Roboczy harmonogram'!B83-'Roboczy harmonogram'!B82)/365)</f>
        <v>1.0054356164383562</v>
      </c>
      <c r="D83" s="15">
        <f ca="1">(1+'Dane do harmonogramu'!$C$13*('Roboczy harmonogram'!B83-'Roboczy harmonogram'!B82)/366)</f>
        <v>1.0054207650273224</v>
      </c>
      <c r="E83" s="15">
        <f t="shared" ca="1" si="10"/>
        <v>0</v>
      </c>
      <c r="F83" s="15">
        <f t="shared" ca="1" si="11"/>
        <v>0</v>
      </c>
      <c r="G83">
        <f ca="1">IF(E83=1,(1+'Dane do harmonogramu'!$C$13*((('Roboczy harmonogram'!B83-DATE(YEAR(B83),1,1)+1)/365)+((DATE(YEAR(B82),12,31)-'Roboczy harmonogram'!B82)/366))),IF(F83=1,(1+'Dane do harmonogramu'!$C$13*((('Roboczy harmonogram'!B83-DATE(YEAR(B83),1,1)+1)/366)+((DATE(YEAR(B82),12,31)-'Roboczy harmonogram'!B82)/365))),0))</f>
        <v>0</v>
      </c>
      <c r="H83">
        <f t="shared" ca="1" si="12"/>
        <v>1</v>
      </c>
      <c r="I83">
        <f t="shared" ca="1" si="13"/>
        <v>1.0054207650273224</v>
      </c>
      <c r="J83">
        <f t="shared" ca="1" si="14"/>
        <v>1.0054207650273224</v>
      </c>
      <c r="K83">
        <f ca="1">PRODUCT($J$3:J83)</f>
        <v>1.5349081315325566</v>
      </c>
      <c r="L83">
        <f t="shared" ca="1" si="15"/>
        <v>0.65150479006292839</v>
      </c>
      <c r="M83">
        <f ca="1">SUM($L$3:L83)</f>
        <v>65.797802055261144</v>
      </c>
      <c r="O83">
        <f t="shared" ca="1" si="16"/>
        <v>2701.7536387799773</v>
      </c>
      <c r="P83" s="16">
        <f t="shared" ca="1" si="17"/>
        <v>11167.407233559754</v>
      </c>
      <c r="Q83" s="17">
        <f t="shared" ca="1" si="18"/>
        <v>487240.774113964</v>
      </c>
      <c r="S83">
        <f ca="1">IF(A83&lt;='Dane do harmonogramu'!$C$7,'Roboczy harmonogram'!P83,0)</f>
        <v>11167.407233559754</v>
      </c>
      <c r="T83">
        <f ca="1">IF(A83&lt;='Dane do harmonogramu'!$C$7,'Roboczy harmonogram'!O83,0)</f>
        <v>2701.7536387799773</v>
      </c>
      <c r="U83">
        <f ca="1">IF(A83&lt;='Dane do harmonogramu'!$C$7,$N$2,0)</f>
        <v>13869.160872339731</v>
      </c>
      <c r="V83" s="16">
        <f ca="1">IF(A82&lt;='Dane do harmonogramu'!$C$7,Q82*0.15%,"")</f>
        <v>747.61227202128566</v>
      </c>
    </row>
    <row r="84" spans="1:22" x14ac:dyDescent="0.35">
      <c r="A84">
        <v>82</v>
      </c>
      <c r="B84" s="14">
        <f t="shared" ca="1" si="19"/>
        <v>48565</v>
      </c>
      <c r="C84" s="15">
        <f ca="1">(1+'Dane do harmonogramu'!$C$13*('Roboczy harmonogram'!B84-'Roboczy harmonogram'!B83)/365)</f>
        <v>1.0052602739726026</v>
      </c>
      <c r="D84" s="15">
        <f ca="1">(1+'Dane do harmonogramu'!$C$13*('Roboczy harmonogram'!B84-'Roboczy harmonogram'!B83)/366)</f>
        <v>1.0052459016393442</v>
      </c>
      <c r="E84" s="15">
        <f t="shared" ca="1" si="10"/>
        <v>0</v>
      </c>
      <c r="F84" s="15">
        <f t="shared" ca="1" si="11"/>
        <v>0</v>
      </c>
      <c r="G84">
        <f ca="1">IF(E84=1,(1+'Dane do harmonogramu'!$C$13*((('Roboczy harmonogram'!B84-DATE(YEAR(B84),1,1)+1)/365)+((DATE(YEAR(B83),12,31)-'Roboczy harmonogram'!B83)/366))),IF(F84=1,(1+'Dane do harmonogramu'!$C$13*((('Roboczy harmonogram'!B84-DATE(YEAR(B84),1,1)+1)/366)+((DATE(YEAR(B83),12,31)-'Roboczy harmonogram'!B83)/365))),0))</f>
        <v>0</v>
      </c>
      <c r="H84">
        <f t="shared" ca="1" si="12"/>
        <v>1</v>
      </c>
      <c r="I84">
        <f t="shared" ca="1" si="13"/>
        <v>1.0052459016393442</v>
      </c>
      <c r="J84">
        <f t="shared" ca="1" si="14"/>
        <v>1.0052459016393442</v>
      </c>
      <c r="K84">
        <f ca="1">PRODUCT($J$3:J84)</f>
        <v>1.5429601086160061</v>
      </c>
      <c r="L84">
        <f t="shared" ca="1" si="15"/>
        <v>0.64810489552900574</v>
      </c>
      <c r="M84">
        <f ca="1">SUM($L$3:L84)</f>
        <v>66.445906950790146</v>
      </c>
      <c r="O84">
        <f t="shared" ca="1" si="16"/>
        <v>2556.0171756797936</v>
      </c>
      <c r="P84" s="16">
        <f t="shared" ca="1" si="17"/>
        <v>11313.143696659938</v>
      </c>
      <c r="Q84" s="17">
        <f t="shared" ca="1" si="18"/>
        <v>475927.63041730406</v>
      </c>
      <c r="S84">
        <f ca="1">IF(A84&lt;='Dane do harmonogramu'!$C$7,'Roboczy harmonogram'!P84,0)</f>
        <v>11313.143696659938</v>
      </c>
      <c r="T84">
        <f ca="1">IF(A84&lt;='Dane do harmonogramu'!$C$7,'Roboczy harmonogram'!O84,0)</f>
        <v>2556.0171756797936</v>
      </c>
      <c r="U84">
        <f ca="1">IF(A84&lt;='Dane do harmonogramu'!$C$7,$N$2,0)</f>
        <v>13869.160872339731</v>
      </c>
      <c r="V84" s="16">
        <f ca="1">IF(A83&lt;='Dane do harmonogramu'!$C$7,Q83*0.15%,"")</f>
        <v>730.86116117094605</v>
      </c>
    </row>
    <row r="85" spans="1:22" x14ac:dyDescent="0.35">
      <c r="A85">
        <v>83</v>
      </c>
      <c r="B85" s="14">
        <f t="shared" ca="1" si="19"/>
        <v>48596</v>
      </c>
      <c r="C85" s="15">
        <f ca="1">(1+'Dane do harmonogramu'!$C$13*('Roboczy harmonogram'!B85-'Roboczy harmonogram'!B84)/365)</f>
        <v>1.0054356164383562</v>
      </c>
      <c r="D85" s="15">
        <f ca="1">(1+'Dane do harmonogramu'!$C$13*('Roboczy harmonogram'!B85-'Roboczy harmonogram'!B84)/366)</f>
        <v>1.0054207650273224</v>
      </c>
      <c r="E85" s="15">
        <f t="shared" ca="1" si="10"/>
        <v>1</v>
      </c>
      <c r="F85" s="15">
        <f t="shared" ca="1" si="11"/>
        <v>0</v>
      </c>
      <c r="G85">
        <f ca="1">IF(E85=1,(1+'Dane do harmonogramu'!$C$13*((('Roboczy harmonogram'!B85-DATE(YEAR(B85),1,1)+1)/365)+((DATE(YEAR(B84),12,31)-'Roboczy harmonogram'!B84)/366))),IF(F85=1,(1+'Dane do harmonogramu'!$C$13*((('Roboczy harmonogram'!B85-DATE(YEAR(B85),1,1)+1)/366)+((DATE(YEAR(B84),12,31)-'Roboczy harmonogram'!B84)/365))),0))</f>
        <v>1.0054289093495021</v>
      </c>
      <c r="H85">
        <f t="shared" ca="1" si="12"/>
        <v>0</v>
      </c>
      <c r="I85">
        <f t="shared" ca="1" si="13"/>
        <v>1.0054356164383562</v>
      </c>
      <c r="J85">
        <f t="shared" ca="1" si="14"/>
        <v>1.0054289093495021</v>
      </c>
      <c r="K85">
        <f ca="1">PRODUCT($J$3:J85)</f>
        <v>1.5513366991755804</v>
      </c>
      <c r="L85">
        <f t="shared" ca="1" si="15"/>
        <v>0.64460539129347316</v>
      </c>
      <c r="M85">
        <f ca="1">SUM($L$3:L85)</f>
        <v>67.090512342083613</v>
      </c>
      <c r="O85">
        <f t="shared" ca="1" si="16"/>
        <v>2583.7679624588927</v>
      </c>
      <c r="P85" s="16">
        <f t="shared" ca="1" si="17"/>
        <v>11285.392909880838</v>
      </c>
      <c r="Q85" s="17">
        <f t="shared" ca="1" si="18"/>
        <v>464642.23750742321</v>
      </c>
      <c r="S85">
        <f ca="1">IF(A85&lt;='Dane do harmonogramu'!$C$7,'Roboczy harmonogram'!P85,0)</f>
        <v>11285.392909880838</v>
      </c>
      <c r="T85">
        <f ca="1">IF(A85&lt;='Dane do harmonogramu'!$C$7,'Roboczy harmonogram'!O85,0)</f>
        <v>2583.7679624588927</v>
      </c>
      <c r="U85">
        <f ca="1">IF(A85&lt;='Dane do harmonogramu'!$C$7,$N$2,0)</f>
        <v>13869.160872339731</v>
      </c>
      <c r="V85" s="16">
        <f ca="1">IF(A84&lt;='Dane do harmonogramu'!$C$7,Q84*0.15%,"")</f>
        <v>713.89144562595607</v>
      </c>
    </row>
    <row r="86" spans="1:22" x14ac:dyDescent="0.35">
      <c r="A86">
        <v>84</v>
      </c>
      <c r="B86" s="14">
        <f t="shared" ca="1" si="19"/>
        <v>48627</v>
      </c>
      <c r="C86" s="15">
        <f ca="1">(1+'Dane do harmonogramu'!$C$13*('Roboczy harmonogram'!B86-'Roboczy harmonogram'!B85)/365)</f>
        <v>1.0054356164383562</v>
      </c>
      <c r="D86" s="15">
        <f ca="1">(1+'Dane do harmonogramu'!$C$13*('Roboczy harmonogram'!B86-'Roboczy harmonogram'!B85)/366)</f>
        <v>1.0054207650273224</v>
      </c>
      <c r="E86" s="15">
        <f t="shared" ca="1" si="10"/>
        <v>0</v>
      </c>
      <c r="F86" s="15">
        <f t="shared" ca="1" si="11"/>
        <v>0</v>
      </c>
      <c r="G86">
        <f ca="1">IF(E86=1,(1+'Dane do harmonogramu'!$C$13*((('Roboczy harmonogram'!B86-DATE(YEAR(B86),1,1)+1)/365)+((DATE(YEAR(B85),12,31)-'Roboczy harmonogram'!B85)/366))),IF(F86=1,(1+'Dane do harmonogramu'!$C$13*((('Roboczy harmonogram'!B86-DATE(YEAR(B86),1,1)+1)/366)+((DATE(YEAR(B85),12,31)-'Roboczy harmonogram'!B85)/365))),0))</f>
        <v>0</v>
      </c>
      <c r="H86">
        <f t="shared" ca="1" si="12"/>
        <v>0</v>
      </c>
      <c r="I86">
        <f t="shared" ca="1" si="13"/>
        <v>1.0054356164383562</v>
      </c>
      <c r="J86">
        <f t="shared" ca="1" si="14"/>
        <v>1.0054356164383562</v>
      </c>
      <c r="K86">
        <f ca="1">PRODUCT($J$3:J86)</f>
        <v>1.5597691704390444</v>
      </c>
      <c r="L86">
        <f t="shared" ca="1" si="15"/>
        <v>0.64112050613137817</v>
      </c>
      <c r="M86">
        <f ca="1">SUM($L$3:L86)</f>
        <v>67.731632848214986</v>
      </c>
      <c r="O86">
        <f t="shared" ca="1" si="16"/>
        <v>2525.616984149965</v>
      </c>
      <c r="P86" s="16">
        <f t="shared" ca="1" si="17"/>
        <v>11343.543888189766</v>
      </c>
      <c r="Q86" s="17">
        <f t="shared" ca="1" si="18"/>
        <v>453298.69361923344</v>
      </c>
      <c r="S86">
        <f ca="1">IF(A86&lt;='Dane do harmonogramu'!$C$7,'Roboczy harmonogram'!P86,0)</f>
        <v>11343.543888189766</v>
      </c>
      <c r="T86">
        <f ca="1">IF(A86&lt;='Dane do harmonogramu'!$C$7,'Roboczy harmonogram'!O86,0)</f>
        <v>2525.616984149965</v>
      </c>
      <c r="U86">
        <f ca="1">IF(A86&lt;='Dane do harmonogramu'!$C$7,$N$2,0)</f>
        <v>13869.160872339731</v>
      </c>
      <c r="V86" s="16">
        <f ca="1">IF(A85&lt;='Dane do harmonogramu'!$C$7,Q85*0.15%,"")</f>
        <v>696.96335626113478</v>
      </c>
    </row>
    <row r="87" spans="1:22" x14ac:dyDescent="0.35">
      <c r="A87">
        <v>85</v>
      </c>
      <c r="B87" s="14">
        <f t="shared" ca="1" si="19"/>
        <v>48655</v>
      </c>
      <c r="C87" s="15">
        <f ca="1">(1+'Dane do harmonogramu'!$C$13*('Roboczy harmonogram'!B87-'Roboczy harmonogram'!B86)/365)</f>
        <v>1.004909589041096</v>
      </c>
      <c r="D87" s="15">
        <f ca="1">(1+'Dane do harmonogramu'!$C$13*('Roboczy harmonogram'!B87-'Roboczy harmonogram'!B86)/366)</f>
        <v>1.004896174863388</v>
      </c>
      <c r="E87" s="15">
        <f t="shared" ca="1" si="10"/>
        <v>0</v>
      </c>
      <c r="F87" s="15">
        <f t="shared" ca="1" si="11"/>
        <v>0</v>
      </c>
      <c r="G87">
        <f ca="1">IF(E87=1,(1+'Dane do harmonogramu'!$C$13*((('Roboczy harmonogram'!B87-DATE(YEAR(B87),1,1)+1)/365)+((DATE(YEAR(B86),12,31)-'Roboczy harmonogram'!B86)/366))),IF(F87=1,(1+'Dane do harmonogramu'!$C$13*((('Roboczy harmonogram'!B87-DATE(YEAR(B87),1,1)+1)/366)+((DATE(YEAR(B86),12,31)-'Roboczy harmonogram'!B86)/365))),0))</f>
        <v>0</v>
      </c>
      <c r="H87">
        <f t="shared" ca="1" si="12"/>
        <v>0</v>
      </c>
      <c r="I87">
        <f t="shared" ca="1" si="13"/>
        <v>1.004909589041096</v>
      </c>
      <c r="J87">
        <f t="shared" ca="1" si="14"/>
        <v>1.004909589041096</v>
      </c>
      <c r="K87">
        <f ca="1">PRODUCT($J$3:J87)</f>
        <v>1.5674269960648712</v>
      </c>
      <c r="L87">
        <f t="shared" ca="1" si="15"/>
        <v>0.63798824603031967</v>
      </c>
      <c r="M87">
        <f ca="1">SUM($L$3:L87)</f>
        <v>68.369621094245304</v>
      </c>
      <c r="O87">
        <f t="shared" ca="1" si="16"/>
        <v>2225.5102985361009</v>
      </c>
      <c r="P87" s="16">
        <f t="shared" ca="1" si="17"/>
        <v>11643.65057380363</v>
      </c>
      <c r="Q87" s="17">
        <f t="shared" ca="1" si="18"/>
        <v>441655.0430454298</v>
      </c>
      <c r="S87">
        <f ca="1">IF(A87&lt;='Dane do harmonogramu'!$C$7,'Roboczy harmonogram'!P87,0)</f>
        <v>11643.65057380363</v>
      </c>
      <c r="T87">
        <f ca="1">IF(A87&lt;='Dane do harmonogramu'!$C$7,'Roboczy harmonogram'!O87,0)</f>
        <v>2225.5102985361009</v>
      </c>
      <c r="U87">
        <f ca="1">IF(A87&lt;='Dane do harmonogramu'!$C$7,$N$2,0)</f>
        <v>13869.160872339731</v>
      </c>
      <c r="V87" s="16">
        <f ca="1">IF(A86&lt;='Dane do harmonogramu'!$C$7,Q86*0.15%,"")</f>
        <v>679.94804042885016</v>
      </c>
    </row>
    <row r="88" spans="1:22" x14ac:dyDescent="0.35">
      <c r="A88">
        <v>86</v>
      </c>
      <c r="B88" s="14">
        <f t="shared" ca="1" si="19"/>
        <v>48686</v>
      </c>
      <c r="C88" s="15">
        <f ca="1">(1+'Dane do harmonogramu'!$C$13*('Roboczy harmonogram'!B88-'Roboczy harmonogram'!B87)/365)</f>
        <v>1.0054356164383562</v>
      </c>
      <c r="D88" s="15">
        <f ca="1">(1+'Dane do harmonogramu'!$C$13*('Roboczy harmonogram'!B88-'Roboczy harmonogram'!B87)/366)</f>
        <v>1.0054207650273224</v>
      </c>
      <c r="E88" s="15">
        <f t="shared" ca="1" si="10"/>
        <v>0</v>
      </c>
      <c r="F88" s="15">
        <f t="shared" ca="1" si="11"/>
        <v>0</v>
      </c>
      <c r="G88">
        <f ca="1">IF(E88=1,(1+'Dane do harmonogramu'!$C$13*((('Roboczy harmonogram'!B88-DATE(YEAR(B88),1,1)+1)/365)+((DATE(YEAR(B87),12,31)-'Roboczy harmonogram'!B87)/366))),IF(F88=1,(1+'Dane do harmonogramu'!$C$13*((('Roboczy harmonogram'!B88-DATE(YEAR(B88),1,1)+1)/366)+((DATE(YEAR(B87),12,31)-'Roboczy harmonogram'!B87)/365))),0))</f>
        <v>0</v>
      </c>
      <c r="H88">
        <f t="shared" ca="1" si="12"/>
        <v>0</v>
      </c>
      <c r="I88">
        <f t="shared" ca="1" si="13"/>
        <v>1.0054356164383562</v>
      </c>
      <c r="J88">
        <f t="shared" ca="1" si="14"/>
        <v>1.0054356164383562</v>
      </c>
      <c r="K88">
        <f ca="1">PRODUCT($J$3:J88)</f>
        <v>1.5759469280106047</v>
      </c>
      <c r="L88">
        <f t="shared" ca="1" si="15"/>
        <v>0.63453913467907785</v>
      </c>
      <c r="M88">
        <f ca="1">SUM($L$3:L88)</f>
        <v>69.004160228924377</v>
      </c>
      <c r="O88">
        <f t="shared" ca="1" si="16"/>
        <v>2400.6674120606622</v>
      </c>
      <c r="P88" s="16">
        <f t="shared" ca="1" si="17"/>
        <v>11468.493460279069</v>
      </c>
      <c r="Q88" s="17">
        <f t="shared" ca="1" si="18"/>
        <v>430186.54958515073</v>
      </c>
      <c r="S88">
        <f ca="1">IF(A88&lt;='Dane do harmonogramu'!$C$7,'Roboczy harmonogram'!P88,0)</f>
        <v>11468.493460279069</v>
      </c>
      <c r="T88">
        <f ca="1">IF(A88&lt;='Dane do harmonogramu'!$C$7,'Roboczy harmonogram'!O88,0)</f>
        <v>2400.6674120606622</v>
      </c>
      <c r="U88">
        <f ca="1">IF(A88&lt;='Dane do harmonogramu'!$C$7,$N$2,0)</f>
        <v>13869.160872339731</v>
      </c>
      <c r="V88" s="16">
        <f ca="1">IF(A87&lt;='Dane do harmonogramu'!$C$7,Q87*0.15%,"")</f>
        <v>662.48256456814477</v>
      </c>
    </row>
    <row r="89" spans="1:22" x14ac:dyDescent="0.35">
      <c r="A89">
        <v>87</v>
      </c>
      <c r="B89" s="14">
        <f t="shared" ca="1" si="19"/>
        <v>48716</v>
      </c>
      <c r="C89" s="15">
        <f ca="1">(1+'Dane do harmonogramu'!$C$13*('Roboczy harmonogram'!B89-'Roboczy harmonogram'!B88)/365)</f>
        <v>1.0052602739726026</v>
      </c>
      <c r="D89" s="15">
        <f ca="1">(1+'Dane do harmonogramu'!$C$13*('Roboczy harmonogram'!B89-'Roboczy harmonogram'!B88)/366)</f>
        <v>1.0052459016393442</v>
      </c>
      <c r="E89" s="15">
        <f t="shared" ca="1" si="10"/>
        <v>0</v>
      </c>
      <c r="F89" s="15">
        <f t="shared" ca="1" si="11"/>
        <v>0</v>
      </c>
      <c r="G89">
        <f ca="1">IF(E89=1,(1+'Dane do harmonogramu'!$C$13*((('Roboczy harmonogram'!B89-DATE(YEAR(B89),1,1)+1)/365)+((DATE(YEAR(B88),12,31)-'Roboczy harmonogram'!B88)/366))),IF(F89=1,(1+'Dane do harmonogramu'!$C$13*((('Roboczy harmonogram'!B89-DATE(YEAR(B89),1,1)+1)/366)+((DATE(YEAR(B88),12,31)-'Roboczy harmonogram'!B88)/365))),0))</f>
        <v>0</v>
      </c>
      <c r="H89">
        <f t="shared" ca="1" si="12"/>
        <v>0</v>
      </c>
      <c r="I89">
        <f t="shared" ca="1" si="13"/>
        <v>1.0052602739726026</v>
      </c>
      <c r="J89">
        <f t="shared" ca="1" si="14"/>
        <v>1.0052602739726026</v>
      </c>
      <c r="K89">
        <f ca="1">PRODUCT($J$3:J89)</f>
        <v>1.5842368406182219</v>
      </c>
      <c r="L89">
        <f t="shared" ca="1" si="15"/>
        <v>0.63121875111158676</v>
      </c>
      <c r="M89">
        <f ca="1">SUM($L$3:L89)</f>
        <v>69.635378980035966</v>
      </c>
      <c r="O89">
        <f t="shared" ca="1" si="16"/>
        <v>2262.8991101465072</v>
      </c>
      <c r="P89" s="16">
        <f t="shared" ca="1" si="17"/>
        <v>11606.261762193224</v>
      </c>
      <c r="Q89" s="17">
        <f t="shared" ca="1" si="18"/>
        <v>418580.2878229575</v>
      </c>
      <c r="S89">
        <f ca="1">IF(A89&lt;='Dane do harmonogramu'!$C$7,'Roboczy harmonogram'!P89,0)</f>
        <v>11606.261762193224</v>
      </c>
      <c r="T89">
        <f ca="1">IF(A89&lt;='Dane do harmonogramu'!$C$7,'Roboczy harmonogram'!O89,0)</f>
        <v>2262.8991101465072</v>
      </c>
      <c r="U89">
        <f ca="1">IF(A89&lt;='Dane do harmonogramu'!$C$7,$N$2,0)</f>
        <v>13869.160872339731</v>
      </c>
      <c r="V89" s="16">
        <f ca="1">IF(A88&lt;='Dane do harmonogramu'!$C$7,Q88*0.15%,"")</f>
        <v>645.27982437772607</v>
      </c>
    </row>
    <row r="90" spans="1:22" x14ac:dyDescent="0.35">
      <c r="A90">
        <v>88</v>
      </c>
      <c r="B90" s="14">
        <f t="shared" ca="1" si="19"/>
        <v>48747</v>
      </c>
      <c r="C90" s="15">
        <f ca="1">(1+'Dane do harmonogramu'!$C$13*('Roboczy harmonogram'!B90-'Roboczy harmonogram'!B89)/365)</f>
        <v>1.0054356164383562</v>
      </c>
      <c r="D90" s="15">
        <f ca="1">(1+'Dane do harmonogramu'!$C$13*('Roboczy harmonogram'!B90-'Roboczy harmonogram'!B89)/366)</f>
        <v>1.0054207650273224</v>
      </c>
      <c r="E90" s="15">
        <f t="shared" ca="1" si="10"/>
        <v>0</v>
      </c>
      <c r="F90" s="15">
        <f t="shared" ca="1" si="11"/>
        <v>0</v>
      </c>
      <c r="G90">
        <f ca="1">IF(E90=1,(1+'Dane do harmonogramu'!$C$13*((('Roboczy harmonogram'!B90-DATE(YEAR(B90),1,1)+1)/365)+((DATE(YEAR(B89),12,31)-'Roboczy harmonogram'!B89)/366))),IF(F90=1,(1+'Dane do harmonogramu'!$C$13*((('Roboczy harmonogram'!B90-DATE(YEAR(B90),1,1)+1)/366)+((DATE(YEAR(B89),12,31)-'Roboczy harmonogram'!B89)/365))),0))</f>
        <v>0</v>
      </c>
      <c r="H90">
        <f t="shared" ca="1" si="12"/>
        <v>0</v>
      </c>
      <c r="I90">
        <f t="shared" ca="1" si="13"/>
        <v>1.0054356164383562</v>
      </c>
      <c r="J90">
        <f t="shared" ca="1" si="14"/>
        <v>1.0054356164383562</v>
      </c>
      <c r="K90">
        <f ca="1">PRODUCT($J$3:J90)</f>
        <v>1.5928481444313358</v>
      </c>
      <c r="L90">
        <f t="shared" ca="1" si="15"/>
        <v>0.62780623720851358</v>
      </c>
      <c r="M90">
        <f ca="1">SUM($L$3:L90)</f>
        <v>70.263185217244484</v>
      </c>
      <c r="O90">
        <f t="shared" ca="1" si="16"/>
        <v>2275.2418932623696</v>
      </c>
      <c r="P90" s="16">
        <f t="shared" ca="1" si="17"/>
        <v>11593.918979077362</v>
      </c>
      <c r="Q90" s="17">
        <f t="shared" ca="1" si="18"/>
        <v>406986.36884388013</v>
      </c>
      <c r="S90">
        <f ca="1">IF(A90&lt;='Dane do harmonogramu'!$C$7,'Roboczy harmonogram'!P90,0)</f>
        <v>11593.918979077362</v>
      </c>
      <c r="T90">
        <f ca="1">IF(A90&lt;='Dane do harmonogramu'!$C$7,'Roboczy harmonogram'!O90,0)</f>
        <v>2275.2418932623696</v>
      </c>
      <c r="U90">
        <f ca="1">IF(A90&lt;='Dane do harmonogramu'!$C$7,$N$2,0)</f>
        <v>13869.160872339731</v>
      </c>
      <c r="V90" s="16">
        <f ca="1">IF(A89&lt;='Dane do harmonogramu'!$C$7,Q89*0.15%,"")</f>
        <v>627.87043173443624</v>
      </c>
    </row>
    <row r="91" spans="1:22" x14ac:dyDescent="0.35">
      <c r="A91">
        <v>89</v>
      </c>
      <c r="B91" s="14">
        <f t="shared" ca="1" si="19"/>
        <v>48777</v>
      </c>
      <c r="C91" s="15">
        <f ca="1">(1+'Dane do harmonogramu'!$C$13*('Roboczy harmonogram'!B91-'Roboczy harmonogram'!B90)/365)</f>
        <v>1.0052602739726026</v>
      </c>
      <c r="D91" s="15">
        <f ca="1">(1+'Dane do harmonogramu'!$C$13*('Roboczy harmonogram'!B91-'Roboczy harmonogram'!B90)/366)</f>
        <v>1.0052459016393442</v>
      </c>
      <c r="E91" s="15">
        <f t="shared" ca="1" si="10"/>
        <v>0</v>
      </c>
      <c r="F91" s="15">
        <f t="shared" ca="1" si="11"/>
        <v>0</v>
      </c>
      <c r="G91">
        <f ca="1">IF(E91=1,(1+'Dane do harmonogramu'!$C$13*((('Roboczy harmonogram'!B91-DATE(YEAR(B91),1,1)+1)/365)+((DATE(YEAR(B90),12,31)-'Roboczy harmonogram'!B90)/366))),IF(F91=1,(1+'Dane do harmonogramu'!$C$13*((('Roboczy harmonogram'!B91-DATE(YEAR(B91),1,1)+1)/366)+((DATE(YEAR(B90),12,31)-'Roboczy harmonogram'!B90)/365))),0))</f>
        <v>0</v>
      </c>
      <c r="H91">
        <f t="shared" ca="1" si="12"/>
        <v>0</v>
      </c>
      <c r="I91">
        <f t="shared" ca="1" si="13"/>
        <v>1.0052602739726026</v>
      </c>
      <c r="J91">
        <f t="shared" ca="1" si="14"/>
        <v>1.0052602739726026</v>
      </c>
      <c r="K91">
        <f ca="1">PRODUCT($J$3:J91)</f>
        <v>1.6012269620677964</v>
      </c>
      <c r="L91">
        <f t="shared" ca="1" si="15"/>
        <v>0.62452108519870131</v>
      </c>
      <c r="M91">
        <f ca="1">SUM($L$3:L91)</f>
        <v>70.887706302443192</v>
      </c>
      <c r="O91">
        <f t="shared" ca="1" si="16"/>
        <v>2140.8598032335285</v>
      </c>
      <c r="P91" s="16">
        <f t="shared" ca="1" si="17"/>
        <v>11728.301069106203</v>
      </c>
      <c r="Q91" s="17">
        <f t="shared" ca="1" si="18"/>
        <v>395258.06777477392</v>
      </c>
      <c r="S91">
        <f ca="1">IF(A91&lt;='Dane do harmonogramu'!$C$7,'Roboczy harmonogram'!P91,0)</f>
        <v>11728.301069106203</v>
      </c>
      <c r="T91">
        <f ca="1">IF(A91&lt;='Dane do harmonogramu'!$C$7,'Roboczy harmonogram'!O91,0)</f>
        <v>2140.8598032335285</v>
      </c>
      <c r="U91">
        <f ca="1">IF(A91&lt;='Dane do harmonogramu'!$C$7,$N$2,0)</f>
        <v>13869.160872339731</v>
      </c>
      <c r="V91" s="16">
        <f ca="1">IF(A90&lt;='Dane do harmonogramu'!$C$7,Q90*0.15%,"")</f>
        <v>610.47955326582019</v>
      </c>
    </row>
    <row r="92" spans="1:22" x14ac:dyDescent="0.35">
      <c r="A92">
        <v>90</v>
      </c>
      <c r="B92" s="14">
        <f t="shared" ca="1" si="19"/>
        <v>48808</v>
      </c>
      <c r="C92" s="15">
        <f ca="1">(1+'Dane do harmonogramu'!$C$13*('Roboczy harmonogram'!B92-'Roboczy harmonogram'!B91)/365)</f>
        <v>1.0054356164383562</v>
      </c>
      <c r="D92" s="15">
        <f ca="1">(1+'Dane do harmonogramu'!$C$13*('Roboczy harmonogram'!B92-'Roboczy harmonogram'!B91)/366)</f>
        <v>1.0054207650273224</v>
      </c>
      <c r="E92" s="15">
        <f t="shared" ca="1" si="10"/>
        <v>0</v>
      </c>
      <c r="F92" s="15">
        <f t="shared" ca="1" si="11"/>
        <v>0</v>
      </c>
      <c r="G92">
        <f ca="1">IF(E92=1,(1+'Dane do harmonogramu'!$C$13*((('Roboczy harmonogram'!B92-DATE(YEAR(B92),1,1)+1)/365)+((DATE(YEAR(B91),12,31)-'Roboczy harmonogram'!B91)/366))),IF(F92=1,(1+'Dane do harmonogramu'!$C$13*((('Roboczy harmonogram'!B92-DATE(YEAR(B92),1,1)+1)/366)+((DATE(YEAR(B91),12,31)-'Roboczy harmonogram'!B91)/365))),0))</f>
        <v>0</v>
      </c>
      <c r="H92">
        <f t="shared" ca="1" si="12"/>
        <v>0</v>
      </c>
      <c r="I92">
        <f t="shared" ca="1" si="13"/>
        <v>1.0054356164383562</v>
      </c>
      <c r="J92">
        <f t="shared" ca="1" si="14"/>
        <v>1.0054356164383562</v>
      </c>
      <c r="K92">
        <f ca="1">PRODUCT($J$3:J92)</f>
        <v>1.6099306176643513</v>
      </c>
      <c r="L92">
        <f t="shared" ca="1" si="15"/>
        <v>0.62114478041965315</v>
      </c>
      <c r="M92">
        <f ca="1">SUM($L$3:L92)</f>
        <v>71.508851082862847</v>
      </c>
      <c r="O92">
        <f t="shared" ca="1" si="16"/>
        <v>2148.4712505894713</v>
      </c>
      <c r="P92" s="16">
        <f t="shared" ca="1" si="17"/>
        <v>11720.68962175026</v>
      </c>
      <c r="Q92" s="17">
        <f t="shared" ca="1" si="18"/>
        <v>383537.37815302366</v>
      </c>
      <c r="S92">
        <f ca="1">IF(A92&lt;='Dane do harmonogramu'!$C$7,'Roboczy harmonogram'!P92,0)</f>
        <v>11720.68962175026</v>
      </c>
      <c r="T92">
        <f ca="1">IF(A92&lt;='Dane do harmonogramu'!$C$7,'Roboczy harmonogram'!O92,0)</f>
        <v>2148.4712505894713</v>
      </c>
      <c r="U92">
        <f ca="1">IF(A92&lt;='Dane do harmonogramu'!$C$7,$N$2,0)</f>
        <v>13869.160872339731</v>
      </c>
      <c r="V92" s="16">
        <f ca="1">IF(A91&lt;='Dane do harmonogramu'!$C$7,Q91*0.15%,"")</f>
        <v>592.88710166216094</v>
      </c>
    </row>
    <row r="93" spans="1:22" x14ac:dyDescent="0.35">
      <c r="A93">
        <v>91</v>
      </c>
      <c r="B93" s="14">
        <f t="shared" ca="1" si="19"/>
        <v>48839</v>
      </c>
      <c r="C93" s="15">
        <f ca="1">(1+'Dane do harmonogramu'!$C$13*('Roboczy harmonogram'!B93-'Roboczy harmonogram'!B92)/365)</f>
        <v>1.0054356164383562</v>
      </c>
      <c r="D93" s="15">
        <f ca="1">(1+'Dane do harmonogramu'!$C$13*('Roboczy harmonogram'!B93-'Roboczy harmonogram'!B92)/366)</f>
        <v>1.0054207650273224</v>
      </c>
      <c r="E93" s="15">
        <f t="shared" ca="1" si="10"/>
        <v>0</v>
      </c>
      <c r="F93" s="15">
        <f t="shared" ca="1" si="11"/>
        <v>0</v>
      </c>
      <c r="G93">
        <f ca="1">IF(E93=1,(1+'Dane do harmonogramu'!$C$13*((('Roboczy harmonogram'!B93-DATE(YEAR(B93),1,1)+1)/365)+((DATE(YEAR(B92),12,31)-'Roboczy harmonogram'!B92)/366))),IF(F93=1,(1+'Dane do harmonogramu'!$C$13*((('Roboczy harmonogram'!B93-DATE(YEAR(B93),1,1)+1)/366)+((DATE(YEAR(B92),12,31)-'Roboczy harmonogram'!B92)/365))),0))</f>
        <v>0</v>
      </c>
      <c r="H93">
        <f t="shared" ca="1" si="12"/>
        <v>0</v>
      </c>
      <c r="I93">
        <f t="shared" ca="1" si="13"/>
        <v>1.0054356164383562</v>
      </c>
      <c r="J93">
        <f t="shared" ca="1" si="14"/>
        <v>1.0054356164383562</v>
      </c>
      <c r="K93">
        <f ca="1">PRODUCT($J$3:J93)</f>
        <v>1.6186815829943406</v>
      </c>
      <c r="L93">
        <f t="shared" ca="1" si="15"/>
        <v>0.61778672872161555</v>
      </c>
      <c r="M93">
        <f ca="1">SUM($L$3:L93)</f>
        <v>72.126637811584459</v>
      </c>
      <c r="O93">
        <f t="shared" ca="1" si="16"/>
        <v>2084.7620774126262</v>
      </c>
      <c r="P93" s="16">
        <f t="shared" ca="1" si="17"/>
        <v>11784.398794927105</v>
      </c>
      <c r="Q93" s="17">
        <f t="shared" ca="1" si="18"/>
        <v>371752.97935809655</v>
      </c>
      <c r="S93">
        <f ca="1">IF(A93&lt;='Dane do harmonogramu'!$C$7,'Roboczy harmonogram'!P93,0)</f>
        <v>11784.398794927105</v>
      </c>
      <c r="T93">
        <f ca="1">IF(A93&lt;='Dane do harmonogramu'!$C$7,'Roboczy harmonogram'!O93,0)</f>
        <v>2084.7620774126262</v>
      </c>
      <c r="U93">
        <f ca="1">IF(A93&lt;='Dane do harmonogramu'!$C$7,$N$2,0)</f>
        <v>13869.160872339731</v>
      </c>
      <c r="V93" s="16">
        <f ca="1">IF(A92&lt;='Dane do harmonogramu'!$C$7,Q92*0.15%,"")</f>
        <v>575.30606722953553</v>
      </c>
    </row>
    <row r="94" spans="1:22" x14ac:dyDescent="0.35">
      <c r="A94">
        <v>92</v>
      </c>
      <c r="B94" s="14">
        <f t="shared" ca="1" si="19"/>
        <v>48869</v>
      </c>
      <c r="C94" s="15">
        <f ca="1">(1+'Dane do harmonogramu'!$C$13*('Roboczy harmonogram'!B94-'Roboczy harmonogram'!B93)/365)</f>
        <v>1.0052602739726026</v>
      </c>
      <c r="D94" s="15">
        <f ca="1">(1+'Dane do harmonogramu'!$C$13*('Roboczy harmonogram'!B94-'Roboczy harmonogram'!B93)/366)</f>
        <v>1.0052459016393442</v>
      </c>
      <c r="E94" s="15">
        <f t="shared" ca="1" si="10"/>
        <v>0</v>
      </c>
      <c r="F94" s="15">
        <f t="shared" ca="1" si="11"/>
        <v>0</v>
      </c>
      <c r="G94">
        <f ca="1">IF(E94=1,(1+'Dane do harmonogramu'!$C$13*((('Roboczy harmonogram'!B94-DATE(YEAR(B94),1,1)+1)/365)+((DATE(YEAR(B93),12,31)-'Roboczy harmonogram'!B93)/366))),IF(F94=1,(1+'Dane do harmonogramu'!$C$13*((('Roboczy harmonogram'!B94-DATE(YEAR(B94),1,1)+1)/366)+((DATE(YEAR(B93),12,31)-'Roboczy harmonogram'!B93)/365))),0))</f>
        <v>0</v>
      </c>
      <c r="H94">
        <f t="shared" ca="1" si="12"/>
        <v>0</v>
      </c>
      <c r="I94">
        <f t="shared" ca="1" si="13"/>
        <v>1.0052602739726026</v>
      </c>
      <c r="J94">
        <f t="shared" ca="1" si="14"/>
        <v>1.0052602739726026</v>
      </c>
      <c r="K94">
        <f ca="1">PRODUCT($J$3:J94)</f>
        <v>1.6271962915952971</v>
      </c>
      <c r="L94">
        <f t="shared" ca="1" si="15"/>
        <v>0.61455400627763468</v>
      </c>
      <c r="M94">
        <f ca="1">SUM($L$3:L94)</f>
        <v>72.741191817862088</v>
      </c>
      <c r="O94">
        <f t="shared" ca="1" si="16"/>
        <v>1955.5225215548999</v>
      </c>
      <c r="P94" s="16">
        <f t="shared" ca="1" si="17"/>
        <v>11913.638350784831</v>
      </c>
      <c r="Q94" s="17">
        <f t="shared" ca="1" si="18"/>
        <v>359839.34100731171</v>
      </c>
      <c r="S94">
        <f ca="1">IF(A94&lt;='Dane do harmonogramu'!$C$7,'Roboczy harmonogram'!P94,0)</f>
        <v>11913.638350784831</v>
      </c>
      <c r="T94">
        <f ca="1">IF(A94&lt;='Dane do harmonogramu'!$C$7,'Roboczy harmonogram'!O94,0)</f>
        <v>1955.5225215548999</v>
      </c>
      <c r="U94">
        <f ca="1">IF(A94&lt;='Dane do harmonogramu'!$C$7,$N$2,0)</f>
        <v>13869.160872339731</v>
      </c>
      <c r="V94" s="16">
        <f ca="1">IF(A93&lt;='Dane do harmonogramu'!$C$7,Q93*0.15%,"")</f>
        <v>557.62946903714487</v>
      </c>
    </row>
    <row r="95" spans="1:22" x14ac:dyDescent="0.35">
      <c r="A95">
        <v>93</v>
      </c>
      <c r="B95" s="14">
        <f t="shared" ca="1" si="19"/>
        <v>48900</v>
      </c>
      <c r="C95" s="15">
        <f ca="1">(1+'Dane do harmonogramu'!$C$13*('Roboczy harmonogram'!B95-'Roboczy harmonogram'!B94)/365)</f>
        <v>1.0054356164383562</v>
      </c>
      <c r="D95" s="15">
        <f ca="1">(1+'Dane do harmonogramu'!$C$13*('Roboczy harmonogram'!B95-'Roboczy harmonogram'!B94)/366)</f>
        <v>1.0054207650273224</v>
      </c>
      <c r="E95" s="15">
        <f t="shared" ca="1" si="10"/>
        <v>0</v>
      </c>
      <c r="F95" s="15">
        <f t="shared" ca="1" si="11"/>
        <v>0</v>
      </c>
      <c r="G95">
        <f ca="1">IF(E95=1,(1+'Dane do harmonogramu'!$C$13*((('Roboczy harmonogram'!B95-DATE(YEAR(B95),1,1)+1)/365)+((DATE(YEAR(B94),12,31)-'Roboczy harmonogram'!B94)/366))),IF(F95=1,(1+'Dane do harmonogramu'!$C$13*((('Roboczy harmonogram'!B95-DATE(YEAR(B95),1,1)+1)/366)+((DATE(YEAR(B94),12,31)-'Roboczy harmonogram'!B94)/365))),0))</f>
        <v>0</v>
      </c>
      <c r="H95">
        <f t="shared" ca="1" si="12"/>
        <v>0</v>
      </c>
      <c r="I95">
        <f t="shared" ca="1" si="13"/>
        <v>1.0054356164383562</v>
      </c>
      <c r="J95">
        <f t="shared" ca="1" si="14"/>
        <v>1.0054356164383562</v>
      </c>
      <c r="K95">
        <f ca="1">PRODUCT($J$3:J95)</f>
        <v>1.6360411065063247</v>
      </c>
      <c r="L95">
        <f t="shared" ca="1" si="15"/>
        <v>0.61123158582209747</v>
      </c>
      <c r="M95">
        <f ca="1">SUM($L$3:L95)</f>
        <v>73.352423403684185</v>
      </c>
      <c r="O95">
        <f t="shared" ca="1" si="16"/>
        <v>1955.9486371466191</v>
      </c>
      <c r="P95" s="16">
        <f t="shared" ca="1" si="17"/>
        <v>11913.212235193112</v>
      </c>
      <c r="Q95" s="17">
        <f t="shared" ca="1" si="18"/>
        <v>347926.12877211859</v>
      </c>
      <c r="S95">
        <f ca="1">IF(A95&lt;='Dane do harmonogramu'!$C$7,'Roboczy harmonogram'!P95,0)</f>
        <v>11913.212235193112</v>
      </c>
      <c r="T95">
        <f ca="1">IF(A95&lt;='Dane do harmonogramu'!$C$7,'Roboczy harmonogram'!O95,0)</f>
        <v>1955.9486371466191</v>
      </c>
      <c r="U95">
        <f ca="1">IF(A95&lt;='Dane do harmonogramu'!$C$7,$N$2,0)</f>
        <v>13869.160872339731</v>
      </c>
      <c r="V95" s="16">
        <f ca="1">IF(A94&lt;='Dane do harmonogramu'!$C$7,Q94*0.15%,"")</f>
        <v>539.75901151096753</v>
      </c>
    </row>
    <row r="96" spans="1:22" x14ac:dyDescent="0.35">
      <c r="A96">
        <v>94</v>
      </c>
      <c r="B96" s="14">
        <f t="shared" ca="1" si="19"/>
        <v>48930</v>
      </c>
      <c r="C96" s="15">
        <f ca="1">(1+'Dane do harmonogramu'!$C$13*('Roboczy harmonogram'!B96-'Roboczy harmonogram'!B95)/365)</f>
        <v>1.0052602739726026</v>
      </c>
      <c r="D96" s="15">
        <f ca="1">(1+'Dane do harmonogramu'!$C$13*('Roboczy harmonogram'!B96-'Roboczy harmonogram'!B95)/366)</f>
        <v>1.0052459016393442</v>
      </c>
      <c r="E96" s="15">
        <f t="shared" ca="1" si="10"/>
        <v>0</v>
      </c>
      <c r="F96" s="15">
        <f t="shared" ca="1" si="11"/>
        <v>0</v>
      </c>
      <c r="G96">
        <f ca="1">IF(E96=1,(1+'Dane do harmonogramu'!$C$13*((('Roboczy harmonogram'!B96-DATE(YEAR(B96),1,1)+1)/365)+((DATE(YEAR(B95),12,31)-'Roboczy harmonogram'!B95)/366))),IF(F96=1,(1+'Dane do harmonogramu'!$C$13*((('Roboczy harmonogram'!B96-DATE(YEAR(B96),1,1)+1)/366)+((DATE(YEAR(B95),12,31)-'Roboczy harmonogram'!B95)/365))),0))</f>
        <v>0</v>
      </c>
      <c r="H96">
        <f t="shared" ca="1" si="12"/>
        <v>0</v>
      </c>
      <c r="I96">
        <f t="shared" ca="1" si="13"/>
        <v>1.0052602739726026</v>
      </c>
      <c r="J96">
        <f t="shared" ca="1" si="14"/>
        <v>1.0052602739726026</v>
      </c>
      <c r="K96">
        <f ca="1">PRODUCT($J$3:J96)</f>
        <v>1.6446471309569879</v>
      </c>
      <c r="L96">
        <f t="shared" ca="1" si="15"/>
        <v>0.60803316479086889</v>
      </c>
      <c r="M96">
        <f ca="1">SUM($L$3:L96)</f>
        <v>73.960456568475053</v>
      </c>
      <c r="O96">
        <f t="shared" ca="1" si="16"/>
        <v>1830.1867595683434</v>
      </c>
      <c r="P96" s="16">
        <f t="shared" ca="1" si="17"/>
        <v>12038.974112771388</v>
      </c>
      <c r="Q96" s="17">
        <f t="shared" ca="1" si="18"/>
        <v>335887.1546593472</v>
      </c>
      <c r="S96">
        <f ca="1">IF(A96&lt;='Dane do harmonogramu'!$C$7,'Roboczy harmonogram'!P96,0)</f>
        <v>12038.974112771388</v>
      </c>
      <c r="T96">
        <f ca="1">IF(A96&lt;='Dane do harmonogramu'!$C$7,'Roboczy harmonogram'!O96,0)</f>
        <v>1830.1867595683434</v>
      </c>
      <c r="U96">
        <f ca="1">IF(A96&lt;='Dane do harmonogramu'!$C$7,$N$2,0)</f>
        <v>13869.160872339731</v>
      </c>
      <c r="V96" s="16">
        <f ca="1">IF(A95&lt;='Dane do harmonogramu'!$C$7,Q95*0.15%,"")</f>
        <v>521.88919315817793</v>
      </c>
    </row>
    <row r="97" spans="1:22" x14ac:dyDescent="0.35">
      <c r="A97">
        <v>95</v>
      </c>
      <c r="B97" s="14">
        <f t="shared" ca="1" si="19"/>
        <v>48961</v>
      </c>
      <c r="C97" s="15">
        <f ca="1">(1+'Dane do harmonogramu'!$C$13*('Roboczy harmonogram'!B97-'Roboczy harmonogram'!B96)/365)</f>
        <v>1.0054356164383562</v>
      </c>
      <c r="D97" s="15">
        <f ca="1">(1+'Dane do harmonogramu'!$C$13*('Roboczy harmonogram'!B97-'Roboczy harmonogram'!B96)/366)</f>
        <v>1.0054207650273224</v>
      </c>
      <c r="E97" s="15">
        <f t="shared" ca="1" si="10"/>
        <v>0</v>
      </c>
      <c r="F97" s="15">
        <f t="shared" ca="1" si="11"/>
        <v>0</v>
      </c>
      <c r="G97">
        <f ca="1">IF(E97=1,(1+'Dane do harmonogramu'!$C$13*((('Roboczy harmonogram'!B97-DATE(YEAR(B97),1,1)+1)/365)+((DATE(YEAR(B96),12,31)-'Roboczy harmonogram'!B96)/366))),IF(F97=1,(1+'Dane do harmonogramu'!$C$13*((('Roboczy harmonogram'!B97-DATE(YEAR(B97),1,1)+1)/366)+((DATE(YEAR(B96),12,31)-'Roboczy harmonogram'!B96)/365))),0))</f>
        <v>0</v>
      </c>
      <c r="H97">
        <f t="shared" ca="1" si="12"/>
        <v>0</v>
      </c>
      <c r="I97">
        <f t="shared" ca="1" si="13"/>
        <v>1.0054356164383562</v>
      </c>
      <c r="J97">
        <f t="shared" ca="1" si="14"/>
        <v>1.0054356164383562</v>
      </c>
      <c r="K97">
        <f ca="1">PRODUCT($J$3:J97)</f>
        <v>1.653586801937313</v>
      </c>
      <c r="L97">
        <f t="shared" ca="1" si="15"/>
        <v>0.60474599750579627</v>
      </c>
      <c r="M97">
        <f ca="1">SUM($L$3:L97)</f>
        <v>74.565202565980854</v>
      </c>
      <c r="O97">
        <f t="shared" ca="1" si="16"/>
        <v>1825.7537392990198</v>
      </c>
      <c r="P97" s="16">
        <f t="shared" ca="1" si="17"/>
        <v>12043.407133040711</v>
      </c>
      <c r="Q97" s="17">
        <f t="shared" ca="1" si="18"/>
        <v>323843.74752630648</v>
      </c>
      <c r="S97">
        <f ca="1">IF(A97&lt;='Dane do harmonogramu'!$C$7,'Roboczy harmonogram'!P97,0)</f>
        <v>12043.407133040711</v>
      </c>
      <c r="T97">
        <f ca="1">IF(A97&lt;='Dane do harmonogramu'!$C$7,'Roboczy harmonogram'!O97,0)</f>
        <v>1825.7537392990198</v>
      </c>
      <c r="U97">
        <f ca="1">IF(A97&lt;='Dane do harmonogramu'!$C$7,$N$2,0)</f>
        <v>13869.160872339731</v>
      </c>
      <c r="V97" s="16">
        <f ca="1">IF(A96&lt;='Dane do harmonogramu'!$C$7,Q96*0.15%,"")</f>
        <v>503.83073198902082</v>
      </c>
    </row>
    <row r="98" spans="1:22" x14ac:dyDescent="0.35">
      <c r="A98">
        <v>96</v>
      </c>
      <c r="B98" s="14">
        <f t="shared" ca="1" si="19"/>
        <v>48992</v>
      </c>
      <c r="C98" s="15">
        <f ca="1">(1+'Dane do harmonogramu'!$C$13*('Roboczy harmonogram'!B98-'Roboczy harmonogram'!B97)/365)</f>
        <v>1.0054356164383562</v>
      </c>
      <c r="D98" s="15">
        <f ca="1">(1+'Dane do harmonogramu'!$C$13*('Roboczy harmonogram'!B98-'Roboczy harmonogram'!B97)/366)</f>
        <v>1.0054207650273224</v>
      </c>
      <c r="E98" s="15">
        <f t="shared" ca="1" si="10"/>
        <v>0</v>
      </c>
      <c r="F98" s="15">
        <f t="shared" ca="1" si="11"/>
        <v>0</v>
      </c>
      <c r="G98">
        <f ca="1">IF(E98=1,(1+'Dane do harmonogramu'!$C$13*((('Roboczy harmonogram'!B98-DATE(YEAR(B98),1,1)+1)/365)+((DATE(YEAR(B97),12,31)-'Roboczy harmonogram'!B97)/366))),IF(F98=1,(1+'Dane do harmonogramu'!$C$13*((('Roboczy harmonogram'!B98-DATE(YEAR(B98),1,1)+1)/366)+((DATE(YEAR(B97),12,31)-'Roboczy harmonogram'!B97)/365))),0))</f>
        <v>0</v>
      </c>
      <c r="H98">
        <f t="shared" ca="1" si="12"/>
        <v>0</v>
      </c>
      <c r="I98">
        <f t="shared" ca="1" si="13"/>
        <v>1.0054356164383562</v>
      </c>
      <c r="J98">
        <f t="shared" ca="1" si="14"/>
        <v>1.0054356164383562</v>
      </c>
      <c r="K98">
        <f ca="1">PRODUCT($J$3:J98)</f>
        <v>1.6625750655401723</v>
      </c>
      <c r="L98">
        <f t="shared" ca="1" si="15"/>
        <v>0.60147660140391856</v>
      </c>
      <c r="M98">
        <f ca="1">SUM($L$3:L98)</f>
        <v>75.166679167384771</v>
      </c>
      <c r="O98">
        <f t="shared" ca="1" si="16"/>
        <v>1760.2903975128429</v>
      </c>
      <c r="P98" s="16">
        <f t="shared" ca="1" si="17"/>
        <v>12108.870474826888</v>
      </c>
      <c r="Q98" s="17">
        <f t="shared" ca="1" si="18"/>
        <v>311734.87705147959</v>
      </c>
      <c r="S98">
        <f ca="1">IF(A98&lt;='Dane do harmonogramu'!$C$7,'Roboczy harmonogram'!P98,0)</f>
        <v>12108.870474826888</v>
      </c>
      <c r="T98">
        <f ca="1">IF(A98&lt;='Dane do harmonogramu'!$C$7,'Roboczy harmonogram'!O98,0)</f>
        <v>1760.2903975128429</v>
      </c>
      <c r="U98">
        <f ca="1">IF(A98&lt;='Dane do harmonogramu'!$C$7,$N$2,0)</f>
        <v>13869.160872339731</v>
      </c>
      <c r="V98" s="16">
        <f ca="1">IF(A97&lt;='Dane do harmonogramu'!$C$7,Q97*0.15%,"")</f>
        <v>485.76562128945972</v>
      </c>
    </row>
    <row r="99" spans="1:22" x14ac:dyDescent="0.35">
      <c r="A99">
        <v>97</v>
      </c>
      <c r="B99" s="14">
        <f t="shared" ca="1" si="19"/>
        <v>49020</v>
      </c>
      <c r="C99" s="15">
        <f ca="1">(1+'Dane do harmonogramu'!$C$13*('Roboczy harmonogram'!B99-'Roboczy harmonogram'!B98)/365)</f>
        <v>1.004909589041096</v>
      </c>
      <c r="D99" s="15">
        <f ca="1">(1+'Dane do harmonogramu'!$C$13*('Roboczy harmonogram'!B99-'Roboczy harmonogram'!B98)/366)</f>
        <v>1.004896174863388</v>
      </c>
      <c r="E99" s="15">
        <f t="shared" ca="1" si="10"/>
        <v>0</v>
      </c>
      <c r="F99" s="15">
        <f t="shared" ca="1" si="11"/>
        <v>0</v>
      </c>
      <c r="G99">
        <f ca="1">IF(E99=1,(1+'Dane do harmonogramu'!$C$13*((('Roboczy harmonogram'!B99-DATE(YEAR(B99),1,1)+1)/365)+((DATE(YEAR(B98),12,31)-'Roboczy harmonogram'!B98)/366))),IF(F99=1,(1+'Dane do harmonogramu'!$C$13*((('Roboczy harmonogram'!B99-DATE(YEAR(B99),1,1)+1)/366)+((DATE(YEAR(B98),12,31)-'Roboczy harmonogram'!B98)/365))),0))</f>
        <v>0</v>
      </c>
      <c r="H99">
        <f t="shared" ca="1" si="12"/>
        <v>0</v>
      </c>
      <c r="I99">
        <f t="shared" ca="1" si="13"/>
        <v>1.004909589041096</v>
      </c>
      <c r="J99">
        <f t="shared" ca="1" si="14"/>
        <v>1.004909589041096</v>
      </c>
      <c r="K99">
        <f ca="1">PRODUCT($J$3:J99)</f>
        <v>1.6707376258619477</v>
      </c>
      <c r="L99">
        <f t="shared" ca="1" si="15"/>
        <v>0.59853802567239811</v>
      </c>
      <c r="M99">
        <f ca="1">SUM($L$3:L99)</f>
        <v>75.765217193057168</v>
      </c>
      <c r="O99">
        <f t="shared" ca="1" si="16"/>
        <v>1530.490136099339</v>
      </c>
      <c r="P99" s="16">
        <f t="shared" ca="1" si="17"/>
        <v>12338.670736240392</v>
      </c>
      <c r="Q99" s="17">
        <f t="shared" ca="1" si="18"/>
        <v>299396.20631523919</v>
      </c>
      <c r="S99">
        <f ca="1">IF(A99&lt;='Dane do harmonogramu'!$C$7,'Roboczy harmonogram'!P99,0)</f>
        <v>12338.670736240392</v>
      </c>
      <c r="T99">
        <f ca="1">IF(A99&lt;='Dane do harmonogramu'!$C$7,'Roboczy harmonogram'!O99,0)</f>
        <v>1530.490136099339</v>
      </c>
      <c r="U99">
        <f ca="1">IF(A99&lt;='Dane do harmonogramu'!$C$7,$N$2,0)</f>
        <v>13869.160872339731</v>
      </c>
      <c r="V99" s="16">
        <f ca="1">IF(A98&lt;='Dane do harmonogramu'!$C$7,Q98*0.15%,"")</f>
        <v>467.60231557721937</v>
      </c>
    </row>
    <row r="100" spans="1:22" x14ac:dyDescent="0.35">
      <c r="A100">
        <v>98</v>
      </c>
      <c r="B100" s="14">
        <f t="shared" ca="1" si="19"/>
        <v>49051</v>
      </c>
      <c r="C100" s="15">
        <f ca="1">(1+'Dane do harmonogramu'!$C$13*('Roboczy harmonogram'!B100-'Roboczy harmonogram'!B99)/365)</f>
        <v>1.0054356164383562</v>
      </c>
      <c r="D100" s="15">
        <f ca="1">(1+'Dane do harmonogramu'!$C$13*('Roboczy harmonogram'!B100-'Roboczy harmonogram'!B99)/366)</f>
        <v>1.0054207650273224</v>
      </c>
      <c r="E100" s="15">
        <f t="shared" ca="1" si="10"/>
        <v>0</v>
      </c>
      <c r="F100" s="15">
        <f t="shared" ca="1" si="11"/>
        <v>0</v>
      </c>
      <c r="G100">
        <f ca="1">IF(E100=1,(1+'Dane do harmonogramu'!$C$13*((('Roboczy harmonogram'!B100-DATE(YEAR(B100),1,1)+1)/365)+((DATE(YEAR(B99),12,31)-'Roboczy harmonogram'!B99)/366))),IF(F100=1,(1+'Dane do harmonogramu'!$C$13*((('Roboczy harmonogram'!B100-DATE(YEAR(B100),1,1)+1)/366)+((DATE(YEAR(B99),12,31)-'Roboczy harmonogram'!B99)/365))),0))</f>
        <v>0</v>
      </c>
      <c r="H100">
        <f t="shared" ca="1" si="12"/>
        <v>0</v>
      </c>
      <c r="I100">
        <f t="shared" ca="1" si="13"/>
        <v>1.0054356164383562</v>
      </c>
      <c r="J100">
        <f t="shared" ca="1" si="14"/>
        <v>1.0054356164383562</v>
      </c>
      <c r="K100">
        <f ca="1">PRODUCT($J$3:J100)</f>
        <v>1.6798191147652632</v>
      </c>
      <c r="L100">
        <f t="shared" ca="1" si="15"/>
        <v>0.59530219129560225</v>
      </c>
      <c r="M100">
        <f ca="1">SUM($L$3:L100)</f>
        <v>76.36051938435277</v>
      </c>
      <c r="O100">
        <f t="shared" ca="1" si="16"/>
        <v>1627.4029406285845</v>
      </c>
      <c r="P100" s="16">
        <f t="shared" ca="1" si="17"/>
        <v>12241.757931711147</v>
      </c>
      <c r="Q100" s="17">
        <f t="shared" ca="1" si="18"/>
        <v>287154.44838352804</v>
      </c>
      <c r="S100">
        <f ca="1">IF(A100&lt;='Dane do harmonogramu'!$C$7,'Roboczy harmonogram'!P100,0)</f>
        <v>12241.757931711147</v>
      </c>
      <c r="T100">
        <f ca="1">IF(A100&lt;='Dane do harmonogramu'!$C$7,'Roboczy harmonogram'!O100,0)</f>
        <v>1627.4029406285845</v>
      </c>
      <c r="U100">
        <f ca="1">IF(A100&lt;='Dane do harmonogramu'!$C$7,$N$2,0)</f>
        <v>13869.160872339731</v>
      </c>
      <c r="V100" s="16">
        <f ca="1">IF(A99&lt;='Dane do harmonogramu'!$C$7,Q99*0.15%,"")</f>
        <v>449.09430947285881</v>
      </c>
    </row>
    <row r="101" spans="1:22" x14ac:dyDescent="0.35">
      <c r="A101">
        <v>99</v>
      </c>
      <c r="B101" s="14">
        <f t="shared" ca="1" si="19"/>
        <v>49081</v>
      </c>
      <c r="C101" s="15">
        <f ca="1">(1+'Dane do harmonogramu'!$C$13*('Roboczy harmonogram'!B101-'Roboczy harmonogram'!B100)/365)</f>
        <v>1.0052602739726026</v>
      </c>
      <c r="D101" s="15">
        <f ca="1">(1+'Dane do harmonogramu'!$C$13*('Roboczy harmonogram'!B101-'Roboczy harmonogram'!B100)/366)</f>
        <v>1.0052459016393442</v>
      </c>
      <c r="E101" s="15">
        <f t="shared" ca="1" si="10"/>
        <v>0</v>
      </c>
      <c r="F101" s="15">
        <f t="shared" ca="1" si="11"/>
        <v>0</v>
      </c>
      <c r="G101">
        <f ca="1">IF(E101=1,(1+'Dane do harmonogramu'!$C$13*((('Roboczy harmonogram'!B101-DATE(YEAR(B101),1,1)+1)/365)+((DATE(YEAR(B100),12,31)-'Roboczy harmonogram'!B100)/366))),IF(F101=1,(1+'Dane do harmonogramu'!$C$13*((('Roboczy harmonogram'!B101-DATE(YEAR(B101),1,1)+1)/366)+((DATE(YEAR(B100),12,31)-'Roboczy harmonogram'!B100)/365))),0))</f>
        <v>0</v>
      </c>
      <c r="H101">
        <f t="shared" ca="1" si="12"/>
        <v>0</v>
      </c>
      <c r="I101">
        <f t="shared" ca="1" si="13"/>
        <v>1.0052602739726026</v>
      </c>
      <c r="J101">
        <f t="shared" ca="1" si="14"/>
        <v>1.0052602739726026</v>
      </c>
      <c r="K101">
        <f ca="1">PRODUCT($J$3:J101)</f>
        <v>1.6886554235333433</v>
      </c>
      <c r="L101">
        <f t="shared" ca="1" si="15"/>
        <v>0.59218712477623148</v>
      </c>
      <c r="M101">
        <f ca="1">SUM($L$3:L101)</f>
        <v>76.952706509129001</v>
      </c>
      <c r="O101">
        <f t="shared" ca="1" si="16"/>
        <v>1510.5110709489672</v>
      </c>
      <c r="P101" s="16">
        <f t="shared" ca="1" si="17"/>
        <v>12358.649801390764</v>
      </c>
      <c r="Q101" s="17">
        <f t="shared" ca="1" si="18"/>
        <v>274795.79858213727</v>
      </c>
      <c r="S101">
        <f ca="1">IF(A101&lt;='Dane do harmonogramu'!$C$7,'Roboczy harmonogram'!P101,0)</f>
        <v>12358.649801390764</v>
      </c>
      <c r="T101">
        <f ca="1">IF(A101&lt;='Dane do harmonogramu'!$C$7,'Roboczy harmonogram'!O101,0)</f>
        <v>1510.5110709489672</v>
      </c>
      <c r="U101">
        <f ca="1">IF(A101&lt;='Dane do harmonogramu'!$C$7,$N$2,0)</f>
        <v>13869.160872339731</v>
      </c>
      <c r="V101" s="16">
        <f ca="1">IF(A100&lt;='Dane do harmonogramu'!$C$7,Q100*0.15%,"")</f>
        <v>430.73167257529207</v>
      </c>
    </row>
    <row r="102" spans="1:22" x14ac:dyDescent="0.35">
      <c r="A102">
        <v>100</v>
      </c>
      <c r="B102" s="14">
        <f t="shared" ca="1" si="19"/>
        <v>49112</v>
      </c>
      <c r="C102" s="15">
        <f ca="1">(1+'Dane do harmonogramu'!$C$13*('Roboczy harmonogram'!B102-'Roboczy harmonogram'!B101)/365)</f>
        <v>1.0054356164383562</v>
      </c>
      <c r="D102" s="15">
        <f ca="1">(1+'Dane do harmonogramu'!$C$13*('Roboczy harmonogram'!B102-'Roboczy harmonogram'!B101)/366)</f>
        <v>1.0054207650273224</v>
      </c>
      <c r="E102" s="15">
        <f t="shared" ca="1" si="10"/>
        <v>0</v>
      </c>
      <c r="F102" s="15">
        <f t="shared" ca="1" si="11"/>
        <v>0</v>
      </c>
      <c r="G102">
        <f ca="1">IF(E102=1,(1+'Dane do harmonogramu'!$C$13*((('Roboczy harmonogram'!B102-DATE(YEAR(B102),1,1)+1)/365)+((DATE(YEAR(B101),12,31)-'Roboczy harmonogram'!B101)/366))),IF(F102=1,(1+'Dane do harmonogramu'!$C$13*((('Roboczy harmonogram'!B102-DATE(YEAR(B102),1,1)+1)/366)+((DATE(YEAR(B101),12,31)-'Roboczy harmonogram'!B101)/365))),0))</f>
        <v>0</v>
      </c>
      <c r="H102">
        <f t="shared" ca="1" si="12"/>
        <v>0</v>
      </c>
      <c r="I102">
        <f t="shared" ca="1" si="13"/>
        <v>1.0054356164383562</v>
      </c>
      <c r="J102">
        <f t="shared" ca="1" si="14"/>
        <v>1.0054356164383562</v>
      </c>
      <c r="K102">
        <f ca="1">PRODUCT($J$3:J102)</f>
        <v>1.6978343067122206</v>
      </c>
      <c r="L102">
        <f t="shared" ca="1" si="15"/>
        <v>0.5889856248319395</v>
      </c>
      <c r="M102">
        <f ca="1">SUM($L$3:L102)</f>
        <v>77.541692133960936</v>
      </c>
      <c r="O102">
        <f t="shared" ca="1" si="16"/>
        <v>1493.6845599642838</v>
      </c>
      <c r="P102" s="16">
        <f t="shared" ca="1" si="17"/>
        <v>12375.476312375447</v>
      </c>
      <c r="Q102" s="17">
        <f t="shared" ca="1" si="18"/>
        <v>262420.32226976182</v>
      </c>
      <c r="S102">
        <f ca="1">IF(A102&lt;='Dane do harmonogramu'!$C$7,'Roboczy harmonogram'!P102,0)</f>
        <v>12375.476312375447</v>
      </c>
      <c r="T102">
        <f ca="1">IF(A102&lt;='Dane do harmonogramu'!$C$7,'Roboczy harmonogram'!O102,0)</f>
        <v>1493.6845599642838</v>
      </c>
      <c r="U102">
        <f ca="1">IF(A102&lt;='Dane do harmonogramu'!$C$7,$N$2,0)</f>
        <v>13869.160872339731</v>
      </c>
      <c r="V102" s="16">
        <f ca="1">IF(A101&lt;='Dane do harmonogramu'!$C$7,Q101*0.15%,"")</f>
        <v>412.19369787320591</v>
      </c>
    </row>
    <row r="103" spans="1:22" x14ac:dyDescent="0.35">
      <c r="A103">
        <v>101</v>
      </c>
      <c r="B103" s="14">
        <f t="shared" ca="1" si="19"/>
        <v>49142</v>
      </c>
      <c r="C103" s="15">
        <f ca="1">(1+'Dane do harmonogramu'!$C$13*('Roboczy harmonogram'!B103-'Roboczy harmonogram'!B102)/365)</f>
        <v>1.0052602739726026</v>
      </c>
      <c r="D103" s="15">
        <f ca="1">(1+'Dane do harmonogramu'!$C$13*('Roboczy harmonogram'!B103-'Roboczy harmonogram'!B102)/366)</f>
        <v>1.0052459016393442</v>
      </c>
      <c r="E103" s="15">
        <f t="shared" ca="1" si="10"/>
        <v>0</v>
      </c>
      <c r="F103" s="15">
        <f t="shared" ca="1" si="11"/>
        <v>0</v>
      </c>
      <c r="G103">
        <f ca="1">IF(E103=1,(1+'Dane do harmonogramu'!$C$13*((('Roboczy harmonogram'!B103-DATE(YEAR(B103),1,1)+1)/365)+((DATE(YEAR(B102),12,31)-'Roboczy harmonogram'!B102)/366))),IF(F103=1,(1+'Dane do harmonogramu'!$C$13*((('Roboczy harmonogram'!B103-DATE(YEAR(B103),1,1)+1)/366)+((DATE(YEAR(B102),12,31)-'Roboczy harmonogram'!B102)/365))),0))</f>
        <v>0</v>
      </c>
      <c r="H103">
        <f t="shared" ca="1" si="12"/>
        <v>0</v>
      </c>
      <c r="I103">
        <f t="shared" ca="1" si="13"/>
        <v>1.0052602739726026</v>
      </c>
      <c r="J103">
        <f t="shared" ca="1" si="14"/>
        <v>1.0052602739726026</v>
      </c>
      <c r="K103">
        <f ca="1">PRODUCT($J$3:J103)</f>
        <v>1.7067653803256106</v>
      </c>
      <c r="L103">
        <f t="shared" ca="1" si="15"/>
        <v>0.58590361131488589</v>
      </c>
      <c r="M103">
        <f ca="1">SUM($L$3:L103)</f>
        <v>78.127595745275826</v>
      </c>
      <c r="O103">
        <f t="shared" ca="1" si="16"/>
        <v>1380.402791117609</v>
      </c>
      <c r="P103" s="16">
        <f t="shared" ca="1" si="17"/>
        <v>12488.758081222122</v>
      </c>
      <c r="Q103" s="17">
        <f t="shared" ca="1" si="18"/>
        <v>249931.56418853969</v>
      </c>
      <c r="S103">
        <f ca="1">IF(A103&lt;='Dane do harmonogramu'!$C$7,'Roboczy harmonogram'!P103,0)</f>
        <v>12488.758081222122</v>
      </c>
      <c r="T103">
        <f ca="1">IF(A103&lt;='Dane do harmonogramu'!$C$7,'Roboczy harmonogram'!O103,0)</f>
        <v>1380.402791117609</v>
      </c>
      <c r="U103">
        <f ca="1">IF(A103&lt;='Dane do harmonogramu'!$C$7,$N$2,0)</f>
        <v>13869.160872339731</v>
      </c>
      <c r="V103" s="16">
        <f ca="1">IF(A102&lt;='Dane do harmonogramu'!$C$7,Q102*0.15%,"")</f>
        <v>393.63048340464275</v>
      </c>
    </row>
    <row r="104" spans="1:22" x14ac:dyDescent="0.35">
      <c r="A104">
        <v>102</v>
      </c>
      <c r="B104" s="14">
        <f t="shared" ca="1" si="19"/>
        <v>49173</v>
      </c>
      <c r="C104" s="15">
        <f ca="1">(1+'Dane do harmonogramu'!$C$13*('Roboczy harmonogram'!B104-'Roboczy harmonogram'!B103)/365)</f>
        <v>1.0054356164383562</v>
      </c>
      <c r="D104" s="15">
        <f ca="1">(1+'Dane do harmonogramu'!$C$13*('Roboczy harmonogram'!B104-'Roboczy harmonogram'!B103)/366)</f>
        <v>1.0054207650273224</v>
      </c>
      <c r="E104" s="15">
        <f t="shared" ca="1" si="10"/>
        <v>0</v>
      </c>
      <c r="F104" s="15">
        <f t="shared" ca="1" si="11"/>
        <v>0</v>
      </c>
      <c r="G104">
        <f ca="1">IF(E104=1,(1+'Dane do harmonogramu'!$C$13*((('Roboczy harmonogram'!B104-DATE(YEAR(B104),1,1)+1)/365)+((DATE(YEAR(B103),12,31)-'Roboczy harmonogram'!B103)/366))),IF(F104=1,(1+'Dane do harmonogramu'!$C$13*((('Roboczy harmonogram'!B104-DATE(YEAR(B104),1,1)+1)/366)+((DATE(YEAR(B103),12,31)-'Roboczy harmonogram'!B103)/365))),0))</f>
        <v>0</v>
      </c>
      <c r="H104">
        <f t="shared" ca="1" si="12"/>
        <v>0</v>
      </c>
      <c r="I104">
        <f t="shared" ca="1" si="13"/>
        <v>1.0054356164383562</v>
      </c>
      <c r="J104">
        <f t="shared" ca="1" si="14"/>
        <v>1.0054356164383562</v>
      </c>
      <c r="K104">
        <f ca="1">PRODUCT($J$3:J104)</f>
        <v>1.7160427022833258</v>
      </c>
      <c r="L104">
        <f t="shared" ca="1" si="15"/>
        <v>0.58273608149110956</v>
      </c>
      <c r="M104">
        <f ca="1">SUM($L$3:L104)</f>
        <v>78.710331826766932</v>
      </c>
      <c r="O104">
        <f t="shared" ca="1" si="16"/>
        <v>1358.5321187672962</v>
      </c>
      <c r="P104" s="16">
        <f t="shared" ca="1" si="17"/>
        <v>12510.628753572435</v>
      </c>
      <c r="Q104" s="17">
        <f t="shared" ca="1" si="18"/>
        <v>237420.93543496725</v>
      </c>
      <c r="S104">
        <f ca="1">IF(A104&lt;='Dane do harmonogramu'!$C$7,'Roboczy harmonogram'!P104,0)</f>
        <v>12510.628753572435</v>
      </c>
      <c r="T104">
        <f ca="1">IF(A104&lt;='Dane do harmonogramu'!$C$7,'Roboczy harmonogram'!O104,0)</f>
        <v>1358.5321187672962</v>
      </c>
      <c r="U104">
        <f ca="1">IF(A104&lt;='Dane do harmonogramu'!$C$7,$N$2,0)</f>
        <v>13869.160872339731</v>
      </c>
      <c r="V104" s="16">
        <f ca="1">IF(A103&lt;='Dane do harmonogramu'!$C$7,Q103*0.15%,"")</f>
        <v>374.89734628280956</v>
      </c>
    </row>
    <row r="105" spans="1:22" x14ac:dyDescent="0.35">
      <c r="A105">
        <v>103</v>
      </c>
      <c r="B105" s="14">
        <f t="shared" ca="1" si="19"/>
        <v>49204</v>
      </c>
      <c r="C105" s="15">
        <f ca="1">(1+'Dane do harmonogramu'!$C$13*('Roboczy harmonogram'!B105-'Roboczy harmonogram'!B104)/365)</f>
        <v>1.0054356164383562</v>
      </c>
      <c r="D105" s="15">
        <f ca="1">(1+'Dane do harmonogramu'!$C$13*('Roboczy harmonogram'!B105-'Roboczy harmonogram'!B104)/366)</f>
        <v>1.0054207650273224</v>
      </c>
      <c r="E105" s="15">
        <f t="shared" ca="1" si="10"/>
        <v>0</v>
      </c>
      <c r="F105" s="15">
        <f t="shared" ca="1" si="11"/>
        <v>0</v>
      </c>
      <c r="G105">
        <f ca="1">IF(E105=1,(1+'Dane do harmonogramu'!$C$13*((('Roboczy harmonogram'!B105-DATE(YEAR(B105),1,1)+1)/365)+((DATE(YEAR(B104),12,31)-'Roboczy harmonogram'!B104)/366))),IF(F105=1,(1+'Dane do harmonogramu'!$C$13*((('Roboczy harmonogram'!B105-DATE(YEAR(B105),1,1)+1)/366)+((DATE(YEAR(B104),12,31)-'Roboczy harmonogram'!B104)/365))),0))</f>
        <v>0</v>
      </c>
      <c r="H105">
        <f t="shared" ca="1" si="12"/>
        <v>0</v>
      </c>
      <c r="I105">
        <f t="shared" ca="1" si="13"/>
        <v>1.0054356164383562</v>
      </c>
      <c r="J105">
        <f t="shared" ca="1" si="14"/>
        <v>1.0054356164383562</v>
      </c>
      <c r="K105">
        <f ca="1">PRODUCT($J$3:J105)</f>
        <v>1.7253704522047784</v>
      </c>
      <c r="L105">
        <f t="shared" ca="1" si="15"/>
        <v>0.57958567606286637</v>
      </c>
      <c r="M105">
        <f ca="1">SUM($L$3:L105)</f>
        <v>79.289917502829795</v>
      </c>
      <c r="O105">
        <f t="shared" ca="1" si="16"/>
        <v>1290.52913946021</v>
      </c>
      <c r="P105" s="16">
        <f t="shared" ca="1" si="17"/>
        <v>12578.631732879521</v>
      </c>
      <c r="Q105" s="17">
        <f t="shared" ca="1" si="18"/>
        <v>224842.30370208772</v>
      </c>
      <c r="S105">
        <f ca="1">IF(A105&lt;='Dane do harmonogramu'!$C$7,'Roboczy harmonogram'!P105,0)</f>
        <v>12578.631732879521</v>
      </c>
      <c r="T105">
        <f ca="1">IF(A105&lt;='Dane do harmonogramu'!$C$7,'Roboczy harmonogram'!O105,0)</f>
        <v>1290.52913946021</v>
      </c>
      <c r="U105">
        <f ca="1">IF(A105&lt;='Dane do harmonogramu'!$C$7,$N$2,0)</f>
        <v>13869.160872339731</v>
      </c>
      <c r="V105" s="16">
        <f ca="1">IF(A104&lt;='Dane do harmonogramu'!$C$7,Q104*0.15%,"")</f>
        <v>356.1314031524509</v>
      </c>
    </row>
    <row r="106" spans="1:22" x14ac:dyDescent="0.35">
      <c r="A106">
        <v>104</v>
      </c>
      <c r="B106" s="14">
        <f t="shared" ca="1" si="19"/>
        <v>49234</v>
      </c>
      <c r="C106" s="15">
        <f ca="1">(1+'Dane do harmonogramu'!$C$13*('Roboczy harmonogram'!B106-'Roboczy harmonogram'!B105)/365)</f>
        <v>1.0052602739726026</v>
      </c>
      <c r="D106" s="15">
        <f ca="1">(1+'Dane do harmonogramu'!$C$13*('Roboczy harmonogram'!B106-'Roboczy harmonogram'!B105)/366)</f>
        <v>1.0052459016393442</v>
      </c>
      <c r="E106" s="15">
        <f t="shared" ca="1" si="10"/>
        <v>0</v>
      </c>
      <c r="F106" s="15">
        <f t="shared" ca="1" si="11"/>
        <v>0</v>
      </c>
      <c r="G106">
        <f ca="1">IF(E106=1,(1+'Dane do harmonogramu'!$C$13*((('Roboczy harmonogram'!B106-DATE(YEAR(B106),1,1)+1)/365)+((DATE(YEAR(B105),12,31)-'Roboczy harmonogram'!B105)/366))),IF(F106=1,(1+'Dane do harmonogramu'!$C$13*((('Roboczy harmonogram'!B106-DATE(YEAR(B106),1,1)+1)/366)+((DATE(YEAR(B105),12,31)-'Roboczy harmonogram'!B105)/365))),0))</f>
        <v>0</v>
      </c>
      <c r="H106">
        <f t="shared" ca="1" si="12"/>
        <v>0</v>
      </c>
      <c r="I106">
        <f t="shared" ca="1" si="13"/>
        <v>1.0052602739726026</v>
      </c>
      <c r="J106">
        <f t="shared" ca="1" si="14"/>
        <v>1.0052602739726026</v>
      </c>
      <c r="K106">
        <f ca="1">PRODUCT($J$3:J106)</f>
        <v>1.7344463734876088</v>
      </c>
      <c r="L106">
        <f t="shared" ca="1" si="15"/>
        <v>0.57655285011159452</v>
      </c>
      <c r="M106">
        <f ca="1">SUM($L$3:L106)</f>
        <v>79.866470352941391</v>
      </c>
      <c r="O106">
        <f t="shared" ca="1" si="16"/>
        <v>1182.7321181041189</v>
      </c>
      <c r="P106" s="16">
        <f t="shared" ca="1" si="17"/>
        <v>12686.428754235612</v>
      </c>
      <c r="Q106" s="17">
        <f t="shared" ca="1" si="18"/>
        <v>212155.87494785211</v>
      </c>
      <c r="S106">
        <f ca="1">IF(A106&lt;='Dane do harmonogramu'!$C$7,'Roboczy harmonogram'!P106,0)</f>
        <v>12686.428754235612</v>
      </c>
      <c r="T106">
        <f ca="1">IF(A106&lt;='Dane do harmonogramu'!$C$7,'Roboczy harmonogram'!O106,0)</f>
        <v>1182.7321181041189</v>
      </c>
      <c r="U106">
        <f ca="1">IF(A106&lt;='Dane do harmonogramu'!$C$7,$N$2,0)</f>
        <v>13869.160872339731</v>
      </c>
      <c r="V106" s="16">
        <f ca="1">IF(A105&lt;='Dane do harmonogramu'!$C$7,Q105*0.15%,"")</f>
        <v>337.26345555313156</v>
      </c>
    </row>
    <row r="107" spans="1:22" x14ac:dyDescent="0.35">
      <c r="A107">
        <v>105</v>
      </c>
      <c r="B107" s="14">
        <f t="shared" ca="1" si="19"/>
        <v>49265</v>
      </c>
      <c r="C107" s="15">
        <f ca="1">(1+'Dane do harmonogramu'!$C$13*('Roboczy harmonogram'!B107-'Roboczy harmonogram'!B106)/365)</f>
        <v>1.0054356164383562</v>
      </c>
      <c r="D107" s="15">
        <f ca="1">(1+'Dane do harmonogramu'!$C$13*('Roboczy harmonogram'!B107-'Roboczy harmonogram'!B106)/366)</f>
        <v>1.0054207650273224</v>
      </c>
      <c r="E107" s="15">
        <f t="shared" ca="1" si="10"/>
        <v>0</v>
      </c>
      <c r="F107" s="15">
        <f t="shared" ca="1" si="11"/>
        <v>0</v>
      </c>
      <c r="G107">
        <f ca="1">IF(E107=1,(1+'Dane do harmonogramu'!$C$13*((('Roboczy harmonogram'!B107-DATE(YEAR(B107),1,1)+1)/365)+((DATE(YEAR(B106),12,31)-'Roboczy harmonogram'!B106)/366))),IF(F107=1,(1+'Dane do harmonogramu'!$C$13*((('Roboczy harmonogram'!B107-DATE(YEAR(B107),1,1)+1)/366)+((DATE(YEAR(B106),12,31)-'Roboczy harmonogram'!B106)/365))),0))</f>
        <v>0</v>
      </c>
      <c r="H107">
        <f t="shared" ca="1" si="12"/>
        <v>0</v>
      </c>
      <c r="I107">
        <f t="shared" ca="1" si="13"/>
        <v>1.0054356164383562</v>
      </c>
      <c r="J107">
        <f t="shared" ca="1" si="14"/>
        <v>1.0054356164383562</v>
      </c>
      <c r="K107">
        <f ca="1">PRODUCT($J$3:J107)</f>
        <v>1.7438741587067854</v>
      </c>
      <c r="L107">
        <f t="shared" ca="1" si="15"/>
        <v>0.57343587265584328</v>
      </c>
      <c r="M107">
        <f ca="1">SUM($L$3:L107)</f>
        <v>80.439906225597241</v>
      </c>
      <c r="O107">
        <f t="shared" ca="1" si="16"/>
        <v>1153.1979613603908</v>
      </c>
      <c r="P107" s="16">
        <f t="shared" ca="1" si="17"/>
        <v>12715.96291097934</v>
      </c>
      <c r="Q107" s="17">
        <f t="shared" ca="1" si="18"/>
        <v>199439.91203687276</v>
      </c>
      <c r="S107">
        <f ca="1">IF(A107&lt;='Dane do harmonogramu'!$C$7,'Roboczy harmonogram'!P107,0)</f>
        <v>12715.96291097934</v>
      </c>
      <c r="T107">
        <f ca="1">IF(A107&lt;='Dane do harmonogramu'!$C$7,'Roboczy harmonogram'!O107,0)</f>
        <v>1153.1979613603908</v>
      </c>
      <c r="U107">
        <f ca="1">IF(A107&lt;='Dane do harmonogramu'!$C$7,$N$2,0)</f>
        <v>13869.160872339731</v>
      </c>
      <c r="V107" s="16">
        <f ca="1">IF(A106&lt;='Dane do harmonogramu'!$C$7,Q106*0.15%,"")</f>
        <v>318.23381242177817</v>
      </c>
    </row>
    <row r="108" spans="1:22" x14ac:dyDescent="0.35">
      <c r="A108">
        <v>106</v>
      </c>
      <c r="B108" s="14">
        <f t="shared" ca="1" si="19"/>
        <v>49295</v>
      </c>
      <c r="C108" s="15">
        <f ca="1">(1+'Dane do harmonogramu'!$C$13*('Roboczy harmonogram'!B108-'Roboczy harmonogram'!B107)/365)</f>
        <v>1.0052602739726026</v>
      </c>
      <c r="D108" s="15">
        <f ca="1">(1+'Dane do harmonogramu'!$C$13*('Roboczy harmonogram'!B108-'Roboczy harmonogram'!B107)/366)</f>
        <v>1.0052459016393442</v>
      </c>
      <c r="E108" s="15">
        <f t="shared" ca="1" si="10"/>
        <v>0</v>
      </c>
      <c r="F108" s="15">
        <f t="shared" ca="1" si="11"/>
        <v>0</v>
      </c>
      <c r="G108">
        <f ca="1">IF(E108=1,(1+'Dane do harmonogramu'!$C$13*((('Roboczy harmonogram'!B108-DATE(YEAR(B108),1,1)+1)/365)+((DATE(YEAR(B107),12,31)-'Roboczy harmonogram'!B107)/366))),IF(F108=1,(1+'Dane do harmonogramu'!$C$13*((('Roboczy harmonogram'!B108-DATE(YEAR(B108),1,1)+1)/366)+((DATE(YEAR(B107),12,31)-'Roboczy harmonogram'!B107)/365))),0))</f>
        <v>0</v>
      </c>
      <c r="H108">
        <f t="shared" ca="1" si="12"/>
        <v>0</v>
      </c>
      <c r="I108">
        <f t="shared" ca="1" si="13"/>
        <v>1.0052602739726026</v>
      </c>
      <c r="J108">
        <f t="shared" ca="1" si="14"/>
        <v>1.0052602739726026</v>
      </c>
      <c r="K108">
        <f ca="1">PRODUCT($J$3:J108)</f>
        <v>1.753047414555325</v>
      </c>
      <c r="L108">
        <f t="shared" ca="1" si="15"/>
        <v>0.57043522707779026</v>
      </c>
      <c r="M108">
        <f ca="1">SUM($L$3:L108)</f>
        <v>81.010341452675036</v>
      </c>
      <c r="O108">
        <f t="shared" ca="1" si="16"/>
        <v>1049.108578385727</v>
      </c>
      <c r="P108" s="16">
        <f t="shared" ca="1" si="17"/>
        <v>12820.052293954004</v>
      </c>
      <c r="Q108" s="17">
        <f t="shared" ca="1" si="18"/>
        <v>186619.85974291875</v>
      </c>
      <c r="S108">
        <f ca="1">IF(A108&lt;='Dane do harmonogramu'!$C$7,'Roboczy harmonogram'!P108,0)</f>
        <v>12820.052293954004</v>
      </c>
      <c r="T108">
        <f ca="1">IF(A108&lt;='Dane do harmonogramu'!$C$7,'Roboczy harmonogram'!O108,0)</f>
        <v>1049.108578385727</v>
      </c>
      <c r="U108">
        <f ca="1">IF(A108&lt;='Dane do harmonogramu'!$C$7,$N$2,0)</f>
        <v>13869.160872339731</v>
      </c>
      <c r="V108" s="16">
        <f ca="1">IF(A107&lt;='Dane do harmonogramu'!$C$7,Q107*0.15%,"")</f>
        <v>299.15986805530912</v>
      </c>
    </row>
    <row r="109" spans="1:22" x14ac:dyDescent="0.35">
      <c r="A109">
        <v>107</v>
      </c>
      <c r="B109" s="14">
        <f t="shared" ca="1" si="19"/>
        <v>49326</v>
      </c>
      <c r="C109" s="15">
        <f ca="1">(1+'Dane do harmonogramu'!$C$13*('Roboczy harmonogram'!B109-'Roboczy harmonogram'!B108)/365)</f>
        <v>1.0054356164383562</v>
      </c>
      <c r="D109" s="15">
        <f ca="1">(1+'Dane do harmonogramu'!$C$13*('Roboczy harmonogram'!B109-'Roboczy harmonogram'!B108)/366)</f>
        <v>1.0054207650273224</v>
      </c>
      <c r="E109" s="15">
        <f t="shared" ca="1" si="10"/>
        <v>0</v>
      </c>
      <c r="F109" s="15">
        <f t="shared" ca="1" si="11"/>
        <v>0</v>
      </c>
      <c r="G109">
        <f ca="1">IF(E109=1,(1+'Dane do harmonogramu'!$C$13*((('Roboczy harmonogram'!B109-DATE(YEAR(B109),1,1)+1)/365)+((DATE(YEAR(B108),12,31)-'Roboczy harmonogram'!B108)/366))),IF(F109=1,(1+'Dane do harmonogramu'!$C$13*((('Roboczy harmonogram'!B109-DATE(YEAR(B109),1,1)+1)/366)+((DATE(YEAR(B108),12,31)-'Roboczy harmonogram'!B108)/365))),0))</f>
        <v>0</v>
      </c>
      <c r="H109">
        <f t="shared" ca="1" si="12"/>
        <v>0</v>
      </c>
      <c r="I109">
        <f t="shared" ca="1" si="13"/>
        <v>1.0054356164383562</v>
      </c>
      <c r="J109">
        <f t="shared" ca="1" si="14"/>
        <v>1.0054356164383562</v>
      </c>
      <c r="K109">
        <f ca="1">PRODUCT($J$3:J109)</f>
        <v>1.7625763078990997</v>
      </c>
      <c r="L109">
        <f t="shared" ca="1" si="15"/>
        <v>0.56735132290070811</v>
      </c>
      <c r="M109">
        <f ca="1">SUM($L$3:L109)</f>
        <v>81.577692775575741</v>
      </c>
      <c r="O109">
        <f t="shared" ca="1" si="16"/>
        <v>1014.3939773423481</v>
      </c>
      <c r="P109" s="16">
        <f t="shared" ca="1" si="17"/>
        <v>12854.766894997383</v>
      </c>
      <c r="Q109" s="17">
        <f t="shared" ca="1" si="18"/>
        <v>173765.09284792136</v>
      </c>
      <c r="S109">
        <f ca="1">IF(A109&lt;='Dane do harmonogramu'!$C$7,'Roboczy harmonogram'!P109,0)</f>
        <v>12854.766894997383</v>
      </c>
      <c r="T109">
        <f ca="1">IF(A109&lt;='Dane do harmonogramu'!$C$7,'Roboczy harmonogram'!O109,0)</f>
        <v>1014.3939773423481</v>
      </c>
      <c r="U109">
        <f ca="1">IF(A109&lt;='Dane do harmonogramu'!$C$7,$N$2,0)</f>
        <v>13869.160872339731</v>
      </c>
      <c r="V109" s="16">
        <f ca="1">IF(A108&lt;='Dane do harmonogramu'!$C$7,Q108*0.15%,"")</f>
        <v>279.92978961437814</v>
      </c>
    </row>
    <row r="110" spans="1:22" x14ac:dyDescent="0.35">
      <c r="A110">
        <v>108</v>
      </c>
      <c r="B110" s="14">
        <f t="shared" ca="1" si="19"/>
        <v>49357</v>
      </c>
      <c r="C110" s="15">
        <f ca="1">(1+'Dane do harmonogramu'!$C$13*('Roboczy harmonogram'!B110-'Roboczy harmonogram'!B109)/365)</f>
        <v>1.0054356164383562</v>
      </c>
      <c r="D110" s="15">
        <f ca="1">(1+'Dane do harmonogramu'!$C$13*('Roboczy harmonogram'!B110-'Roboczy harmonogram'!B109)/366)</f>
        <v>1.0054207650273224</v>
      </c>
      <c r="E110" s="15">
        <f t="shared" ca="1" si="10"/>
        <v>0</v>
      </c>
      <c r="F110" s="15">
        <f t="shared" ca="1" si="11"/>
        <v>0</v>
      </c>
      <c r="G110">
        <f ca="1">IF(E110=1,(1+'Dane do harmonogramu'!$C$13*((('Roboczy harmonogram'!B110-DATE(YEAR(B110),1,1)+1)/365)+((DATE(YEAR(B109),12,31)-'Roboczy harmonogram'!B109)/366))),IF(F110=1,(1+'Dane do harmonogramu'!$C$13*((('Roboczy harmonogram'!B110-DATE(YEAR(B110),1,1)+1)/366)+((DATE(YEAR(B109),12,31)-'Roboczy harmonogram'!B109)/365))),0))</f>
        <v>0</v>
      </c>
      <c r="H110">
        <f t="shared" ca="1" si="12"/>
        <v>0</v>
      </c>
      <c r="I110">
        <f t="shared" ca="1" si="13"/>
        <v>1.0054356164383562</v>
      </c>
      <c r="J110">
        <f t="shared" ca="1" si="14"/>
        <v>1.0054356164383562</v>
      </c>
      <c r="K110">
        <f ca="1">PRODUCT($J$3:J110)</f>
        <v>1.7721569966521733</v>
      </c>
      <c r="L110">
        <f t="shared" ca="1" si="15"/>
        <v>0.56428409101965871</v>
      </c>
      <c r="M110">
        <f ca="1">SUM($L$3:L110)</f>
        <v>82.1419768665954</v>
      </c>
      <c r="O110">
        <f t="shared" ca="1" si="16"/>
        <v>944.52039509665337</v>
      </c>
      <c r="P110" s="16">
        <f t="shared" ca="1" si="17"/>
        <v>12924.640477243078</v>
      </c>
      <c r="Q110" s="17">
        <f t="shared" ca="1" si="18"/>
        <v>160840.45237067828</v>
      </c>
      <c r="S110">
        <f ca="1">IF(A110&lt;='Dane do harmonogramu'!$C$7,'Roboczy harmonogram'!P110,0)</f>
        <v>12924.640477243078</v>
      </c>
      <c r="T110">
        <f ca="1">IF(A110&lt;='Dane do harmonogramu'!$C$7,'Roboczy harmonogram'!O110,0)</f>
        <v>944.52039509665337</v>
      </c>
      <c r="U110">
        <f ca="1">IF(A110&lt;='Dane do harmonogramu'!$C$7,$N$2,0)</f>
        <v>13869.160872339731</v>
      </c>
      <c r="V110" s="16">
        <f ca="1">IF(A109&lt;='Dane do harmonogramu'!$C$7,Q109*0.15%,"")</f>
        <v>260.64763927188204</v>
      </c>
    </row>
    <row r="111" spans="1:22" x14ac:dyDescent="0.35">
      <c r="A111">
        <v>109</v>
      </c>
      <c r="B111" s="14">
        <f t="shared" ca="1" si="19"/>
        <v>49385</v>
      </c>
      <c r="C111" s="15">
        <f ca="1">(1+'Dane do harmonogramu'!$C$13*('Roboczy harmonogram'!B111-'Roboczy harmonogram'!B110)/365)</f>
        <v>1.004909589041096</v>
      </c>
      <c r="D111" s="15">
        <f ca="1">(1+'Dane do harmonogramu'!$C$13*('Roboczy harmonogram'!B111-'Roboczy harmonogram'!B110)/366)</f>
        <v>1.004896174863388</v>
      </c>
      <c r="E111" s="15">
        <f t="shared" ca="1" si="10"/>
        <v>0</v>
      </c>
      <c r="F111" s="15">
        <f t="shared" ca="1" si="11"/>
        <v>0</v>
      </c>
      <c r="G111">
        <f ca="1">IF(E111=1,(1+'Dane do harmonogramu'!$C$13*((('Roboczy harmonogram'!B111-DATE(YEAR(B111),1,1)+1)/365)+((DATE(YEAR(B110),12,31)-'Roboczy harmonogram'!B110)/366))),IF(F111=1,(1+'Dane do harmonogramu'!$C$13*((('Roboczy harmonogram'!B111-DATE(YEAR(B111),1,1)+1)/366)+((DATE(YEAR(B110),12,31)-'Roboczy harmonogram'!B110)/365))),0))</f>
        <v>0</v>
      </c>
      <c r="H111">
        <f t="shared" ca="1" si="12"/>
        <v>0</v>
      </c>
      <c r="I111">
        <f t="shared" ca="1" si="13"/>
        <v>1.004909589041096</v>
      </c>
      <c r="J111">
        <f t="shared" ca="1" si="14"/>
        <v>1.004909589041096</v>
      </c>
      <c r="K111">
        <f ca="1">PRODUCT($J$3:J111)</f>
        <v>1.7808575592220384</v>
      </c>
      <c r="L111">
        <f t="shared" ca="1" si="15"/>
        <v>0.5615272231187578</v>
      </c>
      <c r="M111">
        <f ca="1">SUM($L$3:L111)</f>
        <v>82.703504089714158</v>
      </c>
      <c r="O111">
        <f t="shared" ca="1" si="16"/>
        <v>789.66052232400398</v>
      </c>
      <c r="P111" s="16">
        <f t="shared" ca="1" si="17"/>
        <v>13079.500350015727</v>
      </c>
      <c r="Q111" s="17">
        <f t="shared" ca="1" si="18"/>
        <v>147760.95202066255</v>
      </c>
      <c r="S111">
        <f ca="1">IF(A111&lt;='Dane do harmonogramu'!$C$7,'Roboczy harmonogram'!P111,0)</f>
        <v>13079.500350015727</v>
      </c>
      <c r="T111">
        <f ca="1">IF(A111&lt;='Dane do harmonogramu'!$C$7,'Roboczy harmonogram'!O111,0)</f>
        <v>789.66052232400398</v>
      </c>
      <c r="U111">
        <f ca="1">IF(A111&lt;='Dane do harmonogramu'!$C$7,$N$2,0)</f>
        <v>13869.160872339731</v>
      </c>
      <c r="V111" s="16">
        <f ca="1">IF(A110&lt;='Dane do harmonogramu'!$C$7,Q110*0.15%,"")</f>
        <v>241.26067855601741</v>
      </c>
    </row>
    <row r="112" spans="1:22" x14ac:dyDescent="0.35">
      <c r="A112">
        <v>110</v>
      </c>
      <c r="B112" s="14">
        <f t="shared" ca="1" si="19"/>
        <v>49416</v>
      </c>
      <c r="C112" s="15">
        <f ca="1">(1+'Dane do harmonogramu'!$C$13*('Roboczy harmonogram'!B112-'Roboczy harmonogram'!B111)/365)</f>
        <v>1.0054356164383562</v>
      </c>
      <c r="D112" s="15">
        <f ca="1">(1+'Dane do harmonogramu'!$C$13*('Roboczy harmonogram'!B112-'Roboczy harmonogram'!B111)/366)</f>
        <v>1.0054207650273224</v>
      </c>
      <c r="E112" s="15">
        <f t="shared" ca="1" si="10"/>
        <v>0</v>
      </c>
      <c r="F112" s="15">
        <f t="shared" ca="1" si="11"/>
        <v>0</v>
      </c>
      <c r="G112">
        <f ca="1">IF(E112=1,(1+'Dane do harmonogramu'!$C$13*((('Roboczy harmonogram'!B112-DATE(YEAR(B112),1,1)+1)/365)+((DATE(YEAR(B111),12,31)-'Roboczy harmonogram'!B111)/366))),IF(F112=1,(1+'Dane do harmonogramu'!$C$13*((('Roboczy harmonogram'!B112-DATE(YEAR(B112),1,1)+1)/366)+((DATE(YEAR(B111),12,31)-'Roboczy harmonogram'!B111)/365))),0))</f>
        <v>0</v>
      </c>
      <c r="H112">
        <f t="shared" ca="1" si="12"/>
        <v>0</v>
      </c>
      <c r="I112">
        <f t="shared" ca="1" si="13"/>
        <v>1.0054356164383562</v>
      </c>
      <c r="J112">
        <f t="shared" ca="1" si="14"/>
        <v>1.0054356164383562</v>
      </c>
      <c r="K112">
        <f ca="1">PRODUCT($J$3:J112)</f>
        <v>1.7905376178453165</v>
      </c>
      <c r="L112">
        <f t="shared" ca="1" si="15"/>
        <v>0.55849147766209595</v>
      </c>
      <c r="M112">
        <f ca="1">SUM($L$3:L112)</f>
        <v>83.26199556737626</v>
      </c>
      <c r="O112">
        <f t="shared" ca="1" si="16"/>
        <v>803.17185975066968</v>
      </c>
      <c r="P112" s="16">
        <f t="shared" ca="1" si="17"/>
        <v>13065.989012589062</v>
      </c>
      <c r="Q112" s="17">
        <f t="shared" ca="1" si="18"/>
        <v>134694.96300807348</v>
      </c>
      <c r="S112">
        <f ca="1">IF(A112&lt;='Dane do harmonogramu'!$C$7,'Roboczy harmonogram'!P112,0)</f>
        <v>13065.989012589062</v>
      </c>
      <c r="T112">
        <f ca="1">IF(A112&lt;='Dane do harmonogramu'!$C$7,'Roboczy harmonogram'!O112,0)</f>
        <v>803.17185975066968</v>
      </c>
      <c r="U112">
        <f ca="1">IF(A112&lt;='Dane do harmonogramu'!$C$7,$N$2,0)</f>
        <v>13869.160872339731</v>
      </c>
      <c r="V112" s="16">
        <f ca="1">IF(A111&lt;='Dane do harmonogramu'!$C$7,Q111*0.15%,"")</f>
        <v>221.64142803099384</v>
      </c>
    </row>
    <row r="113" spans="1:22" x14ac:dyDescent="0.35">
      <c r="A113">
        <v>111</v>
      </c>
      <c r="B113" s="14">
        <f t="shared" ca="1" si="19"/>
        <v>49446</v>
      </c>
      <c r="C113" s="15">
        <f ca="1">(1+'Dane do harmonogramu'!$C$13*('Roboczy harmonogram'!B113-'Roboczy harmonogram'!B112)/365)</f>
        <v>1.0052602739726026</v>
      </c>
      <c r="D113" s="15">
        <f ca="1">(1+'Dane do harmonogramu'!$C$13*('Roboczy harmonogram'!B113-'Roboczy harmonogram'!B112)/366)</f>
        <v>1.0052459016393442</v>
      </c>
      <c r="E113" s="15">
        <f t="shared" ca="1" si="10"/>
        <v>0</v>
      </c>
      <c r="F113" s="15">
        <f t="shared" ca="1" si="11"/>
        <v>0</v>
      </c>
      <c r="G113">
        <f ca="1">IF(E113=1,(1+'Dane do harmonogramu'!$C$13*((('Roboczy harmonogram'!B113-DATE(YEAR(B113),1,1)+1)/365)+((DATE(YEAR(B112),12,31)-'Roboczy harmonogram'!B112)/366))),IF(F113=1,(1+'Dane do harmonogramu'!$C$13*((('Roboczy harmonogram'!B113-DATE(YEAR(B113),1,1)+1)/366)+((DATE(YEAR(B112),12,31)-'Roboczy harmonogram'!B112)/365))),0))</f>
        <v>0</v>
      </c>
      <c r="H113">
        <f t="shared" ca="1" si="12"/>
        <v>0</v>
      </c>
      <c r="I113">
        <f t="shared" ca="1" si="13"/>
        <v>1.0052602739726026</v>
      </c>
      <c r="J113">
        <f t="shared" ca="1" si="14"/>
        <v>1.0052602739726026</v>
      </c>
      <c r="K113">
        <f ca="1">PRODUCT($J$3:J113)</f>
        <v>1.7999563362734341</v>
      </c>
      <c r="L113">
        <f t="shared" ca="1" si="15"/>
        <v>0.55556903234128707</v>
      </c>
      <c r="M113">
        <f ca="1">SUM($L$3:L113)</f>
        <v>83.817564599717542</v>
      </c>
      <c r="O113">
        <f t="shared" ca="1" si="16"/>
        <v>708.53240815203753</v>
      </c>
      <c r="P113" s="16">
        <f t="shared" ca="1" si="17"/>
        <v>13160.628464187694</v>
      </c>
      <c r="Q113" s="17">
        <f t="shared" ca="1" si="18"/>
        <v>121534.33454388578</v>
      </c>
      <c r="S113">
        <f ca="1">IF(A113&lt;='Dane do harmonogramu'!$C$7,'Roboczy harmonogram'!P113,0)</f>
        <v>13160.628464187694</v>
      </c>
      <c r="T113">
        <f ca="1">IF(A113&lt;='Dane do harmonogramu'!$C$7,'Roboczy harmonogram'!O113,0)</f>
        <v>708.53240815203753</v>
      </c>
      <c r="U113">
        <f ca="1">IF(A113&lt;='Dane do harmonogramu'!$C$7,$N$2,0)</f>
        <v>13869.160872339731</v>
      </c>
      <c r="V113" s="16">
        <f ca="1">IF(A112&lt;='Dane do harmonogramu'!$C$7,Q112*0.15%,"")</f>
        <v>202.04244451211022</v>
      </c>
    </row>
    <row r="114" spans="1:22" x14ac:dyDescent="0.35">
      <c r="A114">
        <v>112</v>
      </c>
      <c r="B114" s="14">
        <f t="shared" ca="1" si="19"/>
        <v>49477</v>
      </c>
      <c r="C114" s="15">
        <f ca="1">(1+'Dane do harmonogramu'!$C$13*('Roboczy harmonogram'!B114-'Roboczy harmonogram'!B113)/365)</f>
        <v>1.0054356164383562</v>
      </c>
      <c r="D114" s="15">
        <f ca="1">(1+'Dane do harmonogramu'!$C$13*('Roboczy harmonogram'!B114-'Roboczy harmonogram'!B113)/366)</f>
        <v>1.0054207650273224</v>
      </c>
      <c r="E114" s="15">
        <f t="shared" ca="1" si="10"/>
        <v>0</v>
      </c>
      <c r="F114" s="15">
        <f t="shared" ca="1" si="11"/>
        <v>0</v>
      </c>
      <c r="G114">
        <f ca="1">IF(E114=1,(1+'Dane do harmonogramu'!$C$13*((('Roboczy harmonogram'!B114-DATE(YEAR(B114),1,1)+1)/365)+((DATE(YEAR(B113),12,31)-'Roboczy harmonogram'!B113)/366))),IF(F114=1,(1+'Dane do harmonogramu'!$C$13*((('Roboczy harmonogram'!B114-DATE(YEAR(B114),1,1)+1)/366)+((DATE(YEAR(B113),12,31)-'Roboczy harmonogram'!B113)/365))),0))</f>
        <v>0</v>
      </c>
      <c r="H114">
        <f t="shared" ca="1" si="12"/>
        <v>0</v>
      </c>
      <c r="I114">
        <f t="shared" ca="1" si="13"/>
        <v>1.0054356164383562</v>
      </c>
      <c r="J114">
        <f t="shared" ca="1" si="14"/>
        <v>1.0054356164383562</v>
      </c>
      <c r="K114">
        <f ca="1">PRODUCT($J$3:J114)</f>
        <v>1.8097402085232055</v>
      </c>
      <c r="L114">
        <f t="shared" ca="1" si="15"/>
        <v>0.55256549823580792</v>
      </c>
      <c r="M114">
        <f ca="1">SUM($L$3:L114)</f>
        <v>84.37013009795335</v>
      </c>
      <c r="O114">
        <f t="shared" ca="1" si="16"/>
        <v>660.61402667143557</v>
      </c>
      <c r="P114" s="16">
        <f t="shared" ca="1" si="17"/>
        <v>13208.546845668296</v>
      </c>
      <c r="Q114" s="17">
        <f t="shared" ca="1" si="18"/>
        <v>108325.78769821748</v>
      </c>
      <c r="S114">
        <f ca="1">IF(A114&lt;='Dane do harmonogramu'!$C$7,'Roboczy harmonogram'!P114,0)</f>
        <v>13208.546845668296</v>
      </c>
      <c r="T114">
        <f ca="1">IF(A114&lt;='Dane do harmonogramu'!$C$7,'Roboczy harmonogram'!O114,0)</f>
        <v>660.61402667143557</v>
      </c>
      <c r="U114">
        <f ca="1">IF(A114&lt;='Dane do harmonogramu'!$C$7,$N$2,0)</f>
        <v>13869.160872339731</v>
      </c>
      <c r="V114" s="16">
        <f ca="1">IF(A113&lt;='Dane do harmonogramu'!$C$7,Q113*0.15%,"")</f>
        <v>182.30150181582869</v>
      </c>
    </row>
    <row r="115" spans="1:22" x14ac:dyDescent="0.35">
      <c r="A115">
        <v>113</v>
      </c>
      <c r="B115" s="14">
        <f t="shared" ca="1" si="19"/>
        <v>49507</v>
      </c>
      <c r="C115" s="15">
        <f ca="1">(1+'Dane do harmonogramu'!$C$13*('Roboczy harmonogram'!B115-'Roboczy harmonogram'!B114)/365)</f>
        <v>1.0052602739726026</v>
      </c>
      <c r="D115" s="15">
        <f ca="1">(1+'Dane do harmonogramu'!$C$13*('Roboczy harmonogram'!B115-'Roboczy harmonogram'!B114)/366)</f>
        <v>1.0052459016393442</v>
      </c>
      <c r="E115" s="15">
        <f t="shared" ca="1" si="10"/>
        <v>0</v>
      </c>
      <c r="F115" s="15">
        <f t="shared" ca="1" si="11"/>
        <v>0</v>
      </c>
      <c r="G115">
        <f ca="1">IF(E115=1,(1+'Dane do harmonogramu'!$C$13*((('Roboczy harmonogram'!B115-DATE(YEAR(B115),1,1)+1)/365)+((DATE(YEAR(B114),12,31)-'Roboczy harmonogram'!B114)/366))),IF(F115=1,(1+'Dane do harmonogramu'!$C$13*((('Roboczy harmonogram'!B115-DATE(YEAR(B115),1,1)+1)/366)+((DATE(YEAR(B114),12,31)-'Roboczy harmonogram'!B114)/365))),0))</f>
        <v>0</v>
      </c>
      <c r="H115">
        <f t="shared" ca="1" si="12"/>
        <v>0</v>
      </c>
      <c r="I115">
        <f t="shared" ca="1" si="13"/>
        <v>1.0052602739726026</v>
      </c>
      <c r="J115">
        <f t="shared" ca="1" si="14"/>
        <v>1.0052602739726026</v>
      </c>
      <c r="K115">
        <f ca="1">PRODUCT($J$3:J115)</f>
        <v>1.8192599378392726</v>
      </c>
      <c r="L115">
        <f t="shared" ca="1" si="15"/>
        <v>0.54967406207366709</v>
      </c>
      <c r="M115">
        <f ca="1">SUM($L$3:L115)</f>
        <v>84.919804160027013</v>
      </c>
      <c r="O115">
        <f t="shared" ca="1" si="16"/>
        <v>569.82332159060752</v>
      </c>
      <c r="P115" s="16">
        <f t="shared" ca="1" si="17"/>
        <v>13299.337550749124</v>
      </c>
      <c r="Q115" s="17">
        <f t="shared" ca="1" si="18"/>
        <v>95026.450147468349</v>
      </c>
      <c r="S115">
        <f ca="1">IF(A115&lt;='Dane do harmonogramu'!$C$7,'Roboczy harmonogram'!P115,0)</f>
        <v>13299.337550749124</v>
      </c>
      <c r="T115">
        <f ca="1">IF(A115&lt;='Dane do harmonogramu'!$C$7,'Roboczy harmonogram'!O115,0)</f>
        <v>569.82332159060752</v>
      </c>
      <c r="U115">
        <f ca="1">IF(A115&lt;='Dane do harmonogramu'!$C$7,$N$2,0)</f>
        <v>13869.160872339731</v>
      </c>
      <c r="V115" s="16">
        <f ca="1">IF(A114&lt;='Dane do harmonogramu'!$C$7,Q114*0.15%,"")</f>
        <v>162.48868154732622</v>
      </c>
    </row>
    <row r="116" spans="1:22" x14ac:dyDescent="0.35">
      <c r="A116">
        <v>114</v>
      </c>
      <c r="B116" s="14">
        <f t="shared" ca="1" si="19"/>
        <v>49538</v>
      </c>
      <c r="C116" s="15">
        <f ca="1">(1+'Dane do harmonogramu'!$C$13*('Roboczy harmonogram'!B116-'Roboczy harmonogram'!B115)/365)</f>
        <v>1.0054356164383562</v>
      </c>
      <c r="D116" s="15">
        <f ca="1">(1+'Dane do harmonogramu'!$C$13*('Roboczy harmonogram'!B116-'Roboczy harmonogram'!B115)/366)</f>
        <v>1.0054207650273224</v>
      </c>
      <c r="E116" s="15">
        <f t="shared" ca="1" si="10"/>
        <v>0</v>
      </c>
      <c r="F116" s="15">
        <f t="shared" ca="1" si="11"/>
        <v>0</v>
      </c>
      <c r="G116">
        <f ca="1">IF(E116=1,(1+'Dane do harmonogramu'!$C$13*((('Roboczy harmonogram'!B116-DATE(YEAR(B116),1,1)+1)/365)+((DATE(YEAR(B115),12,31)-'Roboczy harmonogram'!B115)/366))),IF(F116=1,(1+'Dane do harmonogramu'!$C$13*((('Roboczy harmonogram'!B116-DATE(YEAR(B116),1,1)+1)/366)+((DATE(YEAR(B115),12,31)-'Roboczy harmonogram'!B115)/365))),0))</f>
        <v>0</v>
      </c>
      <c r="H116">
        <f t="shared" ca="1" si="12"/>
        <v>0</v>
      </c>
      <c r="I116">
        <f t="shared" ca="1" si="13"/>
        <v>1.0054356164383562</v>
      </c>
      <c r="J116">
        <f t="shared" ca="1" si="14"/>
        <v>1.0054356164383562</v>
      </c>
      <c r="K116">
        <f ca="1">PRODUCT($J$3:J116)</f>
        <v>1.8291487370630346</v>
      </c>
      <c r="L116">
        <f t="shared" ca="1" si="15"/>
        <v>0.54670239753473848</v>
      </c>
      <c r="M116">
        <f ca="1">SUM($L$3:L116)</f>
        <v>85.466506557561758</v>
      </c>
      <c r="O116">
        <f t="shared" ca="1" si="16"/>
        <v>516.5273345002206</v>
      </c>
      <c r="P116" s="16">
        <f t="shared" ca="1" si="17"/>
        <v>13352.633537839511</v>
      </c>
      <c r="Q116" s="17">
        <f t="shared" ca="1" si="18"/>
        <v>81673.816609628833</v>
      </c>
      <c r="S116">
        <f ca="1">IF(A116&lt;='Dane do harmonogramu'!$C$7,'Roboczy harmonogram'!P116,0)</f>
        <v>13352.633537839511</v>
      </c>
      <c r="T116">
        <f ca="1">IF(A116&lt;='Dane do harmonogramu'!$C$7,'Roboczy harmonogram'!O116,0)</f>
        <v>516.5273345002206</v>
      </c>
      <c r="U116">
        <f ca="1">IF(A116&lt;='Dane do harmonogramu'!$C$7,$N$2,0)</f>
        <v>13869.160872339731</v>
      </c>
      <c r="V116" s="16">
        <f ca="1">IF(A115&lt;='Dane do harmonogramu'!$C$7,Q115*0.15%,"")</f>
        <v>142.53967522120251</v>
      </c>
    </row>
    <row r="117" spans="1:22" x14ac:dyDescent="0.35">
      <c r="A117">
        <v>115</v>
      </c>
      <c r="B117" s="14">
        <f t="shared" ca="1" si="19"/>
        <v>49569</v>
      </c>
      <c r="C117" s="15">
        <f ca="1">(1+'Dane do harmonogramu'!$C$13*('Roboczy harmonogram'!B117-'Roboczy harmonogram'!B116)/365)</f>
        <v>1.0054356164383562</v>
      </c>
      <c r="D117" s="15">
        <f ca="1">(1+'Dane do harmonogramu'!$C$13*('Roboczy harmonogram'!B117-'Roboczy harmonogram'!B116)/366)</f>
        <v>1.0054207650273224</v>
      </c>
      <c r="E117" s="15">
        <f t="shared" ca="1" si="10"/>
        <v>0</v>
      </c>
      <c r="F117" s="15">
        <f t="shared" ca="1" si="11"/>
        <v>0</v>
      </c>
      <c r="G117">
        <f ca="1">IF(E117=1,(1+'Dane do harmonogramu'!$C$13*((('Roboczy harmonogram'!B117-DATE(YEAR(B117),1,1)+1)/365)+((DATE(YEAR(B116),12,31)-'Roboczy harmonogram'!B116)/366))),IF(F117=1,(1+'Dane do harmonogramu'!$C$13*((('Roboczy harmonogram'!B117-DATE(YEAR(B117),1,1)+1)/366)+((DATE(YEAR(B116),12,31)-'Roboczy harmonogram'!B116)/365))),0))</f>
        <v>0</v>
      </c>
      <c r="H117">
        <f t="shared" ca="1" si="12"/>
        <v>0</v>
      </c>
      <c r="I117">
        <f t="shared" ca="1" si="13"/>
        <v>1.0054356164383562</v>
      </c>
      <c r="J117">
        <f t="shared" ca="1" si="14"/>
        <v>1.0054356164383562</v>
      </c>
      <c r="K117">
        <f ca="1">PRODUCT($J$3:J117)</f>
        <v>1.839091288006413</v>
      </c>
      <c r="L117">
        <f t="shared" ca="1" si="15"/>
        <v>0.54374679849851637</v>
      </c>
      <c r="M117">
        <f ca="1">SUM($L$3:L117)</f>
        <v>86.010253356060275</v>
      </c>
      <c r="O117">
        <f t="shared" ca="1" si="16"/>
        <v>443.94754014658974</v>
      </c>
      <c r="P117" s="16">
        <f t="shared" ca="1" si="17"/>
        <v>13425.213332193141</v>
      </c>
      <c r="Q117" s="17">
        <f t="shared" ca="1" si="18"/>
        <v>68248.603277435686</v>
      </c>
      <c r="S117">
        <f ca="1">IF(A117&lt;='Dane do harmonogramu'!$C$7,'Roboczy harmonogram'!P117,0)</f>
        <v>13425.213332193141</v>
      </c>
      <c r="T117">
        <f ca="1">IF(A117&lt;='Dane do harmonogramu'!$C$7,'Roboczy harmonogram'!O117,0)</f>
        <v>443.94754014658974</v>
      </c>
      <c r="U117">
        <f ca="1">IF(A117&lt;='Dane do harmonogramu'!$C$7,$N$2,0)</f>
        <v>13869.160872339731</v>
      </c>
      <c r="V117" s="16">
        <f ca="1">IF(A116&lt;='Dane do harmonogramu'!$C$7,Q116*0.15%,"")</f>
        <v>122.51072491444326</v>
      </c>
    </row>
    <row r="118" spans="1:22" x14ac:dyDescent="0.35">
      <c r="A118">
        <v>116</v>
      </c>
      <c r="B118" s="14">
        <f t="shared" ca="1" si="19"/>
        <v>49599</v>
      </c>
      <c r="C118" s="15">
        <f ca="1">(1+'Dane do harmonogramu'!$C$13*('Roboczy harmonogram'!B118-'Roboczy harmonogram'!B117)/365)</f>
        <v>1.0052602739726026</v>
      </c>
      <c r="D118" s="15">
        <f ca="1">(1+'Dane do harmonogramu'!$C$13*('Roboczy harmonogram'!B118-'Roboczy harmonogram'!B117)/366)</f>
        <v>1.0052459016393442</v>
      </c>
      <c r="E118" s="15">
        <f t="shared" ca="1" si="10"/>
        <v>0</v>
      </c>
      <c r="F118" s="15">
        <f t="shared" ca="1" si="11"/>
        <v>0</v>
      </c>
      <c r="G118">
        <f ca="1">IF(E118=1,(1+'Dane do harmonogramu'!$C$13*((('Roboczy harmonogram'!B118-DATE(YEAR(B118),1,1)+1)/365)+((DATE(YEAR(B117),12,31)-'Roboczy harmonogram'!B117)/366))),IF(F118=1,(1+'Dane do harmonogramu'!$C$13*((('Roboczy harmonogram'!B118-DATE(YEAR(B118),1,1)+1)/366)+((DATE(YEAR(B117),12,31)-'Roboczy harmonogram'!B117)/365))),0))</f>
        <v>0</v>
      </c>
      <c r="H118">
        <f t="shared" ca="1" si="12"/>
        <v>0</v>
      </c>
      <c r="I118">
        <f t="shared" ca="1" si="13"/>
        <v>1.0052602739726026</v>
      </c>
      <c r="J118">
        <f t="shared" ca="1" si="14"/>
        <v>1.0052602739726026</v>
      </c>
      <c r="K118">
        <f ca="1">PRODUCT($J$3:J118)</f>
        <v>1.8487654120419534</v>
      </c>
      <c r="L118">
        <f t="shared" ca="1" si="15"/>
        <v>0.54090150837228412</v>
      </c>
      <c r="M118">
        <f ca="1">SUM($L$3:L118)</f>
        <v>86.551154864432561</v>
      </c>
      <c r="O118">
        <f t="shared" ca="1" si="16"/>
        <v>359.00635148677975</v>
      </c>
      <c r="P118" s="16">
        <f t="shared" ca="1" si="17"/>
        <v>13510.154520852951</v>
      </c>
      <c r="Q118" s="17">
        <f t="shared" ca="1" si="18"/>
        <v>54738.448756582737</v>
      </c>
      <c r="S118">
        <f ca="1">IF(A118&lt;='Dane do harmonogramu'!$C$7,'Roboczy harmonogram'!P118,0)</f>
        <v>13510.154520852951</v>
      </c>
      <c r="T118">
        <f ca="1">IF(A118&lt;='Dane do harmonogramu'!$C$7,'Roboczy harmonogram'!O118,0)</f>
        <v>359.00635148677975</v>
      </c>
      <c r="U118">
        <f ca="1">IF(A118&lt;='Dane do harmonogramu'!$C$7,$N$2,0)</f>
        <v>13869.160872339731</v>
      </c>
      <c r="V118" s="16">
        <f ca="1">IF(A117&lt;='Dane do harmonogramu'!$C$7,Q117*0.15%,"")</f>
        <v>102.37290491615353</v>
      </c>
    </row>
    <row r="119" spans="1:22" x14ac:dyDescent="0.35">
      <c r="A119">
        <v>117</v>
      </c>
      <c r="B119" s="14">
        <f t="shared" ca="1" si="19"/>
        <v>49630</v>
      </c>
      <c r="C119" s="15">
        <f ca="1">(1+'Dane do harmonogramu'!$C$13*('Roboczy harmonogram'!B119-'Roboczy harmonogram'!B118)/365)</f>
        <v>1.0054356164383562</v>
      </c>
      <c r="D119" s="15">
        <f ca="1">(1+'Dane do harmonogramu'!$C$13*('Roboczy harmonogram'!B119-'Roboczy harmonogram'!B118)/366)</f>
        <v>1.0054207650273224</v>
      </c>
      <c r="E119" s="15">
        <f t="shared" ca="1" si="10"/>
        <v>0</v>
      </c>
      <c r="F119" s="15">
        <f t="shared" ca="1" si="11"/>
        <v>0</v>
      </c>
      <c r="G119">
        <f ca="1">IF(E119=1,(1+'Dane do harmonogramu'!$C$13*((('Roboczy harmonogram'!B119-DATE(YEAR(B119),1,1)+1)/365)+((DATE(YEAR(B118),12,31)-'Roboczy harmonogram'!B118)/366))),IF(F119=1,(1+'Dane do harmonogramu'!$C$13*((('Roboczy harmonogram'!B119-DATE(YEAR(B119),1,1)+1)/366)+((DATE(YEAR(B118),12,31)-'Roboczy harmonogram'!B118)/365))),0))</f>
        <v>0</v>
      </c>
      <c r="H119">
        <f t="shared" ca="1" si="12"/>
        <v>0</v>
      </c>
      <c r="I119">
        <f t="shared" ca="1" si="13"/>
        <v>1.0054356164383562</v>
      </c>
      <c r="J119">
        <f t="shared" ca="1" si="14"/>
        <v>1.0054356164383562</v>
      </c>
      <c r="K119">
        <f ca="1">PRODUCT($J$3:J119)</f>
        <v>1.858814591706313</v>
      </c>
      <c r="L119">
        <f t="shared" ca="1" si="15"/>
        <v>0.5379772702784964</v>
      </c>
      <c r="M119">
        <f ca="1">SUM($L$3:L119)</f>
        <v>87.089132134711065</v>
      </c>
      <c r="O119">
        <f t="shared" ca="1" si="16"/>
        <v>297.53721187140036</v>
      </c>
      <c r="P119" s="16">
        <f t="shared" ca="1" si="17"/>
        <v>13571.623660468331</v>
      </c>
      <c r="Q119" s="17">
        <f t="shared" ca="1" si="18"/>
        <v>41166.825096114408</v>
      </c>
      <c r="S119">
        <f ca="1">IF(A119&lt;='Dane do harmonogramu'!$C$7,'Roboczy harmonogram'!P119,0)</f>
        <v>13571.623660468331</v>
      </c>
      <c r="T119">
        <f ca="1">IF(A119&lt;='Dane do harmonogramu'!$C$7,'Roboczy harmonogram'!O119,0)</f>
        <v>297.53721187140036</v>
      </c>
      <c r="U119">
        <f ca="1">IF(A119&lt;='Dane do harmonogramu'!$C$7,$N$2,0)</f>
        <v>13869.160872339731</v>
      </c>
      <c r="V119" s="16">
        <f ca="1">IF(A118&lt;='Dane do harmonogramu'!$C$7,Q118*0.15%,"")</f>
        <v>82.107673134874105</v>
      </c>
    </row>
    <row r="120" spans="1:22" x14ac:dyDescent="0.35">
      <c r="A120">
        <v>118</v>
      </c>
      <c r="B120" s="14">
        <f t="shared" ca="1" si="19"/>
        <v>49660</v>
      </c>
      <c r="C120" s="15">
        <f ca="1">(1+'Dane do harmonogramu'!$C$13*('Roboczy harmonogram'!B120-'Roboczy harmonogram'!B119)/365)</f>
        <v>1.0052602739726026</v>
      </c>
      <c r="D120" s="15">
        <f ca="1">(1+'Dane do harmonogramu'!$C$13*('Roboczy harmonogram'!B120-'Roboczy harmonogram'!B119)/366)</f>
        <v>1.0052459016393442</v>
      </c>
      <c r="E120" s="15">
        <f t="shared" ca="1" si="10"/>
        <v>0</v>
      </c>
      <c r="F120" s="15">
        <f t="shared" ca="1" si="11"/>
        <v>0</v>
      </c>
      <c r="G120">
        <f ca="1">IF(E120=1,(1+'Dane do harmonogramu'!$C$13*((('Roboczy harmonogram'!B120-DATE(YEAR(B120),1,1)+1)/365)+((DATE(YEAR(B119),12,31)-'Roboczy harmonogram'!B119)/366))),IF(F120=1,(1+'Dane do harmonogramu'!$C$13*((('Roboczy harmonogram'!B120-DATE(YEAR(B120),1,1)+1)/366)+((DATE(YEAR(B119),12,31)-'Roboczy harmonogram'!B119)/365))),0))</f>
        <v>0</v>
      </c>
      <c r="H120">
        <f t="shared" ca="1" si="12"/>
        <v>0</v>
      </c>
      <c r="I120">
        <f t="shared" ca="1" si="13"/>
        <v>1.0052602739726026</v>
      </c>
      <c r="J120">
        <f t="shared" ca="1" si="14"/>
        <v>1.0052602739726026</v>
      </c>
      <c r="K120">
        <f ca="1">PRODUCT($J$3:J120)</f>
        <v>1.8685924657229598</v>
      </c>
      <c r="L120">
        <f t="shared" ca="1" si="15"/>
        <v>0.53516217064115112</v>
      </c>
      <c r="M120">
        <f ca="1">SUM($L$3:L120)</f>
        <v>87.624294305352223</v>
      </c>
      <c r="O120">
        <f t="shared" ca="1" si="16"/>
        <v>216.54877858777763</v>
      </c>
      <c r="P120" s="16">
        <f t="shared" ca="1" si="17"/>
        <v>13652.612093751954</v>
      </c>
      <c r="Q120" s="17">
        <f t="shared" ca="1" si="18"/>
        <v>27514.213002362456</v>
      </c>
      <c r="S120">
        <f ca="1">IF(A120&lt;='Dane do harmonogramu'!$C$7,'Roboczy harmonogram'!P120,0)</f>
        <v>13652.612093751954</v>
      </c>
      <c r="T120">
        <f ca="1">IF(A120&lt;='Dane do harmonogramu'!$C$7,'Roboczy harmonogram'!O120,0)</f>
        <v>216.54877858777763</v>
      </c>
      <c r="U120">
        <f ca="1">IF(A120&lt;='Dane do harmonogramu'!$C$7,$N$2,0)</f>
        <v>13869.160872339731</v>
      </c>
      <c r="V120" s="16">
        <f ca="1">IF(A119&lt;='Dane do harmonogramu'!$C$7,Q119*0.15%,"")</f>
        <v>61.750237644171612</v>
      </c>
    </row>
    <row r="121" spans="1:22" x14ac:dyDescent="0.35">
      <c r="A121">
        <v>119</v>
      </c>
      <c r="B121" s="14">
        <f t="shared" ca="1" si="19"/>
        <v>49691</v>
      </c>
      <c r="C121" s="15">
        <f ca="1">(1+'Dane do harmonogramu'!$C$13*('Roboczy harmonogram'!B121-'Roboczy harmonogram'!B120)/365)</f>
        <v>1.0054356164383562</v>
      </c>
      <c r="D121" s="15">
        <f ca="1">(1+'Dane do harmonogramu'!$C$13*('Roboczy harmonogram'!B121-'Roboczy harmonogram'!B120)/366)</f>
        <v>1.0054207650273224</v>
      </c>
      <c r="E121" s="15">
        <f t="shared" ca="1" si="10"/>
        <v>0</v>
      </c>
      <c r="F121" s="15">
        <f t="shared" ca="1" si="11"/>
        <v>1</v>
      </c>
      <c r="G121">
        <f ca="1">IF(E121=1,(1+'Dane do harmonogramu'!$C$13*((('Roboczy harmonogram'!B121-DATE(YEAR(B121),1,1)+1)/365)+((DATE(YEAR(B120),12,31)-'Roboczy harmonogram'!B120)/366))),IF(F121=1,(1+'Dane do harmonogramu'!$C$13*((('Roboczy harmonogram'!B121-DATE(YEAR(B121),1,1)+1)/366)+((DATE(YEAR(B120),12,31)-'Roboczy harmonogram'!B120)/365))),0))</f>
        <v>1.0054274721161764</v>
      </c>
      <c r="H121">
        <f t="shared" ca="1" si="12"/>
        <v>1</v>
      </c>
      <c r="I121">
        <f t="shared" ca="1" si="13"/>
        <v>1.0054207650273224</v>
      </c>
      <c r="J121">
        <f t="shared" ca="1" si="14"/>
        <v>1.0054274721161764</v>
      </c>
      <c r="K121">
        <f ca="1">PRODUCT($J$3:J121)</f>
        <v>1.8787341992271684</v>
      </c>
      <c r="L121">
        <f t="shared" ca="1" si="15"/>
        <v>0.53227327229757015</v>
      </c>
      <c r="M121">
        <f ca="1">SUM($L$3:L121)</f>
        <v>88.156567577649795</v>
      </c>
      <c r="O121">
        <f t="shared" ca="1" si="16"/>
        <v>149.33262386886054</v>
      </c>
      <c r="P121" s="16">
        <f t="shared" ca="1" si="17"/>
        <v>13719.828248470871</v>
      </c>
      <c r="Q121" s="17">
        <f t="shared" ca="1" si="18"/>
        <v>13794.384753891585</v>
      </c>
      <c r="S121">
        <f ca="1">IF(A121&lt;='Dane do harmonogramu'!$C$7,'Roboczy harmonogram'!P121,0)</f>
        <v>13719.828248470871</v>
      </c>
      <c r="T121">
        <f ca="1">IF(A121&lt;='Dane do harmonogramu'!$C$7,'Roboczy harmonogram'!O121,0)</f>
        <v>149.33262386886054</v>
      </c>
      <c r="U121">
        <f ca="1">IF(A121&lt;='Dane do harmonogramu'!$C$7,$N$2,0)</f>
        <v>13869.160872339731</v>
      </c>
      <c r="V121" s="16">
        <f ca="1">IF(A120&lt;='Dane do harmonogramu'!$C$7,Q120*0.15%,"")</f>
        <v>41.271319503543687</v>
      </c>
    </row>
    <row r="122" spans="1:22" x14ac:dyDescent="0.35">
      <c r="A122">
        <v>120</v>
      </c>
      <c r="B122" s="14">
        <f t="shared" ca="1" si="19"/>
        <v>49722</v>
      </c>
      <c r="C122" s="15">
        <f ca="1">(1+'Dane do harmonogramu'!$C$13*('Roboczy harmonogram'!B122-'Roboczy harmonogram'!B121)/365)</f>
        <v>1.0054356164383562</v>
      </c>
      <c r="D122" s="15">
        <f ca="1">(1+'Dane do harmonogramu'!$C$13*('Roboczy harmonogram'!B122-'Roboczy harmonogram'!B121)/366)</f>
        <v>1.0054207650273224</v>
      </c>
      <c r="E122" s="15">
        <f t="shared" ca="1" si="10"/>
        <v>0</v>
      </c>
      <c r="F122" s="15">
        <f t="shared" ca="1" si="11"/>
        <v>0</v>
      </c>
      <c r="G122">
        <f ca="1">IF(E122=1,(1+'Dane do harmonogramu'!$C$13*((('Roboczy harmonogram'!B122-DATE(YEAR(B122),1,1)+1)/365)+((DATE(YEAR(B121),12,31)-'Roboczy harmonogram'!B121)/366))),IF(F122=1,(1+'Dane do harmonogramu'!$C$13*((('Roboczy harmonogram'!B122-DATE(YEAR(B122),1,1)+1)/366)+((DATE(YEAR(B121),12,31)-'Roboczy harmonogram'!B121)/365))),0))</f>
        <v>0</v>
      </c>
      <c r="H122">
        <f t="shared" ca="1" si="12"/>
        <v>1</v>
      </c>
      <c r="I122">
        <f t="shared" ca="1" si="13"/>
        <v>1.0054207650273224</v>
      </c>
      <c r="J122">
        <f t="shared" ca="1" si="14"/>
        <v>1.0054207650273224</v>
      </c>
      <c r="K122">
        <f ca="1">PRODUCT($J$3:J122)</f>
        <v>1.8889183758699735</v>
      </c>
      <c r="L122">
        <f t="shared" ca="1" si="15"/>
        <v>0.52940350031770589</v>
      </c>
      <c r="M122">
        <f ca="1">SUM($L$3:L122)</f>
        <v>88.685971077967508</v>
      </c>
      <c r="O122">
        <f t="shared" ca="1" si="16"/>
        <v>74.776118447323825</v>
      </c>
      <c r="P122" s="16">
        <f t="shared" ca="1" si="17"/>
        <v>13794.384753892407</v>
      </c>
      <c r="Q122" s="17">
        <f t="shared" ca="1" si="18"/>
        <v>-8.2218321040272713E-10</v>
      </c>
      <c r="S122">
        <f ca="1">IF(A122&lt;='Dane do harmonogramu'!$C$7,'Roboczy harmonogram'!P122,0)</f>
        <v>13794.384753892407</v>
      </c>
      <c r="T122">
        <f ca="1">IF(A122&lt;='Dane do harmonogramu'!$C$7,'Roboczy harmonogram'!O122,0)</f>
        <v>74.776118447323825</v>
      </c>
      <c r="U122">
        <f ca="1">IF(A122&lt;='Dane do harmonogramu'!$C$7,$N$2,0)</f>
        <v>13869.160872339731</v>
      </c>
      <c r="V122" s="16">
        <f ca="1">IF(A121&lt;='Dane do harmonogramu'!$C$7,Q121*0.15%,"")</f>
        <v>20.691577130837377</v>
      </c>
    </row>
    <row r="123" spans="1:22" x14ac:dyDescent="0.35">
      <c r="A123">
        <v>121</v>
      </c>
      <c r="B123" s="14">
        <f t="shared" ca="1" si="19"/>
        <v>49751</v>
      </c>
      <c r="C123" s="15">
        <f ca="1">(1+'Dane do harmonogramu'!$C$13*('Roboczy harmonogram'!B123-'Roboczy harmonogram'!B122)/365)</f>
        <v>1.0050849315068493</v>
      </c>
      <c r="D123" s="15">
        <f ca="1">(1+'Dane do harmonogramu'!$C$13*('Roboczy harmonogram'!B123-'Roboczy harmonogram'!B122)/366)</f>
        <v>1.0050710382513661</v>
      </c>
      <c r="E123" s="15">
        <f t="shared" ca="1" si="10"/>
        <v>0</v>
      </c>
      <c r="F123" s="15">
        <f t="shared" ca="1" si="11"/>
        <v>0</v>
      </c>
      <c r="G123">
        <f ca="1">IF(E123=1,(1+'Dane do harmonogramu'!$C$13*((('Roboczy harmonogram'!B123-DATE(YEAR(B123),1,1)+1)/365)+((DATE(YEAR(B122),12,31)-'Roboczy harmonogram'!B122)/366))),IF(F123=1,(1+'Dane do harmonogramu'!$C$13*((('Roboczy harmonogram'!B123-DATE(YEAR(B123),1,1)+1)/366)+((DATE(YEAR(B122),12,31)-'Roboczy harmonogram'!B122)/365))),0))</f>
        <v>0</v>
      </c>
      <c r="H123">
        <f t="shared" ca="1" si="12"/>
        <v>1</v>
      </c>
      <c r="I123">
        <f t="shared" ca="1" si="13"/>
        <v>1.0050710382513661</v>
      </c>
      <c r="J123">
        <f t="shared" ca="1" si="14"/>
        <v>1.0050710382513661</v>
      </c>
      <c r="K123">
        <f ca="1">PRODUCT($J$3:J123)</f>
        <v>1.8984971532077184</v>
      </c>
      <c r="L123">
        <f t="shared" ca="1" si="15"/>
        <v>0.52673242006730991</v>
      </c>
      <c r="M123">
        <f ca="1">SUM($L$3:L123)</f>
        <v>89.212703498034813</v>
      </c>
      <c r="O123">
        <f t="shared" ca="1" si="16"/>
        <v>-4.1693225095832267E-12</v>
      </c>
      <c r="P123" s="16">
        <f t="shared" ca="1" si="17"/>
        <v>13869.160872339735</v>
      </c>
      <c r="Q123" s="17">
        <f t="shared" ca="1" si="18"/>
        <v>-13869.160872340557</v>
      </c>
      <c r="S123">
        <f>IF(A123&lt;='Dane do harmonogramu'!$C$7,'Roboczy harmonogram'!P123,0)</f>
        <v>0</v>
      </c>
      <c r="T123">
        <f>IF(A123&lt;='Dane do harmonogramu'!$C$7,'Roboczy harmonogram'!O123,0)</f>
        <v>0</v>
      </c>
      <c r="U123">
        <f>IF(A123&lt;='Dane do harmonogramu'!$C$7,$N$2,0)</f>
        <v>0</v>
      </c>
      <c r="V123" s="16">
        <f ca="1">IF(A122&lt;='Dane do harmonogramu'!$C$7,Q122*0.15%,"")</f>
        <v>-1.2332748156040908E-12</v>
      </c>
    </row>
    <row r="124" spans="1:22" x14ac:dyDescent="0.35">
      <c r="A124">
        <v>122</v>
      </c>
      <c r="B124" s="14">
        <f t="shared" ca="1" si="19"/>
        <v>49782</v>
      </c>
      <c r="C124" s="15">
        <f ca="1">(1+'Dane do harmonogramu'!$C$13*('Roboczy harmonogram'!B124-'Roboczy harmonogram'!B123)/365)</f>
        <v>1.0054356164383562</v>
      </c>
      <c r="D124" s="15">
        <f ca="1">(1+'Dane do harmonogramu'!$C$13*('Roboczy harmonogram'!B124-'Roboczy harmonogram'!B123)/366)</f>
        <v>1.0054207650273224</v>
      </c>
      <c r="E124" s="15">
        <f t="shared" ca="1" si="10"/>
        <v>0</v>
      </c>
      <c r="F124" s="15">
        <f t="shared" ca="1" si="11"/>
        <v>0</v>
      </c>
      <c r="G124">
        <f ca="1">IF(E124=1,(1+'Dane do harmonogramu'!$C$13*((('Roboczy harmonogram'!B124-DATE(YEAR(B124),1,1)+1)/365)+((DATE(YEAR(B123),12,31)-'Roboczy harmonogram'!B123)/366))),IF(F124=1,(1+'Dane do harmonogramu'!$C$13*((('Roboczy harmonogram'!B124-DATE(YEAR(B124),1,1)+1)/366)+((DATE(YEAR(B123),12,31)-'Roboczy harmonogram'!B123)/365))),0))</f>
        <v>0</v>
      </c>
      <c r="H124">
        <f t="shared" ca="1" si="12"/>
        <v>1</v>
      </c>
      <c r="I124">
        <f t="shared" ca="1" si="13"/>
        <v>1.0054207650273224</v>
      </c>
      <c r="J124">
        <f t="shared" ca="1" si="14"/>
        <v>1.0054207650273224</v>
      </c>
      <c r="K124">
        <f ca="1">PRODUCT($J$3:J124)</f>
        <v>1.9087884601802978</v>
      </c>
      <c r="L124">
        <f t="shared" ca="1" si="15"/>
        <v>0.52389252180702273</v>
      </c>
      <c r="M124">
        <f ca="1">SUM($L$3:L124)</f>
        <v>89.736596019841841</v>
      </c>
      <c r="O124">
        <f t="shared" ca="1" si="16"/>
        <v>-75.181462215090505</v>
      </c>
      <c r="P124" s="16">
        <f t="shared" ca="1" si="17"/>
        <v>13944.342334554822</v>
      </c>
      <c r="Q124" s="17">
        <f t="shared" ca="1" si="18"/>
        <v>-27813.503206895381</v>
      </c>
      <c r="S124">
        <f>IF(A124&lt;='Dane do harmonogramu'!$C$7,'Roboczy harmonogram'!P124,0)</f>
        <v>0</v>
      </c>
      <c r="T124">
        <f>IF(A124&lt;='Dane do harmonogramu'!$C$7,'Roboczy harmonogram'!O124,0)</f>
        <v>0</v>
      </c>
      <c r="U124">
        <f>IF(A124&lt;='Dane do harmonogramu'!$C$7,$N$2,0)</f>
        <v>0</v>
      </c>
      <c r="V124" s="16" t="str">
        <f>IF(A123&lt;='Dane do harmonogramu'!$C$7,Q123*0.15%,"")</f>
        <v/>
      </c>
    </row>
    <row r="125" spans="1:22" x14ac:dyDescent="0.35">
      <c r="A125">
        <v>123</v>
      </c>
      <c r="B125" s="14">
        <f t="shared" ca="1" si="19"/>
        <v>49812</v>
      </c>
      <c r="C125" s="15">
        <f ca="1">(1+'Dane do harmonogramu'!$C$13*('Roboczy harmonogram'!B125-'Roboczy harmonogram'!B124)/365)</f>
        <v>1.0052602739726026</v>
      </c>
      <c r="D125" s="15">
        <f ca="1">(1+'Dane do harmonogramu'!$C$13*('Roboczy harmonogram'!B125-'Roboczy harmonogram'!B124)/366)</f>
        <v>1.0052459016393442</v>
      </c>
      <c r="E125" s="15">
        <f t="shared" ca="1" si="10"/>
        <v>0</v>
      </c>
      <c r="F125" s="15">
        <f t="shared" ca="1" si="11"/>
        <v>0</v>
      </c>
      <c r="G125">
        <f ca="1">IF(E125=1,(1+'Dane do harmonogramu'!$C$13*((('Roboczy harmonogram'!B125-DATE(YEAR(B125),1,1)+1)/365)+((DATE(YEAR(B124),12,31)-'Roboczy harmonogram'!B124)/366))),IF(F125=1,(1+'Dane do harmonogramu'!$C$13*((('Roboczy harmonogram'!B125-DATE(YEAR(B125),1,1)+1)/366)+((DATE(YEAR(B124),12,31)-'Roboczy harmonogram'!B124)/365))),0))</f>
        <v>0</v>
      </c>
      <c r="H125">
        <f t="shared" ca="1" si="12"/>
        <v>1</v>
      </c>
      <c r="I125">
        <f t="shared" ca="1" si="13"/>
        <v>1.0052459016393442</v>
      </c>
      <c r="J125">
        <f t="shared" ca="1" si="14"/>
        <v>1.0052459016393442</v>
      </c>
      <c r="K125">
        <f ca="1">PRODUCT($J$3:J125)</f>
        <v>1.918801776692719</v>
      </c>
      <c r="L125">
        <f t="shared" ca="1" si="15"/>
        <v>0.52115857518311137</v>
      </c>
      <c r="M125">
        <f ca="1">SUM($L$3:L125)</f>
        <v>90.257754595024949</v>
      </c>
      <c r="O125">
        <f t="shared" ca="1" si="16"/>
        <v>-145.90690206896033</v>
      </c>
      <c r="P125" s="16">
        <f t="shared" ca="1" si="17"/>
        <v>14015.067774408692</v>
      </c>
      <c r="Q125" s="17">
        <f t="shared" ca="1" si="18"/>
        <v>-41828.570981304074</v>
      </c>
      <c r="S125">
        <f>IF(A125&lt;='Dane do harmonogramu'!$C$7,'Roboczy harmonogram'!P125,0)</f>
        <v>0</v>
      </c>
      <c r="T125">
        <f>IF(A125&lt;='Dane do harmonogramu'!$C$7,'Roboczy harmonogram'!O125,0)</f>
        <v>0</v>
      </c>
      <c r="U125">
        <f>IF(A125&lt;='Dane do harmonogramu'!$C$7,$N$2,0)</f>
        <v>0</v>
      </c>
      <c r="V125" s="16" t="str">
        <f>IF(A124&lt;='Dane do harmonogramu'!$C$7,Q124*0.15%,"")</f>
        <v/>
      </c>
    </row>
    <row r="126" spans="1:22" x14ac:dyDescent="0.35">
      <c r="A126">
        <v>124</v>
      </c>
      <c r="B126" s="14">
        <f t="shared" ca="1" si="19"/>
        <v>49843</v>
      </c>
      <c r="C126" s="15">
        <f ca="1">(1+'Dane do harmonogramu'!$C$13*('Roboczy harmonogram'!B126-'Roboczy harmonogram'!B125)/365)</f>
        <v>1.0054356164383562</v>
      </c>
      <c r="D126" s="15">
        <f ca="1">(1+'Dane do harmonogramu'!$C$13*('Roboczy harmonogram'!B126-'Roboczy harmonogram'!B125)/366)</f>
        <v>1.0054207650273224</v>
      </c>
      <c r="E126" s="15">
        <f t="shared" ca="1" si="10"/>
        <v>0</v>
      </c>
      <c r="F126" s="15">
        <f t="shared" ca="1" si="11"/>
        <v>0</v>
      </c>
      <c r="G126">
        <f ca="1">IF(E126=1,(1+'Dane do harmonogramu'!$C$13*((('Roboczy harmonogram'!B126-DATE(YEAR(B126),1,1)+1)/365)+((DATE(YEAR(B125),12,31)-'Roboczy harmonogram'!B125)/366))),IF(F126=1,(1+'Dane do harmonogramu'!$C$13*((('Roboczy harmonogram'!B126-DATE(YEAR(B126),1,1)+1)/366)+((DATE(YEAR(B125),12,31)-'Roboczy harmonogram'!B125)/365))),0))</f>
        <v>0</v>
      </c>
      <c r="H126">
        <f t="shared" ca="1" si="12"/>
        <v>1</v>
      </c>
      <c r="I126">
        <f t="shared" ca="1" si="13"/>
        <v>1.0054207650273224</v>
      </c>
      <c r="J126">
        <f t="shared" ca="1" si="14"/>
        <v>1.0054207650273224</v>
      </c>
      <c r="K126">
        <f ca="1">PRODUCT($J$3:J126)</f>
        <v>1.929203150258179</v>
      </c>
      <c r="L126">
        <f t="shared" ca="1" si="15"/>
        <v>0.51834872852357372</v>
      </c>
      <c r="M126">
        <f ca="1">SUM($L$3:L126)</f>
        <v>90.776103323548526</v>
      </c>
      <c r="O126">
        <f t="shared" ca="1" si="16"/>
        <v>-226.74285471832263</v>
      </c>
      <c r="P126" s="16">
        <f t="shared" ca="1" si="17"/>
        <v>14095.903727058054</v>
      </c>
      <c r="Q126" s="17">
        <f t="shared" ca="1" si="18"/>
        <v>-55924.474708362126</v>
      </c>
      <c r="S126">
        <f>IF(A126&lt;='Dane do harmonogramu'!$C$7,'Roboczy harmonogram'!P126,0)</f>
        <v>0</v>
      </c>
      <c r="T126">
        <f>IF(A126&lt;='Dane do harmonogramu'!$C$7,'Roboczy harmonogram'!O126,0)</f>
        <v>0</v>
      </c>
      <c r="U126">
        <f>IF(A126&lt;='Dane do harmonogramu'!$C$7,$N$2,0)</f>
        <v>0</v>
      </c>
      <c r="V126" s="16" t="str">
        <f>IF(A125&lt;='Dane do harmonogramu'!$C$7,Q125*0.15%,"")</f>
        <v/>
      </c>
    </row>
    <row r="127" spans="1:22" x14ac:dyDescent="0.35">
      <c r="A127">
        <v>125</v>
      </c>
      <c r="B127" s="14">
        <f t="shared" ca="1" si="19"/>
        <v>49873</v>
      </c>
      <c r="C127" s="15">
        <f ca="1">(1+'Dane do harmonogramu'!$C$13*('Roboczy harmonogram'!B127-'Roboczy harmonogram'!B126)/365)</f>
        <v>1.0052602739726026</v>
      </c>
      <c r="D127" s="15">
        <f ca="1">(1+'Dane do harmonogramu'!$C$13*('Roboczy harmonogram'!B127-'Roboczy harmonogram'!B126)/366)</f>
        <v>1.0052459016393442</v>
      </c>
      <c r="E127" s="15">
        <f t="shared" ca="1" si="10"/>
        <v>0</v>
      </c>
      <c r="F127" s="15">
        <f t="shared" ca="1" si="11"/>
        <v>0</v>
      </c>
      <c r="G127">
        <f ca="1">IF(E127=1,(1+'Dane do harmonogramu'!$C$13*((('Roboczy harmonogram'!B127-DATE(YEAR(B127),1,1)+1)/365)+((DATE(YEAR(B126),12,31)-'Roboczy harmonogram'!B126)/366))),IF(F127=1,(1+'Dane do harmonogramu'!$C$13*((('Roboczy harmonogram'!B127-DATE(YEAR(B127),1,1)+1)/366)+((DATE(YEAR(B126),12,31)-'Roboczy harmonogram'!B126)/365))),0))</f>
        <v>0</v>
      </c>
      <c r="H127">
        <f t="shared" ca="1" si="12"/>
        <v>1</v>
      </c>
      <c r="I127">
        <f t="shared" ca="1" si="13"/>
        <v>1.0052459016393442</v>
      </c>
      <c r="J127">
        <f t="shared" ca="1" si="14"/>
        <v>1.0052459016393442</v>
      </c>
      <c r="K127">
        <f ca="1">PRODUCT($J$3:J127)</f>
        <v>1.9393235602267465</v>
      </c>
      <c r="L127">
        <f t="shared" ca="1" si="15"/>
        <v>0.51564371232775597</v>
      </c>
      <c r="M127">
        <f ca="1">SUM($L$3:L127)</f>
        <v>91.291747035876284</v>
      </c>
      <c r="O127">
        <f t="shared" ca="1" si="16"/>
        <v>-293.37429355206405</v>
      </c>
      <c r="P127" s="16">
        <f t="shared" ca="1" si="17"/>
        <v>14162.535165891795</v>
      </c>
      <c r="Q127" s="17">
        <f t="shared" ca="1" si="18"/>
        <v>-70087.009874253927</v>
      </c>
      <c r="S127">
        <f>IF(A127&lt;='Dane do harmonogramu'!$C$7,'Roboczy harmonogram'!P127,0)</f>
        <v>0</v>
      </c>
      <c r="T127">
        <f>IF(A127&lt;='Dane do harmonogramu'!$C$7,'Roboczy harmonogram'!O127,0)</f>
        <v>0</v>
      </c>
      <c r="U127">
        <f>IF(A127&lt;='Dane do harmonogramu'!$C$7,$N$2,0)</f>
        <v>0</v>
      </c>
      <c r="V127" s="16" t="str">
        <f>IF(A126&lt;='Dane do harmonogramu'!$C$7,Q126*0.15%,"")</f>
        <v/>
      </c>
    </row>
    <row r="128" spans="1:22" x14ac:dyDescent="0.35">
      <c r="A128">
        <v>126</v>
      </c>
      <c r="B128" s="14">
        <f t="shared" ca="1" si="19"/>
        <v>49904</v>
      </c>
      <c r="C128" s="15">
        <f ca="1">(1+'Dane do harmonogramu'!$C$13*('Roboczy harmonogram'!B128-'Roboczy harmonogram'!B127)/365)</f>
        <v>1.0054356164383562</v>
      </c>
      <c r="D128" s="15">
        <f ca="1">(1+'Dane do harmonogramu'!$C$13*('Roboczy harmonogram'!B128-'Roboczy harmonogram'!B127)/366)</f>
        <v>1.0054207650273224</v>
      </c>
      <c r="E128" s="15">
        <f t="shared" ca="1" si="10"/>
        <v>0</v>
      </c>
      <c r="F128" s="15">
        <f t="shared" ca="1" si="11"/>
        <v>0</v>
      </c>
      <c r="G128">
        <f ca="1">IF(E128=1,(1+'Dane do harmonogramu'!$C$13*((('Roboczy harmonogram'!B128-DATE(YEAR(B128),1,1)+1)/365)+((DATE(YEAR(B127),12,31)-'Roboczy harmonogram'!B127)/366))),IF(F128=1,(1+'Dane do harmonogramu'!$C$13*((('Roboczy harmonogram'!B128-DATE(YEAR(B128),1,1)+1)/366)+((DATE(YEAR(B127),12,31)-'Roboczy harmonogram'!B127)/365))),0))</f>
        <v>0</v>
      </c>
      <c r="H128">
        <f t="shared" ca="1" si="12"/>
        <v>1</v>
      </c>
      <c r="I128">
        <f t="shared" ca="1" si="13"/>
        <v>1.0054207650273224</v>
      </c>
      <c r="J128">
        <f t="shared" ca="1" si="14"/>
        <v>1.0054207650273224</v>
      </c>
      <c r="K128">
        <f ca="1">PRODUCT($J$3:J128)</f>
        <v>1.9498361775586859</v>
      </c>
      <c r="L128">
        <f t="shared" ca="1" si="15"/>
        <v>0.51286359926507319</v>
      </c>
      <c r="M128">
        <f ca="1">SUM($L$3:L128)</f>
        <v>91.804610635141358</v>
      </c>
      <c r="O128">
        <f t="shared" ca="1" si="16"/>
        <v>-379.92521199595649</v>
      </c>
      <c r="P128" s="16">
        <f t="shared" ca="1" si="17"/>
        <v>14249.086084335688</v>
      </c>
      <c r="Q128" s="17">
        <f t="shared" ca="1" si="18"/>
        <v>-84336.09595858962</v>
      </c>
      <c r="S128">
        <f>IF(A128&lt;='Dane do harmonogramu'!$C$7,'Roboczy harmonogram'!P128,0)</f>
        <v>0</v>
      </c>
      <c r="T128">
        <f>IF(A128&lt;='Dane do harmonogramu'!$C$7,'Roboczy harmonogram'!O128,0)</f>
        <v>0</v>
      </c>
      <c r="U128">
        <f>IF(A128&lt;='Dane do harmonogramu'!$C$7,$N$2,0)</f>
        <v>0</v>
      </c>
      <c r="V128" s="16" t="str">
        <f>IF(A127&lt;='Dane do harmonogramu'!$C$7,Q127*0.15%,"")</f>
        <v/>
      </c>
    </row>
    <row r="129" spans="1:22" x14ac:dyDescent="0.35">
      <c r="A129">
        <v>127</v>
      </c>
      <c r="B129" s="14">
        <f t="shared" ca="1" si="19"/>
        <v>49935</v>
      </c>
      <c r="C129" s="15">
        <f ca="1">(1+'Dane do harmonogramu'!$C$13*('Roboczy harmonogram'!B129-'Roboczy harmonogram'!B128)/365)</f>
        <v>1.0054356164383562</v>
      </c>
      <c r="D129" s="15">
        <f ca="1">(1+'Dane do harmonogramu'!$C$13*('Roboczy harmonogram'!B129-'Roboczy harmonogram'!B128)/366)</f>
        <v>1.0054207650273224</v>
      </c>
      <c r="E129" s="15">
        <f t="shared" ca="1" si="10"/>
        <v>0</v>
      </c>
      <c r="F129" s="15">
        <f t="shared" ca="1" si="11"/>
        <v>0</v>
      </c>
      <c r="G129">
        <f ca="1">IF(E129=1,(1+'Dane do harmonogramu'!$C$13*((('Roboczy harmonogram'!B129-DATE(YEAR(B129),1,1)+1)/365)+((DATE(YEAR(B128),12,31)-'Roboczy harmonogram'!B128)/366))),IF(F129=1,(1+'Dane do harmonogramu'!$C$13*((('Roboczy harmonogram'!B129-DATE(YEAR(B129),1,1)+1)/366)+((DATE(YEAR(B128),12,31)-'Roboczy harmonogram'!B128)/365))),0))</f>
        <v>0</v>
      </c>
      <c r="H129">
        <f t="shared" ca="1" si="12"/>
        <v>1</v>
      </c>
      <c r="I129">
        <f t="shared" ca="1" si="13"/>
        <v>1.0054207650273224</v>
      </c>
      <c r="J129">
        <f t="shared" ca="1" si="14"/>
        <v>1.0054207650273224</v>
      </c>
      <c r="K129">
        <f ca="1">PRODUCT($J$3:J129)</f>
        <v>1.9604057813190039</v>
      </c>
      <c r="L129">
        <f t="shared" ca="1" si="15"/>
        <v>0.51009847528973218</v>
      </c>
      <c r="M129">
        <f ca="1">SUM($L$3:L129)</f>
        <v>92.314709110431096</v>
      </c>
      <c r="O129">
        <f t="shared" ca="1" si="16"/>
        <v>-457.16615951323183</v>
      </c>
      <c r="P129" s="16">
        <f t="shared" ca="1" si="17"/>
        <v>14326.327031852963</v>
      </c>
      <c r="Q129" s="17">
        <f t="shared" ca="1" si="18"/>
        <v>-98662.422990442588</v>
      </c>
      <c r="S129">
        <f>IF(A129&lt;='Dane do harmonogramu'!$C$7,'Roboczy harmonogram'!P129,0)</f>
        <v>0</v>
      </c>
      <c r="T129">
        <f>IF(A129&lt;='Dane do harmonogramu'!$C$7,'Roboczy harmonogram'!O129,0)</f>
        <v>0</v>
      </c>
      <c r="U129">
        <f>IF(A129&lt;='Dane do harmonogramu'!$C$7,$N$2,0)</f>
        <v>0</v>
      </c>
      <c r="V129" s="16" t="str">
        <f>IF(A128&lt;='Dane do harmonogramu'!$C$7,Q128*0.15%,"")</f>
        <v/>
      </c>
    </row>
    <row r="130" spans="1:22" x14ac:dyDescent="0.35">
      <c r="A130">
        <v>128</v>
      </c>
      <c r="B130" s="14">
        <f t="shared" ca="1" si="19"/>
        <v>49965</v>
      </c>
      <c r="C130" s="15">
        <f ca="1">(1+'Dane do harmonogramu'!$C$13*('Roboczy harmonogram'!B130-'Roboczy harmonogram'!B129)/365)</f>
        <v>1.0052602739726026</v>
      </c>
      <c r="D130" s="15">
        <f ca="1">(1+'Dane do harmonogramu'!$C$13*('Roboczy harmonogram'!B130-'Roboczy harmonogram'!B129)/366)</f>
        <v>1.0052459016393442</v>
      </c>
      <c r="E130" s="15">
        <f t="shared" ca="1" si="10"/>
        <v>0</v>
      </c>
      <c r="F130" s="15">
        <f t="shared" ca="1" si="11"/>
        <v>0</v>
      </c>
      <c r="G130">
        <f ca="1">IF(E130=1,(1+'Dane do harmonogramu'!$C$13*((('Roboczy harmonogram'!B130-DATE(YEAR(B130),1,1)+1)/365)+((DATE(YEAR(B129),12,31)-'Roboczy harmonogram'!B129)/366))),IF(F130=1,(1+'Dane do harmonogramu'!$C$13*((('Roboczy harmonogram'!B130-DATE(YEAR(B130),1,1)+1)/366)+((DATE(YEAR(B129),12,31)-'Roboczy harmonogram'!B129)/365))),0))</f>
        <v>0</v>
      </c>
      <c r="H130">
        <f t="shared" ca="1" si="12"/>
        <v>1</v>
      </c>
      <c r="I130">
        <f t="shared" ca="1" si="13"/>
        <v>1.0052459016393442</v>
      </c>
      <c r="J130">
        <f t="shared" ca="1" si="14"/>
        <v>1.0052459016393442</v>
      </c>
      <c r="K130">
        <f ca="1">PRODUCT($J$3:J130)</f>
        <v>1.9706898772210051</v>
      </c>
      <c r="L130">
        <f t="shared" ca="1" si="15"/>
        <v>0.50743651325299521</v>
      </c>
      <c r="M130">
        <f ca="1">SUM($L$3:L130)</f>
        <v>92.822145623684094</v>
      </c>
      <c r="O130">
        <f t="shared" ca="1" si="16"/>
        <v>-517.573366507233</v>
      </c>
      <c r="P130" s="16">
        <f t="shared" ca="1" si="17"/>
        <v>14386.734238846964</v>
      </c>
      <c r="Q130" s="17">
        <f t="shared" ca="1" si="18"/>
        <v>-113049.15722928956</v>
      </c>
      <c r="S130">
        <f>IF(A130&lt;='Dane do harmonogramu'!$C$7,'Roboczy harmonogram'!P130,0)</f>
        <v>0</v>
      </c>
      <c r="T130">
        <f>IF(A130&lt;='Dane do harmonogramu'!$C$7,'Roboczy harmonogram'!O130,0)</f>
        <v>0</v>
      </c>
      <c r="U130">
        <f>IF(A130&lt;='Dane do harmonogramu'!$C$7,$N$2,0)</f>
        <v>0</v>
      </c>
      <c r="V130" s="16" t="str">
        <f>IF(A129&lt;='Dane do harmonogramu'!$C$7,Q129*0.15%,"")</f>
        <v/>
      </c>
    </row>
    <row r="131" spans="1:22" x14ac:dyDescent="0.35">
      <c r="A131">
        <v>129</v>
      </c>
      <c r="B131" s="14">
        <f t="shared" ca="1" si="19"/>
        <v>49996</v>
      </c>
      <c r="C131" s="15">
        <f ca="1">(1+'Dane do harmonogramu'!$C$13*('Roboczy harmonogram'!B131-'Roboczy harmonogram'!B130)/365)</f>
        <v>1.0054356164383562</v>
      </c>
      <c r="D131" s="15">
        <f ca="1">(1+'Dane do harmonogramu'!$C$13*('Roboczy harmonogram'!B131-'Roboczy harmonogram'!B130)/366)</f>
        <v>1.0054207650273224</v>
      </c>
      <c r="E131" s="15">
        <f t="shared" ca="1" si="10"/>
        <v>0</v>
      </c>
      <c r="F131" s="15">
        <f t="shared" ca="1" si="11"/>
        <v>0</v>
      </c>
      <c r="G131">
        <f ca="1">IF(E131=1,(1+'Dane do harmonogramu'!$C$13*((('Roboczy harmonogram'!B131-DATE(YEAR(B131),1,1)+1)/365)+((DATE(YEAR(B130),12,31)-'Roboczy harmonogram'!B130)/366))),IF(F131=1,(1+'Dane do harmonogramu'!$C$13*((('Roboczy harmonogram'!B131-DATE(YEAR(B131),1,1)+1)/366)+((DATE(YEAR(B130),12,31)-'Roboczy harmonogram'!B130)/365))),0))</f>
        <v>0</v>
      </c>
      <c r="H131">
        <f t="shared" ca="1" si="12"/>
        <v>1</v>
      </c>
      <c r="I131">
        <f t="shared" ca="1" si="13"/>
        <v>1.0054207650273224</v>
      </c>
      <c r="J131">
        <f t="shared" ca="1" si="14"/>
        <v>1.0054207650273224</v>
      </c>
      <c r="K131">
        <f ca="1">PRODUCT($J$3:J131)</f>
        <v>1.9813725239871429</v>
      </c>
      <c r="L131">
        <f t="shared" ca="1" si="15"/>
        <v>0.50470064962225603</v>
      </c>
      <c r="M131">
        <f ca="1">SUM($L$3:L131)</f>
        <v>93.326846273306344</v>
      </c>
      <c r="O131">
        <f t="shared" ca="1" si="16"/>
        <v>-612.81291787679947</v>
      </c>
      <c r="P131" s="16">
        <f t="shared" ca="1" si="17"/>
        <v>14481.973790216531</v>
      </c>
      <c r="Q131" s="17">
        <f t="shared" ca="1" si="18"/>
        <v>-127531.13101950609</v>
      </c>
      <c r="S131">
        <f>IF(A131&lt;='Dane do harmonogramu'!$C$7,'Roboczy harmonogram'!P131,0)</f>
        <v>0</v>
      </c>
      <c r="T131">
        <f>IF(A131&lt;='Dane do harmonogramu'!$C$7,'Roboczy harmonogram'!O131,0)</f>
        <v>0</v>
      </c>
      <c r="U131">
        <f>IF(A131&lt;='Dane do harmonogramu'!$C$7,$N$2,0)</f>
        <v>0</v>
      </c>
      <c r="V131" s="16" t="str">
        <f>IF(A130&lt;='Dane do harmonogramu'!$C$7,Q130*0.15%,"")</f>
        <v/>
      </c>
    </row>
    <row r="132" spans="1:22" x14ac:dyDescent="0.35">
      <c r="A132">
        <v>130</v>
      </c>
      <c r="B132" s="14">
        <f t="shared" ca="1" si="19"/>
        <v>50026</v>
      </c>
      <c r="C132" s="15">
        <f ca="1">(1+'Dane do harmonogramu'!$C$13*('Roboczy harmonogram'!B132-'Roboczy harmonogram'!B131)/365)</f>
        <v>1.0052602739726026</v>
      </c>
      <c r="D132" s="15">
        <f ca="1">(1+'Dane do harmonogramu'!$C$13*('Roboczy harmonogram'!B132-'Roboczy harmonogram'!B131)/366)</f>
        <v>1.0052459016393442</v>
      </c>
      <c r="E132" s="15">
        <f t="shared" ref="E132:E182" ca="1" si="20">IF(AND(MOD(YEAR(B131),4)=0,MOD(YEAR(B132),4)&lt;&gt;0),1,0)</f>
        <v>0</v>
      </c>
      <c r="F132" s="15">
        <f t="shared" ref="F132:F182" ca="1" si="21">IF(AND(MOD(YEAR(B132),4)=0,MOD(YEAR(B131),4)&lt;&gt;0),1,0)</f>
        <v>0</v>
      </c>
      <c r="G132">
        <f ca="1">IF(E132=1,(1+'Dane do harmonogramu'!$C$13*((('Roboczy harmonogram'!B132-DATE(YEAR(B132),1,1)+1)/365)+((DATE(YEAR(B131),12,31)-'Roboczy harmonogram'!B131)/366))),IF(F132=1,(1+'Dane do harmonogramu'!$C$13*((('Roboczy harmonogram'!B132-DATE(YEAR(B132),1,1)+1)/366)+((DATE(YEAR(B131),12,31)-'Roboczy harmonogram'!B131)/365))),0))</f>
        <v>0</v>
      </c>
      <c r="H132">
        <f t="shared" ref="H132:H182" ca="1" si="22">IF(MOD(YEAR(B132),4)=0,1,0)</f>
        <v>1</v>
      </c>
      <c r="I132">
        <f t="shared" ref="I132:I182" ca="1" si="23">IF(H132=0,C132,IF(H132=1,D132,"blad"))</f>
        <v>1.0052459016393442</v>
      </c>
      <c r="J132">
        <f t="shared" ref="J132:J182" ca="1" si="24">IF(OR(E132=1,F132=1),G132,I132)</f>
        <v>1.0052459016393442</v>
      </c>
      <c r="K132">
        <f ca="1">PRODUCT($J$3:J132)</f>
        <v>1.9917666093588786</v>
      </c>
      <c r="L132">
        <f t="shared" ref="L132:L182" ca="1" si="25">1/K132</f>
        <v>0.50206685627784764</v>
      </c>
      <c r="M132">
        <f ca="1">SUM($L$3:L132)</f>
        <v>93.828913129584194</v>
      </c>
      <c r="O132">
        <f t="shared" ca="1" si="16"/>
        <v>-669.01576928264694</v>
      </c>
      <c r="P132" s="16">
        <f t="shared" ca="1" si="17"/>
        <v>14538.176641622378</v>
      </c>
      <c r="Q132" s="17">
        <f t="shared" ca="1" si="18"/>
        <v>-142069.30766112846</v>
      </c>
      <c r="S132">
        <f>IF(A132&lt;='Dane do harmonogramu'!$C$7,'Roboczy harmonogram'!P132,0)</f>
        <v>0</v>
      </c>
      <c r="T132">
        <f>IF(A132&lt;='Dane do harmonogramu'!$C$7,'Roboczy harmonogram'!O132,0)</f>
        <v>0</v>
      </c>
      <c r="U132">
        <f>IF(A132&lt;='Dane do harmonogramu'!$C$7,$N$2,0)</f>
        <v>0</v>
      </c>
      <c r="V132" s="16" t="str">
        <f>IF(A131&lt;='Dane do harmonogramu'!$C$7,Q131*0.15%,"")</f>
        <v/>
      </c>
    </row>
    <row r="133" spans="1:22" x14ac:dyDescent="0.35">
      <c r="A133">
        <v>131</v>
      </c>
      <c r="B133" s="14">
        <f t="shared" ca="1" si="19"/>
        <v>50057</v>
      </c>
      <c r="C133" s="15">
        <f ca="1">(1+'Dane do harmonogramu'!$C$13*('Roboczy harmonogram'!B133-'Roboczy harmonogram'!B132)/365)</f>
        <v>1.0054356164383562</v>
      </c>
      <c r="D133" s="15">
        <f ca="1">(1+'Dane do harmonogramu'!$C$13*('Roboczy harmonogram'!B133-'Roboczy harmonogram'!B132)/366)</f>
        <v>1.0054207650273224</v>
      </c>
      <c r="E133" s="15">
        <f t="shared" ca="1" si="20"/>
        <v>1</v>
      </c>
      <c r="F133" s="15">
        <f t="shared" ca="1" si="21"/>
        <v>0</v>
      </c>
      <c r="G133">
        <f ca="1">IF(E133=1,(1+'Dane do harmonogramu'!$C$13*((('Roboczy harmonogram'!B133-DATE(YEAR(B133),1,1)+1)/365)+((DATE(YEAR(B132),12,31)-'Roboczy harmonogram'!B132)/366))),IF(F133=1,(1+'Dane do harmonogramu'!$C$13*((('Roboczy harmonogram'!B133-DATE(YEAR(B133),1,1)+1)/366)+((DATE(YEAR(B132),12,31)-'Roboczy harmonogram'!B132)/365))),0))</f>
        <v>1.0054289093495021</v>
      </c>
      <c r="H133">
        <f t="shared" ca="1" si="22"/>
        <v>0</v>
      </c>
      <c r="I133">
        <f t="shared" ca="1" si="23"/>
        <v>1.0054356164383562</v>
      </c>
      <c r="J133">
        <f t="shared" ca="1" si="24"/>
        <v>1.0054289093495021</v>
      </c>
      <c r="K133">
        <f ca="1">PRODUCT($J$3:J133)</f>
        <v>2.0025797297264534</v>
      </c>
      <c r="L133">
        <f t="shared" ca="1" si="25"/>
        <v>0.49935589837244437</v>
      </c>
      <c r="M133">
        <f ca="1">SUM($L$3:L133)</f>
        <v>94.328269027956637</v>
      </c>
      <c r="O133">
        <f t="shared" ref="O133:O182" ca="1" si="26">(Q132*J133)-Q132</f>
        <v>-771.28139263880439</v>
      </c>
      <c r="P133" s="16">
        <f t="shared" ref="P133:P182" ca="1" si="27">$N$2-O133</f>
        <v>14640.442264978536</v>
      </c>
      <c r="Q133" s="17">
        <f t="shared" ref="Q133:Q182" ca="1" si="28">Q132-P133</f>
        <v>-156709.749926107</v>
      </c>
      <c r="S133">
        <f>IF(A133&lt;='Dane do harmonogramu'!$C$7,'Roboczy harmonogram'!P133,0)</f>
        <v>0</v>
      </c>
      <c r="T133">
        <f>IF(A133&lt;='Dane do harmonogramu'!$C$7,'Roboczy harmonogram'!O133,0)</f>
        <v>0</v>
      </c>
      <c r="U133">
        <f>IF(A133&lt;='Dane do harmonogramu'!$C$7,$N$2,0)</f>
        <v>0</v>
      </c>
      <c r="V133" s="16" t="str">
        <f>IF(A132&lt;='Dane do harmonogramu'!$C$7,Q132*0.15%,"")</f>
        <v/>
      </c>
    </row>
    <row r="134" spans="1:22" x14ac:dyDescent="0.35">
      <c r="A134">
        <v>132</v>
      </c>
      <c r="B134" s="14">
        <f t="shared" ref="B134:B182" ca="1" si="29">DATE(YEAR((B133)),MONTH((B133))+1,IF(AND(DAY(B133)&gt;28,MONTH((B133))+1=2),IF(MOD(YEAR(B133),4)=0,29,28),IF(AND(OR(DAY(B133)=28,DAY(B133)=29),MONTH((B133))=2),DAY(B132),DAY(B133))))</f>
        <v>50088</v>
      </c>
      <c r="C134" s="15">
        <f ca="1">(1+'Dane do harmonogramu'!$C$13*('Roboczy harmonogram'!B134-'Roboczy harmonogram'!B133)/365)</f>
        <v>1.0054356164383562</v>
      </c>
      <c r="D134" s="15">
        <f ca="1">(1+'Dane do harmonogramu'!$C$13*('Roboczy harmonogram'!B134-'Roboczy harmonogram'!B133)/366)</f>
        <v>1.0054207650273224</v>
      </c>
      <c r="E134" s="15">
        <f t="shared" ca="1" si="20"/>
        <v>0</v>
      </c>
      <c r="F134" s="15">
        <f t="shared" ca="1" si="21"/>
        <v>0</v>
      </c>
      <c r="G134">
        <f ca="1">IF(E134=1,(1+'Dane do harmonogramu'!$C$13*((('Roboczy harmonogram'!B134-DATE(YEAR(B134),1,1)+1)/365)+((DATE(YEAR(B133),12,31)-'Roboczy harmonogram'!B133)/366))),IF(F134=1,(1+'Dane do harmonogramu'!$C$13*((('Roboczy harmonogram'!B134-DATE(YEAR(B134),1,1)+1)/366)+((DATE(YEAR(B133),12,31)-'Roboczy harmonogram'!B133)/365))),0))</f>
        <v>0</v>
      </c>
      <c r="H134">
        <f t="shared" ca="1" si="22"/>
        <v>0</v>
      </c>
      <c r="I134">
        <f t="shared" ca="1" si="23"/>
        <v>1.0054356164383562</v>
      </c>
      <c r="J134">
        <f t="shared" ca="1" si="24"/>
        <v>1.0054356164383562</v>
      </c>
      <c r="K134">
        <f ca="1">PRODUCT($J$3:J134)</f>
        <v>2.0134649850244735</v>
      </c>
      <c r="L134">
        <f t="shared" ca="1" si="25"/>
        <v>0.49665626541195851</v>
      </c>
      <c r="M134">
        <f ca="1">SUM($L$3:L134)</f>
        <v>94.824925293368594</v>
      </c>
      <c r="O134">
        <f t="shared" ca="1" si="26"/>
        <v>-851.81409274903126</v>
      </c>
      <c r="P134" s="16">
        <f t="shared" ca="1" si="27"/>
        <v>14720.974965088762</v>
      </c>
      <c r="Q134" s="17">
        <f t="shared" ca="1" si="28"/>
        <v>-171430.72489119577</v>
      </c>
      <c r="S134">
        <f>IF(A134&lt;='Dane do harmonogramu'!$C$7,'Roboczy harmonogram'!P134,0)</f>
        <v>0</v>
      </c>
      <c r="T134">
        <f>IF(A134&lt;='Dane do harmonogramu'!$C$7,'Roboczy harmonogram'!O134,0)</f>
        <v>0</v>
      </c>
      <c r="U134">
        <f>IF(A134&lt;='Dane do harmonogramu'!$C$7,$N$2,0)</f>
        <v>0</v>
      </c>
      <c r="V134" s="16" t="str">
        <f>IF(A133&lt;='Dane do harmonogramu'!$C$7,Q133*0.15%,"")</f>
        <v/>
      </c>
    </row>
    <row r="135" spans="1:22" x14ac:dyDescent="0.35">
      <c r="A135">
        <v>133</v>
      </c>
      <c r="B135" s="14">
        <f t="shared" ca="1" si="29"/>
        <v>50116</v>
      </c>
      <c r="C135" s="15">
        <f ca="1">(1+'Dane do harmonogramu'!$C$13*('Roboczy harmonogram'!B135-'Roboczy harmonogram'!B134)/365)</f>
        <v>1.004909589041096</v>
      </c>
      <c r="D135" s="15">
        <f ca="1">(1+'Dane do harmonogramu'!$C$13*('Roboczy harmonogram'!B135-'Roboczy harmonogram'!B134)/366)</f>
        <v>1.004896174863388</v>
      </c>
      <c r="E135" s="15">
        <f t="shared" ca="1" si="20"/>
        <v>0</v>
      </c>
      <c r="F135" s="15">
        <f t="shared" ca="1" si="21"/>
        <v>0</v>
      </c>
      <c r="G135">
        <f ca="1">IF(E135=1,(1+'Dane do harmonogramu'!$C$13*((('Roboczy harmonogram'!B135-DATE(YEAR(B135),1,1)+1)/365)+((DATE(YEAR(B134),12,31)-'Roboczy harmonogram'!B134)/366))),IF(F135=1,(1+'Dane do harmonogramu'!$C$13*((('Roboczy harmonogram'!B135-DATE(YEAR(B135),1,1)+1)/366)+((DATE(YEAR(B134),12,31)-'Roboczy harmonogram'!B134)/365))),0))</f>
        <v>0</v>
      </c>
      <c r="H135">
        <f t="shared" ca="1" si="22"/>
        <v>0</v>
      </c>
      <c r="I135">
        <f t="shared" ca="1" si="23"/>
        <v>1.004909589041096</v>
      </c>
      <c r="J135">
        <f t="shared" ca="1" si="24"/>
        <v>1.004909589041096</v>
      </c>
      <c r="K135">
        <f ca="1">PRODUCT($J$3:J135)</f>
        <v>2.0233502706495798</v>
      </c>
      <c r="L135">
        <f t="shared" ca="1" si="25"/>
        <v>0.49422980020110818</v>
      </c>
      <c r="M135">
        <f ca="1">SUM($L$3:L135)</f>
        <v>95.319155093569705</v>
      </c>
      <c r="O135">
        <f t="shared" ca="1" si="26"/>
        <v>-841.65440823294921</v>
      </c>
      <c r="P135" s="16">
        <f t="shared" ca="1" si="27"/>
        <v>14710.81528057268</v>
      </c>
      <c r="Q135" s="17">
        <f t="shared" ca="1" si="28"/>
        <v>-186141.54017176846</v>
      </c>
      <c r="S135">
        <f>IF(A135&lt;='Dane do harmonogramu'!$C$7,'Roboczy harmonogram'!P135,0)</f>
        <v>0</v>
      </c>
      <c r="T135">
        <f>IF(A135&lt;='Dane do harmonogramu'!$C$7,'Roboczy harmonogram'!O135,0)</f>
        <v>0</v>
      </c>
      <c r="U135">
        <f>IF(A135&lt;='Dane do harmonogramu'!$C$7,$N$2,0)</f>
        <v>0</v>
      </c>
      <c r="V135" s="16" t="str">
        <f>IF(A134&lt;='Dane do harmonogramu'!$C$7,Q134*0.15%,"")</f>
        <v/>
      </c>
    </row>
    <row r="136" spans="1:22" x14ac:dyDescent="0.35">
      <c r="A136">
        <v>134</v>
      </c>
      <c r="B136" s="14">
        <f t="shared" ca="1" si="29"/>
        <v>50147</v>
      </c>
      <c r="C136" s="15">
        <f ca="1">(1+'Dane do harmonogramu'!$C$13*('Roboczy harmonogram'!B136-'Roboczy harmonogram'!B135)/365)</f>
        <v>1.0054356164383562</v>
      </c>
      <c r="D136" s="15">
        <f ca="1">(1+'Dane do harmonogramu'!$C$13*('Roboczy harmonogram'!B136-'Roboczy harmonogram'!B135)/366)</f>
        <v>1.0054207650273224</v>
      </c>
      <c r="E136" s="15">
        <f t="shared" ca="1" si="20"/>
        <v>0</v>
      </c>
      <c r="F136" s="15">
        <f t="shared" ca="1" si="21"/>
        <v>0</v>
      </c>
      <c r="G136">
        <f ca="1">IF(E136=1,(1+'Dane do harmonogramu'!$C$13*((('Roboczy harmonogram'!B136-DATE(YEAR(B136),1,1)+1)/365)+((DATE(YEAR(B135),12,31)-'Roboczy harmonogram'!B135)/366))),IF(F136=1,(1+'Dane do harmonogramu'!$C$13*((('Roboczy harmonogram'!B136-DATE(YEAR(B136),1,1)+1)/366)+((DATE(YEAR(B135),12,31)-'Roboczy harmonogram'!B135)/365))),0))</f>
        <v>0</v>
      </c>
      <c r="H136">
        <f t="shared" ca="1" si="22"/>
        <v>0</v>
      </c>
      <c r="I136">
        <f t="shared" ca="1" si="23"/>
        <v>1.0054356164383562</v>
      </c>
      <c r="J136">
        <f t="shared" ca="1" si="24"/>
        <v>1.0054356164383562</v>
      </c>
      <c r="K136">
        <f ca="1">PRODUCT($J$3:J136)</f>
        <v>2.0343484266412752</v>
      </c>
      <c r="L136">
        <f t="shared" ca="1" si="25"/>
        <v>0.49155788010759183</v>
      </c>
      <c r="M136">
        <f ca="1">SUM($L$3:L136)</f>
        <v>95.810712973677298</v>
      </c>
      <c r="O136">
        <f t="shared" ca="1" si="26"/>
        <v>-1011.7940156186232</v>
      </c>
      <c r="P136" s="16">
        <f t="shared" ca="1" si="27"/>
        <v>14880.954887958354</v>
      </c>
      <c r="Q136" s="17">
        <f t="shared" ca="1" si="28"/>
        <v>-201022.49505972682</v>
      </c>
      <c r="S136">
        <f>IF(A136&lt;='Dane do harmonogramu'!$C$7,'Roboczy harmonogram'!P136,0)</f>
        <v>0</v>
      </c>
      <c r="T136">
        <f>IF(A136&lt;='Dane do harmonogramu'!$C$7,'Roboczy harmonogram'!O136,0)</f>
        <v>0</v>
      </c>
      <c r="U136">
        <f>IF(A136&lt;='Dane do harmonogramu'!$C$7,$N$2,0)</f>
        <v>0</v>
      </c>
      <c r="V136" s="16" t="str">
        <f>IF(A135&lt;='Dane do harmonogramu'!$C$7,Q135*0.15%,"")</f>
        <v/>
      </c>
    </row>
    <row r="137" spans="1:22" x14ac:dyDescent="0.35">
      <c r="A137">
        <v>135</v>
      </c>
      <c r="B137" s="14">
        <f t="shared" ca="1" si="29"/>
        <v>50177</v>
      </c>
      <c r="C137" s="15">
        <f ca="1">(1+'Dane do harmonogramu'!$C$13*('Roboczy harmonogram'!B137-'Roboczy harmonogram'!B136)/365)</f>
        <v>1.0052602739726026</v>
      </c>
      <c r="D137" s="15">
        <f ca="1">(1+'Dane do harmonogramu'!$C$13*('Roboczy harmonogram'!B137-'Roboczy harmonogram'!B136)/366)</f>
        <v>1.0052459016393442</v>
      </c>
      <c r="E137" s="15">
        <f t="shared" ca="1" si="20"/>
        <v>0</v>
      </c>
      <c r="F137" s="15">
        <f t="shared" ca="1" si="21"/>
        <v>0</v>
      </c>
      <c r="G137">
        <f ca="1">IF(E137=1,(1+'Dane do harmonogramu'!$C$13*((('Roboczy harmonogram'!B137-DATE(YEAR(B137),1,1)+1)/365)+((DATE(YEAR(B136),12,31)-'Roboczy harmonogram'!B136)/366))),IF(F137=1,(1+'Dane do harmonogramu'!$C$13*((('Roboczy harmonogram'!B137-DATE(YEAR(B137),1,1)+1)/366)+((DATE(YEAR(B136),12,31)-'Roboczy harmonogram'!B136)/365))),0))</f>
        <v>0</v>
      </c>
      <c r="H137">
        <f t="shared" ca="1" si="22"/>
        <v>0</v>
      </c>
      <c r="I137">
        <f t="shared" ca="1" si="23"/>
        <v>1.0052602739726026</v>
      </c>
      <c r="J137">
        <f t="shared" ca="1" si="24"/>
        <v>1.0052602739726026</v>
      </c>
      <c r="K137">
        <f ca="1">PRODUCT($J$3:J137)</f>
        <v>2.0450496567211416</v>
      </c>
      <c r="L137">
        <f t="shared" ca="1" si="25"/>
        <v>0.48898568145446153</v>
      </c>
      <c r="M137">
        <f ca="1">SUM($L$3:L137)</f>
        <v>96.299698655131763</v>
      </c>
      <c r="O137">
        <f t="shared" ca="1" si="26"/>
        <v>-1057.4333986703132</v>
      </c>
      <c r="P137" s="16">
        <f t="shared" ca="1" si="27"/>
        <v>14926.594271010044</v>
      </c>
      <c r="Q137" s="17">
        <f t="shared" ca="1" si="28"/>
        <v>-215949.08933073687</v>
      </c>
      <c r="S137">
        <f>IF(A137&lt;='Dane do harmonogramu'!$C$7,'Roboczy harmonogram'!P137,0)</f>
        <v>0</v>
      </c>
      <c r="T137">
        <f>IF(A137&lt;='Dane do harmonogramu'!$C$7,'Roboczy harmonogram'!O137,0)</f>
        <v>0</v>
      </c>
      <c r="U137">
        <f>IF(A137&lt;='Dane do harmonogramu'!$C$7,$N$2,0)</f>
        <v>0</v>
      </c>
      <c r="V137" s="16" t="str">
        <f>IF(A136&lt;='Dane do harmonogramu'!$C$7,Q136*0.15%,"")</f>
        <v/>
      </c>
    </row>
    <row r="138" spans="1:22" x14ac:dyDescent="0.35">
      <c r="A138">
        <v>136</v>
      </c>
      <c r="B138" s="14">
        <f t="shared" ca="1" si="29"/>
        <v>50208</v>
      </c>
      <c r="C138" s="15">
        <f ca="1">(1+'Dane do harmonogramu'!$C$13*('Roboczy harmonogram'!B138-'Roboczy harmonogram'!B137)/365)</f>
        <v>1.0054356164383562</v>
      </c>
      <c r="D138" s="15">
        <f ca="1">(1+'Dane do harmonogramu'!$C$13*('Roboczy harmonogram'!B138-'Roboczy harmonogram'!B137)/366)</f>
        <v>1.0054207650273224</v>
      </c>
      <c r="E138" s="15">
        <f t="shared" ca="1" si="20"/>
        <v>0</v>
      </c>
      <c r="F138" s="15">
        <f t="shared" ca="1" si="21"/>
        <v>0</v>
      </c>
      <c r="G138">
        <f ca="1">IF(E138=1,(1+'Dane do harmonogramu'!$C$13*((('Roboczy harmonogram'!B138-DATE(YEAR(B138),1,1)+1)/365)+((DATE(YEAR(B137),12,31)-'Roboczy harmonogram'!B137)/366))),IF(F138=1,(1+'Dane do harmonogramu'!$C$13*((('Roboczy harmonogram'!B138-DATE(YEAR(B138),1,1)+1)/366)+((DATE(YEAR(B137),12,31)-'Roboczy harmonogram'!B137)/365))),0))</f>
        <v>0</v>
      </c>
      <c r="H138">
        <f t="shared" ca="1" si="22"/>
        <v>0</v>
      </c>
      <c r="I138">
        <f t="shared" ca="1" si="23"/>
        <v>1.0054356164383562</v>
      </c>
      <c r="J138">
        <f t="shared" ca="1" si="24"/>
        <v>1.0054356164383562</v>
      </c>
      <c r="K138">
        <f ca="1">PRODUCT($J$3:J138)</f>
        <v>2.0561657622524696</v>
      </c>
      <c r="L138">
        <f t="shared" ca="1" si="25"/>
        <v>0.48634211227431839</v>
      </c>
      <c r="M138">
        <f ca="1">SUM($L$3:L138)</f>
        <v>96.786040767406078</v>
      </c>
      <c r="O138">
        <f t="shared" ca="1" si="26"/>
        <v>-1173.8164198142185</v>
      </c>
      <c r="P138" s="16">
        <f t="shared" ca="1" si="27"/>
        <v>15042.97729215395</v>
      </c>
      <c r="Q138" s="17">
        <f t="shared" ca="1" si="28"/>
        <v>-230992.06662289082</v>
      </c>
      <c r="S138">
        <f>IF(A138&lt;='Dane do harmonogramu'!$C$7,'Roboczy harmonogram'!P138,0)</f>
        <v>0</v>
      </c>
      <c r="T138">
        <f>IF(A138&lt;='Dane do harmonogramu'!$C$7,'Roboczy harmonogram'!O138,0)</f>
        <v>0</v>
      </c>
      <c r="U138">
        <f>IF(A138&lt;='Dane do harmonogramu'!$C$7,$N$2,0)</f>
        <v>0</v>
      </c>
      <c r="V138" s="16" t="str">
        <f>IF(A137&lt;='Dane do harmonogramu'!$C$7,Q137*0.15%,"")</f>
        <v/>
      </c>
    </row>
    <row r="139" spans="1:22" x14ac:dyDescent="0.35">
      <c r="A139">
        <v>137</v>
      </c>
      <c r="B139" s="14">
        <f t="shared" ca="1" si="29"/>
        <v>50238</v>
      </c>
      <c r="C139" s="15">
        <f ca="1">(1+'Dane do harmonogramu'!$C$13*('Roboczy harmonogram'!B139-'Roboczy harmonogram'!B138)/365)</f>
        <v>1.0052602739726026</v>
      </c>
      <c r="D139" s="15">
        <f ca="1">(1+'Dane do harmonogramu'!$C$13*('Roboczy harmonogram'!B139-'Roboczy harmonogram'!B138)/366)</f>
        <v>1.0052459016393442</v>
      </c>
      <c r="E139" s="15">
        <f t="shared" ca="1" si="20"/>
        <v>0</v>
      </c>
      <c r="F139" s="15">
        <f t="shared" ca="1" si="21"/>
        <v>0</v>
      </c>
      <c r="G139">
        <f ca="1">IF(E139=1,(1+'Dane do harmonogramu'!$C$13*((('Roboczy harmonogram'!B139-DATE(YEAR(B139),1,1)+1)/365)+((DATE(YEAR(B138),12,31)-'Roboczy harmonogram'!B138)/366))),IF(F139=1,(1+'Dane do harmonogramu'!$C$13*((('Roboczy harmonogram'!B139-DATE(YEAR(B139),1,1)+1)/366)+((DATE(YEAR(B138),12,31)-'Roboczy harmonogram'!B138)/365))),0))</f>
        <v>0</v>
      </c>
      <c r="H139">
        <f t="shared" ca="1" si="22"/>
        <v>0</v>
      </c>
      <c r="I139">
        <f t="shared" ca="1" si="23"/>
        <v>1.0052602739726026</v>
      </c>
      <c r="J139">
        <f t="shared" ca="1" si="24"/>
        <v>1.0052602739726026</v>
      </c>
      <c r="K139">
        <f ca="1">PRODUCT($J$3:J139)</f>
        <v>2.0669817574950029</v>
      </c>
      <c r="L139">
        <f t="shared" ca="1" si="25"/>
        <v>0.4837972064213622</v>
      </c>
      <c r="M139">
        <f ca="1">SUM($L$3:L139)</f>
        <v>97.269837973827435</v>
      </c>
      <c r="O139">
        <f t="shared" ca="1" si="26"/>
        <v>-1215.081555934099</v>
      </c>
      <c r="P139" s="16">
        <f t="shared" ca="1" si="27"/>
        <v>15084.24242827383</v>
      </c>
      <c r="Q139" s="17">
        <f t="shared" ca="1" si="28"/>
        <v>-246076.30905116466</v>
      </c>
      <c r="S139">
        <f>IF(A139&lt;='Dane do harmonogramu'!$C$7,'Roboczy harmonogram'!P139,0)</f>
        <v>0</v>
      </c>
      <c r="T139">
        <f>IF(A139&lt;='Dane do harmonogramu'!$C$7,'Roboczy harmonogram'!O139,0)</f>
        <v>0</v>
      </c>
      <c r="U139">
        <f>IF(A139&lt;='Dane do harmonogramu'!$C$7,$N$2,0)</f>
        <v>0</v>
      </c>
      <c r="V139" s="16" t="str">
        <f>IF(A138&lt;='Dane do harmonogramu'!$C$7,Q138*0.15%,"")</f>
        <v/>
      </c>
    </row>
    <row r="140" spans="1:22" x14ac:dyDescent="0.35">
      <c r="A140">
        <v>138</v>
      </c>
      <c r="B140" s="14">
        <f t="shared" ca="1" si="29"/>
        <v>50269</v>
      </c>
      <c r="C140" s="15">
        <f ca="1">(1+'Dane do harmonogramu'!$C$13*('Roboczy harmonogram'!B140-'Roboczy harmonogram'!B139)/365)</f>
        <v>1.0054356164383562</v>
      </c>
      <c r="D140" s="15">
        <f ca="1">(1+'Dane do harmonogramu'!$C$13*('Roboczy harmonogram'!B140-'Roboczy harmonogram'!B139)/366)</f>
        <v>1.0054207650273224</v>
      </c>
      <c r="E140" s="15">
        <f t="shared" ca="1" si="20"/>
        <v>0</v>
      </c>
      <c r="F140" s="15">
        <f t="shared" ca="1" si="21"/>
        <v>0</v>
      </c>
      <c r="G140">
        <f ca="1">IF(E140=1,(1+'Dane do harmonogramu'!$C$13*((('Roboczy harmonogram'!B140-DATE(YEAR(B140),1,1)+1)/365)+((DATE(YEAR(B139),12,31)-'Roboczy harmonogram'!B139)/366))),IF(F140=1,(1+'Dane do harmonogramu'!$C$13*((('Roboczy harmonogram'!B140-DATE(YEAR(B140),1,1)+1)/366)+((DATE(YEAR(B139),12,31)-'Roboczy harmonogram'!B139)/365))),0))</f>
        <v>0</v>
      </c>
      <c r="H140">
        <f t="shared" ca="1" si="22"/>
        <v>0</v>
      </c>
      <c r="I140">
        <f t="shared" ca="1" si="23"/>
        <v>1.0054356164383562</v>
      </c>
      <c r="J140">
        <f t="shared" ca="1" si="24"/>
        <v>1.0054356164383562</v>
      </c>
      <c r="K140">
        <f ca="1">PRODUCT($J$3:J140)</f>
        <v>2.0782170775138251</v>
      </c>
      <c r="L140">
        <f t="shared" ca="1" si="25"/>
        <v>0.48118168733186517</v>
      </c>
      <c r="M140">
        <f ca="1">SUM($L$3:L140)</f>
        <v>97.751019661159305</v>
      </c>
      <c r="O140">
        <f t="shared" ca="1" si="26"/>
        <v>-1337.5764305685298</v>
      </c>
      <c r="P140" s="16">
        <f t="shared" ca="1" si="27"/>
        <v>15206.737302908261</v>
      </c>
      <c r="Q140" s="17">
        <f t="shared" ca="1" si="28"/>
        <v>-261283.04635407293</v>
      </c>
      <c r="S140">
        <f>IF(A140&lt;='Dane do harmonogramu'!$C$7,'Roboczy harmonogram'!P140,0)</f>
        <v>0</v>
      </c>
      <c r="T140">
        <f>IF(A140&lt;='Dane do harmonogramu'!$C$7,'Roboczy harmonogram'!O140,0)</f>
        <v>0</v>
      </c>
      <c r="U140">
        <f>IF(A140&lt;='Dane do harmonogramu'!$C$7,$N$2,0)</f>
        <v>0</v>
      </c>
      <c r="V140" s="16" t="str">
        <f>IF(A139&lt;='Dane do harmonogramu'!$C$7,Q139*0.15%,"")</f>
        <v/>
      </c>
    </row>
    <row r="141" spans="1:22" x14ac:dyDescent="0.35">
      <c r="A141">
        <v>139</v>
      </c>
      <c r="B141" s="14">
        <f t="shared" ca="1" si="29"/>
        <v>50300</v>
      </c>
      <c r="C141" s="15">
        <f ca="1">(1+'Dane do harmonogramu'!$C$13*('Roboczy harmonogram'!B141-'Roboczy harmonogram'!B140)/365)</f>
        <v>1.0054356164383562</v>
      </c>
      <c r="D141" s="15">
        <f ca="1">(1+'Dane do harmonogramu'!$C$13*('Roboczy harmonogram'!B141-'Roboczy harmonogram'!B140)/366)</f>
        <v>1.0054207650273224</v>
      </c>
      <c r="E141" s="15">
        <f t="shared" ca="1" si="20"/>
        <v>0</v>
      </c>
      <c r="F141" s="15">
        <f t="shared" ca="1" si="21"/>
        <v>0</v>
      </c>
      <c r="G141">
        <f ca="1">IF(E141=1,(1+'Dane do harmonogramu'!$C$13*((('Roboczy harmonogram'!B141-DATE(YEAR(B141),1,1)+1)/365)+((DATE(YEAR(B140),12,31)-'Roboczy harmonogram'!B140)/366))),IF(F141=1,(1+'Dane do harmonogramu'!$C$13*((('Roboczy harmonogram'!B141-DATE(YEAR(B141),1,1)+1)/366)+((DATE(YEAR(B140),12,31)-'Roboczy harmonogram'!B140)/365))),0))</f>
        <v>0</v>
      </c>
      <c r="H141">
        <f t="shared" ca="1" si="22"/>
        <v>0</v>
      </c>
      <c r="I141">
        <f t="shared" ca="1" si="23"/>
        <v>1.0054356164383562</v>
      </c>
      <c r="J141">
        <f t="shared" ca="1" si="24"/>
        <v>1.0054356164383562</v>
      </c>
      <c r="K141">
        <f ca="1">PRODUCT($J$3:J141)</f>
        <v>2.0895134684228318</v>
      </c>
      <c r="L141">
        <f t="shared" ca="1" si="25"/>
        <v>0.47858030834077447</v>
      </c>
      <c r="M141">
        <f ca="1">SUM($L$3:L141)</f>
        <v>98.229599969500086</v>
      </c>
      <c r="O141">
        <f t="shared" ca="1" si="26"/>
        <v>-1420.2344218259677</v>
      </c>
      <c r="P141" s="16">
        <f t="shared" ca="1" si="27"/>
        <v>15289.395294165699</v>
      </c>
      <c r="Q141" s="17">
        <f t="shared" ca="1" si="28"/>
        <v>-276572.44164823863</v>
      </c>
      <c r="S141">
        <f>IF(A141&lt;='Dane do harmonogramu'!$C$7,'Roboczy harmonogram'!P141,0)</f>
        <v>0</v>
      </c>
      <c r="T141">
        <f>IF(A141&lt;='Dane do harmonogramu'!$C$7,'Roboczy harmonogram'!O141,0)</f>
        <v>0</v>
      </c>
      <c r="U141">
        <f>IF(A141&lt;='Dane do harmonogramu'!$C$7,$N$2,0)</f>
        <v>0</v>
      </c>
      <c r="V141" s="16" t="str">
        <f>IF(A140&lt;='Dane do harmonogramu'!$C$7,Q140*0.15%,"")</f>
        <v/>
      </c>
    </row>
    <row r="142" spans="1:22" x14ac:dyDescent="0.35">
      <c r="A142">
        <v>140</v>
      </c>
      <c r="B142" s="14">
        <f t="shared" ca="1" si="29"/>
        <v>50330</v>
      </c>
      <c r="C142" s="15">
        <f ca="1">(1+'Dane do harmonogramu'!$C$13*('Roboczy harmonogram'!B142-'Roboczy harmonogram'!B141)/365)</f>
        <v>1.0052602739726026</v>
      </c>
      <c r="D142" s="15">
        <f ca="1">(1+'Dane do harmonogramu'!$C$13*('Roboczy harmonogram'!B142-'Roboczy harmonogram'!B141)/366)</f>
        <v>1.0052459016393442</v>
      </c>
      <c r="E142" s="15">
        <f t="shared" ca="1" si="20"/>
        <v>0</v>
      </c>
      <c r="F142" s="15">
        <f t="shared" ca="1" si="21"/>
        <v>0</v>
      </c>
      <c r="G142">
        <f ca="1">IF(E142=1,(1+'Dane do harmonogramu'!$C$13*((('Roboczy harmonogram'!B142-DATE(YEAR(B142),1,1)+1)/365)+((DATE(YEAR(B141),12,31)-'Roboczy harmonogram'!B141)/366))),IF(F142=1,(1+'Dane do harmonogramu'!$C$13*((('Roboczy harmonogram'!B142-DATE(YEAR(B142),1,1)+1)/366)+((DATE(YEAR(B141),12,31)-'Roboczy harmonogram'!B141)/365))),0))</f>
        <v>0</v>
      </c>
      <c r="H142">
        <f t="shared" ca="1" si="22"/>
        <v>0</v>
      </c>
      <c r="I142">
        <f t="shared" ca="1" si="23"/>
        <v>1.0052602739726026</v>
      </c>
      <c r="J142">
        <f t="shared" ca="1" si="24"/>
        <v>1.0052602739726026</v>
      </c>
      <c r="K142">
        <f ca="1">PRODUCT($J$3:J142)</f>
        <v>2.1005048817361791</v>
      </c>
      <c r="L142">
        <f t="shared" ca="1" si="25"/>
        <v>0.47607601805402461</v>
      </c>
      <c r="M142">
        <f ca="1">SUM($L$3:L142)</f>
        <v>98.705675987554116</v>
      </c>
      <c r="O142">
        <f t="shared" ca="1" si="26"/>
        <v>-1454.8468163413927</v>
      </c>
      <c r="P142" s="16">
        <f t="shared" ca="1" si="27"/>
        <v>15324.007688681124</v>
      </c>
      <c r="Q142" s="17">
        <f t="shared" ca="1" si="28"/>
        <v>-291896.44933691976</v>
      </c>
      <c r="S142">
        <f>IF(A142&lt;='Dane do harmonogramu'!$C$7,'Roboczy harmonogram'!P142,0)</f>
        <v>0</v>
      </c>
      <c r="T142">
        <f>IF(A142&lt;='Dane do harmonogramu'!$C$7,'Roboczy harmonogram'!O142,0)</f>
        <v>0</v>
      </c>
      <c r="U142">
        <f>IF(A142&lt;='Dane do harmonogramu'!$C$7,$N$2,0)</f>
        <v>0</v>
      </c>
      <c r="V142" s="16" t="str">
        <f>IF(A141&lt;='Dane do harmonogramu'!$C$7,Q141*0.15%,"")</f>
        <v/>
      </c>
    </row>
    <row r="143" spans="1:22" x14ac:dyDescent="0.35">
      <c r="A143">
        <v>141</v>
      </c>
      <c r="B143" s="14">
        <f t="shared" ca="1" si="29"/>
        <v>50361</v>
      </c>
      <c r="C143" s="15">
        <f ca="1">(1+'Dane do harmonogramu'!$C$13*('Roboczy harmonogram'!B143-'Roboczy harmonogram'!B142)/365)</f>
        <v>1.0054356164383562</v>
      </c>
      <c r="D143" s="15">
        <f ca="1">(1+'Dane do harmonogramu'!$C$13*('Roboczy harmonogram'!B143-'Roboczy harmonogram'!B142)/366)</f>
        <v>1.0054207650273224</v>
      </c>
      <c r="E143" s="15">
        <f t="shared" ca="1" si="20"/>
        <v>0</v>
      </c>
      <c r="F143" s="15">
        <f t="shared" ca="1" si="21"/>
        <v>0</v>
      </c>
      <c r="G143">
        <f ca="1">IF(E143=1,(1+'Dane do harmonogramu'!$C$13*((('Roboczy harmonogram'!B143-DATE(YEAR(B143),1,1)+1)/365)+((DATE(YEAR(B142),12,31)-'Roboczy harmonogram'!B142)/366))),IF(F143=1,(1+'Dane do harmonogramu'!$C$13*((('Roboczy harmonogram'!B143-DATE(YEAR(B143),1,1)+1)/366)+((DATE(YEAR(B142),12,31)-'Roboczy harmonogram'!B142)/365))),0))</f>
        <v>0</v>
      </c>
      <c r="H143">
        <f t="shared" ca="1" si="22"/>
        <v>0</v>
      </c>
      <c r="I143">
        <f t="shared" ca="1" si="23"/>
        <v>1.0054356164383562</v>
      </c>
      <c r="J143">
        <f t="shared" ca="1" si="24"/>
        <v>1.0054356164383562</v>
      </c>
      <c r="K143">
        <f ca="1">PRODUCT($J$3:J143)</f>
        <v>2.1119224206001919</v>
      </c>
      <c r="L143">
        <f t="shared" ca="1" si="25"/>
        <v>0.47350224148660147</v>
      </c>
      <c r="M143">
        <f ca="1">SUM($L$3:L143)</f>
        <v>99.179178229040716</v>
      </c>
      <c r="O143">
        <f t="shared" ca="1" si="26"/>
        <v>-1586.6371383135556</v>
      </c>
      <c r="P143" s="16">
        <f t="shared" ca="1" si="27"/>
        <v>15455.798010653287</v>
      </c>
      <c r="Q143" s="17">
        <f t="shared" ca="1" si="28"/>
        <v>-307352.24734757305</v>
      </c>
      <c r="S143">
        <f>IF(A143&lt;='Dane do harmonogramu'!$C$7,'Roboczy harmonogram'!P143,0)</f>
        <v>0</v>
      </c>
      <c r="T143">
        <f>IF(A143&lt;='Dane do harmonogramu'!$C$7,'Roboczy harmonogram'!O143,0)</f>
        <v>0</v>
      </c>
      <c r="U143">
        <f>IF(A143&lt;='Dane do harmonogramu'!$C$7,$N$2,0)</f>
        <v>0</v>
      </c>
      <c r="V143" s="16" t="str">
        <f>IF(A142&lt;='Dane do harmonogramu'!$C$7,Q142*0.15%,"")</f>
        <v/>
      </c>
    </row>
    <row r="144" spans="1:22" x14ac:dyDescent="0.35">
      <c r="A144">
        <v>142</v>
      </c>
      <c r="B144" s="14">
        <f t="shared" ca="1" si="29"/>
        <v>50391</v>
      </c>
      <c r="C144" s="15">
        <f ca="1">(1+'Dane do harmonogramu'!$C$13*('Roboczy harmonogram'!B144-'Roboczy harmonogram'!B143)/365)</f>
        <v>1.0052602739726026</v>
      </c>
      <c r="D144" s="15">
        <f ca="1">(1+'Dane do harmonogramu'!$C$13*('Roboczy harmonogram'!B144-'Roboczy harmonogram'!B143)/366)</f>
        <v>1.0052459016393442</v>
      </c>
      <c r="E144" s="15">
        <f t="shared" ca="1" si="20"/>
        <v>0</v>
      </c>
      <c r="F144" s="15">
        <f t="shared" ca="1" si="21"/>
        <v>0</v>
      </c>
      <c r="G144">
        <f ca="1">IF(E144=1,(1+'Dane do harmonogramu'!$C$13*((('Roboczy harmonogram'!B144-DATE(YEAR(B144),1,1)+1)/365)+((DATE(YEAR(B143),12,31)-'Roboczy harmonogram'!B143)/366))),IF(F144=1,(1+'Dane do harmonogramu'!$C$13*((('Roboczy harmonogram'!B144-DATE(YEAR(B144),1,1)+1)/366)+((DATE(YEAR(B143),12,31)-'Roboczy harmonogram'!B143)/365))),0))</f>
        <v>0</v>
      </c>
      <c r="H144">
        <f t="shared" ca="1" si="22"/>
        <v>0</v>
      </c>
      <c r="I144">
        <f t="shared" ca="1" si="23"/>
        <v>1.0052602739726026</v>
      </c>
      <c r="J144">
        <f t="shared" ca="1" si="24"/>
        <v>1.0052602739726026</v>
      </c>
      <c r="K144">
        <f ca="1">PRODUCT($J$3:J144)</f>
        <v>2.1230317111414312</v>
      </c>
      <c r="L144">
        <f t="shared" ca="1" si="25"/>
        <v>0.47102452344546369</v>
      </c>
      <c r="M144">
        <f ca="1">SUM($L$3:L144)</f>
        <v>99.65020275248618</v>
      </c>
      <c r="O144">
        <f t="shared" ca="1" si="26"/>
        <v>-1616.7570271433797</v>
      </c>
      <c r="P144" s="16">
        <f t="shared" ca="1" si="27"/>
        <v>15485.917899483111</v>
      </c>
      <c r="Q144" s="17">
        <f t="shared" ca="1" si="28"/>
        <v>-322838.16524705617</v>
      </c>
      <c r="S144">
        <f>IF(A144&lt;='Dane do harmonogramu'!$C$7,'Roboczy harmonogram'!P144,0)</f>
        <v>0</v>
      </c>
      <c r="T144">
        <f>IF(A144&lt;='Dane do harmonogramu'!$C$7,'Roboczy harmonogram'!O144,0)</f>
        <v>0</v>
      </c>
      <c r="U144">
        <f>IF(A144&lt;='Dane do harmonogramu'!$C$7,$N$2,0)</f>
        <v>0</v>
      </c>
      <c r="V144" s="16" t="str">
        <f>IF(A143&lt;='Dane do harmonogramu'!$C$7,Q143*0.15%,"")</f>
        <v/>
      </c>
    </row>
    <row r="145" spans="1:22" x14ac:dyDescent="0.35">
      <c r="A145">
        <v>143</v>
      </c>
      <c r="B145" s="14">
        <f t="shared" ca="1" si="29"/>
        <v>50422</v>
      </c>
      <c r="C145" s="15">
        <f ca="1">(1+'Dane do harmonogramu'!$C$13*('Roboczy harmonogram'!B145-'Roboczy harmonogram'!B144)/365)</f>
        <v>1.0054356164383562</v>
      </c>
      <c r="D145" s="15">
        <f ca="1">(1+'Dane do harmonogramu'!$C$13*('Roboczy harmonogram'!B145-'Roboczy harmonogram'!B144)/366)</f>
        <v>1.0054207650273224</v>
      </c>
      <c r="E145" s="15">
        <f t="shared" ca="1" si="20"/>
        <v>0</v>
      </c>
      <c r="F145" s="15">
        <f t="shared" ca="1" si="21"/>
        <v>0</v>
      </c>
      <c r="G145">
        <f ca="1">IF(E145=1,(1+'Dane do harmonogramu'!$C$13*((('Roboczy harmonogram'!B145-DATE(YEAR(B145),1,1)+1)/365)+((DATE(YEAR(B144),12,31)-'Roboczy harmonogram'!B144)/366))),IF(F145=1,(1+'Dane do harmonogramu'!$C$13*((('Roboczy harmonogram'!B145-DATE(YEAR(B145),1,1)+1)/366)+((DATE(YEAR(B144),12,31)-'Roboczy harmonogram'!B144)/365))),0))</f>
        <v>0</v>
      </c>
      <c r="H145">
        <f t="shared" ca="1" si="22"/>
        <v>0</v>
      </c>
      <c r="I145">
        <f t="shared" ca="1" si="23"/>
        <v>1.0054356164383562</v>
      </c>
      <c r="J145">
        <f t="shared" ca="1" si="24"/>
        <v>1.0054356164383562</v>
      </c>
      <c r="K145">
        <f ca="1">PRODUCT($J$3:J145)</f>
        <v>2.1345716972096631</v>
      </c>
      <c r="L145">
        <f t="shared" ca="1" si="25"/>
        <v>0.46847805642097268</v>
      </c>
      <c r="M145">
        <f ca="1">SUM($L$3:L145)</f>
        <v>100.11868080890716</v>
      </c>
      <c r="O145">
        <f t="shared" ca="1" si="26"/>
        <v>-1754.8244379456737</v>
      </c>
      <c r="P145" s="16">
        <f t="shared" ca="1" si="27"/>
        <v>15623.985310285405</v>
      </c>
      <c r="Q145" s="17">
        <f t="shared" ca="1" si="28"/>
        <v>-338462.15055734158</v>
      </c>
      <c r="S145">
        <f>IF(A145&lt;='Dane do harmonogramu'!$C$7,'Roboczy harmonogram'!P145,0)</f>
        <v>0</v>
      </c>
      <c r="T145">
        <f>IF(A145&lt;='Dane do harmonogramu'!$C$7,'Roboczy harmonogram'!O145,0)</f>
        <v>0</v>
      </c>
      <c r="U145">
        <f>IF(A145&lt;='Dane do harmonogramu'!$C$7,$N$2,0)</f>
        <v>0</v>
      </c>
      <c r="V145" s="16" t="str">
        <f>IF(A144&lt;='Dane do harmonogramu'!$C$7,Q144*0.15%,"")</f>
        <v/>
      </c>
    </row>
    <row r="146" spans="1:22" x14ac:dyDescent="0.35">
      <c r="A146">
        <v>144</v>
      </c>
      <c r="B146" s="14">
        <f t="shared" ca="1" si="29"/>
        <v>50453</v>
      </c>
      <c r="C146" s="15">
        <f ca="1">(1+'Dane do harmonogramu'!$C$13*('Roboczy harmonogram'!B146-'Roboczy harmonogram'!B145)/365)</f>
        <v>1.0054356164383562</v>
      </c>
      <c r="D146" s="15">
        <f ca="1">(1+'Dane do harmonogramu'!$C$13*('Roboczy harmonogram'!B146-'Roboczy harmonogram'!B145)/366)</f>
        <v>1.0054207650273224</v>
      </c>
      <c r="E146" s="15">
        <f t="shared" ca="1" si="20"/>
        <v>0</v>
      </c>
      <c r="F146" s="15">
        <f t="shared" ca="1" si="21"/>
        <v>0</v>
      </c>
      <c r="G146">
        <f ca="1">IF(E146=1,(1+'Dane do harmonogramu'!$C$13*((('Roboczy harmonogram'!B146-DATE(YEAR(B146),1,1)+1)/365)+((DATE(YEAR(B145),12,31)-'Roboczy harmonogram'!B145)/366))),IF(F146=1,(1+'Dane do harmonogramu'!$C$13*((('Roboczy harmonogram'!B146-DATE(YEAR(B146),1,1)+1)/366)+((DATE(YEAR(B145),12,31)-'Roboczy harmonogram'!B145)/365))),0))</f>
        <v>0</v>
      </c>
      <c r="H146">
        <f t="shared" ca="1" si="22"/>
        <v>0</v>
      </c>
      <c r="I146">
        <f t="shared" ca="1" si="23"/>
        <v>1.0054356164383562</v>
      </c>
      <c r="J146">
        <f t="shared" ca="1" si="24"/>
        <v>1.0054356164383562</v>
      </c>
      <c r="K146">
        <f ca="1">PRODUCT($J$3:J146)</f>
        <v>2.146174410215866</v>
      </c>
      <c r="L146">
        <f t="shared" ca="1" si="25"/>
        <v>0.46594535618352578</v>
      </c>
      <c r="M146">
        <f ca="1">SUM($L$3:L146)</f>
        <v>100.58462616509068</v>
      </c>
      <c r="O146">
        <f t="shared" ca="1" si="26"/>
        <v>-1839.7504293308593</v>
      </c>
      <c r="P146" s="16">
        <f t="shared" ca="1" si="27"/>
        <v>15708.911301670591</v>
      </c>
      <c r="Q146" s="17">
        <f t="shared" ca="1" si="28"/>
        <v>-354171.06185901217</v>
      </c>
      <c r="S146">
        <f>IF(A146&lt;='Dane do harmonogramu'!$C$7,'Roboczy harmonogram'!P146,0)</f>
        <v>0</v>
      </c>
      <c r="T146">
        <f>IF(A146&lt;='Dane do harmonogramu'!$C$7,'Roboczy harmonogram'!O146,0)</f>
        <v>0</v>
      </c>
      <c r="U146">
        <f>IF(A146&lt;='Dane do harmonogramu'!$C$7,$N$2,0)</f>
        <v>0</v>
      </c>
      <c r="V146" s="16" t="str">
        <f>IF(A145&lt;='Dane do harmonogramu'!$C$7,Q145*0.15%,"")</f>
        <v/>
      </c>
    </row>
    <row r="147" spans="1:22" x14ac:dyDescent="0.35">
      <c r="A147">
        <v>145</v>
      </c>
      <c r="B147" s="14">
        <f t="shared" ca="1" si="29"/>
        <v>50481</v>
      </c>
      <c r="C147" s="15">
        <f ca="1">(1+'Dane do harmonogramu'!$C$13*('Roboczy harmonogram'!B147-'Roboczy harmonogram'!B146)/365)</f>
        <v>1.004909589041096</v>
      </c>
      <c r="D147" s="15">
        <f ca="1">(1+'Dane do harmonogramu'!$C$13*('Roboczy harmonogram'!B147-'Roboczy harmonogram'!B146)/366)</f>
        <v>1.004896174863388</v>
      </c>
      <c r="E147" s="15">
        <f t="shared" ca="1" si="20"/>
        <v>0</v>
      </c>
      <c r="F147" s="15">
        <f t="shared" ca="1" si="21"/>
        <v>0</v>
      </c>
      <c r="G147">
        <f ca="1">IF(E147=1,(1+'Dane do harmonogramu'!$C$13*((('Roboczy harmonogram'!B147-DATE(YEAR(B147),1,1)+1)/365)+((DATE(YEAR(B146),12,31)-'Roboczy harmonogram'!B146)/366))),IF(F147=1,(1+'Dane do harmonogramu'!$C$13*((('Roboczy harmonogram'!B147-DATE(YEAR(B147),1,1)+1)/366)+((DATE(YEAR(B146),12,31)-'Roboczy harmonogram'!B146)/365))),0))</f>
        <v>0</v>
      </c>
      <c r="H147">
        <f t="shared" ca="1" si="22"/>
        <v>0</v>
      </c>
      <c r="I147">
        <f t="shared" ca="1" si="23"/>
        <v>1.004909589041096</v>
      </c>
      <c r="J147">
        <f t="shared" ca="1" si="24"/>
        <v>1.004909589041096</v>
      </c>
      <c r="K147">
        <f ca="1">PRODUCT($J$3:J147)</f>
        <v>2.1567112445805425</v>
      </c>
      <c r="L147">
        <f t="shared" ca="1" si="25"/>
        <v>0.46366893227493206</v>
      </c>
      <c r="M147">
        <f ca="1">SUM($L$3:L147)</f>
        <v>101.04829509736561</v>
      </c>
      <c r="O147">
        <f t="shared" ca="1" si="26"/>
        <v>-1738.8343639763189</v>
      </c>
      <c r="P147" s="16">
        <f t="shared" ca="1" si="27"/>
        <v>15607.99523631605</v>
      </c>
      <c r="Q147" s="17">
        <f t="shared" ca="1" si="28"/>
        <v>-369779.05709532823</v>
      </c>
      <c r="S147">
        <f>IF(A147&lt;='Dane do harmonogramu'!$C$7,'Roboczy harmonogram'!P147,0)</f>
        <v>0</v>
      </c>
      <c r="T147">
        <f>IF(A147&lt;='Dane do harmonogramu'!$C$7,'Roboczy harmonogram'!O147,0)</f>
        <v>0</v>
      </c>
      <c r="U147">
        <f>IF(A147&lt;='Dane do harmonogramu'!$C$7,$N$2,0)</f>
        <v>0</v>
      </c>
      <c r="V147" s="16" t="str">
        <f>IF(A146&lt;='Dane do harmonogramu'!$C$7,Q146*0.15%,"")</f>
        <v/>
      </c>
    </row>
    <row r="148" spans="1:22" x14ac:dyDescent="0.35">
      <c r="A148">
        <v>146</v>
      </c>
      <c r="B148" s="14">
        <f t="shared" ca="1" si="29"/>
        <v>50512</v>
      </c>
      <c r="C148" s="15">
        <f ca="1">(1+'Dane do harmonogramu'!$C$13*('Roboczy harmonogram'!B148-'Roboczy harmonogram'!B147)/365)</f>
        <v>1.0054356164383562</v>
      </c>
      <c r="D148" s="15">
        <f ca="1">(1+'Dane do harmonogramu'!$C$13*('Roboczy harmonogram'!B148-'Roboczy harmonogram'!B147)/366)</f>
        <v>1.0054207650273224</v>
      </c>
      <c r="E148" s="15">
        <f t="shared" ca="1" si="20"/>
        <v>0</v>
      </c>
      <c r="F148" s="15">
        <f t="shared" ca="1" si="21"/>
        <v>0</v>
      </c>
      <c r="G148">
        <f ca="1">IF(E148=1,(1+'Dane do harmonogramu'!$C$13*((('Roboczy harmonogram'!B148-DATE(YEAR(B148),1,1)+1)/365)+((DATE(YEAR(B147),12,31)-'Roboczy harmonogram'!B147)/366))),IF(F148=1,(1+'Dane do harmonogramu'!$C$13*((('Roboczy harmonogram'!B148-DATE(YEAR(B148),1,1)+1)/366)+((DATE(YEAR(B147),12,31)-'Roboczy harmonogram'!B147)/365))),0))</f>
        <v>0</v>
      </c>
      <c r="H148">
        <f t="shared" ca="1" si="22"/>
        <v>0</v>
      </c>
      <c r="I148">
        <f t="shared" ca="1" si="23"/>
        <v>1.0054356164383562</v>
      </c>
      <c r="J148">
        <f t="shared" ca="1" si="24"/>
        <v>1.0054356164383562</v>
      </c>
      <c r="K148">
        <f ca="1">PRODUCT($J$3:J148)</f>
        <v>2.1684342996743724</v>
      </c>
      <c r="L148">
        <f t="shared" ca="1" si="25"/>
        <v>0.46116223126989236</v>
      </c>
      <c r="M148">
        <f ca="1">SUM($L$3:L148)</f>
        <v>101.50945732863551</v>
      </c>
      <c r="O148">
        <f t="shared" ca="1" si="26"/>
        <v>-2009.9771213072236</v>
      </c>
      <c r="P148" s="16">
        <f t="shared" ca="1" si="27"/>
        <v>15879.137993646955</v>
      </c>
      <c r="Q148" s="17">
        <f t="shared" ca="1" si="28"/>
        <v>-385658.19508897519</v>
      </c>
      <c r="S148">
        <f>IF(A148&lt;='Dane do harmonogramu'!$C$7,'Roboczy harmonogram'!P148,0)</f>
        <v>0</v>
      </c>
      <c r="T148">
        <f>IF(A148&lt;='Dane do harmonogramu'!$C$7,'Roboczy harmonogram'!O148,0)</f>
        <v>0</v>
      </c>
      <c r="U148">
        <f>IF(A148&lt;='Dane do harmonogramu'!$C$7,$N$2,0)</f>
        <v>0</v>
      </c>
      <c r="V148" s="16" t="str">
        <f>IF(A147&lt;='Dane do harmonogramu'!$C$7,Q147*0.15%,"")</f>
        <v/>
      </c>
    </row>
    <row r="149" spans="1:22" x14ac:dyDescent="0.35">
      <c r="A149">
        <v>147</v>
      </c>
      <c r="B149" s="14">
        <f t="shared" ca="1" si="29"/>
        <v>50542</v>
      </c>
      <c r="C149" s="15">
        <f ca="1">(1+'Dane do harmonogramu'!$C$13*('Roboczy harmonogram'!B149-'Roboczy harmonogram'!B148)/365)</f>
        <v>1.0052602739726026</v>
      </c>
      <c r="D149" s="15">
        <f ca="1">(1+'Dane do harmonogramu'!$C$13*('Roboczy harmonogram'!B149-'Roboczy harmonogram'!B148)/366)</f>
        <v>1.0052459016393442</v>
      </c>
      <c r="E149" s="15">
        <f t="shared" ca="1" si="20"/>
        <v>0</v>
      </c>
      <c r="F149" s="15">
        <f t="shared" ca="1" si="21"/>
        <v>0</v>
      </c>
      <c r="G149">
        <f ca="1">IF(E149=1,(1+'Dane do harmonogramu'!$C$13*((('Roboczy harmonogram'!B149-DATE(YEAR(B149),1,1)+1)/365)+((DATE(YEAR(B148),12,31)-'Roboczy harmonogram'!B148)/366))),IF(F149=1,(1+'Dane do harmonogramu'!$C$13*((('Roboczy harmonogram'!B149-DATE(YEAR(B149),1,1)+1)/366)+((DATE(YEAR(B148),12,31)-'Roboczy harmonogram'!B148)/365))),0))</f>
        <v>0</v>
      </c>
      <c r="H149">
        <f t="shared" ca="1" si="22"/>
        <v>0</v>
      </c>
      <c r="I149">
        <f t="shared" ca="1" si="23"/>
        <v>1.0052602739726026</v>
      </c>
      <c r="J149">
        <f t="shared" ca="1" si="24"/>
        <v>1.0052602739726026</v>
      </c>
      <c r="K149">
        <f ca="1">PRODUCT($J$3:J149)</f>
        <v>2.1798408581822484</v>
      </c>
      <c r="L149">
        <f t="shared" ca="1" si="25"/>
        <v>0.45874908539602838</v>
      </c>
      <c r="M149">
        <f ca="1">SUM($L$3:L149)</f>
        <v>101.96820641403153</v>
      </c>
      <c r="O149">
        <f t="shared" ca="1" si="26"/>
        <v>-2028.6677659474663</v>
      </c>
      <c r="P149" s="16">
        <f t="shared" ca="1" si="27"/>
        <v>15897.828638287197</v>
      </c>
      <c r="Q149" s="17">
        <f t="shared" ca="1" si="28"/>
        <v>-401556.02372726239</v>
      </c>
      <c r="S149">
        <f>IF(A149&lt;='Dane do harmonogramu'!$C$7,'Roboczy harmonogram'!P149,0)</f>
        <v>0</v>
      </c>
      <c r="T149">
        <f>IF(A149&lt;='Dane do harmonogramu'!$C$7,'Roboczy harmonogram'!O149,0)</f>
        <v>0</v>
      </c>
      <c r="U149">
        <f>IF(A149&lt;='Dane do harmonogramu'!$C$7,$N$2,0)</f>
        <v>0</v>
      </c>
      <c r="V149" s="16" t="str">
        <f>IF(A148&lt;='Dane do harmonogramu'!$C$7,Q148*0.15%,"")</f>
        <v/>
      </c>
    </row>
    <row r="150" spans="1:22" x14ac:dyDescent="0.35">
      <c r="A150">
        <v>148</v>
      </c>
      <c r="B150" s="14">
        <f t="shared" ca="1" si="29"/>
        <v>50573</v>
      </c>
      <c r="C150" s="15">
        <f ca="1">(1+'Dane do harmonogramu'!$C$13*('Roboczy harmonogram'!B150-'Roboczy harmonogram'!B149)/365)</f>
        <v>1.0054356164383562</v>
      </c>
      <c r="D150" s="15">
        <f ca="1">(1+'Dane do harmonogramu'!$C$13*('Roboczy harmonogram'!B150-'Roboczy harmonogram'!B149)/366)</f>
        <v>1.0054207650273224</v>
      </c>
      <c r="E150" s="15">
        <f t="shared" ca="1" si="20"/>
        <v>0</v>
      </c>
      <c r="F150" s="15">
        <f t="shared" ca="1" si="21"/>
        <v>0</v>
      </c>
      <c r="G150">
        <f ca="1">IF(E150=1,(1+'Dane do harmonogramu'!$C$13*((('Roboczy harmonogram'!B150-DATE(YEAR(B150),1,1)+1)/365)+((DATE(YEAR(B149),12,31)-'Roboczy harmonogram'!B149)/366))),IF(F150=1,(1+'Dane do harmonogramu'!$C$13*((('Roboczy harmonogram'!B150-DATE(YEAR(B150),1,1)+1)/366)+((DATE(YEAR(B149),12,31)-'Roboczy harmonogram'!B149)/365))),0))</f>
        <v>0</v>
      </c>
      <c r="H150">
        <f t="shared" ca="1" si="22"/>
        <v>0</v>
      </c>
      <c r="I150">
        <f t="shared" ca="1" si="23"/>
        <v>1.0054356164383562</v>
      </c>
      <c r="J150">
        <f t="shared" ca="1" si="24"/>
        <v>1.0054356164383562</v>
      </c>
      <c r="K150">
        <f ca="1">PRODUCT($J$3:J150)</f>
        <v>2.1916896369839844</v>
      </c>
      <c r="L150">
        <f t="shared" ca="1" si="25"/>
        <v>0.45626898221598305</v>
      </c>
      <c r="M150">
        <f ca="1">SUM($L$3:L150)</f>
        <v>102.42447539624752</v>
      </c>
      <c r="O150">
        <f t="shared" ca="1" si="26"/>
        <v>-2182.7045234928373</v>
      </c>
      <c r="P150" s="16">
        <f t="shared" ca="1" si="27"/>
        <v>16051.865395832569</v>
      </c>
      <c r="Q150" s="17">
        <f t="shared" ca="1" si="28"/>
        <v>-417607.88912309497</v>
      </c>
      <c r="S150">
        <f>IF(A150&lt;='Dane do harmonogramu'!$C$7,'Roboczy harmonogram'!P150,0)</f>
        <v>0</v>
      </c>
      <c r="T150">
        <f>IF(A150&lt;='Dane do harmonogramu'!$C$7,'Roboczy harmonogram'!O150,0)</f>
        <v>0</v>
      </c>
      <c r="U150">
        <f>IF(A150&lt;='Dane do harmonogramu'!$C$7,$N$2,0)</f>
        <v>0</v>
      </c>
      <c r="V150" s="16" t="str">
        <f>IF(A149&lt;='Dane do harmonogramu'!$C$7,Q149*0.15%,"")</f>
        <v/>
      </c>
    </row>
    <row r="151" spans="1:22" x14ac:dyDescent="0.35">
      <c r="A151">
        <v>149</v>
      </c>
      <c r="B151" s="14">
        <f t="shared" ca="1" si="29"/>
        <v>50603</v>
      </c>
      <c r="C151" s="15">
        <f ca="1">(1+'Dane do harmonogramu'!$C$13*('Roboczy harmonogram'!B151-'Roboczy harmonogram'!B150)/365)</f>
        <v>1.0052602739726026</v>
      </c>
      <c r="D151" s="15">
        <f ca="1">(1+'Dane do harmonogramu'!$C$13*('Roboczy harmonogram'!B151-'Roboczy harmonogram'!B150)/366)</f>
        <v>1.0052459016393442</v>
      </c>
      <c r="E151" s="15">
        <f t="shared" ca="1" si="20"/>
        <v>0</v>
      </c>
      <c r="F151" s="15">
        <f t="shared" ca="1" si="21"/>
        <v>0</v>
      </c>
      <c r="G151">
        <f ca="1">IF(E151=1,(1+'Dane do harmonogramu'!$C$13*((('Roboczy harmonogram'!B151-DATE(YEAR(B151),1,1)+1)/365)+((DATE(YEAR(B150),12,31)-'Roboczy harmonogram'!B150)/366))),IF(F151=1,(1+'Dane do harmonogramu'!$C$13*((('Roboczy harmonogram'!B151-DATE(YEAR(B151),1,1)+1)/366)+((DATE(YEAR(B150),12,31)-'Roboczy harmonogram'!B150)/365))),0))</f>
        <v>0</v>
      </c>
      <c r="H151">
        <f t="shared" ca="1" si="22"/>
        <v>0</v>
      </c>
      <c r="I151">
        <f t="shared" ca="1" si="23"/>
        <v>1.0052602739726026</v>
      </c>
      <c r="J151">
        <f t="shared" ca="1" si="24"/>
        <v>1.0052602739726026</v>
      </c>
      <c r="K151">
        <f ca="1">PRODUCT($J$3:J151)</f>
        <v>2.2032185249374341</v>
      </c>
      <c r="L151">
        <f t="shared" ca="1" si="25"/>
        <v>0.45388144148270426</v>
      </c>
      <c r="M151">
        <f ca="1">SUM($L$3:L151)</f>
        <v>102.87835683773022</v>
      </c>
      <c r="O151">
        <f t="shared" ca="1" si="26"/>
        <v>-2196.7319099077722</v>
      </c>
      <c r="P151" s="16">
        <f t="shared" ca="1" si="27"/>
        <v>16065.892782247503</v>
      </c>
      <c r="Q151" s="17">
        <f t="shared" ca="1" si="28"/>
        <v>-433673.78190534248</v>
      </c>
      <c r="S151">
        <f>IF(A151&lt;='Dane do harmonogramu'!$C$7,'Roboczy harmonogram'!P151,0)</f>
        <v>0</v>
      </c>
      <c r="T151">
        <f>IF(A151&lt;='Dane do harmonogramu'!$C$7,'Roboczy harmonogram'!O151,0)</f>
        <v>0</v>
      </c>
      <c r="U151">
        <f>IF(A151&lt;='Dane do harmonogramu'!$C$7,$N$2,0)</f>
        <v>0</v>
      </c>
      <c r="V151" s="16" t="str">
        <f>IF(A150&lt;='Dane do harmonogramu'!$C$7,Q150*0.15%,"")</f>
        <v/>
      </c>
    </row>
    <row r="152" spans="1:22" x14ac:dyDescent="0.35">
      <c r="A152">
        <v>150</v>
      </c>
      <c r="B152" s="14">
        <f t="shared" ca="1" si="29"/>
        <v>50634</v>
      </c>
      <c r="C152" s="15">
        <f ca="1">(1+'Dane do harmonogramu'!$C$13*('Roboczy harmonogram'!B152-'Roboczy harmonogram'!B151)/365)</f>
        <v>1.0054356164383562</v>
      </c>
      <c r="D152" s="15">
        <f ca="1">(1+'Dane do harmonogramu'!$C$13*('Roboczy harmonogram'!B152-'Roboczy harmonogram'!B151)/366)</f>
        <v>1.0054207650273224</v>
      </c>
      <c r="E152" s="15">
        <f t="shared" ca="1" si="20"/>
        <v>0</v>
      </c>
      <c r="F152" s="15">
        <f t="shared" ca="1" si="21"/>
        <v>0</v>
      </c>
      <c r="G152">
        <f ca="1">IF(E152=1,(1+'Dane do harmonogramu'!$C$13*((('Roboczy harmonogram'!B152-DATE(YEAR(B152),1,1)+1)/365)+((DATE(YEAR(B151),12,31)-'Roboczy harmonogram'!B151)/366))),IF(F152=1,(1+'Dane do harmonogramu'!$C$13*((('Roboczy harmonogram'!B152-DATE(YEAR(B152),1,1)+1)/366)+((DATE(YEAR(B151),12,31)-'Roboczy harmonogram'!B151)/365))),0))</f>
        <v>0</v>
      </c>
      <c r="H152">
        <f t="shared" ca="1" si="22"/>
        <v>0</v>
      </c>
      <c r="I152">
        <f t="shared" ca="1" si="23"/>
        <v>1.0054356164383562</v>
      </c>
      <c r="J152">
        <f t="shared" ca="1" si="24"/>
        <v>1.0054356164383562</v>
      </c>
      <c r="K152">
        <f ca="1">PRODUCT($J$3:J152)</f>
        <v>2.215194375768875</v>
      </c>
      <c r="L152">
        <f t="shared" ca="1" si="25"/>
        <v>0.45142765390640205</v>
      </c>
      <c r="M152">
        <f ca="1">SUM($L$3:L152)</f>
        <v>103.32978449163663</v>
      </c>
      <c r="O152">
        <f t="shared" ca="1" si="26"/>
        <v>-2357.2843378087855</v>
      </c>
      <c r="P152" s="16">
        <f t="shared" ca="1" si="27"/>
        <v>16226.445210148517</v>
      </c>
      <c r="Q152" s="17">
        <f t="shared" ca="1" si="28"/>
        <v>-449900.227115491</v>
      </c>
      <c r="S152">
        <f>IF(A152&lt;='Dane do harmonogramu'!$C$7,'Roboczy harmonogram'!P152,0)</f>
        <v>0</v>
      </c>
      <c r="T152">
        <f>IF(A152&lt;='Dane do harmonogramu'!$C$7,'Roboczy harmonogram'!O152,0)</f>
        <v>0</v>
      </c>
      <c r="U152">
        <f>IF(A152&lt;='Dane do harmonogramu'!$C$7,$N$2,0)</f>
        <v>0</v>
      </c>
      <c r="V152" s="16" t="str">
        <f>IF(A151&lt;='Dane do harmonogramu'!$C$7,Q151*0.15%,"")</f>
        <v/>
      </c>
    </row>
    <row r="153" spans="1:22" x14ac:dyDescent="0.35">
      <c r="A153">
        <v>151</v>
      </c>
      <c r="B153" s="14">
        <f t="shared" ca="1" si="29"/>
        <v>50665</v>
      </c>
      <c r="C153" s="15">
        <f ca="1">(1+'Dane do harmonogramu'!$C$13*('Roboczy harmonogram'!B153-'Roboczy harmonogram'!B152)/365)</f>
        <v>1.0054356164383562</v>
      </c>
      <c r="D153" s="15">
        <f ca="1">(1+'Dane do harmonogramu'!$C$13*('Roboczy harmonogram'!B153-'Roboczy harmonogram'!B152)/366)</f>
        <v>1.0054207650273224</v>
      </c>
      <c r="E153" s="15">
        <f t="shared" ca="1" si="20"/>
        <v>0</v>
      </c>
      <c r="F153" s="15">
        <f t="shared" ca="1" si="21"/>
        <v>0</v>
      </c>
      <c r="G153">
        <f ca="1">IF(E153=1,(1+'Dane do harmonogramu'!$C$13*((('Roboczy harmonogram'!B153-DATE(YEAR(B153),1,1)+1)/365)+((DATE(YEAR(B152),12,31)-'Roboczy harmonogram'!B152)/366))),IF(F153=1,(1+'Dane do harmonogramu'!$C$13*((('Roboczy harmonogram'!B153-DATE(YEAR(B153),1,1)+1)/366)+((DATE(YEAR(B152),12,31)-'Roboczy harmonogram'!B152)/365))),0))</f>
        <v>0</v>
      </c>
      <c r="H153">
        <f t="shared" ca="1" si="22"/>
        <v>0</v>
      </c>
      <c r="I153">
        <f t="shared" ca="1" si="23"/>
        <v>1.0054356164383562</v>
      </c>
      <c r="J153">
        <f t="shared" ca="1" si="24"/>
        <v>1.0054356164383562</v>
      </c>
      <c r="K153">
        <f ca="1">PRODUCT($J$3:J153)</f>
        <v>2.2272353227319583</v>
      </c>
      <c r="L153">
        <f t="shared" ca="1" si="25"/>
        <v>0.44898713207070812</v>
      </c>
      <c r="M153">
        <f ca="1">SUM($L$3:L153)</f>
        <v>103.77877162370734</v>
      </c>
      <c r="O153">
        <f t="shared" ca="1" si="26"/>
        <v>-2445.485070129158</v>
      </c>
      <c r="P153" s="16">
        <f t="shared" ca="1" si="27"/>
        <v>16314.645942468889</v>
      </c>
      <c r="Q153" s="17">
        <f t="shared" ca="1" si="28"/>
        <v>-466214.87305795989</v>
      </c>
      <c r="S153">
        <f>IF(A153&lt;='Dane do harmonogramu'!$C$7,'Roboczy harmonogram'!P153,0)</f>
        <v>0</v>
      </c>
      <c r="T153">
        <f>IF(A153&lt;='Dane do harmonogramu'!$C$7,'Roboczy harmonogram'!O153,0)</f>
        <v>0</v>
      </c>
      <c r="U153">
        <f>IF(A153&lt;='Dane do harmonogramu'!$C$7,$N$2,0)</f>
        <v>0</v>
      </c>
      <c r="V153" s="16" t="str">
        <f>IF(A152&lt;='Dane do harmonogramu'!$C$7,Q152*0.15%,"")</f>
        <v/>
      </c>
    </row>
    <row r="154" spans="1:22" x14ac:dyDescent="0.35">
      <c r="A154">
        <v>152</v>
      </c>
      <c r="B154" s="14">
        <f t="shared" ca="1" si="29"/>
        <v>50695</v>
      </c>
      <c r="C154" s="15">
        <f ca="1">(1+'Dane do harmonogramu'!$C$13*('Roboczy harmonogram'!B154-'Roboczy harmonogram'!B153)/365)</f>
        <v>1.0052602739726026</v>
      </c>
      <c r="D154" s="15">
        <f ca="1">(1+'Dane do harmonogramu'!$C$13*('Roboczy harmonogram'!B154-'Roboczy harmonogram'!B153)/366)</f>
        <v>1.0052459016393442</v>
      </c>
      <c r="E154" s="15">
        <f t="shared" ca="1" si="20"/>
        <v>0</v>
      </c>
      <c r="F154" s="15">
        <f t="shared" ca="1" si="21"/>
        <v>0</v>
      </c>
      <c r="G154">
        <f ca="1">IF(E154=1,(1+'Dane do harmonogramu'!$C$13*((('Roboczy harmonogram'!B154-DATE(YEAR(B154),1,1)+1)/365)+((DATE(YEAR(B153),12,31)-'Roboczy harmonogram'!B153)/366))),IF(F154=1,(1+'Dane do harmonogramu'!$C$13*((('Roboczy harmonogram'!B154-DATE(YEAR(B154),1,1)+1)/366)+((DATE(YEAR(B153),12,31)-'Roboczy harmonogram'!B153)/365))),0))</f>
        <v>0</v>
      </c>
      <c r="H154">
        <f t="shared" ca="1" si="22"/>
        <v>0</v>
      </c>
      <c r="I154">
        <f t="shared" ca="1" si="23"/>
        <v>1.0052602739726026</v>
      </c>
      <c r="J154">
        <f t="shared" ca="1" si="24"/>
        <v>1.0052602739726026</v>
      </c>
      <c r="K154">
        <f ca="1">PRODUCT($J$3:J154)</f>
        <v>2.2389511907309867</v>
      </c>
      <c r="L154">
        <f t="shared" ca="1" si="25"/>
        <v>0.44663769542627402</v>
      </c>
      <c r="M154">
        <f ca="1">SUM($L$3:L154)</f>
        <v>104.22540931913362</v>
      </c>
      <c r="O154">
        <f t="shared" ca="1" si="26"/>
        <v>-2452.4179623870295</v>
      </c>
      <c r="P154" s="16">
        <f t="shared" ca="1" si="27"/>
        <v>16321.578834726761</v>
      </c>
      <c r="Q154" s="17">
        <f t="shared" ca="1" si="28"/>
        <v>-482536.45189268666</v>
      </c>
      <c r="S154">
        <f>IF(A154&lt;='Dane do harmonogramu'!$C$7,'Roboczy harmonogram'!P154,0)</f>
        <v>0</v>
      </c>
      <c r="T154">
        <f>IF(A154&lt;='Dane do harmonogramu'!$C$7,'Roboczy harmonogram'!O154,0)</f>
        <v>0</v>
      </c>
      <c r="U154">
        <f>IF(A154&lt;='Dane do harmonogramu'!$C$7,$N$2,0)</f>
        <v>0</v>
      </c>
      <c r="V154" s="16" t="str">
        <f>IF(A153&lt;='Dane do harmonogramu'!$C$7,Q153*0.15%,"")</f>
        <v/>
      </c>
    </row>
    <row r="155" spans="1:22" x14ac:dyDescent="0.35">
      <c r="A155">
        <v>153</v>
      </c>
      <c r="B155" s="14">
        <f t="shared" ca="1" si="29"/>
        <v>50726</v>
      </c>
      <c r="C155" s="15">
        <f ca="1">(1+'Dane do harmonogramu'!$C$13*('Roboczy harmonogram'!B155-'Roboczy harmonogram'!B154)/365)</f>
        <v>1.0054356164383562</v>
      </c>
      <c r="D155" s="15">
        <f ca="1">(1+'Dane do harmonogramu'!$C$13*('Roboczy harmonogram'!B155-'Roboczy harmonogram'!B154)/366)</f>
        <v>1.0054207650273224</v>
      </c>
      <c r="E155" s="15">
        <f t="shared" ca="1" si="20"/>
        <v>0</v>
      </c>
      <c r="F155" s="15">
        <f t="shared" ca="1" si="21"/>
        <v>0</v>
      </c>
      <c r="G155">
        <f ca="1">IF(E155=1,(1+'Dane do harmonogramu'!$C$13*((('Roboczy harmonogram'!B155-DATE(YEAR(B155),1,1)+1)/365)+((DATE(YEAR(B154),12,31)-'Roboczy harmonogram'!B154)/366))),IF(F155=1,(1+'Dane do harmonogramu'!$C$13*((('Roboczy harmonogram'!B155-DATE(YEAR(B155),1,1)+1)/366)+((DATE(YEAR(B154),12,31)-'Roboczy harmonogram'!B154)/365))),0))</f>
        <v>0</v>
      </c>
      <c r="H155">
        <f t="shared" ca="1" si="22"/>
        <v>0</v>
      </c>
      <c r="I155">
        <f t="shared" ca="1" si="23"/>
        <v>1.0054356164383562</v>
      </c>
      <c r="J155">
        <f t="shared" ca="1" si="24"/>
        <v>1.0054356164383562</v>
      </c>
      <c r="K155">
        <f ca="1">PRODUCT($J$3:J155)</f>
        <v>2.2511212706280013</v>
      </c>
      <c r="L155">
        <f t="shared" ca="1" si="25"/>
        <v>0.44422306920898463</v>
      </c>
      <c r="M155">
        <f ca="1">SUM($L$3:L155)</f>
        <v>104.66963238834261</v>
      </c>
      <c r="O155">
        <f t="shared" ca="1" si="26"/>
        <v>-2622.8830700139515</v>
      </c>
      <c r="P155" s="16">
        <f t="shared" ca="1" si="27"/>
        <v>16492.043942353681</v>
      </c>
      <c r="Q155" s="17">
        <f t="shared" ca="1" si="28"/>
        <v>-499028.49583504035</v>
      </c>
      <c r="S155">
        <f>IF(A155&lt;='Dane do harmonogramu'!$C$7,'Roboczy harmonogram'!P155,0)</f>
        <v>0</v>
      </c>
      <c r="T155">
        <f>IF(A155&lt;='Dane do harmonogramu'!$C$7,'Roboczy harmonogram'!O155,0)</f>
        <v>0</v>
      </c>
      <c r="U155">
        <f>IF(A155&lt;='Dane do harmonogramu'!$C$7,$N$2,0)</f>
        <v>0</v>
      </c>
      <c r="V155" s="16" t="str">
        <f>IF(A154&lt;='Dane do harmonogramu'!$C$7,Q154*0.15%,"")</f>
        <v/>
      </c>
    </row>
    <row r="156" spans="1:22" x14ac:dyDescent="0.35">
      <c r="A156">
        <v>154</v>
      </c>
      <c r="B156" s="14">
        <f t="shared" ca="1" si="29"/>
        <v>50756</v>
      </c>
      <c r="C156" s="15">
        <f ca="1">(1+'Dane do harmonogramu'!$C$13*('Roboczy harmonogram'!B156-'Roboczy harmonogram'!B155)/365)</f>
        <v>1.0052602739726026</v>
      </c>
      <c r="D156" s="15">
        <f ca="1">(1+'Dane do harmonogramu'!$C$13*('Roboczy harmonogram'!B156-'Roboczy harmonogram'!B155)/366)</f>
        <v>1.0052459016393442</v>
      </c>
      <c r="E156" s="15">
        <f t="shared" ca="1" si="20"/>
        <v>0</v>
      </c>
      <c r="F156" s="15">
        <f t="shared" ca="1" si="21"/>
        <v>0</v>
      </c>
      <c r="G156">
        <f ca="1">IF(E156=1,(1+'Dane do harmonogramu'!$C$13*((('Roboczy harmonogram'!B156-DATE(YEAR(B156),1,1)+1)/365)+((DATE(YEAR(B155),12,31)-'Roboczy harmonogram'!B155)/366))),IF(F156=1,(1+'Dane do harmonogramu'!$C$13*((('Roboczy harmonogram'!B156-DATE(YEAR(B156),1,1)+1)/366)+((DATE(YEAR(B155),12,31)-'Roboczy harmonogram'!B155)/365))),0))</f>
        <v>0</v>
      </c>
      <c r="H156">
        <f t="shared" ca="1" si="22"/>
        <v>0</v>
      </c>
      <c r="I156">
        <f t="shared" ca="1" si="23"/>
        <v>1.0052602739726026</v>
      </c>
      <c r="J156">
        <f t="shared" ca="1" si="24"/>
        <v>1.0052602739726026</v>
      </c>
      <c r="K156">
        <f ca="1">PRODUCT($J$3:J156)</f>
        <v>2.262962785257058</v>
      </c>
      <c r="L156">
        <f t="shared" ca="1" si="25"/>
        <v>0.44189856170631037</v>
      </c>
      <c r="M156">
        <f ca="1">SUM($L$3:L156)</f>
        <v>105.11153095004892</v>
      </c>
      <c r="O156">
        <f t="shared" ca="1" si="26"/>
        <v>-2625.0266082281014</v>
      </c>
      <c r="P156" s="16">
        <f t="shared" ca="1" si="27"/>
        <v>16494.187480567831</v>
      </c>
      <c r="Q156" s="17">
        <f t="shared" ca="1" si="28"/>
        <v>-515522.68331560818</v>
      </c>
      <c r="S156">
        <f>IF(A156&lt;='Dane do harmonogramu'!$C$7,'Roboczy harmonogram'!P156,0)</f>
        <v>0</v>
      </c>
      <c r="T156">
        <f>IF(A156&lt;='Dane do harmonogramu'!$C$7,'Roboczy harmonogram'!O156,0)</f>
        <v>0</v>
      </c>
      <c r="U156">
        <f>IF(A156&lt;='Dane do harmonogramu'!$C$7,$N$2,0)</f>
        <v>0</v>
      </c>
      <c r="V156" s="16" t="str">
        <f>IF(A155&lt;='Dane do harmonogramu'!$C$7,Q155*0.15%,"")</f>
        <v/>
      </c>
    </row>
    <row r="157" spans="1:22" x14ac:dyDescent="0.35">
      <c r="A157">
        <v>155</v>
      </c>
      <c r="B157" s="14">
        <f t="shared" ca="1" si="29"/>
        <v>50787</v>
      </c>
      <c r="C157" s="15">
        <f ca="1">(1+'Dane do harmonogramu'!$C$13*('Roboczy harmonogram'!B157-'Roboczy harmonogram'!B156)/365)</f>
        <v>1.0054356164383562</v>
      </c>
      <c r="D157" s="15">
        <f ca="1">(1+'Dane do harmonogramu'!$C$13*('Roboczy harmonogram'!B157-'Roboczy harmonogram'!B156)/366)</f>
        <v>1.0054207650273224</v>
      </c>
      <c r="E157" s="15">
        <f t="shared" ca="1" si="20"/>
        <v>0</v>
      </c>
      <c r="F157" s="15">
        <f t="shared" ca="1" si="21"/>
        <v>0</v>
      </c>
      <c r="G157">
        <f ca="1">IF(E157=1,(1+'Dane do harmonogramu'!$C$13*((('Roboczy harmonogram'!B157-DATE(YEAR(B157),1,1)+1)/365)+((DATE(YEAR(B156),12,31)-'Roboczy harmonogram'!B156)/366))),IF(F157=1,(1+'Dane do harmonogramu'!$C$13*((('Roboczy harmonogram'!B157-DATE(YEAR(B157),1,1)+1)/366)+((DATE(YEAR(B156),12,31)-'Roboczy harmonogram'!B156)/365))),0))</f>
        <v>0</v>
      </c>
      <c r="H157">
        <f t="shared" ca="1" si="22"/>
        <v>0</v>
      </c>
      <c r="I157">
        <f t="shared" ca="1" si="23"/>
        <v>1.0054356164383562</v>
      </c>
      <c r="J157">
        <f t="shared" ca="1" si="24"/>
        <v>1.0054356164383562</v>
      </c>
      <c r="K157">
        <f ca="1">PRODUCT($J$3:J157)</f>
        <v>2.2752633829719895</v>
      </c>
      <c r="L157">
        <f t="shared" ca="1" si="25"/>
        <v>0.43950955633706995</v>
      </c>
      <c r="M157">
        <f ca="1">SUM($L$3:L157)</f>
        <v>105.55104050638599</v>
      </c>
      <c r="O157">
        <f t="shared" ca="1" si="26"/>
        <v>-2802.1835717758513</v>
      </c>
      <c r="P157" s="16">
        <f t="shared" ca="1" si="27"/>
        <v>16671.344444115581</v>
      </c>
      <c r="Q157" s="17">
        <f t="shared" ca="1" si="28"/>
        <v>-532194.02775972371</v>
      </c>
      <c r="S157">
        <f>IF(A157&lt;='Dane do harmonogramu'!$C$7,'Roboczy harmonogram'!P157,0)</f>
        <v>0</v>
      </c>
      <c r="T157">
        <f>IF(A157&lt;='Dane do harmonogramu'!$C$7,'Roboczy harmonogram'!O157,0)</f>
        <v>0</v>
      </c>
      <c r="U157">
        <f>IF(A157&lt;='Dane do harmonogramu'!$C$7,$N$2,0)</f>
        <v>0</v>
      </c>
      <c r="V157" s="16" t="str">
        <f>IF(A156&lt;='Dane do harmonogramu'!$C$7,Q156*0.15%,"")</f>
        <v/>
      </c>
    </row>
    <row r="158" spans="1:22" x14ac:dyDescent="0.35">
      <c r="A158">
        <v>156</v>
      </c>
      <c r="B158" s="14">
        <f t="shared" ca="1" si="29"/>
        <v>50818</v>
      </c>
      <c r="C158" s="15">
        <f ca="1">(1+'Dane do harmonogramu'!$C$13*('Roboczy harmonogram'!B158-'Roboczy harmonogram'!B157)/365)</f>
        <v>1.0054356164383562</v>
      </c>
      <c r="D158" s="15">
        <f ca="1">(1+'Dane do harmonogramu'!$C$13*('Roboczy harmonogram'!B158-'Roboczy harmonogram'!B157)/366)</f>
        <v>1.0054207650273224</v>
      </c>
      <c r="E158" s="15">
        <f t="shared" ca="1" si="20"/>
        <v>0</v>
      </c>
      <c r="F158" s="15">
        <f t="shared" ca="1" si="21"/>
        <v>0</v>
      </c>
      <c r="G158">
        <f ca="1">IF(E158=1,(1+'Dane do harmonogramu'!$C$13*((('Roboczy harmonogram'!B158-DATE(YEAR(B158),1,1)+1)/365)+((DATE(YEAR(B157),12,31)-'Roboczy harmonogram'!B157)/366))),IF(F158=1,(1+'Dane do harmonogramu'!$C$13*((('Roboczy harmonogram'!B158-DATE(YEAR(B158),1,1)+1)/366)+((DATE(YEAR(B157),12,31)-'Roboczy harmonogram'!B157)/365))),0))</f>
        <v>0</v>
      </c>
      <c r="H158">
        <f t="shared" ca="1" si="22"/>
        <v>0</v>
      </c>
      <c r="I158">
        <f t="shared" ca="1" si="23"/>
        <v>1.0054356164383562</v>
      </c>
      <c r="J158">
        <f t="shared" ca="1" si="24"/>
        <v>1.0054356164383562</v>
      </c>
      <c r="K158">
        <f ca="1">PRODUCT($J$3:J158)</f>
        <v>2.287630842018062</v>
      </c>
      <c r="L158">
        <f t="shared" ca="1" si="25"/>
        <v>0.43713346648091067</v>
      </c>
      <c r="M158">
        <f ca="1">SUM($L$3:L158)</f>
        <v>105.9881739728669</v>
      </c>
      <c r="O158">
        <f t="shared" ca="1" si="26"/>
        <v>-2892.802605685778</v>
      </c>
      <c r="P158" s="16">
        <f t="shared" ca="1" si="27"/>
        <v>16761.963478025507</v>
      </c>
      <c r="Q158" s="17">
        <f t="shared" ca="1" si="28"/>
        <v>-548955.99123774923</v>
      </c>
      <c r="S158">
        <f>IF(A158&lt;='Dane do harmonogramu'!$C$7,'Roboczy harmonogram'!P158,0)</f>
        <v>0</v>
      </c>
      <c r="T158">
        <f>IF(A158&lt;='Dane do harmonogramu'!$C$7,'Roboczy harmonogram'!O158,0)</f>
        <v>0</v>
      </c>
      <c r="U158">
        <f>IF(A158&lt;='Dane do harmonogramu'!$C$7,$N$2,0)</f>
        <v>0</v>
      </c>
      <c r="V158" s="16" t="str">
        <f>IF(A157&lt;='Dane do harmonogramu'!$C$7,Q157*0.15%,"")</f>
        <v/>
      </c>
    </row>
    <row r="159" spans="1:22" x14ac:dyDescent="0.35">
      <c r="A159">
        <v>157</v>
      </c>
      <c r="B159" s="14">
        <f t="shared" ca="1" si="29"/>
        <v>50846</v>
      </c>
      <c r="C159" s="15">
        <f ca="1">(1+'Dane do harmonogramu'!$C$13*('Roboczy harmonogram'!B159-'Roboczy harmonogram'!B158)/365)</f>
        <v>1.004909589041096</v>
      </c>
      <c r="D159" s="15">
        <f ca="1">(1+'Dane do harmonogramu'!$C$13*('Roboczy harmonogram'!B159-'Roboczy harmonogram'!B158)/366)</f>
        <v>1.004896174863388</v>
      </c>
      <c r="E159" s="15">
        <f t="shared" ca="1" si="20"/>
        <v>0</v>
      </c>
      <c r="F159" s="15">
        <f t="shared" ca="1" si="21"/>
        <v>0</v>
      </c>
      <c r="G159">
        <f ca="1">IF(E159=1,(1+'Dane do harmonogramu'!$C$13*((('Roboczy harmonogram'!B159-DATE(YEAR(B159),1,1)+1)/365)+((DATE(YEAR(B158),12,31)-'Roboczy harmonogram'!B158)/366))),IF(F159=1,(1+'Dane do harmonogramu'!$C$13*((('Roboczy harmonogram'!B159-DATE(YEAR(B159),1,1)+1)/366)+((DATE(YEAR(B158),12,31)-'Roboczy harmonogram'!B158)/365))),0))</f>
        <v>0</v>
      </c>
      <c r="H159">
        <f t="shared" ca="1" si="22"/>
        <v>0</v>
      </c>
      <c r="I159">
        <f t="shared" ca="1" si="23"/>
        <v>1.004909589041096</v>
      </c>
      <c r="J159">
        <f t="shared" ca="1" si="24"/>
        <v>1.004909589041096</v>
      </c>
      <c r="K159">
        <f ca="1">PRODUCT($J$3:J159)</f>
        <v>2.298862169330107</v>
      </c>
      <c r="L159">
        <f t="shared" ca="1" si="25"/>
        <v>0.43499780601957622</v>
      </c>
      <c r="M159">
        <f ca="1">SUM($L$3:L159)</f>
        <v>106.42317177888648</v>
      </c>
      <c r="O159">
        <f t="shared" ca="1" si="26"/>
        <v>-2695.1483186248224</v>
      </c>
      <c r="P159" s="16">
        <f t="shared" ca="1" si="27"/>
        <v>16564.309190964552</v>
      </c>
      <c r="Q159" s="17">
        <f t="shared" ca="1" si="28"/>
        <v>-565520.30042871379</v>
      </c>
      <c r="S159">
        <f>IF(A159&lt;='Dane do harmonogramu'!$C$7,'Roboczy harmonogram'!P159,0)</f>
        <v>0</v>
      </c>
      <c r="T159">
        <f>IF(A159&lt;='Dane do harmonogramu'!$C$7,'Roboczy harmonogram'!O159,0)</f>
        <v>0</v>
      </c>
      <c r="U159">
        <f>IF(A159&lt;='Dane do harmonogramu'!$C$7,$N$2,0)</f>
        <v>0</v>
      </c>
      <c r="V159" s="16" t="str">
        <f>IF(A158&lt;='Dane do harmonogramu'!$C$7,Q158*0.15%,"")</f>
        <v/>
      </c>
    </row>
    <row r="160" spans="1:22" x14ac:dyDescent="0.35">
      <c r="A160">
        <v>158</v>
      </c>
      <c r="B160" s="14">
        <f t="shared" ca="1" si="29"/>
        <v>50877</v>
      </c>
      <c r="C160" s="15">
        <f ca="1">(1+'Dane do harmonogramu'!$C$13*('Roboczy harmonogram'!B160-'Roboczy harmonogram'!B159)/365)</f>
        <v>1.0054356164383562</v>
      </c>
      <c r="D160" s="15">
        <f ca="1">(1+'Dane do harmonogramu'!$C$13*('Roboczy harmonogram'!B160-'Roboczy harmonogram'!B159)/366)</f>
        <v>1.0054207650273224</v>
      </c>
      <c r="E160" s="15">
        <f t="shared" ca="1" si="20"/>
        <v>0</v>
      </c>
      <c r="F160" s="15">
        <f t="shared" ca="1" si="21"/>
        <v>0</v>
      </c>
      <c r="G160">
        <f ca="1">IF(E160=1,(1+'Dane do harmonogramu'!$C$13*((('Roboczy harmonogram'!B160-DATE(YEAR(B160),1,1)+1)/365)+((DATE(YEAR(B159),12,31)-'Roboczy harmonogram'!B159)/366))),IF(F160=1,(1+'Dane do harmonogramu'!$C$13*((('Roboczy harmonogram'!B160-DATE(YEAR(B160),1,1)+1)/366)+((DATE(YEAR(B159),12,31)-'Roboczy harmonogram'!B159)/365))),0))</f>
        <v>0</v>
      </c>
      <c r="H160">
        <f t="shared" ca="1" si="22"/>
        <v>0</v>
      </c>
      <c r="I160">
        <f t="shared" ca="1" si="23"/>
        <v>1.0054356164383562</v>
      </c>
      <c r="J160">
        <f t="shared" ca="1" si="24"/>
        <v>1.0054356164383562</v>
      </c>
      <c r="K160">
        <f ca="1">PRODUCT($J$3:J160)</f>
        <v>2.311357902327233</v>
      </c>
      <c r="L160">
        <f t="shared" ca="1" si="25"/>
        <v>0.4326461077244384</v>
      </c>
      <c r="M160">
        <f ca="1">SUM($L$3:L160)</f>
        <v>106.85581788661092</v>
      </c>
      <c r="O160">
        <f t="shared" ca="1" si="26"/>
        <v>-3073.9514412344433</v>
      </c>
      <c r="P160" s="16">
        <f t="shared" ca="1" si="27"/>
        <v>16943.112313574173</v>
      </c>
      <c r="Q160" s="17">
        <f t="shared" ca="1" si="28"/>
        <v>-582463.41274228797</v>
      </c>
      <c r="S160">
        <f>IF(A160&lt;='Dane do harmonogramu'!$C$7,'Roboczy harmonogram'!P160,0)</f>
        <v>0</v>
      </c>
      <c r="T160">
        <f>IF(A160&lt;='Dane do harmonogramu'!$C$7,'Roboczy harmonogram'!O160,0)</f>
        <v>0</v>
      </c>
      <c r="U160">
        <f>IF(A160&lt;='Dane do harmonogramu'!$C$7,$N$2,0)</f>
        <v>0</v>
      </c>
      <c r="V160" s="16" t="str">
        <f>IF(A159&lt;='Dane do harmonogramu'!$C$7,Q159*0.15%,"")</f>
        <v/>
      </c>
    </row>
    <row r="161" spans="1:22" x14ac:dyDescent="0.35">
      <c r="A161">
        <v>159</v>
      </c>
      <c r="B161" s="14">
        <f t="shared" ca="1" si="29"/>
        <v>50907</v>
      </c>
      <c r="C161" s="15">
        <f ca="1">(1+'Dane do harmonogramu'!$C$13*('Roboczy harmonogram'!B161-'Roboczy harmonogram'!B160)/365)</f>
        <v>1.0052602739726026</v>
      </c>
      <c r="D161" s="15">
        <f ca="1">(1+'Dane do harmonogramu'!$C$13*('Roboczy harmonogram'!B161-'Roboczy harmonogram'!B160)/366)</f>
        <v>1.0052459016393442</v>
      </c>
      <c r="E161" s="15">
        <f t="shared" ca="1" si="20"/>
        <v>0</v>
      </c>
      <c r="F161" s="15">
        <f t="shared" ca="1" si="21"/>
        <v>0</v>
      </c>
      <c r="G161">
        <f ca="1">IF(E161=1,(1+'Dane do harmonogramu'!$C$13*((('Roboczy harmonogram'!B161-DATE(YEAR(B161),1,1)+1)/365)+((DATE(YEAR(B160),12,31)-'Roboczy harmonogram'!B160)/366))),IF(F161=1,(1+'Dane do harmonogramu'!$C$13*((('Roboczy harmonogram'!B161-DATE(YEAR(B161),1,1)+1)/366)+((DATE(YEAR(B160),12,31)-'Roboczy harmonogram'!B160)/365))),0))</f>
        <v>0</v>
      </c>
      <c r="H161">
        <f t="shared" ca="1" si="22"/>
        <v>0</v>
      </c>
      <c r="I161">
        <f t="shared" ca="1" si="23"/>
        <v>1.0052602739726026</v>
      </c>
      <c r="J161">
        <f t="shared" ca="1" si="24"/>
        <v>1.0052602739726026</v>
      </c>
      <c r="K161">
        <f ca="1">PRODUCT($J$3:J161)</f>
        <v>2.3235162781422143</v>
      </c>
      <c r="L161">
        <f t="shared" ca="1" si="25"/>
        <v>0.43038217954709485</v>
      </c>
      <c r="M161">
        <f ca="1">SUM($L$3:L161)</f>
        <v>107.28620006615802</v>
      </c>
      <c r="O161">
        <f t="shared" ca="1" si="26"/>
        <v>-3063.9171300415182</v>
      </c>
      <c r="P161" s="16">
        <f t="shared" ca="1" si="27"/>
        <v>16933.078002381248</v>
      </c>
      <c r="Q161" s="17">
        <f t="shared" ca="1" si="28"/>
        <v>-599396.49074466922</v>
      </c>
      <c r="S161">
        <f>IF(A161&lt;='Dane do harmonogramu'!$C$7,'Roboczy harmonogram'!P161,0)</f>
        <v>0</v>
      </c>
      <c r="T161">
        <f>IF(A161&lt;='Dane do harmonogramu'!$C$7,'Roboczy harmonogram'!O161,0)</f>
        <v>0</v>
      </c>
      <c r="U161">
        <f>IF(A161&lt;='Dane do harmonogramu'!$C$7,$N$2,0)</f>
        <v>0</v>
      </c>
      <c r="V161" s="16" t="str">
        <f>IF(A160&lt;='Dane do harmonogramu'!$C$7,Q160*0.15%,"")</f>
        <v/>
      </c>
    </row>
    <row r="162" spans="1:22" x14ac:dyDescent="0.35">
      <c r="A162">
        <v>160</v>
      </c>
      <c r="B162" s="14">
        <f t="shared" ca="1" si="29"/>
        <v>50938</v>
      </c>
      <c r="C162" s="15">
        <f ca="1">(1+'Dane do harmonogramu'!$C$13*('Roboczy harmonogram'!B162-'Roboczy harmonogram'!B161)/365)</f>
        <v>1.0054356164383562</v>
      </c>
      <c r="D162" s="15">
        <f ca="1">(1+'Dane do harmonogramu'!$C$13*('Roboczy harmonogram'!B162-'Roboczy harmonogram'!B161)/366)</f>
        <v>1.0054207650273224</v>
      </c>
      <c r="E162" s="15">
        <f t="shared" ca="1" si="20"/>
        <v>0</v>
      </c>
      <c r="F162" s="15">
        <f t="shared" ca="1" si="21"/>
        <v>0</v>
      </c>
      <c r="G162">
        <f ca="1">IF(E162=1,(1+'Dane do harmonogramu'!$C$13*((('Roboczy harmonogram'!B162-DATE(YEAR(B162),1,1)+1)/365)+((DATE(YEAR(B161),12,31)-'Roboczy harmonogram'!B161)/366))),IF(F162=1,(1+'Dane do harmonogramu'!$C$13*((('Roboczy harmonogram'!B162-DATE(YEAR(B162),1,1)+1)/366)+((DATE(YEAR(B161),12,31)-'Roboczy harmonogram'!B161)/365))),0))</f>
        <v>0</v>
      </c>
      <c r="H162">
        <f t="shared" ca="1" si="22"/>
        <v>0</v>
      </c>
      <c r="I162">
        <f t="shared" ca="1" si="23"/>
        <v>1.0054356164383562</v>
      </c>
      <c r="J162">
        <f t="shared" ca="1" si="24"/>
        <v>1.0054356164383562</v>
      </c>
      <c r="K162">
        <f ca="1">PRODUCT($J$3:J162)</f>
        <v>2.3361460214184722</v>
      </c>
      <c r="L162">
        <f t="shared" ca="1" si="25"/>
        <v>0.42805543439138932</v>
      </c>
      <c r="M162">
        <f ca="1">SUM($L$3:L162)</f>
        <v>107.71425550054941</v>
      </c>
      <c r="O162">
        <f t="shared" ca="1" si="26"/>
        <v>-3258.0894181847107</v>
      </c>
      <c r="P162" s="16">
        <f t="shared" ca="1" si="27"/>
        <v>17127.25029052444</v>
      </c>
      <c r="Q162" s="17">
        <f t="shared" ca="1" si="28"/>
        <v>-616523.74103519367</v>
      </c>
      <c r="S162">
        <f>IF(A162&lt;='Dane do harmonogramu'!$C$7,'Roboczy harmonogram'!P162,0)</f>
        <v>0</v>
      </c>
      <c r="T162">
        <f>IF(A162&lt;='Dane do harmonogramu'!$C$7,'Roboczy harmonogram'!O162,0)</f>
        <v>0</v>
      </c>
      <c r="U162">
        <f>IF(A162&lt;='Dane do harmonogramu'!$C$7,$N$2,0)</f>
        <v>0</v>
      </c>
      <c r="V162" s="16" t="str">
        <f>IF(A161&lt;='Dane do harmonogramu'!$C$7,Q161*0.15%,"")</f>
        <v/>
      </c>
    </row>
    <row r="163" spans="1:22" x14ac:dyDescent="0.35">
      <c r="A163">
        <v>161</v>
      </c>
      <c r="B163" s="14">
        <f t="shared" ca="1" si="29"/>
        <v>50968</v>
      </c>
      <c r="C163" s="15">
        <f ca="1">(1+'Dane do harmonogramu'!$C$13*('Roboczy harmonogram'!B163-'Roboczy harmonogram'!B162)/365)</f>
        <v>1.0052602739726026</v>
      </c>
      <c r="D163" s="15">
        <f ca="1">(1+'Dane do harmonogramu'!$C$13*('Roboczy harmonogram'!B163-'Roboczy harmonogram'!B162)/366)</f>
        <v>1.0052459016393442</v>
      </c>
      <c r="E163" s="15">
        <f t="shared" ca="1" si="20"/>
        <v>0</v>
      </c>
      <c r="F163" s="15">
        <f t="shared" ca="1" si="21"/>
        <v>0</v>
      </c>
      <c r="G163">
        <f ca="1">IF(E163=1,(1+'Dane do harmonogramu'!$C$13*((('Roboczy harmonogram'!B163-DATE(YEAR(B163),1,1)+1)/365)+((DATE(YEAR(B162),12,31)-'Roboczy harmonogram'!B162)/366))),IF(F163=1,(1+'Dane do harmonogramu'!$C$13*((('Roboczy harmonogram'!B163-DATE(YEAR(B163),1,1)+1)/366)+((DATE(YEAR(B162),12,31)-'Roboczy harmonogram'!B162)/365))),0))</f>
        <v>0</v>
      </c>
      <c r="H163">
        <f t="shared" ca="1" si="22"/>
        <v>0</v>
      </c>
      <c r="I163">
        <f t="shared" ca="1" si="23"/>
        <v>1.0052602739726026</v>
      </c>
      <c r="J163">
        <f t="shared" ca="1" si="24"/>
        <v>1.0052602739726026</v>
      </c>
      <c r="K163">
        <f ca="1">PRODUCT($J$3:J163)</f>
        <v>2.3484347895311388</v>
      </c>
      <c r="L163">
        <f t="shared" ca="1" si="25"/>
        <v>0.42581552805204709</v>
      </c>
      <c r="M163">
        <f ca="1">SUM($L$3:L163)</f>
        <v>108.14007102860145</v>
      </c>
      <c r="O163">
        <f t="shared" ca="1" si="26"/>
        <v>-3243.0837884590728</v>
      </c>
      <c r="P163" s="16">
        <f t="shared" ca="1" si="27"/>
        <v>17112.244660798802</v>
      </c>
      <c r="Q163" s="17">
        <f t="shared" ca="1" si="28"/>
        <v>-633635.98569599248</v>
      </c>
      <c r="S163">
        <f>IF(A163&lt;='Dane do harmonogramu'!$C$7,'Roboczy harmonogram'!P163,0)</f>
        <v>0</v>
      </c>
      <c r="T163">
        <f>IF(A163&lt;='Dane do harmonogramu'!$C$7,'Roboczy harmonogram'!O163,0)</f>
        <v>0</v>
      </c>
      <c r="U163">
        <f>IF(A163&lt;='Dane do harmonogramu'!$C$7,$N$2,0)</f>
        <v>0</v>
      </c>
      <c r="V163" s="16" t="str">
        <f>IF(A162&lt;='Dane do harmonogramu'!$C$7,Q162*0.15%,"")</f>
        <v/>
      </c>
    </row>
    <row r="164" spans="1:22" x14ac:dyDescent="0.35">
      <c r="A164">
        <v>162</v>
      </c>
      <c r="B164" s="14">
        <f t="shared" ca="1" si="29"/>
        <v>50999</v>
      </c>
      <c r="C164" s="15">
        <f ca="1">(1+'Dane do harmonogramu'!$C$13*('Roboczy harmonogram'!B164-'Roboczy harmonogram'!B163)/365)</f>
        <v>1.0054356164383562</v>
      </c>
      <c r="D164" s="15">
        <f ca="1">(1+'Dane do harmonogramu'!$C$13*('Roboczy harmonogram'!B164-'Roboczy harmonogram'!B163)/366)</f>
        <v>1.0054207650273224</v>
      </c>
      <c r="E164" s="15">
        <f t="shared" ca="1" si="20"/>
        <v>0</v>
      </c>
      <c r="F164" s="15">
        <f t="shared" ca="1" si="21"/>
        <v>0</v>
      </c>
      <c r="G164">
        <f ca="1">IF(E164=1,(1+'Dane do harmonogramu'!$C$13*((('Roboczy harmonogram'!B164-DATE(YEAR(B164),1,1)+1)/365)+((DATE(YEAR(B163),12,31)-'Roboczy harmonogram'!B163)/366))),IF(F164=1,(1+'Dane do harmonogramu'!$C$13*((('Roboczy harmonogram'!B164-DATE(YEAR(B164),1,1)+1)/366)+((DATE(YEAR(B163),12,31)-'Roboczy harmonogram'!B163)/365))),0))</f>
        <v>0</v>
      </c>
      <c r="H164">
        <f t="shared" ca="1" si="22"/>
        <v>0</v>
      </c>
      <c r="I164">
        <f t="shared" ca="1" si="23"/>
        <v>1.0054356164383562</v>
      </c>
      <c r="J164">
        <f t="shared" ca="1" si="24"/>
        <v>1.0054356164383562</v>
      </c>
      <c r="K164">
        <f ca="1">PRODUCT($J$3:J164)</f>
        <v>2.3611999802775219</v>
      </c>
      <c r="L164">
        <f t="shared" ca="1" si="25"/>
        <v>0.4235134712657696</v>
      </c>
      <c r="M164">
        <f ca="1">SUM($L$3:L164)</f>
        <v>108.56358449986722</v>
      </c>
      <c r="O164">
        <f t="shared" ca="1" si="26"/>
        <v>-3444.2021797831403</v>
      </c>
      <c r="P164" s="16">
        <f t="shared" ca="1" si="27"/>
        <v>17313.36305212287</v>
      </c>
      <c r="Q164" s="17">
        <f t="shared" ca="1" si="28"/>
        <v>-650949.34874811536</v>
      </c>
      <c r="S164">
        <f>IF(A164&lt;='Dane do harmonogramu'!$C$7,'Roboczy harmonogram'!P164,0)</f>
        <v>0</v>
      </c>
      <c r="T164">
        <f>IF(A164&lt;='Dane do harmonogramu'!$C$7,'Roboczy harmonogram'!O164,0)</f>
        <v>0</v>
      </c>
      <c r="U164">
        <f>IF(A164&lt;='Dane do harmonogramu'!$C$7,$N$2,0)</f>
        <v>0</v>
      </c>
      <c r="V164" s="16" t="str">
        <f>IF(A163&lt;='Dane do harmonogramu'!$C$7,Q163*0.15%,"")</f>
        <v/>
      </c>
    </row>
    <row r="165" spans="1:22" x14ac:dyDescent="0.35">
      <c r="A165">
        <v>163</v>
      </c>
      <c r="B165" s="14">
        <f t="shared" ca="1" si="29"/>
        <v>51030</v>
      </c>
      <c r="C165" s="15">
        <f ca="1">(1+'Dane do harmonogramu'!$C$13*('Roboczy harmonogram'!B165-'Roboczy harmonogram'!B164)/365)</f>
        <v>1.0054356164383562</v>
      </c>
      <c r="D165" s="15">
        <f ca="1">(1+'Dane do harmonogramu'!$C$13*('Roboczy harmonogram'!B165-'Roboczy harmonogram'!B164)/366)</f>
        <v>1.0054207650273224</v>
      </c>
      <c r="E165" s="15">
        <f t="shared" ca="1" si="20"/>
        <v>0</v>
      </c>
      <c r="F165" s="15">
        <f t="shared" ca="1" si="21"/>
        <v>0</v>
      </c>
      <c r="G165">
        <f ca="1">IF(E165=1,(1+'Dane do harmonogramu'!$C$13*((('Roboczy harmonogram'!B165-DATE(YEAR(B165),1,1)+1)/365)+((DATE(YEAR(B164),12,31)-'Roboczy harmonogram'!B164)/366))),IF(F165=1,(1+'Dane do harmonogramu'!$C$13*((('Roboczy harmonogram'!B165-DATE(YEAR(B165),1,1)+1)/366)+((DATE(YEAR(B164),12,31)-'Roboczy harmonogram'!B164)/365))),0))</f>
        <v>0</v>
      </c>
      <c r="H165">
        <f t="shared" ca="1" si="22"/>
        <v>0</v>
      </c>
      <c r="I165">
        <f t="shared" ca="1" si="23"/>
        <v>1.0054356164383562</v>
      </c>
      <c r="J165">
        <f t="shared" ca="1" si="24"/>
        <v>1.0054356164383562</v>
      </c>
      <c r="K165">
        <f ca="1">PRODUCT($J$3:J165)</f>
        <v>2.3740345577045647</v>
      </c>
      <c r="L165">
        <f t="shared" ca="1" si="25"/>
        <v>0.4212238599285143</v>
      </c>
      <c r="M165">
        <f ca="1">SUM($L$3:L165)</f>
        <v>108.98480835979574</v>
      </c>
      <c r="O165">
        <f t="shared" ca="1" si="26"/>
        <v>-3538.3109805925051</v>
      </c>
      <c r="P165" s="16">
        <f t="shared" ca="1" si="27"/>
        <v>17407.471852932234</v>
      </c>
      <c r="Q165" s="17">
        <f t="shared" ca="1" si="28"/>
        <v>-668356.8206010476</v>
      </c>
      <c r="S165">
        <f>IF(A165&lt;='Dane do harmonogramu'!$C$7,'Roboczy harmonogram'!P165,0)</f>
        <v>0</v>
      </c>
      <c r="T165">
        <f>IF(A165&lt;='Dane do harmonogramu'!$C$7,'Roboczy harmonogram'!O165,0)</f>
        <v>0</v>
      </c>
      <c r="U165">
        <f>IF(A165&lt;='Dane do harmonogramu'!$C$7,$N$2,0)</f>
        <v>0</v>
      </c>
      <c r="V165" s="16" t="str">
        <f>IF(A164&lt;='Dane do harmonogramu'!$C$7,Q164*0.15%,"")</f>
        <v/>
      </c>
    </row>
    <row r="166" spans="1:22" x14ac:dyDescent="0.35">
      <c r="A166">
        <v>164</v>
      </c>
      <c r="B166" s="14">
        <f t="shared" ca="1" si="29"/>
        <v>51060</v>
      </c>
      <c r="C166" s="15">
        <f ca="1">(1+'Dane do harmonogramu'!$C$13*('Roboczy harmonogram'!B166-'Roboczy harmonogram'!B165)/365)</f>
        <v>1.0052602739726026</v>
      </c>
      <c r="D166" s="15">
        <f ca="1">(1+'Dane do harmonogramu'!$C$13*('Roboczy harmonogram'!B166-'Roboczy harmonogram'!B165)/366)</f>
        <v>1.0052459016393442</v>
      </c>
      <c r="E166" s="15">
        <f t="shared" ca="1" si="20"/>
        <v>0</v>
      </c>
      <c r="F166" s="15">
        <f t="shared" ca="1" si="21"/>
        <v>0</v>
      </c>
      <c r="G166">
        <f ca="1">IF(E166=1,(1+'Dane do harmonogramu'!$C$13*((('Roboczy harmonogram'!B166-DATE(YEAR(B166),1,1)+1)/365)+((DATE(YEAR(B165),12,31)-'Roboczy harmonogram'!B165)/366))),IF(F166=1,(1+'Dane do harmonogramu'!$C$13*((('Roboczy harmonogram'!B166-DATE(YEAR(B166),1,1)+1)/366)+((DATE(YEAR(B165),12,31)-'Roboczy harmonogram'!B165)/365))),0))</f>
        <v>0</v>
      </c>
      <c r="H166">
        <f t="shared" ca="1" si="22"/>
        <v>0</v>
      </c>
      <c r="I166">
        <f t="shared" ca="1" si="23"/>
        <v>1.0052602739726026</v>
      </c>
      <c r="J166">
        <f t="shared" ca="1" si="24"/>
        <v>1.0052602739726026</v>
      </c>
      <c r="K166">
        <f ca="1">PRODUCT($J$3:J166)</f>
        <v>2.3865226298985172</v>
      </c>
      <c r="L166">
        <f t="shared" ca="1" si="25"/>
        <v>0.41901970149871293</v>
      </c>
      <c r="M166">
        <f ca="1">SUM($L$3:L166)</f>
        <v>109.40382806129445</v>
      </c>
      <c r="O166">
        <f t="shared" ca="1" si="26"/>
        <v>-3515.7399878191063</v>
      </c>
      <c r="P166" s="16">
        <f t="shared" ca="1" si="27"/>
        <v>17384.900860158836</v>
      </c>
      <c r="Q166" s="17">
        <f t="shared" ca="1" si="28"/>
        <v>-685741.72146120644</v>
      </c>
      <c r="S166">
        <f>IF(A166&lt;='Dane do harmonogramu'!$C$7,'Roboczy harmonogram'!P166,0)</f>
        <v>0</v>
      </c>
      <c r="T166">
        <f>IF(A166&lt;='Dane do harmonogramu'!$C$7,'Roboczy harmonogram'!O166,0)</f>
        <v>0</v>
      </c>
      <c r="U166">
        <f>IF(A166&lt;='Dane do harmonogramu'!$C$7,$N$2,0)</f>
        <v>0</v>
      </c>
      <c r="V166" s="16" t="str">
        <f>IF(A165&lt;='Dane do harmonogramu'!$C$7,Q165*0.15%,"")</f>
        <v/>
      </c>
    </row>
    <row r="167" spans="1:22" x14ac:dyDescent="0.35">
      <c r="A167">
        <v>165</v>
      </c>
      <c r="B167" s="14">
        <f t="shared" ca="1" si="29"/>
        <v>51091</v>
      </c>
      <c r="C167" s="15">
        <f ca="1">(1+'Dane do harmonogramu'!$C$13*('Roboczy harmonogram'!B167-'Roboczy harmonogram'!B166)/365)</f>
        <v>1.0054356164383562</v>
      </c>
      <c r="D167" s="15">
        <f ca="1">(1+'Dane do harmonogramu'!$C$13*('Roboczy harmonogram'!B167-'Roboczy harmonogram'!B166)/366)</f>
        <v>1.0054207650273224</v>
      </c>
      <c r="E167" s="15">
        <f t="shared" ca="1" si="20"/>
        <v>0</v>
      </c>
      <c r="F167" s="15">
        <f t="shared" ca="1" si="21"/>
        <v>0</v>
      </c>
      <c r="G167">
        <f ca="1">IF(E167=1,(1+'Dane do harmonogramu'!$C$13*((('Roboczy harmonogram'!B167-DATE(YEAR(B167),1,1)+1)/365)+((DATE(YEAR(B166),12,31)-'Roboczy harmonogram'!B166)/366))),IF(F167=1,(1+'Dane do harmonogramu'!$C$13*((('Roboczy harmonogram'!B167-DATE(YEAR(B167),1,1)+1)/366)+((DATE(YEAR(B166),12,31)-'Roboczy harmonogram'!B166)/365))),0))</f>
        <v>0</v>
      </c>
      <c r="H167">
        <f t="shared" ca="1" si="22"/>
        <v>0</v>
      </c>
      <c r="I167">
        <f t="shared" ca="1" si="23"/>
        <v>1.0054356164383562</v>
      </c>
      <c r="J167">
        <f t="shared" ca="1" si="24"/>
        <v>1.0054356164383562</v>
      </c>
      <c r="K167">
        <f ca="1">PRODUCT($J$3:J167)</f>
        <v>2.3994948515361028</v>
      </c>
      <c r="L167">
        <f t="shared" ca="1" si="25"/>
        <v>0.41675438451548352</v>
      </c>
      <c r="M167">
        <f ca="1">SUM($L$3:L167)</f>
        <v>109.82058244580993</v>
      </c>
      <c r="O167">
        <f t="shared" ca="1" si="26"/>
        <v>-3727.4289736412466</v>
      </c>
      <c r="P167" s="16">
        <f t="shared" ca="1" si="27"/>
        <v>17596.589845980976</v>
      </c>
      <c r="Q167" s="17">
        <f t="shared" ca="1" si="28"/>
        <v>-703338.31130718742</v>
      </c>
      <c r="S167">
        <f>IF(A167&lt;='Dane do harmonogramu'!$C$7,'Roboczy harmonogram'!P167,0)</f>
        <v>0</v>
      </c>
      <c r="T167">
        <f>IF(A167&lt;='Dane do harmonogramu'!$C$7,'Roboczy harmonogram'!O167,0)</f>
        <v>0</v>
      </c>
      <c r="U167">
        <f>IF(A167&lt;='Dane do harmonogramu'!$C$7,$N$2,0)</f>
        <v>0</v>
      </c>
      <c r="V167" s="16" t="str">
        <f>IF(A166&lt;='Dane do harmonogramu'!$C$7,Q166*0.15%,"")</f>
        <v/>
      </c>
    </row>
    <row r="168" spans="1:22" x14ac:dyDescent="0.35">
      <c r="A168">
        <v>166</v>
      </c>
      <c r="B168" s="14">
        <f t="shared" ca="1" si="29"/>
        <v>51121</v>
      </c>
      <c r="C168" s="15">
        <f ca="1">(1+'Dane do harmonogramu'!$C$13*('Roboczy harmonogram'!B168-'Roboczy harmonogram'!B167)/365)</f>
        <v>1.0052602739726026</v>
      </c>
      <c r="D168" s="15">
        <f ca="1">(1+'Dane do harmonogramu'!$C$13*('Roboczy harmonogram'!B168-'Roboczy harmonogram'!B167)/366)</f>
        <v>1.0052459016393442</v>
      </c>
      <c r="E168" s="15">
        <f t="shared" ca="1" si="20"/>
        <v>0</v>
      </c>
      <c r="F168" s="15">
        <f t="shared" ca="1" si="21"/>
        <v>0</v>
      </c>
      <c r="G168">
        <f ca="1">IF(E168=1,(1+'Dane do harmonogramu'!$C$13*((('Roboczy harmonogram'!B168-DATE(YEAR(B168),1,1)+1)/365)+((DATE(YEAR(B167),12,31)-'Roboczy harmonogram'!B167)/366))),IF(F168=1,(1+'Dane do harmonogramu'!$C$13*((('Roboczy harmonogram'!B168-DATE(YEAR(B168),1,1)+1)/366)+((DATE(YEAR(B167),12,31)-'Roboczy harmonogram'!B167)/365))),0))</f>
        <v>0</v>
      </c>
      <c r="H168">
        <f t="shared" ca="1" si="22"/>
        <v>0</v>
      </c>
      <c r="I168">
        <f t="shared" ca="1" si="23"/>
        <v>1.0052602739726026</v>
      </c>
      <c r="J168">
        <f t="shared" ca="1" si="24"/>
        <v>1.0052602739726026</v>
      </c>
      <c r="K168">
        <f ca="1">PRODUCT($J$3:J168)</f>
        <v>2.4121168518510321</v>
      </c>
      <c r="L168">
        <f t="shared" ca="1" si="25"/>
        <v>0.41457361372547558</v>
      </c>
      <c r="M168">
        <f ca="1">SUM($L$3:L168)</f>
        <v>110.23515605953541</v>
      </c>
      <c r="O168">
        <f t="shared" ca="1" si="26"/>
        <v>-3699.7522129034624</v>
      </c>
      <c r="P168" s="16">
        <f t="shared" ca="1" si="27"/>
        <v>17568.913085243192</v>
      </c>
      <c r="Q168" s="17">
        <f t="shared" ca="1" si="28"/>
        <v>-720907.22439243062</v>
      </c>
      <c r="S168">
        <f>IF(A168&lt;='Dane do harmonogramu'!$C$7,'Roboczy harmonogram'!P168,0)</f>
        <v>0</v>
      </c>
      <c r="T168">
        <f>IF(A168&lt;='Dane do harmonogramu'!$C$7,'Roboczy harmonogram'!O168,0)</f>
        <v>0</v>
      </c>
      <c r="U168">
        <f>IF(A168&lt;='Dane do harmonogramu'!$C$7,$N$2,0)</f>
        <v>0</v>
      </c>
      <c r="V168" s="16" t="str">
        <f>IF(A167&lt;='Dane do harmonogramu'!$C$7,Q167*0.15%,"")</f>
        <v/>
      </c>
    </row>
    <row r="169" spans="1:22" x14ac:dyDescent="0.35">
      <c r="A169">
        <v>167</v>
      </c>
      <c r="B169" s="14">
        <f t="shared" ca="1" si="29"/>
        <v>51152</v>
      </c>
      <c r="C169" s="15">
        <f ca="1">(1+'Dane do harmonogramu'!$C$13*('Roboczy harmonogram'!B169-'Roboczy harmonogram'!B168)/365)</f>
        <v>1.0054356164383562</v>
      </c>
      <c r="D169" s="15">
        <f ca="1">(1+'Dane do harmonogramu'!$C$13*('Roboczy harmonogram'!B169-'Roboczy harmonogram'!B168)/366)</f>
        <v>1.0054207650273224</v>
      </c>
      <c r="E169" s="15">
        <f t="shared" ca="1" si="20"/>
        <v>0</v>
      </c>
      <c r="F169" s="15">
        <f t="shared" ca="1" si="21"/>
        <v>1</v>
      </c>
      <c r="G169">
        <f ca="1">IF(E169=1,(1+'Dane do harmonogramu'!$C$13*((('Roboczy harmonogram'!B169-DATE(YEAR(B169),1,1)+1)/365)+((DATE(YEAR(B168),12,31)-'Roboczy harmonogram'!B168)/366))),IF(F169=1,(1+'Dane do harmonogramu'!$C$13*((('Roboczy harmonogram'!B169-DATE(YEAR(B169),1,1)+1)/366)+((DATE(YEAR(B168),12,31)-'Roboczy harmonogram'!B168)/365))),0))</f>
        <v>1.0054274721161764</v>
      </c>
      <c r="H169">
        <f t="shared" ca="1" si="22"/>
        <v>1</v>
      </c>
      <c r="I169">
        <f t="shared" ca="1" si="23"/>
        <v>1.0054207650273224</v>
      </c>
      <c r="J169">
        <f t="shared" ca="1" si="24"/>
        <v>1.0054274721161764</v>
      </c>
      <c r="K169">
        <f ca="1">PRODUCT($J$3:J169)</f>
        <v>2.4252085488054127</v>
      </c>
      <c r="L169">
        <f t="shared" ca="1" si="25"/>
        <v>0.41233567335583199</v>
      </c>
      <c r="M169">
        <f ca="1">SUM($L$3:L169)</f>
        <v>110.64749173289124</v>
      </c>
      <c r="O169">
        <f t="shared" ca="1" si="26"/>
        <v>-3912.7038587400457</v>
      </c>
      <c r="P169" s="16">
        <f t="shared" ca="1" si="27"/>
        <v>17781.864731079775</v>
      </c>
      <c r="Q169" s="17">
        <f t="shared" ca="1" si="28"/>
        <v>-738689.08912351041</v>
      </c>
      <c r="S169">
        <f>IF(A169&lt;='Dane do harmonogramu'!$C$7,'Roboczy harmonogram'!P169,0)</f>
        <v>0</v>
      </c>
      <c r="T169">
        <f>IF(A169&lt;='Dane do harmonogramu'!$C$7,'Roboczy harmonogram'!O169,0)</f>
        <v>0</v>
      </c>
      <c r="U169">
        <f>IF(A169&lt;='Dane do harmonogramu'!$C$7,$N$2,0)</f>
        <v>0</v>
      </c>
      <c r="V169" s="16" t="str">
        <f>IF(A168&lt;='Dane do harmonogramu'!$C$7,Q168*0.15%,"")</f>
        <v/>
      </c>
    </row>
    <row r="170" spans="1:22" x14ac:dyDescent="0.35">
      <c r="A170">
        <v>168</v>
      </c>
      <c r="B170" s="14">
        <f t="shared" ca="1" si="29"/>
        <v>51183</v>
      </c>
      <c r="C170" s="15">
        <f ca="1">(1+'Dane do harmonogramu'!$C$13*('Roboczy harmonogram'!B170-'Roboczy harmonogram'!B169)/365)</f>
        <v>1.0054356164383562</v>
      </c>
      <c r="D170" s="15">
        <f ca="1">(1+'Dane do harmonogramu'!$C$13*('Roboczy harmonogram'!B170-'Roboczy harmonogram'!B169)/366)</f>
        <v>1.0054207650273224</v>
      </c>
      <c r="E170" s="15">
        <f t="shared" ca="1" si="20"/>
        <v>0</v>
      </c>
      <c r="F170" s="15">
        <f t="shared" ca="1" si="21"/>
        <v>0</v>
      </c>
      <c r="G170">
        <f ca="1">IF(E170=1,(1+'Dane do harmonogramu'!$C$13*((('Roboczy harmonogram'!B170-DATE(YEAR(B170),1,1)+1)/365)+((DATE(YEAR(B169),12,31)-'Roboczy harmonogram'!B169)/366))),IF(F170=1,(1+'Dane do harmonogramu'!$C$13*((('Roboczy harmonogram'!B170-DATE(YEAR(B170),1,1)+1)/366)+((DATE(YEAR(B169),12,31)-'Roboczy harmonogram'!B169)/365))),0))</f>
        <v>0</v>
      </c>
      <c r="H170">
        <f t="shared" ca="1" si="22"/>
        <v>1</v>
      </c>
      <c r="I170">
        <f t="shared" ca="1" si="23"/>
        <v>1.0054207650273224</v>
      </c>
      <c r="J170">
        <f t="shared" ca="1" si="24"/>
        <v>1.0054207650273224</v>
      </c>
      <c r="K170">
        <f ca="1">PRODUCT($J$3:J170)</f>
        <v>2.4383550344907401</v>
      </c>
      <c r="L170">
        <f t="shared" ca="1" si="25"/>
        <v>0.41011254958974991</v>
      </c>
      <c r="M170">
        <f ca="1">SUM($L$3:L170)</f>
        <v>111.05760428248099</v>
      </c>
      <c r="O170">
        <f t="shared" ca="1" si="26"/>
        <v>-4004.2599803853082</v>
      </c>
      <c r="P170" s="16">
        <f t="shared" ca="1" si="27"/>
        <v>17873.420852725038</v>
      </c>
      <c r="Q170" s="17">
        <f t="shared" ca="1" si="28"/>
        <v>-756562.50997623545</v>
      </c>
      <c r="S170">
        <f>IF(A170&lt;='Dane do harmonogramu'!$C$7,'Roboczy harmonogram'!P170,0)</f>
        <v>0</v>
      </c>
      <c r="T170">
        <f>IF(A170&lt;='Dane do harmonogramu'!$C$7,'Roboczy harmonogram'!O170,0)</f>
        <v>0</v>
      </c>
      <c r="U170">
        <f>IF(A170&lt;='Dane do harmonogramu'!$C$7,$N$2,0)</f>
        <v>0</v>
      </c>
      <c r="V170" s="16" t="str">
        <f>IF(A169&lt;='Dane do harmonogramu'!$C$7,Q169*0.15%,"")</f>
        <v/>
      </c>
    </row>
    <row r="171" spans="1:22" x14ac:dyDescent="0.35">
      <c r="A171">
        <v>169</v>
      </c>
      <c r="B171" s="14">
        <f t="shared" ca="1" si="29"/>
        <v>51212</v>
      </c>
      <c r="C171" s="15">
        <f ca="1">(1+'Dane do harmonogramu'!$C$13*('Roboczy harmonogram'!B171-'Roboczy harmonogram'!B170)/365)</f>
        <v>1.0050849315068493</v>
      </c>
      <c r="D171" s="15">
        <f ca="1">(1+'Dane do harmonogramu'!$C$13*('Roboczy harmonogram'!B171-'Roboczy harmonogram'!B170)/366)</f>
        <v>1.0050710382513661</v>
      </c>
      <c r="E171" s="15">
        <f t="shared" ca="1" si="20"/>
        <v>0</v>
      </c>
      <c r="F171" s="15">
        <f t="shared" ca="1" si="21"/>
        <v>0</v>
      </c>
      <c r="G171">
        <f ca="1">IF(E171=1,(1+'Dane do harmonogramu'!$C$13*((('Roboczy harmonogram'!B171-DATE(YEAR(B171),1,1)+1)/365)+((DATE(YEAR(B170),12,31)-'Roboczy harmonogram'!B170)/366))),IF(F171=1,(1+'Dane do harmonogramu'!$C$13*((('Roboczy harmonogram'!B171-DATE(YEAR(B171),1,1)+1)/366)+((DATE(YEAR(B170),12,31)-'Roboczy harmonogram'!B170)/365))),0))</f>
        <v>0</v>
      </c>
      <c r="H171">
        <f t="shared" ca="1" si="22"/>
        <v>1</v>
      </c>
      <c r="I171">
        <f t="shared" ca="1" si="23"/>
        <v>1.0050710382513661</v>
      </c>
      <c r="J171">
        <f t="shared" ca="1" si="24"/>
        <v>1.0050710382513661</v>
      </c>
      <c r="K171">
        <f ca="1">PRODUCT($J$3:J171)</f>
        <v>2.4507200261410538</v>
      </c>
      <c r="L171">
        <f t="shared" ca="1" si="25"/>
        <v>0.40804334617309074</v>
      </c>
      <c r="M171">
        <f ca="1">SUM($L$3:L171)</f>
        <v>111.46564762865408</v>
      </c>
      <c r="O171">
        <f t="shared" ca="1" si="26"/>
        <v>-3836.5574276390253</v>
      </c>
      <c r="P171" s="16">
        <f t="shared" ca="1" si="27"/>
        <v>17705.718299978755</v>
      </c>
      <c r="Q171" s="17">
        <f t="shared" ca="1" si="28"/>
        <v>-774268.22827621421</v>
      </c>
      <c r="S171">
        <f>IF(A171&lt;='Dane do harmonogramu'!$C$7,'Roboczy harmonogram'!P171,0)</f>
        <v>0</v>
      </c>
      <c r="T171">
        <f>IF(A171&lt;='Dane do harmonogramu'!$C$7,'Roboczy harmonogram'!O171,0)</f>
        <v>0</v>
      </c>
      <c r="U171">
        <f>IF(A171&lt;='Dane do harmonogramu'!$C$7,$N$2,0)</f>
        <v>0</v>
      </c>
      <c r="V171" s="16" t="str">
        <f>IF(A170&lt;='Dane do harmonogramu'!$C$7,Q170*0.15%,"")</f>
        <v/>
      </c>
    </row>
    <row r="172" spans="1:22" x14ac:dyDescent="0.35">
      <c r="A172">
        <v>170</v>
      </c>
      <c r="B172" s="14">
        <f t="shared" ca="1" si="29"/>
        <v>51243</v>
      </c>
      <c r="C172" s="15">
        <f ca="1">(1+'Dane do harmonogramu'!$C$13*('Roboczy harmonogram'!B172-'Roboczy harmonogram'!B171)/365)</f>
        <v>1.0054356164383562</v>
      </c>
      <c r="D172" s="15">
        <f ca="1">(1+'Dane do harmonogramu'!$C$13*('Roboczy harmonogram'!B172-'Roboczy harmonogram'!B171)/366)</f>
        <v>1.0054207650273224</v>
      </c>
      <c r="E172" s="15">
        <f t="shared" ca="1" si="20"/>
        <v>0</v>
      </c>
      <c r="F172" s="15">
        <f t="shared" ca="1" si="21"/>
        <v>0</v>
      </c>
      <c r="G172">
        <f ca="1">IF(E172=1,(1+'Dane do harmonogramu'!$C$13*((('Roboczy harmonogram'!B172-DATE(YEAR(B172),1,1)+1)/365)+((DATE(YEAR(B171),12,31)-'Roboczy harmonogram'!B171)/366))),IF(F172=1,(1+'Dane do harmonogramu'!$C$13*((('Roboczy harmonogram'!B172-DATE(YEAR(B172),1,1)+1)/366)+((DATE(YEAR(B171),12,31)-'Roboczy harmonogram'!B171)/365))),0))</f>
        <v>0</v>
      </c>
      <c r="H172">
        <f t="shared" ca="1" si="22"/>
        <v>1</v>
      </c>
      <c r="I172">
        <f t="shared" ca="1" si="23"/>
        <v>1.0054207650273224</v>
      </c>
      <c r="J172">
        <f t="shared" ca="1" si="24"/>
        <v>1.0054207650273224</v>
      </c>
      <c r="K172">
        <f ca="1">PRODUCT($J$3:J172)</f>
        <v>2.4640048035505178</v>
      </c>
      <c r="L172">
        <f t="shared" ca="1" si="25"/>
        <v>0.40584336465539594</v>
      </c>
      <c r="M172">
        <f ca="1">SUM($L$3:L172)</f>
        <v>111.87149099330948</v>
      </c>
      <c r="O172">
        <f t="shared" ca="1" si="26"/>
        <v>-4197.1261336065363</v>
      </c>
      <c r="P172" s="16">
        <f t="shared" ca="1" si="27"/>
        <v>18066.287005946266</v>
      </c>
      <c r="Q172" s="17">
        <f t="shared" ca="1" si="28"/>
        <v>-792334.51528216049</v>
      </c>
      <c r="S172">
        <f>IF(A172&lt;='Dane do harmonogramu'!$C$7,'Roboczy harmonogram'!P172,0)</f>
        <v>0</v>
      </c>
      <c r="T172">
        <f>IF(A172&lt;='Dane do harmonogramu'!$C$7,'Roboczy harmonogram'!O172,0)</f>
        <v>0</v>
      </c>
      <c r="U172">
        <f>IF(A172&lt;='Dane do harmonogramu'!$C$7,$N$2,0)</f>
        <v>0</v>
      </c>
      <c r="V172" s="16" t="str">
        <f>IF(A171&lt;='Dane do harmonogramu'!$C$7,Q171*0.15%,"")</f>
        <v/>
      </c>
    </row>
    <row r="173" spans="1:22" x14ac:dyDescent="0.35">
      <c r="A173">
        <v>171</v>
      </c>
      <c r="B173" s="14">
        <f t="shared" ca="1" si="29"/>
        <v>51273</v>
      </c>
      <c r="C173" s="15">
        <f ca="1">(1+'Dane do harmonogramu'!$C$13*('Roboczy harmonogram'!B173-'Roboczy harmonogram'!B172)/365)</f>
        <v>1.0052602739726026</v>
      </c>
      <c r="D173" s="15">
        <f ca="1">(1+'Dane do harmonogramu'!$C$13*('Roboczy harmonogram'!B173-'Roboczy harmonogram'!B172)/366)</f>
        <v>1.0052459016393442</v>
      </c>
      <c r="E173" s="15">
        <f t="shared" ca="1" si="20"/>
        <v>0</v>
      </c>
      <c r="F173" s="15">
        <f t="shared" ca="1" si="21"/>
        <v>0</v>
      </c>
      <c r="G173">
        <f ca="1">IF(E173=1,(1+'Dane do harmonogramu'!$C$13*((('Roboczy harmonogram'!B173-DATE(YEAR(B173),1,1)+1)/365)+((DATE(YEAR(B172),12,31)-'Roboczy harmonogram'!B172)/366))),IF(F173=1,(1+'Dane do harmonogramu'!$C$13*((('Roboczy harmonogram'!B173-DATE(YEAR(B173),1,1)+1)/366)+((DATE(YEAR(B172),12,31)-'Roboczy harmonogram'!B172)/365))),0))</f>
        <v>0</v>
      </c>
      <c r="H173">
        <f t="shared" ca="1" si="22"/>
        <v>1</v>
      </c>
      <c r="I173">
        <f t="shared" ca="1" si="23"/>
        <v>1.0052459016393442</v>
      </c>
      <c r="J173">
        <f t="shared" ca="1" si="24"/>
        <v>1.0052459016393442</v>
      </c>
      <c r="K173">
        <f ca="1">PRODUCT($J$3:J173)</f>
        <v>2.4769307303888155</v>
      </c>
      <c r="L173">
        <f t="shared" ca="1" si="25"/>
        <v>0.40372546059979048</v>
      </c>
      <c r="M173">
        <f ca="1">SUM($L$3:L173)</f>
        <v>112.27521645390927</v>
      </c>
      <c r="O173">
        <f t="shared" ca="1" si="26"/>
        <v>-4156.5089326277375</v>
      </c>
      <c r="P173" s="16">
        <f t="shared" ca="1" si="27"/>
        <v>18025.669804967467</v>
      </c>
      <c r="Q173" s="17">
        <f t="shared" ca="1" si="28"/>
        <v>-810360.18508712796</v>
      </c>
      <c r="S173">
        <f>IF(A173&lt;='Dane do harmonogramu'!$C$7,'Roboczy harmonogram'!P173,0)</f>
        <v>0</v>
      </c>
      <c r="T173">
        <f>IF(A173&lt;='Dane do harmonogramu'!$C$7,'Roboczy harmonogram'!O173,0)</f>
        <v>0</v>
      </c>
      <c r="U173">
        <f>IF(A173&lt;='Dane do harmonogramu'!$C$7,$N$2,0)</f>
        <v>0</v>
      </c>
      <c r="V173" s="16" t="str">
        <f>IF(A172&lt;='Dane do harmonogramu'!$C$7,Q172*0.15%,"")</f>
        <v/>
      </c>
    </row>
    <row r="174" spans="1:22" x14ac:dyDescent="0.35">
      <c r="A174">
        <v>172</v>
      </c>
      <c r="B174" s="14">
        <f t="shared" ca="1" si="29"/>
        <v>51304</v>
      </c>
      <c r="C174" s="15">
        <f ca="1">(1+'Dane do harmonogramu'!$C$13*('Roboczy harmonogram'!B174-'Roboczy harmonogram'!B173)/365)</f>
        <v>1.0054356164383562</v>
      </c>
      <c r="D174" s="15">
        <f ca="1">(1+'Dane do harmonogramu'!$C$13*('Roboczy harmonogram'!B174-'Roboczy harmonogram'!B173)/366)</f>
        <v>1.0054207650273224</v>
      </c>
      <c r="E174" s="15">
        <f t="shared" ca="1" si="20"/>
        <v>0</v>
      </c>
      <c r="F174" s="15">
        <f t="shared" ca="1" si="21"/>
        <v>0</v>
      </c>
      <c r="G174">
        <f ca="1">IF(E174=1,(1+'Dane do harmonogramu'!$C$13*((('Roboczy harmonogram'!B174-DATE(YEAR(B174),1,1)+1)/365)+((DATE(YEAR(B173),12,31)-'Roboczy harmonogram'!B173)/366))),IF(F174=1,(1+'Dane do harmonogramu'!$C$13*((('Roboczy harmonogram'!B174-DATE(YEAR(B174),1,1)+1)/366)+((DATE(YEAR(B173),12,31)-'Roboczy harmonogram'!B173)/365))),0))</f>
        <v>0</v>
      </c>
      <c r="H174">
        <f t="shared" ca="1" si="22"/>
        <v>1</v>
      </c>
      <c r="I174">
        <f t="shared" ca="1" si="23"/>
        <v>1.0054207650273224</v>
      </c>
      <c r="J174">
        <f t="shared" ca="1" si="24"/>
        <v>1.0054207650273224</v>
      </c>
      <c r="K174">
        <f ca="1">PRODUCT($J$3:J174)</f>
        <v>2.490357589867207</v>
      </c>
      <c r="L174">
        <f t="shared" ca="1" si="25"/>
        <v>0.40154875912953641</v>
      </c>
      <c r="M174">
        <f ca="1">SUM($L$3:L174)</f>
        <v>112.67676521303881</v>
      </c>
      <c r="O174">
        <f t="shared" ca="1" si="26"/>
        <v>-4392.7721508548129</v>
      </c>
      <c r="P174" s="16">
        <f t="shared" ca="1" si="27"/>
        <v>18261.933023194542</v>
      </c>
      <c r="Q174" s="17">
        <f t="shared" ca="1" si="28"/>
        <v>-828622.11811032251</v>
      </c>
      <c r="S174">
        <f>IF(A174&lt;='Dane do harmonogramu'!$C$7,'Roboczy harmonogram'!P174,0)</f>
        <v>0</v>
      </c>
      <c r="T174">
        <f>IF(A174&lt;='Dane do harmonogramu'!$C$7,'Roboczy harmonogram'!O174,0)</f>
        <v>0</v>
      </c>
      <c r="U174">
        <f>IF(A174&lt;='Dane do harmonogramu'!$C$7,$N$2,0)</f>
        <v>0</v>
      </c>
      <c r="V174" s="16" t="str">
        <f>IF(A173&lt;='Dane do harmonogramu'!$C$7,Q173*0.15%,"")</f>
        <v/>
      </c>
    </row>
    <row r="175" spans="1:22" x14ac:dyDescent="0.35">
      <c r="A175">
        <v>173</v>
      </c>
      <c r="B175" s="14">
        <f t="shared" ca="1" si="29"/>
        <v>51334</v>
      </c>
      <c r="C175" s="15">
        <f ca="1">(1+'Dane do harmonogramu'!$C$13*('Roboczy harmonogram'!B175-'Roboczy harmonogram'!B174)/365)</f>
        <v>1.0052602739726026</v>
      </c>
      <c r="D175" s="15">
        <f ca="1">(1+'Dane do harmonogramu'!$C$13*('Roboczy harmonogram'!B175-'Roboczy harmonogram'!B174)/366)</f>
        <v>1.0052459016393442</v>
      </c>
      <c r="E175" s="15">
        <f t="shared" ca="1" si="20"/>
        <v>0</v>
      </c>
      <c r="F175" s="15">
        <f t="shared" ca="1" si="21"/>
        <v>0</v>
      </c>
      <c r="G175">
        <f ca="1">IF(E175=1,(1+'Dane do harmonogramu'!$C$13*((('Roboczy harmonogram'!B175-DATE(YEAR(B175),1,1)+1)/365)+((DATE(YEAR(B174),12,31)-'Roboczy harmonogram'!B174)/366))),IF(F175=1,(1+'Dane do harmonogramu'!$C$13*((('Roboczy harmonogram'!B175-DATE(YEAR(B175),1,1)+1)/366)+((DATE(YEAR(B174),12,31)-'Roboczy harmonogram'!B174)/365))),0))</f>
        <v>0</v>
      </c>
      <c r="H175">
        <f t="shared" ca="1" si="22"/>
        <v>1</v>
      </c>
      <c r="I175">
        <f t="shared" ca="1" si="23"/>
        <v>1.0052459016393442</v>
      </c>
      <c r="J175">
        <f t="shared" ca="1" si="24"/>
        <v>1.0052459016393442</v>
      </c>
      <c r="K175">
        <f ca="1">PRODUCT($J$3:J175)</f>
        <v>2.5034217608304448</v>
      </c>
      <c r="L175">
        <f t="shared" ca="1" si="25"/>
        <v>0.39945326658352454</v>
      </c>
      <c r="M175">
        <f ca="1">SUM($L$3:L175)</f>
        <v>113.07621847962233</v>
      </c>
      <c r="O175">
        <f t="shared" ca="1" si="26"/>
        <v>-4346.8701277918881</v>
      </c>
      <c r="P175" s="16">
        <f t="shared" ca="1" si="27"/>
        <v>18216.031000131617</v>
      </c>
      <c r="Q175" s="17">
        <f t="shared" ca="1" si="28"/>
        <v>-846838.14911045413</v>
      </c>
      <c r="S175">
        <f>IF(A175&lt;='Dane do harmonogramu'!$C$7,'Roboczy harmonogram'!P175,0)</f>
        <v>0</v>
      </c>
      <c r="T175">
        <f>IF(A175&lt;='Dane do harmonogramu'!$C$7,'Roboczy harmonogram'!O175,0)</f>
        <v>0</v>
      </c>
      <c r="U175">
        <f>IF(A175&lt;='Dane do harmonogramu'!$C$7,$N$2,0)</f>
        <v>0</v>
      </c>
      <c r="V175" s="16" t="str">
        <f>IF(A174&lt;='Dane do harmonogramu'!$C$7,Q174*0.15%,"")</f>
        <v/>
      </c>
    </row>
    <row r="176" spans="1:22" x14ac:dyDescent="0.35">
      <c r="A176">
        <v>174</v>
      </c>
      <c r="B176" s="14">
        <f t="shared" ca="1" si="29"/>
        <v>51365</v>
      </c>
      <c r="C176" s="15">
        <f ca="1">(1+'Dane do harmonogramu'!$C$13*('Roboczy harmonogram'!B176-'Roboczy harmonogram'!B175)/365)</f>
        <v>1.0054356164383562</v>
      </c>
      <c r="D176" s="15">
        <f ca="1">(1+'Dane do harmonogramu'!$C$13*('Roboczy harmonogram'!B176-'Roboczy harmonogram'!B175)/366)</f>
        <v>1.0054207650273224</v>
      </c>
      <c r="E176" s="15">
        <f t="shared" ca="1" si="20"/>
        <v>0</v>
      </c>
      <c r="F176" s="15">
        <f t="shared" ca="1" si="21"/>
        <v>0</v>
      </c>
      <c r="G176">
        <f ca="1">IF(E176=1,(1+'Dane do harmonogramu'!$C$13*((('Roboczy harmonogram'!B176-DATE(YEAR(B176),1,1)+1)/365)+((DATE(YEAR(B175),12,31)-'Roboczy harmonogram'!B175)/366))),IF(F176=1,(1+'Dane do harmonogramu'!$C$13*((('Roboczy harmonogram'!B176-DATE(YEAR(B176),1,1)+1)/366)+((DATE(YEAR(B175),12,31)-'Roboczy harmonogram'!B175)/365))),0))</f>
        <v>0</v>
      </c>
      <c r="H176">
        <f t="shared" ca="1" si="22"/>
        <v>1</v>
      </c>
      <c r="I176">
        <f t="shared" ca="1" si="23"/>
        <v>1.0054207650273224</v>
      </c>
      <c r="J176">
        <f t="shared" ca="1" si="24"/>
        <v>1.0054207650273224</v>
      </c>
      <c r="K176">
        <f ca="1">PRODUCT($J$3:J176)</f>
        <v>2.5169922219601921</v>
      </c>
      <c r="L176">
        <f t="shared" ca="1" si="25"/>
        <v>0.39729959881291027</v>
      </c>
      <c r="M176">
        <f ca="1">SUM($L$3:L176)</f>
        <v>113.47351807843523</v>
      </c>
      <c r="O176">
        <f t="shared" ca="1" si="26"/>
        <v>-4590.5106225003256</v>
      </c>
      <c r="P176" s="16">
        <f t="shared" ca="1" si="27"/>
        <v>18459.671494840055</v>
      </c>
      <c r="Q176" s="17">
        <f t="shared" ca="1" si="28"/>
        <v>-865297.8206052942</v>
      </c>
      <c r="S176">
        <f>IF(A176&lt;='Dane do harmonogramu'!$C$7,'Roboczy harmonogram'!P176,0)</f>
        <v>0</v>
      </c>
      <c r="T176">
        <f>IF(A176&lt;='Dane do harmonogramu'!$C$7,'Roboczy harmonogram'!O176,0)</f>
        <v>0</v>
      </c>
      <c r="U176">
        <f>IF(A176&lt;='Dane do harmonogramu'!$C$7,$N$2,0)</f>
        <v>0</v>
      </c>
      <c r="V176" s="16" t="str">
        <f>IF(A175&lt;='Dane do harmonogramu'!$C$7,Q175*0.15%,"")</f>
        <v/>
      </c>
    </row>
    <row r="177" spans="1:22" x14ac:dyDescent="0.35">
      <c r="A177">
        <v>175</v>
      </c>
      <c r="B177" s="14">
        <f t="shared" ca="1" si="29"/>
        <v>51396</v>
      </c>
      <c r="C177" s="15">
        <f ca="1">(1+'Dane do harmonogramu'!$C$13*('Roboczy harmonogram'!B177-'Roboczy harmonogram'!B176)/365)</f>
        <v>1.0054356164383562</v>
      </c>
      <c r="D177" s="15">
        <f ca="1">(1+'Dane do harmonogramu'!$C$13*('Roboczy harmonogram'!B177-'Roboczy harmonogram'!B176)/366)</f>
        <v>1.0054207650273224</v>
      </c>
      <c r="E177" s="15">
        <f t="shared" ca="1" si="20"/>
        <v>0</v>
      </c>
      <c r="F177" s="15">
        <f t="shared" ca="1" si="21"/>
        <v>0</v>
      </c>
      <c r="G177">
        <f ca="1">IF(E177=1,(1+'Dane do harmonogramu'!$C$13*((('Roboczy harmonogram'!B177-DATE(YEAR(B177),1,1)+1)/365)+((DATE(YEAR(B176),12,31)-'Roboczy harmonogram'!B176)/366))),IF(F177=1,(1+'Dane do harmonogramu'!$C$13*((('Roboczy harmonogram'!B177-DATE(YEAR(B177),1,1)+1)/366)+((DATE(YEAR(B176),12,31)-'Roboczy harmonogram'!B176)/365))),0))</f>
        <v>0</v>
      </c>
      <c r="H177">
        <f t="shared" ca="1" si="22"/>
        <v>1</v>
      </c>
      <c r="I177">
        <f t="shared" ca="1" si="23"/>
        <v>1.0054207650273224</v>
      </c>
      <c r="J177">
        <f t="shared" ca="1" si="24"/>
        <v>1.0054207650273224</v>
      </c>
      <c r="K177">
        <f ca="1">PRODUCT($J$3:J177)</f>
        <v>2.5306362453710363</v>
      </c>
      <c r="L177">
        <f t="shared" ca="1" si="25"/>
        <v>0.39515754262556302</v>
      </c>
      <c r="M177">
        <f ca="1">SUM($L$3:L177)</f>
        <v>113.8686756210608</v>
      </c>
      <c r="O177">
        <f t="shared" ca="1" si="26"/>
        <v>-4690.5761641553836</v>
      </c>
      <c r="P177" s="16">
        <f t="shared" ca="1" si="27"/>
        <v>18559.737036495113</v>
      </c>
      <c r="Q177" s="17">
        <f t="shared" ca="1" si="28"/>
        <v>-883857.55764178932</v>
      </c>
      <c r="S177">
        <f>IF(A177&lt;='Dane do harmonogramu'!$C$7,'Roboczy harmonogram'!P177,0)</f>
        <v>0</v>
      </c>
      <c r="T177">
        <f>IF(A177&lt;='Dane do harmonogramu'!$C$7,'Roboczy harmonogram'!O177,0)</f>
        <v>0</v>
      </c>
      <c r="U177">
        <f>IF(A177&lt;='Dane do harmonogramu'!$C$7,$N$2,0)</f>
        <v>0</v>
      </c>
      <c r="V177" s="16" t="str">
        <f>IF(A176&lt;='Dane do harmonogramu'!$C$7,Q176*0.15%,"")</f>
        <v/>
      </c>
    </row>
    <row r="178" spans="1:22" x14ac:dyDescent="0.35">
      <c r="A178">
        <v>176</v>
      </c>
      <c r="B178" s="14">
        <f t="shared" ca="1" si="29"/>
        <v>51426</v>
      </c>
      <c r="C178" s="15">
        <f ca="1">(1+'Dane do harmonogramu'!$C$13*('Roboczy harmonogram'!B178-'Roboczy harmonogram'!B177)/365)</f>
        <v>1.0052602739726026</v>
      </c>
      <c r="D178" s="15">
        <f ca="1">(1+'Dane do harmonogramu'!$C$13*('Roboczy harmonogram'!B178-'Roboczy harmonogram'!B177)/366)</f>
        <v>1.0052459016393442</v>
      </c>
      <c r="E178" s="15">
        <f t="shared" ca="1" si="20"/>
        <v>0</v>
      </c>
      <c r="F178" s="15">
        <f t="shared" ca="1" si="21"/>
        <v>0</v>
      </c>
      <c r="G178">
        <f ca="1">IF(E178=1,(1+'Dane do harmonogramu'!$C$13*((('Roboczy harmonogram'!B178-DATE(YEAR(B178),1,1)+1)/365)+((DATE(YEAR(B177),12,31)-'Roboczy harmonogram'!B177)/366))),IF(F178=1,(1+'Dane do harmonogramu'!$C$13*((('Roboczy harmonogram'!B178-DATE(YEAR(B178),1,1)+1)/366)+((DATE(YEAR(B177),12,31)-'Roboczy harmonogram'!B177)/365))),0))</f>
        <v>0</v>
      </c>
      <c r="H178">
        <f t="shared" ca="1" si="22"/>
        <v>1</v>
      </c>
      <c r="I178">
        <f t="shared" ca="1" si="23"/>
        <v>1.0052459016393442</v>
      </c>
      <c r="J178">
        <f t="shared" ca="1" si="24"/>
        <v>1.0052459016393442</v>
      </c>
      <c r="K178">
        <f ca="1">PRODUCT($J$3:J178)</f>
        <v>2.5439117141992122</v>
      </c>
      <c r="L178">
        <f t="shared" ca="1" si="25"/>
        <v>0.39309540280755617</v>
      </c>
      <c r="M178">
        <f ca="1">SUM($L$3:L178)</f>
        <v>114.26177102386836</v>
      </c>
      <c r="O178">
        <f t="shared" ca="1" si="26"/>
        <v>-4636.6298105798196</v>
      </c>
      <c r="P178" s="16">
        <f t="shared" ca="1" si="27"/>
        <v>18505.790682919549</v>
      </c>
      <c r="Q178" s="17">
        <f t="shared" ca="1" si="28"/>
        <v>-902363.34832470887</v>
      </c>
      <c r="S178">
        <f>IF(A178&lt;='Dane do harmonogramu'!$C$7,'Roboczy harmonogram'!P178,0)</f>
        <v>0</v>
      </c>
      <c r="T178">
        <f>IF(A178&lt;='Dane do harmonogramu'!$C$7,'Roboczy harmonogram'!O178,0)</f>
        <v>0</v>
      </c>
      <c r="U178">
        <f>IF(A178&lt;='Dane do harmonogramu'!$C$7,$N$2,0)</f>
        <v>0</v>
      </c>
      <c r="V178" s="16" t="str">
        <f>IF(A177&lt;='Dane do harmonogramu'!$C$7,Q177*0.15%,"")</f>
        <v/>
      </c>
    </row>
    <row r="179" spans="1:22" x14ac:dyDescent="0.35">
      <c r="A179">
        <v>177</v>
      </c>
      <c r="B179" s="14">
        <f t="shared" ca="1" si="29"/>
        <v>51457</v>
      </c>
      <c r="C179" s="15">
        <f ca="1">(1+'Dane do harmonogramu'!$C$13*('Roboczy harmonogram'!B179-'Roboczy harmonogram'!B178)/365)</f>
        <v>1.0054356164383562</v>
      </c>
      <c r="D179" s="15">
        <f ca="1">(1+'Dane do harmonogramu'!$C$13*('Roboczy harmonogram'!B179-'Roboczy harmonogram'!B178)/366)</f>
        <v>1.0054207650273224</v>
      </c>
      <c r="E179" s="15">
        <f t="shared" ca="1" si="20"/>
        <v>0</v>
      </c>
      <c r="F179" s="15">
        <f t="shared" ca="1" si="21"/>
        <v>0</v>
      </c>
      <c r="G179">
        <f ca="1">IF(E179=1,(1+'Dane do harmonogramu'!$C$13*((('Roboczy harmonogram'!B179-DATE(YEAR(B179),1,1)+1)/365)+((DATE(YEAR(B178),12,31)-'Roboczy harmonogram'!B178)/366))),IF(F179=1,(1+'Dane do harmonogramu'!$C$13*((('Roboczy harmonogram'!B179-DATE(YEAR(B179),1,1)+1)/366)+((DATE(YEAR(B178),12,31)-'Roboczy harmonogram'!B178)/365))),0))</f>
        <v>0</v>
      </c>
      <c r="H179">
        <f t="shared" ca="1" si="22"/>
        <v>1</v>
      </c>
      <c r="I179">
        <f t="shared" ca="1" si="23"/>
        <v>1.0054207650273224</v>
      </c>
      <c r="J179">
        <f t="shared" ca="1" si="24"/>
        <v>1.0054207650273224</v>
      </c>
      <c r="K179">
        <f ca="1">PRODUCT($J$3:J179)</f>
        <v>2.5577016618521391</v>
      </c>
      <c r="L179">
        <f t="shared" ca="1" si="25"/>
        <v>0.3909760137059371</v>
      </c>
      <c r="M179">
        <f ca="1">SUM($L$3:L179)</f>
        <v>114.6527470375743</v>
      </c>
      <c r="O179">
        <f t="shared" ca="1" si="26"/>
        <v>-4891.4996805361006</v>
      </c>
      <c r="P179" s="16">
        <f t="shared" ca="1" si="27"/>
        <v>18760.66055287583</v>
      </c>
      <c r="Q179" s="17">
        <f t="shared" ca="1" si="28"/>
        <v>-921124.00887758471</v>
      </c>
      <c r="S179">
        <f>IF(A179&lt;='Dane do harmonogramu'!$C$7,'Roboczy harmonogram'!P179,0)</f>
        <v>0</v>
      </c>
      <c r="T179">
        <f>IF(A179&lt;='Dane do harmonogramu'!$C$7,'Roboczy harmonogram'!O179,0)</f>
        <v>0</v>
      </c>
      <c r="U179">
        <f>IF(A179&lt;='Dane do harmonogramu'!$C$7,$N$2,0)</f>
        <v>0</v>
      </c>
      <c r="V179" s="16" t="str">
        <f>IF(A178&lt;='Dane do harmonogramu'!$C$7,Q178*0.15%,"")</f>
        <v/>
      </c>
    </row>
    <row r="180" spans="1:22" x14ac:dyDescent="0.35">
      <c r="A180">
        <v>178</v>
      </c>
      <c r="B180" s="14">
        <f t="shared" ca="1" si="29"/>
        <v>51487</v>
      </c>
      <c r="C180" s="15">
        <f ca="1">(1+'Dane do harmonogramu'!$C$13*('Roboczy harmonogram'!B180-'Roboczy harmonogram'!B179)/365)</f>
        <v>1.0052602739726026</v>
      </c>
      <c r="D180" s="15">
        <f ca="1">(1+'Dane do harmonogramu'!$C$13*('Roboczy harmonogram'!B180-'Roboczy harmonogram'!B179)/366)</f>
        <v>1.0052459016393442</v>
      </c>
      <c r="E180" s="15">
        <f t="shared" ca="1" si="20"/>
        <v>0</v>
      </c>
      <c r="F180" s="15">
        <f t="shared" ca="1" si="21"/>
        <v>0</v>
      </c>
      <c r="G180">
        <f ca="1">IF(E180=1,(1+'Dane do harmonogramu'!$C$13*((('Roboczy harmonogram'!B180-DATE(YEAR(B180),1,1)+1)/365)+((DATE(YEAR(B179),12,31)-'Roboczy harmonogram'!B179)/366))),IF(F180=1,(1+'Dane do harmonogramu'!$C$13*((('Roboczy harmonogram'!B180-DATE(YEAR(B180),1,1)+1)/366)+((DATE(YEAR(B179),12,31)-'Roboczy harmonogram'!B179)/365))),0))</f>
        <v>0</v>
      </c>
      <c r="H180">
        <f t="shared" ca="1" si="22"/>
        <v>1</v>
      </c>
      <c r="I180">
        <f t="shared" ca="1" si="23"/>
        <v>1.0052459016393442</v>
      </c>
      <c r="J180">
        <f t="shared" ca="1" si="24"/>
        <v>1.0052459016393442</v>
      </c>
      <c r="K180">
        <f ca="1">PRODUCT($J$3:J180)</f>
        <v>2.5711191131930029</v>
      </c>
      <c r="L180">
        <f t="shared" ca="1" si="25"/>
        <v>0.38893569530434052</v>
      </c>
      <c r="M180">
        <f ca="1">SUM($L$3:L180)</f>
        <v>115.04168273287864</v>
      </c>
      <c r="O180">
        <f t="shared" ca="1" si="26"/>
        <v>-4832.1259482102469</v>
      </c>
      <c r="P180" s="16">
        <f t="shared" ca="1" si="27"/>
        <v>18701.286820549976</v>
      </c>
      <c r="Q180" s="17">
        <f t="shared" ca="1" si="28"/>
        <v>-939825.29569813469</v>
      </c>
      <c r="S180">
        <f>IF(A180&lt;='Dane do harmonogramu'!$C$7,'Roboczy harmonogram'!P180,0)</f>
        <v>0</v>
      </c>
      <c r="T180">
        <f>IF(A180&lt;='Dane do harmonogramu'!$C$7,'Roboczy harmonogram'!O180,0)</f>
        <v>0</v>
      </c>
      <c r="U180">
        <f>IF(A180&lt;='Dane do harmonogramu'!$C$7,$N$2,0)</f>
        <v>0</v>
      </c>
      <c r="V180" s="16" t="str">
        <f>IF(A179&lt;='Dane do harmonogramu'!$C$7,Q179*0.15%,"")</f>
        <v/>
      </c>
    </row>
    <row r="181" spans="1:22" x14ac:dyDescent="0.35">
      <c r="A181">
        <v>179</v>
      </c>
      <c r="B181" s="14">
        <f t="shared" ca="1" si="29"/>
        <v>51518</v>
      </c>
      <c r="C181" s="15">
        <f ca="1">(1+'Dane do harmonogramu'!$C$13*('Roboczy harmonogram'!B181-'Roboczy harmonogram'!B180)/365)</f>
        <v>1.0054356164383562</v>
      </c>
      <c r="D181" s="15">
        <f ca="1">(1+'Dane do harmonogramu'!$C$13*('Roboczy harmonogram'!B181-'Roboczy harmonogram'!B180)/366)</f>
        <v>1.0054207650273224</v>
      </c>
      <c r="E181" s="15">
        <f t="shared" ca="1" si="20"/>
        <v>1</v>
      </c>
      <c r="F181" s="15">
        <f t="shared" ca="1" si="21"/>
        <v>0</v>
      </c>
      <c r="G181">
        <f ca="1">IF(E181=1,(1+'Dane do harmonogramu'!$C$13*((('Roboczy harmonogram'!B181-DATE(YEAR(B181),1,1)+1)/365)+((DATE(YEAR(B180),12,31)-'Roboczy harmonogram'!B180)/366))),IF(F181=1,(1+'Dane do harmonogramu'!$C$13*((('Roboczy harmonogram'!B181-DATE(YEAR(B181),1,1)+1)/366)+((DATE(YEAR(B180),12,31)-'Roboczy harmonogram'!B180)/365))),0))</f>
        <v>1.0054289093495021</v>
      </c>
      <c r="H181">
        <f t="shared" ca="1" si="22"/>
        <v>0</v>
      </c>
      <c r="I181">
        <f t="shared" ca="1" si="23"/>
        <v>1.0054356164383562</v>
      </c>
      <c r="J181">
        <f t="shared" ca="1" si="24"/>
        <v>1.0054289093495021</v>
      </c>
      <c r="K181">
        <f ca="1">PRODUCT($J$3:J181)</f>
        <v>2.5850774857853001</v>
      </c>
      <c r="L181">
        <f t="shared" ca="1" si="25"/>
        <v>0.38683559989932681</v>
      </c>
      <c r="M181">
        <f ca="1">SUM($L$3:L181)</f>
        <v>115.42851833277797</v>
      </c>
      <c r="O181">
        <f t="shared" ca="1" si="26"/>
        <v>-5102.2263347142143</v>
      </c>
      <c r="P181" s="16">
        <f t="shared" ca="1" si="27"/>
        <v>18971.387207053944</v>
      </c>
      <c r="Q181" s="17">
        <f t="shared" ca="1" si="28"/>
        <v>-958796.68290518865</v>
      </c>
      <c r="S181">
        <f>IF(A181&lt;='Dane do harmonogramu'!$C$7,'Roboczy harmonogram'!P181,0)</f>
        <v>0</v>
      </c>
      <c r="T181">
        <f>IF(A181&lt;='Dane do harmonogramu'!$C$7,'Roboczy harmonogram'!O181,0)</f>
        <v>0</v>
      </c>
      <c r="U181">
        <f>IF(A181&lt;='Dane do harmonogramu'!$C$7,$N$2,0)</f>
        <v>0</v>
      </c>
      <c r="V181" s="16" t="str">
        <f>IF(A180&lt;='Dane do harmonogramu'!$C$7,Q180*0.15%,"")</f>
        <v/>
      </c>
    </row>
    <row r="182" spans="1:22" x14ac:dyDescent="0.35">
      <c r="A182">
        <v>180</v>
      </c>
      <c r="B182" s="14">
        <f t="shared" ca="1" si="29"/>
        <v>51549</v>
      </c>
      <c r="C182" s="15">
        <f ca="1">(1+'Dane do harmonogramu'!$C$13*('Roboczy harmonogram'!B182-'Roboczy harmonogram'!B181)/365)</f>
        <v>1.0054356164383562</v>
      </c>
      <c r="D182" s="15">
        <f ca="1">(1+'Dane do harmonogramu'!$C$13*('Roboczy harmonogram'!B182-'Roboczy harmonogram'!B181)/366)</f>
        <v>1.0054207650273224</v>
      </c>
      <c r="E182" s="15">
        <f t="shared" ca="1" si="20"/>
        <v>0</v>
      </c>
      <c r="F182" s="15">
        <f t="shared" ca="1" si="21"/>
        <v>0</v>
      </c>
      <c r="G182">
        <f ca="1">IF(E182=1,(1+'Dane do harmonogramu'!$C$13*((('Roboczy harmonogram'!B182-DATE(YEAR(B182),1,1)+1)/365)+((DATE(YEAR(B181),12,31)-'Roboczy harmonogram'!B181)/366))),IF(F182=1,(1+'Dane do harmonogramu'!$C$13*((('Roboczy harmonogram'!B182-DATE(YEAR(B182),1,1)+1)/366)+((DATE(YEAR(B181),12,31)-'Roboczy harmonogram'!B181)/365))),0))</f>
        <v>0</v>
      </c>
      <c r="H182">
        <f t="shared" ca="1" si="22"/>
        <v>0</v>
      </c>
      <c r="I182">
        <f t="shared" ca="1" si="23"/>
        <v>1.0054356164383562</v>
      </c>
      <c r="J182">
        <f t="shared" ca="1" si="24"/>
        <v>1.0054356164383562</v>
      </c>
      <c r="K182">
        <f ca="1">PRODUCT($J$3:J182)</f>
        <v>2.599128975461459</v>
      </c>
      <c r="L182">
        <f t="shared" ca="1" si="25"/>
        <v>0.38474427757955193</v>
      </c>
      <c r="M182">
        <f ca="1">SUM($L$3:L182)</f>
        <v>115.81326261035753</v>
      </c>
      <c r="O182">
        <f t="shared" ca="1" si="26"/>
        <v>-5211.6510106408969</v>
      </c>
      <c r="P182" s="16">
        <f t="shared" ca="1" si="27"/>
        <v>19080.811882980626</v>
      </c>
      <c r="Q182" s="17">
        <f t="shared" ca="1" si="28"/>
        <v>-977877.49478816928</v>
      </c>
      <c r="S182">
        <f>IF(A182&lt;='Dane do harmonogramu'!$C$7,'Roboczy harmonogram'!P182,0)</f>
        <v>0</v>
      </c>
      <c r="T182">
        <f>IF(A182&lt;='Dane do harmonogramu'!$C$7,'Roboczy harmonogram'!O182,0)</f>
        <v>0</v>
      </c>
      <c r="U182">
        <f>IF(A182&lt;='Dane do harmonogramu'!$C$7,$N$2,0)</f>
        <v>0</v>
      </c>
      <c r="V182" s="16" t="str">
        <f>IF(A181&lt;='Dane do harmonogramu'!$C$7,Q181*0.15%,"")</f>
        <v/>
      </c>
    </row>
  </sheetData>
  <pageMargins left="0.7" right="0.7" top="0.75" bottom="0.75" header="0.3" footer="0.3"/>
  <pageSetup paperSize="9" orientation="portrait" horizontalDpi="30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11"/>
  <dimension ref="A1:V182"/>
  <sheetViews>
    <sheetView topLeftCell="K1" workbookViewId="0">
      <pane ySplit="1" topLeftCell="A2" activePane="bottomLeft" state="frozen"/>
      <selection pane="bottomLeft" activeCell="N2" sqref="N2"/>
    </sheetView>
  </sheetViews>
  <sheetFormatPr defaultRowHeight="14.5" x14ac:dyDescent="0.35"/>
  <cols>
    <col min="1" max="1" width="4" bestFit="1" customWidth="1"/>
    <col min="2" max="2" width="16.1796875" customWidth="1"/>
    <col min="3" max="3" width="16.1796875" style="15" customWidth="1"/>
    <col min="4" max="11" width="16.1796875" customWidth="1"/>
    <col min="12" max="12" width="17.453125" customWidth="1"/>
    <col min="13" max="13" width="12.1796875" customWidth="1"/>
    <col min="14" max="14" width="11.1796875" bestFit="1" customWidth="1"/>
    <col min="15" max="15" width="15.1796875" customWidth="1"/>
    <col min="16" max="16" width="16.81640625" customWidth="1"/>
    <col min="17" max="17" width="16.1796875" customWidth="1"/>
    <col min="19" max="19" width="17" bestFit="1" customWidth="1"/>
    <col min="20" max="20" width="17.54296875" bestFit="1" customWidth="1"/>
    <col min="21" max="21" width="15" bestFit="1" customWidth="1"/>
    <col min="22" max="22" width="17.1796875" style="16" customWidth="1"/>
  </cols>
  <sheetData>
    <row r="1" spans="1:22" x14ac:dyDescent="0.35">
      <c r="A1" s="1" t="s">
        <v>6</v>
      </c>
      <c r="B1" s="2"/>
      <c r="C1" s="3" t="s">
        <v>7</v>
      </c>
      <c r="D1" s="2" t="s">
        <v>8</v>
      </c>
      <c r="E1" s="2" t="s">
        <v>9</v>
      </c>
      <c r="F1" s="2" t="s">
        <v>10</v>
      </c>
      <c r="G1" s="2" t="s">
        <v>11</v>
      </c>
      <c r="H1" s="2" t="s">
        <v>12</v>
      </c>
      <c r="I1" s="2" t="s">
        <v>13</v>
      </c>
      <c r="J1" s="2" t="s">
        <v>14</v>
      </c>
      <c r="K1" s="2" t="s">
        <v>15</v>
      </c>
      <c r="L1" s="4" t="s">
        <v>16</v>
      </c>
      <c r="M1" s="5" t="s">
        <v>17</v>
      </c>
      <c r="N1" s="4" t="s">
        <v>18</v>
      </c>
      <c r="O1" s="6" t="s">
        <v>19</v>
      </c>
      <c r="P1" s="7" t="s">
        <v>20</v>
      </c>
      <c r="Q1" s="7" t="s">
        <v>21</v>
      </c>
      <c r="S1" s="7" t="s">
        <v>27</v>
      </c>
      <c r="T1" s="7" t="s">
        <v>28</v>
      </c>
      <c r="U1" s="7" t="s">
        <v>29</v>
      </c>
      <c r="V1" s="7" t="s">
        <v>125</v>
      </c>
    </row>
    <row r="2" spans="1:22" x14ac:dyDescent="0.35">
      <c r="A2" s="8">
        <v>0</v>
      </c>
      <c r="B2" s="19">
        <f ca="1">'Dane do harmonogramu'!D14</f>
        <v>46083</v>
      </c>
      <c r="C2" s="10"/>
      <c r="D2" s="9"/>
      <c r="E2" s="9"/>
      <c r="F2" s="9"/>
      <c r="G2" s="11"/>
      <c r="H2" s="11"/>
      <c r="I2" s="11"/>
      <c r="J2" s="11"/>
      <c r="K2" s="11"/>
      <c r="L2" s="7"/>
      <c r="M2" s="12"/>
      <c r="N2" s="13">
        <f ca="1">WarSecKw/VLOOKUP('Dane do harmonogramu'!D7,'Roboczy harmonogram_1'!$A$1:$O$182,13,1)</f>
        <v>14079.050919453606</v>
      </c>
      <c r="O2" s="7"/>
    </row>
    <row r="3" spans="1:22" x14ac:dyDescent="0.35">
      <c r="A3">
        <v>1</v>
      </c>
      <c r="B3" s="20">
        <f ca="1">'Dane do harmonogramu'!D15</f>
        <v>46098</v>
      </c>
      <c r="C3" s="15">
        <f ca="1">(1+'Dane do harmonogramu'!$D$13*('Roboczy harmonogram_1'!B3-'Roboczy harmonogram_1'!B2)/365)</f>
        <v>1.0029999999999999</v>
      </c>
      <c r="D3" s="15">
        <f ca="1">(1+'Dane do harmonogramu'!$D$13*('Roboczy harmonogram_1'!B3-'Roboczy harmonogram_1'!B2)/366)</f>
        <v>1.0029918032786884</v>
      </c>
      <c r="E3" s="15">
        <f ca="1">IF(AND(MOD(YEAR(B2),4)=0,MOD(YEAR(B3),4)&lt;&gt;0),1,0)</f>
        <v>0</v>
      </c>
      <c r="F3" s="15">
        <f ca="1">IF(AND(MOD(YEAR(B3),4)=0,MOD(YEAR(B2),4)&lt;&gt;0),1,0)</f>
        <v>0</v>
      </c>
      <c r="G3">
        <f ca="1">IF(E3=1,(1+'Dane do harmonogramu'!$D$13*((('Roboczy harmonogram_1'!B3-DATE(YEAR(B3),1,1)+1)/365)+((DATE(YEAR(B2),12,31)-'Roboczy harmonogram_1'!B2)/366))),IF(F3=1,(1+'Dane do harmonogramu'!$D$13*((('Roboczy harmonogram_1'!B3-DATE(YEAR(B3),1,1)+1)/366)+((DATE(YEAR(B2),12,31)-'Roboczy harmonogram_1'!B2)/365))),0))</f>
        <v>0</v>
      </c>
      <c r="H3">
        <f ca="1">IF(MOD(YEAR(B3),4)=0,1,0)</f>
        <v>0</v>
      </c>
      <c r="I3">
        <f ca="1">IF(H3=0,C3,IF(H3=1,D3,"blad"))</f>
        <v>1.0029999999999999</v>
      </c>
      <c r="J3">
        <f ca="1">IF(OR(E3=1,F3=1),G3,I3)</f>
        <v>1.0029999999999999</v>
      </c>
      <c r="K3">
        <f ca="1">J3</f>
        <v>1.0029999999999999</v>
      </c>
      <c r="L3">
        <f ca="1">1/K3</f>
        <v>0.99700897308075787</v>
      </c>
      <c r="O3">
        <f ca="1">(WarSecKw*J3)-WarSecKw</f>
        <v>3599.9999999997672</v>
      </c>
      <c r="P3" s="16">
        <f ca="1">$N$2-O3</f>
        <v>10479.050919453839</v>
      </c>
      <c r="Q3" s="17">
        <f ca="1">WarSecKw-P3</f>
        <v>1189520.9490805462</v>
      </c>
      <c r="S3">
        <f ca="1">IF(A3&lt;='Dane do harmonogramu'!$D$7,'Roboczy harmonogram_1'!P3,0)</f>
        <v>10479.050919453839</v>
      </c>
      <c r="T3">
        <f ca="1">IF(A3&lt;='Dane do harmonogramu'!$D$7,'Roboczy harmonogram_1'!O3,0)</f>
        <v>3599.9999999997672</v>
      </c>
      <c r="U3">
        <f ca="1">IF(A3&lt;='Dane do harmonogramu'!$D$7,$N$2,0)</f>
        <v>14079.050919453606</v>
      </c>
      <c r="V3" s="16">
        <f>IF(A3&lt;='Dane do harmonogramu'!$D$7,WarSecKw*0.15%,"")</f>
        <v>1800</v>
      </c>
    </row>
    <row r="4" spans="1:22" x14ac:dyDescent="0.35">
      <c r="A4">
        <v>2</v>
      </c>
      <c r="B4" s="14">
        <f ca="1">DATE(YEAR((B3)),MONTH((B3))+1,IF(AND(DAY(B3)&gt;28,MONTH((B3))+1=2),IF(MOD(YEAR(B3),4)=0,29,28),DAY(B3)))</f>
        <v>46129</v>
      </c>
      <c r="C4" s="15">
        <f ca="1">(1+'Dane do harmonogramu'!$D$13*('Roboczy harmonogram_1'!B4-'Roboczy harmonogram_1'!B3)/365)</f>
        <v>1.0062</v>
      </c>
      <c r="D4" s="15">
        <f ca="1">(1+'Dane do harmonogramu'!$D$13*('Roboczy harmonogram_1'!B4-'Roboczy harmonogram_1'!B3)/366)</f>
        <v>1.0061830601092896</v>
      </c>
      <c r="E4" s="15">
        <f t="shared" ref="E4:E67" ca="1" si="0">IF(AND(MOD(YEAR(B3),4)=0,MOD(YEAR(B4),4)&lt;&gt;0),1,0)</f>
        <v>0</v>
      </c>
      <c r="F4" s="15">
        <f t="shared" ref="F4:F67" ca="1" si="1">IF(AND(MOD(YEAR(B4),4)=0,MOD(YEAR(B3),4)&lt;&gt;0),1,0)</f>
        <v>0</v>
      </c>
      <c r="G4">
        <f ca="1">IF(E4=1,(1+'Dane do harmonogramu'!$D$13*((('Roboczy harmonogram_1'!B4-DATE(YEAR(B4),1,1)+1)/365)+((DATE(YEAR(B3),12,31)-'Roboczy harmonogram_1'!B3)/366))),IF(F4=1,(1+'Dane do harmonogramu'!$D$13*((('Roboczy harmonogram_1'!B4-DATE(YEAR(B4),1,1)+1)/366)+((DATE(YEAR(B3),12,31)-'Roboczy harmonogram_1'!B3)/365))),0))</f>
        <v>0</v>
      </c>
      <c r="H4">
        <f t="shared" ref="H4:H67" ca="1" si="2">IF(MOD(YEAR(B4),4)=0,1,0)</f>
        <v>0</v>
      </c>
      <c r="I4">
        <f t="shared" ref="I4:I67" ca="1" si="3">IF(H4=0,C4,IF(H4=1,D4,"blad"))</f>
        <v>1.0062</v>
      </c>
      <c r="J4">
        <f t="shared" ref="J4:J67" ca="1" si="4">IF(OR(E4=1,F4=1),G4,I4)</f>
        <v>1.0062</v>
      </c>
      <c r="K4">
        <f ca="1">PRODUCT($J$3:J4)</f>
        <v>1.0092185999999999</v>
      </c>
      <c r="L4">
        <f t="shared" ref="L4:L67" ca="1" si="5">1/K4</f>
        <v>0.99086560632156417</v>
      </c>
      <c r="M4">
        <f ca="1">L3+L4</f>
        <v>1.987874579402322</v>
      </c>
      <c r="O4">
        <f ca="1">(Q3*J4)-Q3</f>
        <v>7375.0298842992634</v>
      </c>
      <c r="P4" s="16">
        <f ca="1">$N$2-O4</f>
        <v>6704.0210351543428</v>
      </c>
      <c r="Q4" s="17">
        <f ca="1">Q3-P4</f>
        <v>1182816.9280453918</v>
      </c>
      <c r="S4">
        <f ca="1">IF(A4&lt;='Dane do harmonogramu'!$D$7,'Roboczy harmonogram_1'!P4,0)</f>
        <v>6704.0210351543428</v>
      </c>
      <c r="T4">
        <f ca="1">IF(A4&lt;='Dane do harmonogramu'!$D$7,'Roboczy harmonogram_1'!O4,0)</f>
        <v>7375.0298842992634</v>
      </c>
      <c r="U4">
        <f ca="1">IF(A4&lt;='Dane do harmonogramu'!$D$7,$N$2,0)</f>
        <v>14079.050919453606</v>
      </c>
      <c r="V4" s="16">
        <f ca="1">IF(A3&lt;='Dane do harmonogramu'!$D$7,Q3*0.15%,"")</f>
        <v>1784.2814236208192</v>
      </c>
    </row>
    <row r="5" spans="1:22" x14ac:dyDescent="0.35">
      <c r="A5">
        <v>3</v>
      </c>
      <c r="B5" s="14">
        <f ca="1">DATE(YEAR((B4)),MONTH((B4))+1,IF(AND(DAY(B4)&gt;28,MONTH((B4))+1=2),IF(MOD(YEAR(B4),4)=0,29,28),IF(AND(OR(DAY(B4)=28,DAY(B4)=29),MONTH((B4))=2),DAY(B3),DAY(B4))))</f>
        <v>46159</v>
      </c>
      <c r="C5" s="15">
        <f ca="1">(1+'Dane do harmonogramu'!$D$13*('Roboczy harmonogram_1'!B5-'Roboczy harmonogram_1'!B4)/365)</f>
        <v>1.006</v>
      </c>
      <c r="D5" s="15">
        <f ca="1">(1+'Dane do harmonogramu'!$D$13*('Roboczy harmonogram_1'!B5-'Roboczy harmonogram_1'!B4)/366)</f>
        <v>1.0059836065573771</v>
      </c>
      <c r="E5" s="15">
        <f t="shared" ca="1" si="0"/>
        <v>0</v>
      </c>
      <c r="F5" s="15">
        <f t="shared" ca="1" si="1"/>
        <v>0</v>
      </c>
      <c r="G5">
        <f ca="1">IF(E5=1,(1+'Dane do harmonogramu'!$D$13*((('Roboczy harmonogram_1'!B5-DATE(YEAR(B5),1,1)+1)/365)+((DATE(YEAR(B4),12,31)-'Roboczy harmonogram_1'!B4)/366))),IF(F5=1,(1+'Dane do harmonogramu'!$D$13*((('Roboczy harmonogram_1'!B5-DATE(YEAR(B5),1,1)+1)/366)+((DATE(YEAR(B4),12,31)-'Roboczy harmonogram_1'!B4)/365))),0))</f>
        <v>0</v>
      </c>
      <c r="H5">
        <f t="shared" ca="1" si="2"/>
        <v>0</v>
      </c>
      <c r="I5">
        <f t="shared" ca="1" si="3"/>
        <v>1.006</v>
      </c>
      <c r="J5">
        <f t="shared" ca="1" si="4"/>
        <v>1.006</v>
      </c>
      <c r="K5">
        <f ca="1">PRODUCT($J$3:J5)</f>
        <v>1.0152739115999998</v>
      </c>
      <c r="L5">
        <f t="shared" ca="1" si="5"/>
        <v>0.98495587109499427</v>
      </c>
      <c r="M5">
        <f ca="1">SUM($L$3:L5)</f>
        <v>2.9728304504973164</v>
      </c>
      <c r="O5">
        <f t="shared" ref="O5:O68" ca="1" si="6">(Q4*J5)-Q4</f>
        <v>7096.9015682723839</v>
      </c>
      <c r="P5" s="16">
        <f t="shared" ref="P5:P68" ca="1" si="7">$N$2-O5</f>
        <v>6982.1493511812223</v>
      </c>
      <c r="Q5" s="17">
        <f t="shared" ref="Q5:Q68" ca="1" si="8">Q4-P5</f>
        <v>1175834.7786942106</v>
      </c>
      <c r="S5">
        <f ca="1">IF(A5&lt;='Dane do harmonogramu'!$D$7,'Roboczy harmonogram_1'!P5,0)</f>
        <v>6982.1493511812223</v>
      </c>
      <c r="T5">
        <f ca="1">IF(A5&lt;='Dane do harmonogramu'!$D$7,'Roboczy harmonogram_1'!O5,0)</f>
        <v>7096.9015682723839</v>
      </c>
      <c r="U5">
        <f ca="1">IF(A5&lt;='Dane do harmonogramu'!$D$7,$N$2,0)</f>
        <v>14079.050919453606</v>
      </c>
      <c r="V5" s="16">
        <f ca="1">IF(A4&lt;='Dane do harmonogramu'!$D$7,Q4*0.15%,"")</f>
        <v>1774.2253920680878</v>
      </c>
    </row>
    <row r="6" spans="1:22" x14ac:dyDescent="0.35">
      <c r="A6">
        <v>4</v>
      </c>
      <c r="B6" s="14">
        <f t="shared" ref="B6:B69" ca="1" si="9">DATE(YEAR((B5)),MONTH((B5))+1,IF(AND(DAY(B5)&gt;28,MONTH((B5))+1=2),IF(MOD(YEAR(B5),4)=0,29,28),IF(AND(OR(DAY(B5)=28,DAY(B5)=29),MONTH((B5))=2),DAY(B4),DAY(B5))))</f>
        <v>46190</v>
      </c>
      <c r="C6" s="15">
        <f ca="1">(1+'Dane do harmonogramu'!$D$13*('Roboczy harmonogram_1'!B6-'Roboczy harmonogram_1'!B5)/365)</f>
        <v>1.0062</v>
      </c>
      <c r="D6" s="15">
        <f ca="1">(1+'Dane do harmonogramu'!$D$13*('Roboczy harmonogram_1'!B6-'Roboczy harmonogram_1'!B5)/366)</f>
        <v>1.0061830601092896</v>
      </c>
      <c r="E6" s="15">
        <f t="shared" ca="1" si="0"/>
        <v>0</v>
      </c>
      <c r="F6" s="15">
        <f t="shared" ca="1" si="1"/>
        <v>0</v>
      </c>
      <c r="G6">
        <f ca="1">IF(E6=1,(1+'Dane do harmonogramu'!$D$13*((('Roboczy harmonogram_1'!B6-DATE(YEAR(B6),1,1)+1)/365)+((DATE(YEAR(B5),12,31)-'Roboczy harmonogram_1'!B5)/366))),IF(F6=1,(1+'Dane do harmonogramu'!$D$13*((('Roboczy harmonogram_1'!B6-DATE(YEAR(B6),1,1)+1)/366)+((DATE(YEAR(B5),12,31)-'Roboczy harmonogram_1'!B5)/365))),0))</f>
        <v>0</v>
      </c>
      <c r="H6">
        <f t="shared" ca="1" si="2"/>
        <v>0</v>
      </c>
      <c r="I6">
        <f t="shared" ca="1" si="3"/>
        <v>1.0062</v>
      </c>
      <c r="J6">
        <f t="shared" ca="1" si="4"/>
        <v>1.0062</v>
      </c>
      <c r="K6">
        <f ca="1">PRODUCT($J$3:J6)</f>
        <v>1.0215686098519199</v>
      </c>
      <c r="L6">
        <f t="shared" ca="1" si="5"/>
        <v>0.9788867731017632</v>
      </c>
      <c r="M6">
        <f ca="1">SUM($L$3:L6)</f>
        <v>3.9517172235990796</v>
      </c>
      <c r="O6">
        <f t="shared" ca="1" si="6"/>
        <v>7290.1756279040128</v>
      </c>
      <c r="P6" s="16">
        <f t="shared" ca="1" si="7"/>
        <v>6788.8752915495934</v>
      </c>
      <c r="Q6" s="17">
        <f t="shared" ca="1" si="8"/>
        <v>1169045.903402661</v>
      </c>
      <c r="S6">
        <f ca="1">IF(A6&lt;='Dane do harmonogramu'!$D$7,'Roboczy harmonogram_1'!P6,0)</f>
        <v>6788.8752915495934</v>
      </c>
      <c r="T6">
        <f ca="1">IF(A6&lt;='Dane do harmonogramu'!$D$7,'Roboczy harmonogram_1'!O6,0)</f>
        <v>7290.1756279040128</v>
      </c>
      <c r="U6">
        <f ca="1">IF(A6&lt;='Dane do harmonogramu'!$D$7,$N$2,0)</f>
        <v>14079.050919453606</v>
      </c>
      <c r="V6" s="16">
        <f ca="1">IF(A5&lt;='Dane do harmonogramu'!$D$7,Q5*0.15%,"")</f>
        <v>1763.7521680413158</v>
      </c>
    </row>
    <row r="7" spans="1:22" x14ac:dyDescent="0.35">
      <c r="A7">
        <v>5</v>
      </c>
      <c r="B7" s="14">
        <f t="shared" ca="1" si="9"/>
        <v>46220</v>
      </c>
      <c r="C7" s="15">
        <f ca="1">(1+'Dane do harmonogramu'!$D$13*('Roboczy harmonogram_1'!B7-'Roboczy harmonogram_1'!B6)/365)</f>
        <v>1.006</v>
      </c>
      <c r="D7" s="15">
        <f ca="1">(1+'Dane do harmonogramu'!$D$13*('Roboczy harmonogram_1'!B7-'Roboczy harmonogram_1'!B6)/366)</f>
        <v>1.0059836065573771</v>
      </c>
      <c r="E7" s="15">
        <f t="shared" ca="1" si="0"/>
        <v>0</v>
      </c>
      <c r="F7" s="15">
        <f t="shared" ca="1" si="1"/>
        <v>0</v>
      </c>
      <c r="G7">
        <f ca="1">IF(E7=1,(1+'Dane do harmonogramu'!$D$13*((('Roboczy harmonogram_1'!B7-DATE(YEAR(B7),1,1)+1)/365)+((DATE(YEAR(B6),12,31)-'Roboczy harmonogram_1'!B6)/366))),IF(F7=1,(1+'Dane do harmonogramu'!$D$13*((('Roboczy harmonogram_1'!B7-DATE(YEAR(B7),1,1)+1)/366)+((DATE(YEAR(B6),12,31)-'Roboczy harmonogram_1'!B6)/365))),0))</f>
        <v>0</v>
      </c>
      <c r="H7">
        <f t="shared" ca="1" si="2"/>
        <v>0</v>
      </c>
      <c r="I7">
        <f t="shared" ca="1" si="3"/>
        <v>1.006</v>
      </c>
      <c r="J7">
        <f t="shared" ca="1" si="4"/>
        <v>1.006</v>
      </c>
      <c r="K7">
        <f ca="1">PRODUCT($J$3:J7)</f>
        <v>1.0276980215110314</v>
      </c>
      <c r="L7">
        <f t="shared" ca="1" si="5"/>
        <v>0.97304848220851214</v>
      </c>
      <c r="M7">
        <f ca="1">SUM($L$3:L7)</f>
        <v>4.9247657058075918</v>
      </c>
      <c r="O7">
        <f t="shared" ca="1" si="6"/>
        <v>7014.2754204159137</v>
      </c>
      <c r="P7" s="16">
        <f t="shared" ca="1" si="7"/>
        <v>7064.7754990376925</v>
      </c>
      <c r="Q7" s="17">
        <f t="shared" ca="1" si="8"/>
        <v>1161981.1279036233</v>
      </c>
      <c r="S7">
        <f ca="1">IF(A7&lt;='Dane do harmonogramu'!$D$7,'Roboczy harmonogram_1'!P7,0)</f>
        <v>7064.7754990376925</v>
      </c>
      <c r="T7">
        <f ca="1">IF(A7&lt;='Dane do harmonogramu'!$D$7,'Roboczy harmonogram_1'!O7,0)</f>
        <v>7014.2754204159137</v>
      </c>
      <c r="U7">
        <f ca="1">IF(A7&lt;='Dane do harmonogramu'!$D$7,$N$2,0)</f>
        <v>14079.050919453606</v>
      </c>
      <c r="V7" s="16">
        <f ca="1">IF(A6&lt;='Dane do harmonogramu'!$D$7,Q6*0.15%,"")</f>
        <v>1753.5688551039916</v>
      </c>
    </row>
    <row r="8" spans="1:22" x14ac:dyDescent="0.35">
      <c r="A8">
        <v>6</v>
      </c>
      <c r="B8" s="14">
        <f t="shared" ca="1" si="9"/>
        <v>46251</v>
      </c>
      <c r="C8" s="15">
        <f ca="1">(1+'Dane do harmonogramu'!$D$13*('Roboczy harmonogram_1'!B8-'Roboczy harmonogram_1'!B7)/365)</f>
        <v>1.0062</v>
      </c>
      <c r="D8" s="15">
        <f ca="1">(1+'Dane do harmonogramu'!$D$13*('Roboczy harmonogram_1'!B8-'Roboczy harmonogram_1'!B7)/366)</f>
        <v>1.0061830601092896</v>
      </c>
      <c r="E8" s="15">
        <f t="shared" ca="1" si="0"/>
        <v>0</v>
      </c>
      <c r="F8" s="15">
        <f t="shared" ca="1" si="1"/>
        <v>0</v>
      </c>
      <c r="G8">
        <f ca="1">IF(E8=1,(1+'Dane do harmonogramu'!$D$13*((('Roboczy harmonogram_1'!B8-DATE(YEAR(B8),1,1)+1)/365)+((DATE(YEAR(B7),12,31)-'Roboczy harmonogram_1'!B7)/366))),IF(F8=1,(1+'Dane do harmonogramu'!$D$13*((('Roboczy harmonogram_1'!B8-DATE(YEAR(B8),1,1)+1)/366)+((DATE(YEAR(B7),12,31)-'Roboczy harmonogram_1'!B7)/365))),0))</f>
        <v>0</v>
      </c>
      <c r="H8">
        <f t="shared" ca="1" si="2"/>
        <v>0</v>
      </c>
      <c r="I8">
        <f t="shared" ca="1" si="3"/>
        <v>1.0062</v>
      </c>
      <c r="J8">
        <f t="shared" ca="1" si="4"/>
        <v>1.0062</v>
      </c>
      <c r="K8">
        <f ca="1">PRODUCT($J$3:J8)</f>
        <v>1.0340697492443998</v>
      </c>
      <c r="L8">
        <f t="shared" ca="1" si="5"/>
        <v>0.9670527551267265</v>
      </c>
      <c r="M8">
        <f ca="1">SUM($L$3:L8)</f>
        <v>5.891818460934318</v>
      </c>
      <c r="O8">
        <f t="shared" ca="1" si="6"/>
        <v>7204.282993002329</v>
      </c>
      <c r="P8" s="16">
        <f t="shared" ca="1" si="7"/>
        <v>6874.7679264512772</v>
      </c>
      <c r="Q8" s="17">
        <f t="shared" ca="1" si="8"/>
        <v>1155106.359977172</v>
      </c>
      <c r="S8">
        <f ca="1">IF(A8&lt;='Dane do harmonogramu'!$D$7,'Roboczy harmonogram_1'!P8,0)</f>
        <v>6874.7679264512772</v>
      </c>
      <c r="T8">
        <f ca="1">IF(A8&lt;='Dane do harmonogramu'!$D$7,'Roboczy harmonogram_1'!O8,0)</f>
        <v>7204.282993002329</v>
      </c>
      <c r="U8">
        <f ca="1">IF(A8&lt;='Dane do harmonogramu'!$D$7,$N$2,0)</f>
        <v>14079.050919453606</v>
      </c>
      <c r="V8" s="16">
        <f ca="1">IF(A7&lt;='Dane do harmonogramu'!$D$7,Q7*0.15%,"")</f>
        <v>1742.971691855435</v>
      </c>
    </row>
    <row r="9" spans="1:22" x14ac:dyDescent="0.35">
      <c r="A9">
        <v>7</v>
      </c>
      <c r="B9" s="14">
        <f t="shared" ca="1" si="9"/>
        <v>46282</v>
      </c>
      <c r="C9" s="15">
        <f ca="1">(1+'Dane do harmonogramu'!$D$13*('Roboczy harmonogram_1'!B9-'Roboczy harmonogram_1'!B8)/365)</f>
        <v>1.0062</v>
      </c>
      <c r="D9" s="15">
        <f ca="1">(1+'Dane do harmonogramu'!$D$13*('Roboczy harmonogram_1'!B9-'Roboczy harmonogram_1'!B8)/366)</f>
        <v>1.0061830601092896</v>
      </c>
      <c r="E9" s="15">
        <f t="shared" ca="1" si="0"/>
        <v>0</v>
      </c>
      <c r="F9" s="15">
        <f t="shared" ca="1" si="1"/>
        <v>0</v>
      </c>
      <c r="G9">
        <f ca="1">IF(E9=1,(1+'Dane do harmonogramu'!$D$13*((('Roboczy harmonogram_1'!B9-DATE(YEAR(B9),1,1)+1)/365)+((DATE(YEAR(B8),12,31)-'Roboczy harmonogram_1'!B8)/366))),IF(F9=1,(1+'Dane do harmonogramu'!$D$13*((('Roboczy harmonogram_1'!B9-DATE(YEAR(B9),1,1)+1)/366)+((DATE(YEAR(B8),12,31)-'Roboczy harmonogram_1'!B8)/365))),0))</f>
        <v>0</v>
      </c>
      <c r="H9">
        <f t="shared" ca="1" si="2"/>
        <v>0</v>
      </c>
      <c r="I9">
        <f t="shared" ca="1" si="3"/>
        <v>1.0062</v>
      </c>
      <c r="J9">
        <f t="shared" ca="1" si="4"/>
        <v>1.0062</v>
      </c>
      <c r="K9">
        <f ca="1">PRODUCT($J$3:J9)</f>
        <v>1.0404809816897149</v>
      </c>
      <c r="L9">
        <f t="shared" ca="1" si="5"/>
        <v>0.96109397249724371</v>
      </c>
      <c r="M9">
        <f ca="1">SUM($L$3:L9)</f>
        <v>6.8529124334315616</v>
      </c>
      <c r="O9">
        <f t="shared" ca="1" si="6"/>
        <v>7161.6594318584539</v>
      </c>
      <c r="P9" s="16">
        <f t="shared" ca="1" si="7"/>
        <v>6917.3914875951523</v>
      </c>
      <c r="Q9" s="17">
        <f t="shared" ca="1" si="8"/>
        <v>1148188.9684895768</v>
      </c>
      <c r="S9">
        <f ca="1">IF(A9&lt;='Dane do harmonogramu'!$D$7,'Roboczy harmonogram_1'!P9,0)</f>
        <v>6917.3914875951523</v>
      </c>
      <c r="T9">
        <f ca="1">IF(A9&lt;='Dane do harmonogramu'!$D$7,'Roboczy harmonogram_1'!O9,0)</f>
        <v>7161.6594318584539</v>
      </c>
      <c r="U9">
        <f ca="1">IF(A9&lt;='Dane do harmonogramu'!$D$7,$N$2,0)</f>
        <v>14079.050919453606</v>
      </c>
      <c r="V9" s="16">
        <f ca="1">IF(A8&lt;='Dane do harmonogramu'!$D$7,Q8*0.15%,"")</f>
        <v>1732.6595399657581</v>
      </c>
    </row>
    <row r="10" spans="1:22" x14ac:dyDescent="0.35">
      <c r="A10">
        <v>8</v>
      </c>
      <c r="B10" s="14">
        <f t="shared" ca="1" si="9"/>
        <v>46312</v>
      </c>
      <c r="C10" s="15">
        <f ca="1">(1+'Dane do harmonogramu'!$D$13*('Roboczy harmonogram_1'!B10-'Roboczy harmonogram_1'!B9)/365)</f>
        <v>1.006</v>
      </c>
      <c r="D10" s="15">
        <f ca="1">(1+'Dane do harmonogramu'!$D$13*('Roboczy harmonogram_1'!B10-'Roboczy harmonogram_1'!B9)/366)</f>
        <v>1.0059836065573771</v>
      </c>
      <c r="E10" s="15">
        <f t="shared" ca="1" si="0"/>
        <v>0</v>
      </c>
      <c r="F10" s="15">
        <f t="shared" ca="1" si="1"/>
        <v>0</v>
      </c>
      <c r="G10">
        <f ca="1">IF(E10=1,(1+'Dane do harmonogramu'!$D$13*((('Roboczy harmonogram_1'!B10-DATE(YEAR(B10),1,1)+1)/365)+((DATE(YEAR(B9),12,31)-'Roboczy harmonogram_1'!B9)/366))),IF(F10=1,(1+'Dane do harmonogramu'!$D$13*((('Roboczy harmonogram_1'!B10-DATE(YEAR(B10),1,1)+1)/366)+((DATE(YEAR(B9),12,31)-'Roboczy harmonogram_1'!B9)/365))),0))</f>
        <v>0</v>
      </c>
      <c r="H10">
        <f t="shared" ca="1" si="2"/>
        <v>0</v>
      </c>
      <c r="I10">
        <f t="shared" ca="1" si="3"/>
        <v>1.006</v>
      </c>
      <c r="J10">
        <f t="shared" ca="1" si="4"/>
        <v>1.006</v>
      </c>
      <c r="K10">
        <f ca="1">PRODUCT($J$3:J10)</f>
        <v>1.0467238675798531</v>
      </c>
      <c r="L10">
        <f t="shared" ca="1" si="5"/>
        <v>0.95536180168712104</v>
      </c>
      <c r="M10">
        <f ca="1">SUM($L$3:L10)</f>
        <v>7.8082742351186827</v>
      </c>
      <c r="O10">
        <f t="shared" ca="1" si="6"/>
        <v>6889.1338109374046</v>
      </c>
      <c r="P10" s="16">
        <f t="shared" ca="1" si="7"/>
        <v>7189.9171085162016</v>
      </c>
      <c r="Q10" s="17">
        <f t="shared" ca="1" si="8"/>
        <v>1140999.0513810606</v>
      </c>
      <c r="S10">
        <f ca="1">IF(A10&lt;='Dane do harmonogramu'!$D$7,'Roboczy harmonogram_1'!P10,0)</f>
        <v>7189.9171085162016</v>
      </c>
      <c r="T10">
        <f ca="1">IF(A10&lt;='Dane do harmonogramu'!$D$7,'Roboczy harmonogram_1'!O10,0)</f>
        <v>6889.1338109374046</v>
      </c>
      <c r="U10">
        <f ca="1">IF(A10&lt;='Dane do harmonogramu'!$D$7,$N$2,0)</f>
        <v>14079.050919453606</v>
      </c>
      <c r="V10" s="16">
        <f ca="1">IF(A9&lt;='Dane do harmonogramu'!$D$7,Q9*0.15%,"")</f>
        <v>1722.2834527343653</v>
      </c>
    </row>
    <row r="11" spans="1:22" x14ac:dyDescent="0.35">
      <c r="A11">
        <v>9</v>
      </c>
      <c r="B11" s="14">
        <f t="shared" ca="1" si="9"/>
        <v>46343</v>
      </c>
      <c r="C11" s="15">
        <f ca="1">(1+'Dane do harmonogramu'!$D$13*('Roboczy harmonogram_1'!B11-'Roboczy harmonogram_1'!B10)/365)</f>
        <v>1.0062</v>
      </c>
      <c r="D11" s="15">
        <f ca="1">(1+'Dane do harmonogramu'!$D$13*('Roboczy harmonogram_1'!B11-'Roboczy harmonogram_1'!B10)/366)</f>
        <v>1.0061830601092896</v>
      </c>
      <c r="E11" s="15">
        <f t="shared" ca="1" si="0"/>
        <v>0</v>
      </c>
      <c r="F11" s="15">
        <f t="shared" ca="1" si="1"/>
        <v>0</v>
      </c>
      <c r="G11">
        <f ca="1">IF(E11=1,(1+'Dane do harmonogramu'!$D$13*((('Roboczy harmonogram_1'!B11-DATE(YEAR(B11),1,1)+1)/365)+((DATE(YEAR(B10),12,31)-'Roboczy harmonogram_1'!B10)/366))),IF(F11=1,(1+'Dane do harmonogramu'!$D$13*((('Roboczy harmonogram_1'!B11-DATE(YEAR(B11),1,1)+1)/366)+((DATE(YEAR(B10),12,31)-'Roboczy harmonogram_1'!B10)/365))),0))</f>
        <v>0</v>
      </c>
      <c r="H11">
        <f t="shared" ca="1" si="2"/>
        <v>0</v>
      </c>
      <c r="I11">
        <f t="shared" ca="1" si="3"/>
        <v>1.0062</v>
      </c>
      <c r="J11">
        <f t="shared" ca="1" si="4"/>
        <v>1.0062</v>
      </c>
      <c r="K11">
        <f ca="1">PRODUCT($J$3:J11)</f>
        <v>1.0532135555588482</v>
      </c>
      <c r="L11">
        <f t="shared" ca="1" si="5"/>
        <v>0.94947505633782658</v>
      </c>
      <c r="M11">
        <f ca="1">SUM($L$3:L11)</f>
        <v>8.7577492914565092</v>
      </c>
      <c r="O11">
        <f t="shared" ca="1" si="6"/>
        <v>7074.1941185626201</v>
      </c>
      <c r="P11" s="16">
        <f t="shared" ca="1" si="7"/>
        <v>7004.8568008909861</v>
      </c>
      <c r="Q11" s="17">
        <f t="shared" ca="1" si="8"/>
        <v>1133994.1945801696</v>
      </c>
      <c r="S11">
        <f ca="1">IF(A11&lt;='Dane do harmonogramu'!$D$7,'Roboczy harmonogram_1'!P11,0)</f>
        <v>7004.8568008909861</v>
      </c>
      <c r="T11">
        <f ca="1">IF(A11&lt;='Dane do harmonogramu'!$D$7,'Roboczy harmonogram_1'!O11,0)</f>
        <v>7074.1941185626201</v>
      </c>
      <c r="U11">
        <f ca="1">IF(A11&lt;='Dane do harmonogramu'!$D$7,$N$2,0)</f>
        <v>14079.050919453606</v>
      </c>
      <c r="V11" s="16">
        <f ca="1">IF(A10&lt;='Dane do harmonogramu'!$D$7,Q10*0.15%,"")</f>
        <v>1711.4985770715909</v>
      </c>
    </row>
    <row r="12" spans="1:22" x14ac:dyDescent="0.35">
      <c r="A12">
        <v>10</v>
      </c>
      <c r="B12" s="14">
        <f t="shared" ca="1" si="9"/>
        <v>46373</v>
      </c>
      <c r="C12" s="15">
        <f ca="1">(1+'Dane do harmonogramu'!$D$13*('Roboczy harmonogram_1'!B12-'Roboczy harmonogram_1'!B11)/365)</f>
        <v>1.006</v>
      </c>
      <c r="D12" s="15">
        <f ca="1">(1+'Dane do harmonogramu'!$D$13*('Roboczy harmonogram_1'!B12-'Roboczy harmonogram_1'!B11)/366)</f>
        <v>1.0059836065573771</v>
      </c>
      <c r="E12" s="15">
        <f t="shared" ca="1" si="0"/>
        <v>0</v>
      </c>
      <c r="F12" s="15">
        <f t="shared" ca="1" si="1"/>
        <v>0</v>
      </c>
      <c r="G12">
        <f ca="1">IF(E12=1,(1+'Dane do harmonogramu'!$D$13*((('Roboczy harmonogram_1'!B12-DATE(YEAR(B12),1,1)+1)/365)+((DATE(YEAR(B11),12,31)-'Roboczy harmonogram_1'!B11)/366))),IF(F12=1,(1+'Dane do harmonogramu'!$D$13*((('Roboczy harmonogram_1'!B12-DATE(YEAR(B12),1,1)+1)/366)+((DATE(YEAR(B11),12,31)-'Roboczy harmonogram_1'!B11)/365))),0))</f>
        <v>0</v>
      </c>
      <c r="H12">
        <f t="shared" ca="1" si="2"/>
        <v>0</v>
      </c>
      <c r="I12">
        <f t="shared" ca="1" si="3"/>
        <v>1.006</v>
      </c>
      <c r="J12">
        <f t="shared" ca="1" si="4"/>
        <v>1.006</v>
      </c>
      <c r="K12">
        <f ca="1">PRODUCT($J$3:J12)</f>
        <v>1.0595328368922012</v>
      </c>
      <c r="L12">
        <f t="shared" ca="1" si="5"/>
        <v>0.94381218323839622</v>
      </c>
      <c r="M12">
        <f ca="1">SUM($L$3:L12)</f>
        <v>9.7015614746949055</v>
      </c>
      <c r="O12">
        <f t="shared" ca="1" si="6"/>
        <v>6803.9651674809866</v>
      </c>
      <c r="P12" s="16">
        <f t="shared" ca="1" si="7"/>
        <v>7275.0857519726196</v>
      </c>
      <c r="Q12" s="17">
        <f t="shared" ca="1" si="8"/>
        <v>1126719.108828197</v>
      </c>
      <c r="S12">
        <f ca="1">IF(A12&lt;='Dane do harmonogramu'!$D$7,'Roboczy harmonogram_1'!P12,0)</f>
        <v>7275.0857519726196</v>
      </c>
      <c r="T12">
        <f ca="1">IF(A12&lt;='Dane do harmonogramu'!$D$7,'Roboczy harmonogram_1'!O12,0)</f>
        <v>6803.9651674809866</v>
      </c>
      <c r="U12">
        <f ca="1">IF(A12&lt;='Dane do harmonogramu'!$D$7,$N$2,0)</f>
        <v>14079.050919453606</v>
      </c>
      <c r="V12" s="16">
        <f ca="1">IF(A11&lt;='Dane do harmonogramu'!$D$7,Q11*0.15%,"")</f>
        <v>1700.9912918702544</v>
      </c>
    </row>
    <row r="13" spans="1:22" x14ac:dyDescent="0.35">
      <c r="A13">
        <v>11</v>
      </c>
      <c r="B13" s="14">
        <f t="shared" ca="1" si="9"/>
        <v>46404</v>
      </c>
      <c r="C13" s="15">
        <f ca="1">(1+'Dane do harmonogramu'!$D$13*('Roboczy harmonogram_1'!B13-'Roboczy harmonogram_1'!B12)/365)</f>
        <v>1.0062</v>
      </c>
      <c r="D13" s="15">
        <f ca="1">(1+'Dane do harmonogramu'!$D$13*('Roboczy harmonogram_1'!B13-'Roboczy harmonogram_1'!B12)/366)</f>
        <v>1.0061830601092896</v>
      </c>
      <c r="E13" s="15">
        <f t="shared" ca="1" si="0"/>
        <v>0</v>
      </c>
      <c r="F13" s="15">
        <f t="shared" ca="1" si="1"/>
        <v>0</v>
      </c>
      <c r="G13">
        <f ca="1">IF(E13=1,(1+'Dane do harmonogramu'!$D$13*((('Roboczy harmonogram_1'!B13-DATE(YEAR(B13),1,1)+1)/365)+((DATE(YEAR(B12),12,31)-'Roboczy harmonogram_1'!B12)/366))),IF(F13=1,(1+'Dane do harmonogramu'!$D$13*((('Roboczy harmonogram_1'!B13-DATE(YEAR(B13),1,1)+1)/366)+((DATE(YEAR(B12),12,31)-'Roboczy harmonogram_1'!B12)/365))),0))</f>
        <v>0</v>
      </c>
      <c r="H13">
        <f t="shared" ca="1" si="2"/>
        <v>0</v>
      </c>
      <c r="I13">
        <f t="shared" ca="1" si="3"/>
        <v>1.0062</v>
      </c>
      <c r="J13">
        <f t="shared" ca="1" si="4"/>
        <v>1.0062</v>
      </c>
      <c r="K13">
        <f ca="1">PRODUCT($J$3:J13)</f>
        <v>1.0661019404809329</v>
      </c>
      <c r="L13">
        <f t="shared" ca="1" si="5"/>
        <v>0.93799660429178711</v>
      </c>
      <c r="M13">
        <f ca="1">SUM($L$3:L13)</f>
        <v>10.639558078986692</v>
      </c>
      <c r="O13">
        <f t="shared" ca="1" si="6"/>
        <v>6985.6584747347515</v>
      </c>
      <c r="P13" s="16">
        <f t="shared" ca="1" si="7"/>
        <v>7093.3924447188547</v>
      </c>
      <c r="Q13" s="17">
        <f t="shared" ca="1" si="8"/>
        <v>1119625.7163834781</v>
      </c>
      <c r="S13">
        <f ca="1">IF(A13&lt;='Dane do harmonogramu'!$D$7,'Roboczy harmonogram_1'!P13,0)</f>
        <v>7093.3924447188547</v>
      </c>
      <c r="T13">
        <f ca="1">IF(A13&lt;='Dane do harmonogramu'!$D$7,'Roboczy harmonogram_1'!O13,0)</f>
        <v>6985.6584747347515</v>
      </c>
      <c r="U13">
        <f ca="1">IF(A13&lt;='Dane do harmonogramu'!$D$7,$N$2,0)</f>
        <v>14079.050919453606</v>
      </c>
      <c r="V13" s="16">
        <f ca="1">IF(A12&lt;='Dane do harmonogramu'!$D$7,Q12*0.15%,"")</f>
        <v>1690.0786632422955</v>
      </c>
    </row>
    <row r="14" spans="1:22" x14ac:dyDescent="0.35">
      <c r="A14">
        <v>12</v>
      </c>
      <c r="B14" s="14">
        <f t="shared" ca="1" si="9"/>
        <v>46435</v>
      </c>
      <c r="C14" s="15">
        <f ca="1">(1+'Dane do harmonogramu'!$D$13*('Roboczy harmonogram_1'!B14-'Roboczy harmonogram_1'!B13)/365)</f>
        <v>1.0062</v>
      </c>
      <c r="D14" s="15">
        <f ca="1">(1+'Dane do harmonogramu'!$D$13*('Roboczy harmonogram_1'!B14-'Roboczy harmonogram_1'!B13)/366)</f>
        <v>1.0061830601092896</v>
      </c>
      <c r="E14" s="15">
        <f t="shared" ca="1" si="0"/>
        <v>0</v>
      </c>
      <c r="F14" s="15">
        <f t="shared" ca="1" si="1"/>
        <v>0</v>
      </c>
      <c r="G14">
        <f ca="1">IF(E14=1,(1+'Dane do harmonogramu'!$D$13*((('Roboczy harmonogram_1'!B14-DATE(YEAR(B14),1,1)+1)/365)+((DATE(YEAR(B13),12,31)-'Roboczy harmonogram_1'!B13)/366))),IF(F14=1,(1+'Dane do harmonogramu'!$D$13*((('Roboczy harmonogram_1'!B14-DATE(YEAR(B14),1,1)+1)/366)+((DATE(YEAR(B13),12,31)-'Roboczy harmonogram_1'!B13)/365))),0))</f>
        <v>0</v>
      </c>
      <c r="H14">
        <f t="shared" ca="1" si="2"/>
        <v>0</v>
      </c>
      <c r="I14">
        <f t="shared" ca="1" si="3"/>
        <v>1.0062</v>
      </c>
      <c r="J14">
        <f t="shared" ca="1" si="4"/>
        <v>1.0062</v>
      </c>
      <c r="K14">
        <f ca="1">PRODUCT($J$3:J14)</f>
        <v>1.0727117725119146</v>
      </c>
      <c r="L14">
        <f t="shared" ca="1" si="5"/>
        <v>0.93221685976126734</v>
      </c>
      <c r="M14">
        <f ca="1">SUM($L$3:L14)</f>
        <v>11.571774938747959</v>
      </c>
      <c r="O14">
        <f t="shared" ca="1" si="6"/>
        <v>6941.6794415775221</v>
      </c>
      <c r="P14" s="16">
        <f t="shared" ca="1" si="7"/>
        <v>7137.3714778760841</v>
      </c>
      <c r="Q14" s="17">
        <f t="shared" ca="1" si="8"/>
        <v>1112488.344905602</v>
      </c>
      <c r="S14">
        <f ca="1">IF(A14&lt;='Dane do harmonogramu'!$D$7,'Roboczy harmonogram_1'!P14,0)</f>
        <v>7137.3714778760841</v>
      </c>
      <c r="T14">
        <f ca="1">IF(A14&lt;='Dane do harmonogramu'!$D$7,'Roboczy harmonogram_1'!O14,0)</f>
        <v>6941.6794415775221</v>
      </c>
      <c r="U14">
        <f ca="1">IF(A14&lt;='Dane do harmonogramu'!$D$7,$N$2,0)</f>
        <v>14079.050919453606</v>
      </c>
      <c r="V14" s="16">
        <f ca="1">IF(A13&lt;='Dane do harmonogramu'!$D$7,Q13*0.15%,"")</f>
        <v>1679.4385745752172</v>
      </c>
    </row>
    <row r="15" spans="1:22" x14ac:dyDescent="0.35">
      <c r="A15">
        <v>13</v>
      </c>
      <c r="B15" s="14">
        <f t="shared" ca="1" si="9"/>
        <v>46463</v>
      </c>
      <c r="C15" s="15">
        <f ca="1">(1+'Dane do harmonogramu'!$D$13*('Roboczy harmonogram_1'!B15-'Roboczy harmonogram_1'!B14)/365)</f>
        <v>1.0056</v>
      </c>
      <c r="D15" s="15">
        <f ca="1">(1+'Dane do harmonogramu'!$D$13*('Roboczy harmonogram_1'!B15-'Roboczy harmonogram_1'!B14)/366)</f>
        <v>1.005584699453552</v>
      </c>
      <c r="E15" s="15">
        <f t="shared" ca="1" si="0"/>
        <v>0</v>
      </c>
      <c r="F15" s="15">
        <f t="shared" ca="1" si="1"/>
        <v>0</v>
      </c>
      <c r="G15">
        <f ca="1">IF(E15=1,(1+'Dane do harmonogramu'!$D$13*((('Roboczy harmonogram_1'!B15-DATE(YEAR(B15),1,1)+1)/365)+((DATE(YEAR(B14),12,31)-'Roboczy harmonogram_1'!B14)/366))),IF(F15=1,(1+'Dane do harmonogramu'!$D$13*((('Roboczy harmonogram_1'!B15-DATE(YEAR(B15),1,1)+1)/366)+((DATE(YEAR(B14),12,31)-'Roboczy harmonogram_1'!B14)/365))),0))</f>
        <v>0</v>
      </c>
      <c r="H15">
        <f t="shared" ca="1" si="2"/>
        <v>0</v>
      </c>
      <c r="I15">
        <f t="shared" ca="1" si="3"/>
        <v>1.0056</v>
      </c>
      <c r="J15">
        <f t="shared" ca="1" si="4"/>
        <v>1.0056</v>
      </c>
      <c r="K15">
        <f ca="1">PRODUCT($J$3:J15)</f>
        <v>1.0787189584379815</v>
      </c>
      <c r="L15">
        <f t="shared" ca="1" si="5"/>
        <v>0.927025516866813</v>
      </c>
      <c r="M15">
        <f ca="1">SUM($L$3:L15)</f>
        <v>12.498800455614772</v>
      </c>
      <c r="O15">
        <f t="shared" ca="1" si="6"/>
        <v>6229.9347314713523</v>
      </c>
      <c r="P15" s="16">
        <f t="shared" ca="1" si="7"/>
        <v>7849.1161879822539</v>
      </c>
      <c r="Q15" s="17">
        <f t="shared" ca="1" si="8"/>
        <v>1104639.2287176198</v>
      </c>
      <c r="S15">
        <f ca="1">IF(A15&lt;='Dane do harmonogramu'!$D$7,'Roboczy harmonogram_1'!P15,0)</f>
        <v>7849.1161879822539</v>
      </c>
      <c r="T15">
        <f ca="1">IF(A15&lt;='Dane do harmonogramu'!$D$7,'Roboczy harmonogram_1'!O15,0)</f>
        <v>6229.9347314713523</v>
      </c>
      <c r="U15">
        <f ca="1">IF(A15&lt;='Dane do harmonogramu'!$D$7,$N$2,0)</f>
        <v>14079.050919453606</v>
      </c>
      <c r="V15" s="16">
        <f ca="1">IF(A14&lt;='Dane do harmonogramu'!$D$7,Q14*0.15%,"")</f>
        <v>1668.7325173584031</v>
      </c>
    </row>
    <row r="16" spans="1:22" x14ac:dyDescent="0.35">
      <c r="A16">
        <v>14</v>
      </c>
      <c r="B16" s="14">
        <f t="shared" ca="1" si="9"/>
        <v>46494</v>
      </c>
      <c r="C16" s="15">
        <f ca="1">(1+'Dane do harmonogramu'!$D$13*('Roboczy harmonogram_1'!B16-'Roboczy harmonogram_1'!B15)/365)</f>
        <v>1.0062</v>
      </c>
      <c r="D16" s="15">
        <f ca="1">(1+'Dane do harmonogramu'!$D$13*('Roboczy harmonogram_1'!B16-'Roboczy harmonogram_1'!B15)/366)</f>
        <v>1.0061830601092896</v>
      </c>
      <c r="E16" s="15">
        <f t="shared" ca="1" si="0"/>
        <v>0</v>
      </c>
      <c r="F16" s="15">
        <f t="shared" ca="1" si="1"/>
        <v>0</v>
      </c>
      <c r="G16">
        <f ca="1">IF(E16=1,(1+'Dane do harmonogramu'!$D$13*((('Roboczy harmonogram_1'!B16-DATE(YEAR(B16),1,1)+1)/365)+((DATE(YEAR(B15),12,31)-'Roboczy harmonogram_1'!B15)/366))),IF(F16=1,(1+'Dane do harmonogramu'!$D$13*((('Roboczy harmonogram_1'!B16-DATE(YEAR(B16),1,1)+1)/366)+((DATE(YEAR(B15),12,31)-'Roboczy harmonogram_1'!B15)/365))),0))</f>
        <v>0</v>
      </c>
      <c r="H16">
        <f t="shared" ca="1" si="2"/>
        <v>0</v>
      </c>
      <c r="I16">
        <f t="shared" ca="1" si="3"/>
        <v>1.0062</v>
      </c>
      <c r="J16">
        <f t="shared" ca="1" si="4"/>
        <v>1.0062</v>
      </c>
      <c r="K16">
        <f ca="1">PRODUCT($J$3:J16)</f>
        <v>1.0854070159802969</v>
      </c>
      <c r="L16">
        <f t="shared" ca="1" si="5"/>
        <v>0.92131337394833346</v>
      </c>
      <c r="M16">
        <f ca="1">SUM($L$3:L16)</f>
        <v>13.420113829563105</v>
      </c>
      <c r="O16">
        <f t="shared" ca="1" si="6"/>
        <v>6848.7632180491928</v>
      </c>
      <c r="P16" s="16">
        <f t="shared" ca="1" si="7"/>
        <v>7230.2877014044134</v>
      </c>
      <c r="Q16" s="17">
        <f t="shared" ca="1" si="8"/>
        <v>1097408.9410162154</v>
      </c>
      <c r="S16">
        <f ca="1">IF(A16&lt;='Dane do harmonogramu'!$D$7,'Roboczy harmonogram_1'!P16,0)</f>
        <v>7230.2877014044134</v>
      </c>
      <c r="T16">
        <f ca="1">IF(A16&lt;='Dane do harmonogramu'!$D$7,'Roboczy harmonogram_1'!O16,0)</f>
        <v>6848.7632180491928</v>
      </c>
      <c r="U16">
        <f ca="1">IF(A16&lt;='Dane do harmonogramu'!$D$7,$N$2,0)</f>
        <v>14079.050919453606</v>
      </c>
      <c r="V16" s="16">
        <f ca="1">IF(A15&lt;='Dane do harmonogramu'!$D$7,Q15*0.15%,"")</f>
        <v>1656.9588430764297</v>
      </c>
    </row>
    <row r="17" spans="1:22" x14ac:dyDescent="0.35">
      <c r="A17">
        <v>15</v>
      </c>
      <c r="B17" s="14">
        <f t="shared" ca="1" si="9"/>
        <v>46524</v>
      </c>
      <c r="C17" s="15">
        <f ca="1">(1+'Dane do harmonogramu'!$D$13*('Roboczy harmonogram_1'!B17-'Roboczy harmonogram_1'!B16)/365)</f>
        <v>1.006</v>
      </c>
      <c r="D17" s="15">
        <f ca="1">(1+'Dane do harmonogramu'!$D$13*('Roboczy harmonogram_1'!B17-'Roboczy harmonogram_1'!B16)/366)</f>
        <v>1.0059836065573771</v>
      </c>
      <c r="E17" s="15">
        <f t="shared" ca="1" si="0"/>
        <v>0</v>
      </c>
      <c r="F17" s="15">
        <f t="shared" ca="1" si="1"/>
        <v>0</v>
      </c>
      <c r="G17">
        <f ca="1">IF(E17=1,(1+'Dane do harmonogramu'!$D$13*((('Roboczy harmonogram_1'!B17-DATE(YEAR(B17),1,1)+1)/365)+((DATE(YEAR(B16),12,31)-'Roboczy harmonogram_1'!B16)/366))),IF(F17=1,(1+'Dane do harmonogramu'!$D$13*((('Roboczy harmonogram_1'!B17-DATE(YEAR(B17),1,1)+1)/366)+((DATE(YEAR(B16),12,31)-'Roboczy harmonogram_1'!B16)/365))),0))</f>
        <v>0</v>
      </c>
      <c r="H17">
        <f t="shared" ca="1" si="2"/>
        <v>0</v>
      </c>
      <c r="I17">
        <f t="shared" ca="1" si="3"/>
        <v>1.006</v>
      </c>
      <c r="J17">
        <f t="shared" ca="1" si="4"/>
        <v>1.006</v>
      </c>
      <c r="K17">
        <f ca="1">PRODUCT($J$3:J17)</f>
        <v>1.0919194580761786</v>
      </c>
      <c r="L17">
        <f t="shared" ca="1" si="5"/>
        <v>0.91581846316931759</v>
      </c>
      <c r="M17">
        <f ca="1">SUM($L$3:L17)</f>
        <v>14.335932292732423</v>
      </c>
      <c r="O17">
        <f t="shared" ca="1" si="6"/>
        <v>6584.4536460973322</v>
      </c>
      <c r="P17" s="16">
        <f t="shared" ca="1" si="7"/>
        <v>7494.5972733562739</v>
      </c>
      <c r="Q17" s="17">
        <f t="shared" ca="1" si="8"/>
        <v>1089914.3437428591</v>
      </c>
      <c r="S17">
        <f ca="1">IF(A17&lt;='Dane do harmonogramu'!$D$7,'Roboczy harmonogram_1'!P17,0)</f>
        <v>7494.5972733562739</v>
      </c>
      <c r="T17">
        <f ca="1">IF(A17&lt;='Dane do harmonogramu'!$D$7,'Roboczy harmonogram_1'!O17,0)</f>
        <v>6584.4536460973322</v>
      </c>
      <c r="U17">
        <f ca="1">IF(A17&lt;='Dane do harmonogramu'!$D$7,$N$2,0)</f>
        <v>14079.050919453606</v>
      </c>
      <c r="V17" s="16">
        <f ca="1">IF(A16&lt;='Dane do harmonogramu'!$D$7,Q16*0.15%,"")</f>
        <v>1646.1134115243231</v>
      </c>
    </row>
    <row r="18" spans="1:22" x14ac:dyDescent="0.35">
      <c r="A18">
        <v>16</v>
      </c>
      <c r="B18" s="14">
        <f t="shared" ca="1" si="9"/>
        <v>46555</v>
      </c>
      <c r="C18" s="15">
        <f ca="1">(1+'Dane do harmonogramu'!$D$13*('Roboczy harmonogram_1'!B18-'Roboczy harmonogram_1'!B17)/365)</f>
        <v>1.0062</v>
      </c>
      <c r="D18" s="15">
        <f ca="1">(1+'Dane do harmonogramu'!$D$13*('Roboczy harmonogram_1'!B18-'Roboczy harmonogram_1'!B17)/366)</f>
        <v>1.0061830601092896</v>
      </c>
      <c r="E18" s="15">
        <f t="shared" ca="1" si="0"/>
        <v>0</v>
      </c>
      <c r="F18" s="15">
        <f t="shared" ca="1" si="1"/>
        <v>0</v>
      </c>
      <c r="G18">
        <f ca="1">IF(E18=1,(1+'Dane do harmonogramu'!$D$13*((('Roboczy harmonogram_1'!B18-DATE(YEAR(B18),1,1)+1)/365)+((DATE(YEAR(B17),12,31)-'Roboczy harmonogram_1'!B17)/366))),IF(F18=1,(1+'Dane do harmonogramu'!$D$13*((('Roboczy harmonogram_1'!B18-DATE(YEAR(B18),1,1)+1)/366)+((DATE(YEAR(B17),12,31)-'Roboczy harmonogram_1'!B17)/365))),0))</f>
        <v>0</v>
      </c>
      <c r="H18">
        <f t="shared" ca="1" si="2"/>
        <v>0</v>
      </c>
      <c r="I18">
        <f t="shared" ca="1" si="3"/>
        <v>1.0062</v>
      </c>
      <c r="J18">
        <f t="shared" ca="1" si="4"/>
        <v>1.0062</v>
      </c>
      <c r="K18">
        <f ca="1">PRODUCT($J$3:J18)</f>
        <v>1.098689358716251</v>
      </c>
      <c r="L18">
        <f t="shared" ca="1" si="5"/>
        <v>0.91017537583911501</v>
      </c>
      <c r="M18">
        <f ca="1">SUM($L$3:L18)</f>
        <v>15.246107668571538</v>
      </c>
      <c r="O18">
        <f t="shared" ca="1" si="6"/>
        <v>6757.4689312058035</v>
      </c>
      <c r="P18" s="16">
        <f t="shared" ca="1" si="7"/>
        <v>7321.5819882478027</v>
      </c>
      <c r="Q18" s="17">
        <f t="shared" ca="1" si="8"/>
        <v>1082592.7617546113</v>
      </c>
      <c r="S18">
        <f ca="1">IF(A18&lt;='Dane do harmonogramu'!$D$7,'Roboczy harmonogram_1'!P18,0)</f>
        <v>7321.5819882478027</v>
      </c>
      <c r="T18">
        <f ca="1">IF(A18&lt;='Dane do harmonogramu'!$D$7,'Roboczy harmonogram_1'!O18,0)</f>
        <v>6757.4689312058035</v>
      </c>
      <c r="U18">
        <f ca="1">IF(A18&lt;='Dane do harmonogramu'!$D$7,$N$2,0)</f>
        <v>14079.050919453606</v>
      </c>
      <c r="V18" s="16">
        <f ca="1">IF(A17&lt;='Dane do harmonogramu'!$D$7,Q17*0.15%,"")</f>
        <v>1634.8715156142887</v>
      </c>
    </row>
    <row r="19" spans="1:22" x14ac:dyDescent="0.35">
      <c r="A19">
        <v>17</v>
      </c>
      <c r="B19" s="14">
        <f t="shared" ca="1" si="9"/>
        <v>46585</v>
      </c>
      <c r="C19" s="15">
        <f ca="1">(1+'Dane do harmonogramu'!$D$13*('Roboczy harmonogram_1'!B19-'Roboczy harmonogram_1'!B18)/365)</f>
        <v>1.006</v>
      </c>
      <c r="D19" s="15">
        <f ca="1">(1+'Dane do harmonogramu'!$D$13*('Roboczy harmonogram_1'!B19-'Roboczy harmonogram_1'!B18)/366)</f>
        <v>1.0059836065573771</v>
      </c>
      <c r="E19" s="15">
        <f t="shared" ca="1" si="0"/>
        <v>0</v>
      </c>
      <c r="F19" s="15">
        <f t="shared" ca="1" si="1"/>
        <v>0</v>
      </c>
      <c r="G19">
        <f ca="1">IF(E19=1,(1+'Dane do harmonogramu'!$D$13*((('Roboczy harmonogram_1'!B19-DATE(YEAR(B19),1,1)+1)/365)+((DATE(YEAR(B18),12,31)-'Roboczy harmonogram_1'!B18)/366))),IF(F19=1,(1+'Dane do harmonogramu'!$D$13*((('Roboczy harmonogram_1'!B19-DATE(YEAR(B19),1,1)+1)/366)+((DATE(YEAR(B18),12,31)-'Roboczy harmonogram_1'!B18)/365))),0))</f>
        <v>0</v>
      </c>
      <c r="H19">
        <f t="shared" ca="1" si="2"/>
        <v>0</v>
      </c>
      <c r="I19">
        <f t="shared" ca="1" si="3"/>
        <v>1.006</v>
      </c>
      <c r="J19">
        <f t="shared" ca="1" si="4"/>
        <v>1.006</v>
      </c>
      <c r="K19">
        <f ca="1">PRODUCT($J$3:J19)</f>
        <v>1.1052814948685485</v>
      </c>
      <c r="L19">
        <f t="shared" ca="1" si="5"/>
        <v>0.90474689447228129</v>
      </c>
      <c r="M19">
        <f ca="1">SUM($L$3:L19)</f>
        <v>16.150854563043819</v>
      </c>
      <c r="O19">
        <f t="shared" ca="1" si="6"/>
        <v>6495.5565705276094</v>
      </c>
      <c r="P19" s="16">
        <f t="shared" ca="1" si="7"/>
        <v>7583.4943489259967</v>
      </c>
      <c r="Q19" s="17">
        <f t="shared" ca="1" si="8"/>
        <v>1075009.2674056853</v>
      </c>
      <c r="S19">
        <f ca="1">IF(A19&lt;='Dane do harmonogramu'!$D$7,'Roboczy harmonogram_1'!P19,0)</f>
        <v>7583.4943489259967</v>
      </c>
      <c r="T19">
        <f ca="1">IF(A19&lt;='Dane do harmonogramu'!$D$7,'Roboczy harmonogram_1'!O19,0)</f>
        <v>6495.5565705276094</v>
      </c>
      <c r="U19">
        <f ca="1">IF(A19&lt;='Dane do harmonogramu'!$D$7,$N$2,0)</f>
        <v>14079.050919453606</v>
      </c>
      <c r="V19" s="16">
        <f ca="1">IF(A18&lt;='Dane do harmonogramu'!$D$7,Q18*0.15%,"")</f>
        <v>1623.8891426319169</v>
      </c>
    </row>
    <row r="20" spans="1:22" x14ac:dyDescent="0.35">
      <c r="A20">
        <v>18</v>
      </c>
      <c r="B20" s="14">
        <f t="shared" ca="1" si="9"/>
        <v>46616</v>
      </c>
      <c r="C20" s="15">
        <f ca="1">(1+'Dane do harmonogramu'!$D$13*('Roboczy harmonogram_1'!B20-'Roboczy harmonogram_1'!B19)/365)</f>
        <v>1.0062</v>
      </c>
      <c r="D20" s="15">
        <f ca="1">(1+'Dane do harmonogramu'!$D$13*('Roboczy harmonogram_1'!B20-'Roboczy harmonogram_1'!B19)/366)</f>
        <v>1.0061830601092896</v>
      </c>
      <c r="E20" s="15">
        <f t="shared" ca="1" si="0"/>
        <v>0</v>
      </c>
      <c r="F20" s="15">
        <f t="shared" ca="1" si="1"/>
        <v>0</v>
      </c>
      <c r="G20">
        <f ca="1">IF(E20=1,(1+'Dane do harmonogramu'!$D$13*((('Roboczy harmonogram_1'!B20-DATE(YEAR(B20),1,1)+1)/365)+((DATE(YEAR(B19),12,31)-'Roboczy harmonogram_1'!B19)/366))),IF(F20=1,(1+'Dane do harmonogramu'!$D$13*((('Roboczy harmonogram_1'!B20-DATE(YEAR(B20),1,1)+1)/366)+((DATE(YEAR(B19),12,31)-'Roboczy harmonogram_1'!B19)/365))),0))</f>
        <v>0</v>
      </c>
      <c r="H20">
        <f t="shared" ca="1" si="2"/>
        <v>0</v>
      </c>
      <c r="I20">
        <f t="shared" ca="1" si="3"/>
        <v>1.0062</v>
      </c>
      <c r="J20">
        <f t="shared" ca="1" si="4"/>
        <v>1.0062</v>
      </c>
      <c r="K20">
        <f ca="1">PRODUCT($J$3:J20)</f>
        <v>1.1121342401367336</v>
      </c>
      <c r="L20">
        <f t="shared" ca="1" si="5"/>
        <v>0.89917202789930561</v>
      </c>
      <c r="M20">
        <f ca="1">SUM($L$3:L20)</f>
        <v>17.050026590943123</v>
      </c>
      <c r="O20">
        <f t="shared" ca="1" si="6"/>
        <v>6665.0574579152744</v>
      </c>
      <c r="P20" s="16">
        <f t="shared" ca="1" si="7"/>
        <v>7413.9934615383318</v>
      </c>
      <c r="Q20" s="17">
        <f t="shared" ca="1" si="8"/>
        <v>1067595.2739441469</v>
      </c>
      <c r="S20">
        <f ca="1">IF(A20&lt;='Dane do harmonogramu'!$D$7,'Roboczy harmonogram_1'!P20,0)</f>
        <v>7413.9934615383318</v>
      </c>
      <c r="T20">
        <f ca="1">IF(A20&lt;='Dane do harmonogramu'!$D$7,'Roboczy harmonogram_1'!O20,0)</f>
        <v>6665.0574579152744</v>
      </c>
      <c r="U20">
        <f ca="1">IF(A20&lt;='Dane do harmonogramu'!$D$7,$N$2,0)</f>
        <v>14079.050919453606</v>
      </c>
      <c r="V20" s="16">
        <f ca="1">IF(A19&lt;='Dane do harmonogramu'!$D$7,Q19*0.15%,"")</f>
        <v>1612.513901108528</v>
      </c>
    </row>
    <row r="21" spans="1:22" x14ac:dyDescent="0.35">
      <c r="A21">
        <v>19</v>
      </c>
      <c r="B21" s="14">
        <f t="shared" ca="1" si="9"/>
        <v>46647</v>
      </c>
      <c r="C21" s="15">
        <f ca="1">(1+'Dane do harmonogramu'!$D$13*('Roboczy harmonogram_1'!B21-'Roboczy harmonogram_1'!B20)/365)</f>
        <v>1.0062</v>
      </c>
      <c r="D21" s="15">
        <f ca="1">(1+'Dane do harmonogramu'!$D$13*('Roboczy harmonogram_1'!B21-'Roboczy harmonogram_1'!B20)/366)</f>
        <v>1.0061830601092896</v>
      </c>
      <c r="E21" s="15">
        <f t="shared" ca="1" si="0"/>
        <v>0</v>
      </c>
      <c r="F21" s="15">
        <f t="shared" ca="1" si="1"/>
        <v>0</v>
      </c>
      <c r="G21">
        <f ca="1">IF(E21=1,(1+'Dane do harmonogramu'!$D$13*((('Roboczy harmonogram_1'!B21-DATE(YEAR(B21),1,1)+1)/365)+((DATE(YEAR(B20),12,31)-'Roboczy harmonogram_1'!B20)/366))),IF(F21=1,(1+'Dane do harmonogramu'!$D$13*((('Roboczy harmonogram_1'!B21-DATE(YEAR(B21),1,1)+1)/366)+((DATE(YEAR(B20),12,31)-'Roboczy harmonogram_1'!B20)/365))),0))</f>
        <v>0</v>
      </c>
      <c r="H21">
        <f t="shared" ca="1" si="2"/>
        <v>0</v>
      </c>
      <c r="I21">
        <f t="shared" ca="1" si="3"/>
        <v>1.0062</v>
      </c>
      <c r="J21">
        <f t="shared" ca="1" si="4"/>
        <v>1.0062</v>
      </c>
      <c r="K21">
        <f ca="1">PRODUCT($J$3:J21)</f>
        <v>1.1190294724255814</v>
      </c>
      <c r="L21">
        <f t="shared" ca="1" si="5"/>
        <v>0.89363151252167117</v>
      </c>
      <c r="M21">
        <f ca="1">SUM($L$3:L21)</f>
        <v>17.943658103464795</v>
      </c>
      <c r="O21">
        <f t="shared" ca="1" si="6"/>
        <v>6619.0906984535977</v>
      </c>
      <c r="P21" s="16">
        <f t="shared" ca="1" si="7"/>
        <v>7459.9602210000085</v>
      </c>
      <c r="Q21" s="17">
        <f t="shared" ca="1" si="8"/>
        <v>1060135.3137231469</v>
      </c>
      <c r="S21">
        <f ca="1">IF(A21&lt;='Dane do harmonogramu'!$D$7,'Roboczy harmonogram_1'!P21,0)</f>
        <v>7459.9602210000085</v>
      </c>
      <c r="T21">
        <f ca="1">IF(A21&lt;='Dane do harmonogramu'!$D$7,'Roboczy harmonogram_1'!O21,0)</f>
        <v>6619.0906984535977</v>
      </c>
      <c r="U21">
        <f ca="1">IF(A21&lt;='Dane do harmonogramu'!$D$7,$N$2,0)</f>
        <v>14079.050919453606</v>
      </c>
      <c r="V21" s="16">
        <f ca="1">IF(A20&lt;='Dane do harmonogramu'!$D$7,Q20*0.15%,"")</f>
        <v>1601.3929109162204</v>
      </c>
    </row>
    <row r="22" spans="1:22" x14ac:dyDescent="0.35">
      <c r="A22">
        <v>20</v>
      </c>
      <c r="B22" s="14">
        <f t="shared" ca="1" si="9"/>
        <v>46677</v>
      </c>
      <c r="C22" s="15">
        <f ca="1">(1+'Dane do harmonogramu'!$D$13*('Roboczy harmonogram_1'!B22-'Roboczy harmonogram_1'!B21)/365)</f>
        <v>1.006</v>
      </c>
      <c r="D22" s="15">
        <f ca="1">(1+'Dane do harmonogramu'!$D$13*('Roboczy harmonogram_1'!B22-'Roboczy harmonogram_1'!B21)/366)</f>
        <v>1.0059836065573771</v>
      </c>
      <c r="E22" s="15">
        <f t="shared" ca="1" si="0"/>
        <v>0</v>
      </c>
      <c r="F22" s="15">
        <f t="shared" ca="1" si="1"/>
        <v>0</v>
      </c>
      <c r="G22">
        <f ca="1">IF(E22=1,(1+'Dane do harmonogramu'!$D$13*((('Roboczy harmonogram_1'!B22-DATE(YEAR(B22),1,1)+1)/365)+((DATE(YEAR(B21),12,31)-'Roboczy harmonogram_1'!B21)/366))),IF(F22=1,(1+'Dane do harmonogramu'!$D$13*((('Roboczy harmonogram_1'!B22-DATE(YEAR(B22),1,1)+1)/366)+((DATE(YEAR(B21),12,31)-'Roboczy harmonogram_1'!B21)/365))),0))</f>
        <v>0</v>
      </c>
      <c r="H22">
        <f t="shared" ca="1" si="2"/>
        <v>0</v>
      </c>
      <c r="I22">
        <f t="shared" ca="1" si="3"/>
        <v>1.006</v>
      </c>
      <c r="J22">
        <f t="shared" ca="1" si="4"/>
        <v>1.006</v>
      </c>
      <c r="K22">
        <f ca="1">PRODUCT($J$3:J22)</f>
        <v>1.1257436492601349</v>
      </c>
      <c r="L22">
        <f t="shared" ca="1" si="5"/>
        <v>0.88830170230782413</v>
      </c>
      <c r="M22">
        <f ca="1">SUM($L$3:L22)</f>
        <v>18.83195980577262</v>
      </c>
      <c r="O22">
        <f t="shared" ca="1" si="6"/>
        <v>6360.8118823389523</v>
      </c>
      <c r="P22" s="16">
        <f t="shared" ca="1" si="7"/>
        <v>7718.2390371146539</v>
      </c>
      <c r="Q22" s="17">
        <f t="shared" ca="1" si="8"/>
        <v>1052417.0746860323</v>
      </c>
      <c r="S22">
        <f ca="1">IF(A22&lt;='Dane do harmonogramu'!$D$7,'Roboczy harmonogram_1'!P22,0)</f>
        <v>7718.2390371146539</v>
      </c>
      <c r="T22">
        <f ca="1">IF(A22&lt;='Dane do harmonogramu'!$D$7,'Roboczy harmonogram_1'!O22,0)</f>
        <v>6360.8118823389523</v>
      </c>
      <c r="U22">
        <f ca="1">IF(A22&lt;='Dane do harmonogramu'!$D$7,$N$2,0)</f>
        <v>14079.050919453606</v>
      </c>
      <c r="V22" s="16">
        <f ca="1">IF(A21&lt;='Dane do harmonogramu'!$D$7,Q21*0.15%,"")</f>
        <v>1590.2029705847203</v>
      </c>
    </row>
    <row r="23" spans="1:22" x14ac:dyDescent="0.35">
      <c r="A23">
        <v>21</v>
      </c>
      <c r="B23" s="14">
        <f t="shared" ca="1" si="9"/>
        <v>46708</v>
      </c>
      <c r="C23" s="15">
        <f ca="1">(1+'Dane do harmonogramu'!$D$13*('Roboczy harmonogram_1'!B23-'Roboczy harmonogram_1'!B22)/365)</f>
        <v>1.0062</v>
      </c>
      <c r="D23" s="15">
        <f ca="1">(1+'Dane do harmonogramu'!$D$13*('Roboczy harmonogram_1'!B23-'Roboczy harmonogram_1'!B22)/366)</f>
        <v>1.0061830601092896</v>
      </c>
      <c r="E23" s="15">
        <f t="shared" ca="1" si="0"/>
        <v>0</v>
      </c>
      <c r="F23" s="15">
        <f t="shared" ca="1" si="1"/>
        <v>0</v>
      </c>
      <c r="G23">
        <f ca="1">IF(E23=1,(1+'Dane do harmonogramu'!$D$13*((('Roboczy harmonogram_1'!B23-DATE(YEAR(B23),1,1)+1)/365)+((DATE(YEAR(B22),12,31)-'Roboczy harmonogram_1'!B22)/366))),IF(F23=1,(1+'Dane do harmonogramu'!$D$13*((('Roboczy harmonogram_1'!B23-DATE(YEAR(B23),1,1)+1)/366)+((DATE(YEAR(B22),12,31)-'Roboczy harmonogram_1'!B22)/365))),0))</f>
        <v>0</v>
      </c>
      <c r="H23">
        <f t="shared" ca="1" si="2"/>
        <v>0</v>
      </c>
      <c r="I23">
        <f t="shared" ca="1" si="3"/>
        <v>1.0062</v>
      </c>
      <c r="J23">
        <f t="shared" ca="1" si="4"/>
        <v>1.0062</v>
      </c>
      <c r="K23">
        <f ca="1">PRODUCT($J$3:J23)</f>
        <v>1.1327232598855477</v>
      </c>
      <c r="L23">
        <f t="shared" ca="1" si="5"/>
        <v>0.88282816766828087</v>
      </c>
      <c r="M23">
        <f ca="1">SUM($L$3:L23)</f>
        <v>19.714787973440899</v>
      </c>
      <c r="O23">
        <f t="shared" ca="1" si="6"/>
        <v>6524.9858630534727</v>
      </c>
      <c r="P23" s="16">
        <f t="shared" ca="1" si="7"/>
        <v>7554.0650564001335</v>
      </c>
      <c r="Q23" s="17">
        <f t="shared" ca="1" si="8"/>
        <v>1044863.0096296321</v>
      </c>
      <c r="S23">
        <f ca="1">IF(A23&lt;='Dane do harmonogramu'!$D$7,'Roboczy harmonogram_1'!P23,0)</f>
        <v>7554.0650564001335</v>
      </c>
      <c r="T23">
        <f ca="1">IF(A23&lt;='Dane do harmonogramu'!$D$7,'Roboczy harmonogram_1'!O23,0)</f>
        <v>6524.9858630534727</v>
      </c>
      <c r="U23">
        <f ca="1">IF(A23&lt;='Dane do harmonogramu'!$D$7,$N$2,0)</f>
        <v>14079.050919453606</v>
      </c>
      <c r="V23" s="16">
        <f ca="1">IF(A22&lt;='Dane do harmonogramu'!$D$7,Q22*0.15%,"")</f>
        <v>1578.6256120290484</v>
      </c>
    </row>
    <row r="24" spans="1:22" x14ac:dyDescent="0.35">
      <c r="A24">
        <v>22</v>
      </c>
      <c r="B24" s="14">
        <f t="shared" ca="1" si="9"/>
        <v>46738</v>
      </c>
      <c r="C24" s="15">
        <f ca="1">(1+'Dane do harmonogramu'!$D$13*('Roboczy harmonogram_1'!B24-'Roboczy harmonogram_1'!B23)/365)</f>
        <v>1.006</v>
      </c>
      <c r="D24" s="15">
        <f ca="1">(1+'Dane do harmonogramu'!$D$13*('Roboczy harmonogram_1'!B24-'Roboczy harmonogram_1'!B23)/366)</f>
        <v>1.0059836065573771</v>
      </c>
      <c r="E24" s="15">
        <f t="shared" ca="1" si="0"/>
        <v>0</v>
      </c>
      <c r="F24" s="15">
        <f t="shared" ca="1" si="1"/>
        <v>0</v>
      </c>
      <c r="G24">
        <f ca="1">IF(E24=1,(1+'Dane do harmonogramu'!$D$13*((('Roboczy harmonogram_1'!B24-DATE(YEAR(B24),1,1)+1)/365)+((DATE(YEAR(B23),12,31)-'Roboczy harmonogram_1'!B23)/366))),IF(F24=1,(1+'Dane do harmonogramu'!$D$13*((('Roboczy harmonogram_1'!B24-DATE(YEAR(B24),1,1)+1)/366)+((DATE(YEAR(B23),12,31)-'Roboczy harmonogram_1'!B23)/365))),0))</f>
        <v>0</v>
      </c>
      <c r="H24">
        <f t="shared" ca="1" si="2"/>
        <v>0</v>
      </c>
      <c r="I24">
        <f t="shared" ca="1" si="3"/>
        <v>1.006</v>
      </c>
      <c r="J24">
        <f t="shared" ca="1" si="4"/>
        <v>1.006</v>
      </c>
      <c r="K24">
        <f ca="1">PRODUCT($J$3:J24)</f>
        <v>1.139519599444861</v>
      </c>
      <c r="L24">
        <f t="shared" ca="1" si="5"/>
        <v>0.87756279092274436</v>
      </c>
      <c r="M24">
        <f ca="1">SUM($L$3:L24)</f>
        <v>20.592350764363644</v>
      </c>
      <c r="O24">
        <f t="shared" ca="1" si="6"/>
        <v>6269.1780577776954</v>
      </c>
      <c r="P24" s="16">
        <f t="shared" ca="1" si="7"/>
        <v>7809.8728616759108</v>
      </c>
      <c r="Q24" s="17">
        <f t="shared" ca="1" si="8"/>
        <v>1037053.1367679562</v>
      </c>
      <c r="S24">
        <f ca="1">IF(A24&lt;='Dane do harmonogramu'!$D$7,'Roboczy harmonogram_1'!P24,0)</f>
        <v>7809.8728616759108</v>
      </c>
      <c r="T24">
        <f ca="1">IF(A24&lt;='Dane do harmonogramu'!$D$7,'Roboczy harmonogram_1'!O24,0)</f>
        <v>6269.1780577776954</v>
      </c>
      <c r="U24">
        <f ca="1">IF(A24&lt;='Dane do harmonogramu'!$D$7,$N$2,0)</f>
        <v>14079.050919453606</v>
      </c>
      <c r="V24" s="16">
        <f ca="1">IF(A23&lt;='Dane do harmonogramu'!$D$7,Q23*0.15%,"")</f>
        <v>1567.2945144444482</v>
      </c>
    </row>
    <row r="25" spans="1:22" x14ac:dyDescent="0.35">
      <c r="A25">
        <v>23</v>
      </c>
      <c r="B25" s="14">
        <f t="shared" ca="1" si="9"/>
        <v>46769</v>
      </c>
      <c r="C25" s="15">
        <f ca="1">(1+'Dane do harmonogramu'!$D$13*('Roboczy harmonogram_1'!B25-'Roboczy harmonogram_1'!B24)/365)</f>
        <v>1.0062</v>
      </c>
      <c r="D25" s="15">
        <f ca="1">(1+'Dane do harmonogramu'!$D$13*('Roboczy harmonogram_1'!B25-'Roboczy harmonogram_1'!B24)/366)</f>
        <v>1.0061830601092896</v>
      </c>
      <c r="E25" s="15">
        <f t="shared" ca="1" si="0"/>
        <v>0</v>
      </c>
      <c r="F25" s="15">
        <f t="shared" ca="1" si="1"/>
        <v>1</v>
      </c>
      <c r="G25">
        <f ca="1">IF(E25=1,(1+'Dane do harmonogramu'!$D$13*((('Roboczy harmonogram_1'!B25-DATE(YEAR(B25),1,1)+1)/365)+((DATE(YEAR(B24),12,31)-'Roboczy harmonogram_1'!B24)/366))),IF(F25=1,(1+'Dane do harmonogramu'!$D$13*((('Roboczy harmonogram_1'!B25-DATE(YEAR(B25),1,1)+1)/366)+((DATE(YEAR(B24),12,31)-'Roboczy harmonogram_1'!B24)/365))),0))</f>
        <v>1.0061907103825136</v>
      </c>
      <c r="H25">
        <f t="shared" ca="1" si="2"/>
        <v>1</v>
      </c>
      <c r="I25">
        <f t="shared" ca="1" si="3"/>
        <v>1.0061830601092896</v>
      </c>
      <c r="J25">
        <f t="shared" ca="1" si="4"/>
        <v>1.0061907103825136</v>
      </c>
      <c r="K25">
        <f ca="1">PRODUCT($J$3:J25)</f>
        <v>1.1465740352602221</v>
      </c>
      <c r="L25">
        <f t="shared" ca="1" si="5"/>
        <v>0.87216347941547778</v>
      </c>
      <c r="M25">
        <f ca="1">SUM($L$3:L25)</f>
        <v>21.464514243779121</v>
      </c>
      <c r="O25">
        <f t="shared" ca="1" si="6"/>
        <v>6420.0956210077275</v>
      </c>
      <c r="P25" s="16">
        <f t="shared" ca="1" si="7"/>
        <v>7658.9552984458787</v>
      </c>
      <c r="Q25" s="17">
        <f t="shared" ca="1" si="8"/>
        <v>1029394.1814695103</v>
      </c>
      <c r="S25">
        <f ca="1">IF(A25&lt;='Dane do harmonogramu'!$D$7,'Roboczy harmonogram_1'!P25,0)</f>
        <v>7658.9552984458787</v>
      </c>
      <c r="T25">
        <f ca="1">IF(A25&lt;='Dane do harmonogramu'!$D$7,'Roboczy harmonogram_1'!O25,0)</f>
        <v>6420.0956210077275</v>
      </c>
      <c r="U25">
        <f ca="1">IF(A25&lt;='Dane do harmonogramu'!$D$7,$N$2,0)</f>
        <v>14079.050919453606</v>
      </c>
      <c r="V25" s="16">
        <f ca="1">IF(A24&lt;='Dane do harmonogramu'!$D$7,Q24*0.15%,"")</f>
        <v>1555.5797051519344</v>
      </c>
    </row>
    <row r="26" spans="1:22" x14ac:dyDescent="0.35">
      <c r="A26">
        <v>24</v>
      </c>
      <c r="B26" s="14">
        <f t="shared" ca="1" si="9"/>
        <v>46800</v>
      </c>
      <c r="C26" s="15">
        <f ca="1">(1+'Dane do harmonogramu'!$D$13*('Roboczy harmonogram_1'!B26-'Roboczy harmonogram_1'!B25)/365)</f>
        <v>1.0062</v>
      </c>
      <c r="D26" s="15">
        <f ca="1">(1+'Dane do harmonogramu'!$D$13*('Roboczy harmonogram_1'!B26-'Roboczy harmonogram_1'!B25)/366)</f>
        <v>1.0061830601092896</v>
      </c>
      <c r="E26" s="15">
        <f t="shared" ca="1" si="0"/>
        <v>0</v>
      </c>
      <c r="F26" s="15">
        <f t="shared" ca="1" si="1"/>
        <v>0</v>
      </c>
      <c r="G26">
        <f ca="1">IF(E26=1,(1+'Dane do harmonogramu'!$D$13*((('Roboczy harmonogram_1'!B26-DATE(YEAR(B26),1,1)+1)/365)+((DATE(YEAR(B25),12,31)-'Roboczy harmonogram_1'!B25)/366))),IF(F26=1,(1+'Dane do harmonogramu'!$D$13*((('Roboczy harmonogram_1'!B26-DATE(YEAR(B26),1,1)+1)/366)+((DATE(YEAR(B25),12,31)-'Roboczy harmonogram_1'!B25)/365))),0))</f>
        <v>0</v>
      </c>
      <c r="H26">
        <f t="shared" ca="1" si="2"/>
        <v>1</v>
      </c>
      <c r="I26">
        <f t="shared" ca="1" si="3"/>
        <v>1.0061830601092896</v>
      </c>
      <c r="J26">
        <f t="shared" ca="1" si="4"/>
        <v>1.0061830601092896</v>
      </c>
      <c r="K26">
        <f ca="1">PRODUCT($J$3:J26)</f>
        <v>1.1536633714399867</v>
      </c>
      <c r="L26">
        <f t="shared" ca="1" si="5"/>
        <v>0.86680397831458744</v>
      </c>
      <c r="M26">
        <f ca="1">SUM($L$3:L26)</f>
        <v>22.331318222093707</v>
      </c>
      <c r="O26">
        <f t="shared" ca="1" si="6"/>
        <v>6364.8061001789756</v>
      </c>
      <c r="P26" s="16">
        <f t="shared" ca="1" si="7"/>
        <v>7714.2448192746306</v>
      </c>
      <c r="Q26" s="17">
        <f t="shared" ca="1" si="8"/>
        <v>1021679.9366502357</v>
      </c>
      <c r="S26">
        <f ca="1">IF(A26&lt;='Dane do harmonogramu'!$D$7,'Roboczy harmonogram_1'!P26,0)</f>
        <v>7714.2448192746306</v>
      </c>
      <c r="T26">
        <f ca="1">IF(A26&lt;='Dane do harmonogramu'!$D$7,'Roboczy harmonogram_1'!O26,0)</f>
        <v>6364.8061001789756</v>
      </c>
      <c r="U26">
        <f ca="1">IF(A26&lt;='Dane do harmonogramu'!$D$7,$N$2,0)</f>
        <v>14079.050919453606</v>
      </c>
      <c r="V26" s="16">
        <f ca="1">IF(A25&lt;='Dane do harmonogramu'!$D$7,Q25*0.15%,"")</f>
        <v>1544.0912722042656</v>
      </c>
    </row>
    <row r="27" spans="1:22" x14ac:dyDescent="0.35">
      <c r="A27">
        <v>25</v>
      </c>
      <c r="B27" s="14">
        <f t="shared" ca="1" si="9"/>
        <v>46829</v>
      </c>
      <c r="C27" s="15">
        <f ca="1">(1+'Dane do harmonogramu'!$D$13*('Roboczy harmonogram_1'!B27-'Roboczy harmonogram_1'!B26)/365)</f>
        <v>1.0058</v>
      </c>
      <c r="D27" s="15">
        <f ca="1">(1+'Dane do harmonogramu'!$D$13*('Roboczy harmonogram_1'!B27-'Roboczy harmonogram_1'!B26)/366)</f>
        <v>1.0057841530054645</v>
      </c>
      <c r="E27" s="15">
        <f t="shared" ca="1" si="0"/>
        <v>0</v>
      </c>
      <c r="F27" s="15">
        <f t="shared" ca="1" si="1"/>
        <v>0</v>
      </c>
      <c r="G27">
        <f ca="1">IF(E27=1,(1+'Dane do harmonogramu'!$D$13*((('Roboczy harmonogram_1'!B27-DATE(YEAR(B27),1,1)+1)/365)+((DATE(YEAR(B26),12,31)-'Roboczy harmonogram_1'!B26)/366))),IF(F27=1,(1+'Dane do harmonogramu'!$D$13*((('Roboczy harmonogram_1'!B27-DATE(YEAR(B27),1,1)+1)/366)+((DATE(YEAR(B26),12,31)-'Roboczy harmonogram_1'!B26)/365))),0))</f>
        <v>0</v>
      </c>
      <c r="H27">
        <f t="shared" ca="1" si="2"/>
        <v>1</v>
      </c>
      <c r="I27">
        <f t="shared" ca="1" si="3"/>
        <v>1.0057841530054645</v>
      </c>
      <c r="J27">
        <f t="shared" ca="1" si="4"/>
        <v>1.0057841530054645</v>
      </c>
      <c r="K27">
        <f ca="1">PRODUCT($J$3:J27)</f>
        <v>1.1603363368971955</v>
      </c>
      <c r="L27">
        <f t="shared" ca="1" si="5"/>
        <v>0.8618190848647006</v>
      </c>
      <c r="M27">
        <f ca="1">SUM($L$3:L27)</f>
        <v>23.193137306958405</v>
      </c>
      <c r="O27">
        <f t="shared" ca="1" si="6"/>
        <v>5909.5530761983246</v>
      </c>
      <c r="P27" s="16">
        <f t="shared" ca="1" si="7"/>
        <v>8169.4978432552816</v>
      </c>
      <c r="Q27" s="17">
        <f t="shared" ca="1" si="8"/>
        <v>1013510.4388069804</v>
      </c>
      <c r="S27">
        <f ca="1">IF(A27&lt;='Dane do harmonogramu'!$D$7,'Roboczy harmonogram_1'!P27,0)</f>
        <v>8169.4978432552816</v>
      </c>
      <c r="T27">
        <f ca="1">IF(A27&lt;='Dane do harmonogramu'!$D$7,'Roboczy harmonogram_1'!O27,0)</f>
        <v>5909.5530761983246</v>
      </c>
      <c r="U27">
        <f ca="1">IF(A27&lt;='Dane do harmonogramu'!$D$7,$N$2,0)</f>
        <v>14079.050919453606</v>
      </c>
      <c r="V27" s="16">
        <f ca="1">IF(A26&lt;='Dane do harmonogramu'!$D$7,Q26*0.15%,"")</f>
        <v>1532.5199049753535</v>
      </c>
    </row>
    <row r="28" spans="1:22" x14ac:dyDescent="0.35">
      <c r="A28">
        <v>26</v>
      </c>
      <c r="B28" s="14">
        <f t="shared" ca="1" si="9"/>
        <v>46860</v>
      </c>
      <c r="C28" s="15">
        <f ca="1">(1+'Dane do harmonogramu'!$D$13*('Roboczy harmonogram_1'!B28-'Roboczy harmonogram_1'!B27)/365)</f>
        <v>1.0062</v>
      </c>
      <c r="D28" s="15">
        <f ca="1">(1+'Dane do harmonogramu'!$D$13*('Roboczy harmonogram_1'!B28-'Roboczy harmonogram_1'!B27)/366)</f>
        <v>1.0061830601092896</v>
      </c>
      <c r="E28" s="15">
        <f t="shared" ca="1" si="0"/>
        <v>0</v>
      </c>
      <c r="F28" s="15">
        <f t="shared" ca="1" si="1"/>
        <v>0</v>
      </c>
      <c r="G28">
        <f ca="1">IF(E28=1,(1+'Dane do harmonogramu'!$D$13*((('Roboczy harmonogram_1'!B28-DATE(YEAR(B28),1,1)+1)/365)+((DATE(YEAR(B27),12,31)-'Roboczy harmonogram_1'!B27)/366))),IF(F28=1,(1+'Dane do harmonogramu'!$D$13*((('Roboczy harmonogram_1'!B28-DATE(YEAR(B28),1,1)+1)/366)+((DATE(YEAR(B27),12,31)-'Roboczy harmonogram_1'!B27)/365))),0))</f>
        <v>0</v>
      </c>
      <c r="H28">
        <f t="shared" ca="1" si="2"/>
        <v>1</v>
      </c>
      <c r="I28">
        <f t="shared" ca="1" si="3"/>
        <v>1.0061830601092896</v>
      </c>
      <c r="J28">
        <f t="shared" ca="1" si="4"/>
        <v>1.0061830601092896</v>
      </c>
      <c r="K28">
        <f ca="1">PRODUCT($J$3:J28)</f>
        <v>1.1675107662152238</v>
      </c>
      <c r="L28">
        <f t="shared" ca="1" si="5"/>
        <v>0.85652315073868523</v>
      </c>
      <c r="M28">
        <f ca="1">SUM($L$3:L28)</f>
        <v>24.04966045769709</v>
      </c>
      <c r="O28">
        <f t="shared" ca="1" si="6"/>
        <v>6266.5959645360708</v>
      </c>
      <c r="P28" s="16">
        <f t="shared" ca="1" si="7"/>
        <v>7812.4549549175354</v>
      </c>
      <c r="Q28" s="17">
        <f t="shared" ca="1" si="8"/>
        <v>1005697.9838520628</v>
      </c>
      <c r="S28">
        <f ca="1">IF(A28&lt;='Dane do harmonogramu'!$D$7,'Roboczy harmonogram_1'!P28,0)</f>
        <v>7812.4549549175354</v>
      </c>
      <c r="T28">
        <f ca="1">IF(A28&lt;='Dane do harmonogramu'!$D$7,'Roboczy harmonogram_1'!O28,0)</f>
        <v>6266.5959645360708</v>
      </c>
      <c r="U28">
        <f ca="1">IF(A28&lt;='Dane do harmonogramu'!$D$7,$N$2,0)</f>
        <v>14079.050919453606</v>
      </c>
      <c r="V28" s="16">
        <f ca="1">IF(A27&lt;='Dane do harmonogramu'!$D$7,Q27*0.15%,"")</f>
        <v>1520.2656582104705</v>
      </c>
    </row>
    <row r="29" spans="1:22" x14ac:dyDescent="0.35">
      <c r="A29">
        <v>27</v>
      </c>
      <c r="B29" s="14">
        <f t="shared" ca="1" si="9"/>
        <v>46890</v>
      </c>
      <c r="C29" s="15">
        <f ca="1">(1+'Dane do harmonogramu'!$D$13*('Roboczy harmonogram_1'!B29-'Roboczy harmonogram_1'!B28)/365)</f>
        <v>1.006</v>
      </c>
      <c r="D29" s="15">
        <f ca="1">(1+'Dane do harmonogramu'!$D$13*('Roboczy harmonogram_1'!B29-'Roboczy harmonogram_1'!B28)/366)</f>
        <v>1.0059836065573771</v>
      </c>
      <c r="E29" s="15">
        <f t="shared" ca="1" si="0"/>
        <v>0</v>
      </c>
      <c r="F29" s="15">
        <f t="shared" ca="1" si="1"/>
        <v>0</v>
      </c>
      <c r="G29">
        <f ca="1">IF(E29=1,(1+'Dane do harmonogramu'!$D$13*((('Roboczy harmonogram_1'!B29-DATE(YEAR(B29),1,1)+1)/365)+((DATE(YEAR(B28),12,31)-'Roboczy harmonogram_1'!B28)/366))),IF(F29=1,(1+'Dane do harmonogramu'!$D$13*((('Roboczy harmonogram_1'!B29-DATE(YEAR(B29),1,1)+1)/366)+((DATE(YEAR(B28),12,31)-'Roboczy harmonogram_1'!B28)/365))),0))</f>
        <v>0</v>
      </c>
      <c r="H29">
        <f t="shared" ca="1" si="2"/>
        <v>1</v>
      </c>
      <c r="I29">
        <f t="shared" ca="1" si="3"/>
        <v>1.0059836065573771</v>
      </c>
      <c r="J29">
        <f t="shared" ca="1" si="4"/>
        <v>1.0059836065573771</v>
      </c>
      <c r="K29">
        <f ca="1">PRODUCT($J$3:J29)</f>
        <v>1.1744966912917576</v>
      </c>
      <c r="L29">
        <f t="shared" ca="1" si="5"/>
        <v>0.85142853735940349</v>
      </c>
      <c r="M29">
        <f ca="1">SUM($L$3:L29)</f>
        <v>24.901088995056494</v>
      </c>
      <c r="O29">
        <f t="shared" ca="1" si="6"/>
        <v>6017.7010509180836</v>
      </c>
      <c r="P29" s="16">
        <f t="shared" ca="1" si="7"/>
        <v>8061.3498685355225</v>
      </c>
      <c r="Q29" s="17">
        <f t="shared" ca="1" si="8"/>
        <v>997636.63398352731</v>
      </c>
      <c r="S29">
        <f ca="1">IF(A29&lt;='Dane do harmonogramu'!$D$7,'Roboczy harmonogram_1'!P29,0)</f>
        <v>8061.3498685355225</v>
      </c>
      <c r="T29">
        <f ca="1">IF(A29&lt;='Dane do harmonogramu'!$D$7,'Roboczy harmonogram_1'!O29,0)</f>
        <v>6017.7010509180836</v>
      </c>
      <c r="U29">
        <f ca="1">IF(A29&lt;='Dane do harmonogramu'!$D$7,$N$2,0)</f>
        <v>14079.050919453606</v>
      </c>
      <c r="V29" s="16">
        <f ca="1">IF(A28&lt;='Dane do harmonogramu'!$D$7,Q28*0.15%,"")</f>
        <v>1508.5469757780943</v>
      </c>
    </row>
    <row r="30" spans="1:22" x14ac:dyDescent="0.35">
      <c r="A30">
        <v>28</v>
      </c>
      <c r="B30" s="14">
        <f t="shared" ca="1" si="9"/>
        <v>46921</v>
      </c>
      <c r="C30" s="15">
        <f ca="1">(1+'Dane do harmonogramu'!$D$13*('Roboczy harmonogram_1'!B30-'Roboczy harmonogram_1'!B29)/365)</f>
        <v>1.0062</v>
      </c>
      <c r="D30" s="15">
        <f ca="1">(1+'Dane do harmonogramu'!$D$13*('Roboczy harmonogram_1'!B30-'Roboczy harmonogram_1'!B29)/366)</f>
        <v>1.0061830601092896</v>
      </c>
      <c r="E30" s="15">
        <f t="shared" ca="1" si="0"/>
        <v>0</v>
      </c>
      <c r="F30" s="15">
        <f t="shared" ca="1" si="1"/>
        <v>0</v>
      </c>
      <c r="G30">
        <f ca="1">IF(E30=1,(1+'Dane do harmonogramu'!$D$13*((('Roboczy harmonogram_1'!B30-DATE(YEAR(B30),1,1)+1)/365)+((DATE(YEAR(B29),12,31)-'Roboczy harmonogram_1'!B29)/366))),IF(F30=1,(1+'Dane do harmonogramu'!$D$13*((('Roboczy harmonogram_1'!B30-DATE(YEAR(B30),1,1)+1)/366)+((DATE(YEAR(B29),12,31)-'Roboczy harmonogram_1'!B29)/365))),0))</f>
        <v>0</v>
      </c>
      <c r="H30">
        <f t="shared" ca="1" si="2"/>
        <v>1</v>
      </c>
      <c r="I30">
        <f t="shared" ca="1" si="3"/>
        <v>1.0061830601092896</v>
      </c>
      <c r="J30">
        <f t="shared" ca="1" si="4"/>
        <v>1.0061830601092896</v>
      </c>
      <c r="K30">
        <f ca="1">PRODUCT($J$3:J30)</f>
        <v>1.1817586749321762</v>
      </c>
      <c r="L30">
        <f t="shared" ca="1" si="5"/>
        <v>0.8461964538211596</v>
      </c>
      <c r="M30">
        <f ca="1">SUM($L$3:L30)</f>
        <v>25.747285448877655</v>
      </c>
      <c r="O30">
        <f t="shared" ca="1" si="6"/>
        <v>6168.4472751495196</v>
      </c>
      <c r="P30" s="16">
        <f t="shared" ca="1" si="7"/>
        <v>7910.6036443040866</v>
      </c>
      <c r="Q30" s="17">
        <f t="shared" ca="1" si="8"/>
        <v>989726.03033922322</v>
      </c>
      <c r="S30">
        <f ca="1">IF(A30&lt;='Dane do harmonogramu'!$D$7,'Roboczy harmonogram_1'!P30,0)</f>
        <v>7910.6036443040866</v>
      </c>
      <c r="T30">
        <f ca="1">IF(A30&lt;='Dane do harmonogramu'!$D$7,'Roboczy harmonogram_1'!O30,0)</f>
        <v>6168.4472751495196</v>
      </c>
      <c r="U30">
        <f ca="1">IF(A30&lt;='Dane do harmonogramu'!$D$7,$N$2,0)</f>
        <v>14079.050919453606</v>
      </c>
      <c r="V30" s="16">
        <f ca="1">IF(A29&lt;='Dane do harmonogramu'!$D$7,Q29*0.15%,"")</f>
        <v>1496.454950975291</v>
      </c>
    </row>
    <row r="31" spans="1:22" x14ac:dyDescent="0.35">
      <c r="A31">
        <v>29</v>
      </c>
      <c r="B31" s="14">
        <f t="shared" ca="1" si="9"/>
        <v>46951</v>
      </c>
      <c r="C31" s="15">
        <f ca="1">(1+'Dane do harmonogramu'!$D$13*('Roboczy harmonogram_1'!B31-'Roboczy harmonogram_1'!B30)/365)</f>
        <v>1.006</v>
      </c>
      <c r="D31" s="15">
        <f ca="1">(1+'Dane do harmonogramu'!$D$13*('Roboczy harmonogram_1'!B31-'Roboczy harmonogram_1'!B30)/366)</f>
        <v>1.0059836065573771</v>
      </c>
      <c r="E31" s="15">
        <f t="shared" ca="1" si="0"/>
        <v>0</v>
      </c>
      <c r="F31" s="15">
        <f t="shared" ca="1" si="1"/>
        <v>0</v>
      </c>
      <c r="G31">
        <f ca="1">IF(E31=1,(1+'Dane do harmonogramu'!$D$13*((('Roboczy harmonogram_1'!B31-DATE(YEAR(B31),1,1)+1)/365)+((DATE(YEAR(B30),12,31)-'Roboczy harmonogram_1'!B30)/366))),IF(F31=1,(1+'Dane do harmonogramu'!$D$13*((('Roboczy harmonogram_1'!B31-DATE(YEAR(B31),1,1)+1)/366)+((DATE(YEAR(B30),12,31)-'Roboczy harmonogram_1'!B30)/365))),0))</f>
        <v>0</v>
      </c>
      <c r="H31">
        <f t="shared" ca="1" si="2"/>
        <v>1</v>
      </c>
      <c r="I31">
        <f t="shared" ca="1" si="3"/>
        <v>1.0059836065573771</v>
      </c>
      <c r="J31">
        <f t="shared" ca="1" si="4"/>
        <v>1.0059836065573771</v>
      </c>
      <c r="K31">
        <f ca="1">PRODUCT($J$3:J31)</f>
        <v>1.1888298538887376</v>
      </c>
      <c r="L31">
        <f t="shared" ca="1" si="5"/>
        <v>0.84116326380006079</v>
      </c>
      <c r="M31">
        <f ca="1">SUM($L$3:L31)</f>
        <v>26.588448712677717</v>
      </c>
      <c r="O31">
        <f t="shared" ca="1" si="6"/>
        <v>5922.1311651444994</v>
      </c>
      <c r="P31" s="16">
        <f t="shared" ca="1" si="7"/>
        <v>8156.9197543091068</v>
      </c>
      <c r="Q31" s="17">
        <f t="shared" ca="1" si="8"/>
        <v>981569.1105849141</v>
      </c>
      <c r="S31">
        <f ca="1">IF(A31&lt;='Dane do harmonogramu'!$D$7,'Roboczy harmonogram_1'!P31,0)</f>
        <v>8156.9197543091068</v>
      </c>
      <c r="T31">
        <f ca="1">IF(A31&lt;='Dane do harmonogramu'!$D$7,'Roboczy harmonogram_1'!O31,0)</f>
        <v>5922.1311651444994</v>
      </c>
      <c r="U31">
        <f ca="1">IF(A31&lt;='Dane do harmonogramu'!$D$7,$N$2,0)</f>
        <v>14079.050919453606</v>
      </c>
      <c r="V31" s="16">
        <f ca="1">IF(A30&lt;='Dane do harmonogramu'!$D$7,Q30*0.15%,"")</f>
        <v>1484.5890455088349</v>
      </c>
    </row>
    <row r="32" spans="1:22" x14ac:dyDescent="0.35">
      <c r="A32">
        <v>30</v>
      </c>
      <c r="B32" s="14">
        <f t="shared" ca="1" si="9"/>
        <v>46982</v>
      </c>
      <c r="C32" s="15">
        <f ca="1">(1+'Dane do harmonogramu'!$D$13*('Roboczy harmonogram_1'!B32-'Roboczy harmonogram_1'!B31)/365)</f>
        <v>1.0062</v>
      </c>
      <c r="D32" s="15">
        <f ca="1">(1+'Dane do harmonogramu'!$D$13*('Roboczy harmonogram_1'!B32-'Roboczy harmonogram_1'!B31)/366)</f>
        <v>1.0061830601092896</v>
      </c>
      <c r="E32" s="15">
        <f t="shared" ca="1" si="0"/>
        <v>0</v>
      </c>
      <c r="F32" s="15">
        <f t="shared" ca="1" si="1"/>
        <v>0</v>
      </c>
      <c r="G32">
        <f ca="1">IF(E32=1,(1+'Dane do harmonogramu'!$D$13*((('Roboczy harmonogram_1'!B32-DATE(YEAR(B32),1,1)+1)/365)+((DATE(YEAR(B31),12,31)-'Roboczy harmonogram_1'!B31)/366))),IF(F32=1,(1+'Dane do harmonogramu'!$D$13*((('Roboczy harmonogram_1'!B32-DATE(YEAR(B32),1,1)+1)/366)+((DATE(YEAR(B31),12,31)-'Roboczy harmonogram_1'!B31)/365))),0))</f>
        <v>0</v>
      </c>
      <c r="H32">
        <f t="shared" ca="1" si="2"/>
        <v>1</v>
      </c>
      <c r="I32">
        <f t="shared" ca="1" si="3"/>
        <v>1.0061830601092896</v>
      </c>
      <c r="J32">
        <f t="shared" ca="1" si="4"/>
        <v>1.0061830601092896</v>
      </c>
      <c r="K32">
        <f ca="1">PRODUCT($J$3:J32)</f>
        <v>1.1961804603350497</v>
      </c>
      <c r="L32">
        <f t="shared" ca="1" si="5"/>
        <v>0.83599426103307217</v>
      </c>
      <c r="M32">
        <f ca="1">SUM($L$3:L32)</f>
        <v>27.424442973710789</v>
      </c>
      <c r="O32">
        <f t="shared" ca="1" si="6"/>
        <v>6069.1008121684426</v>
      </c>
      <c r="P32" s="16">
        <f t="shared" ca="1" si="7"/>
        <v>8009.9501072851635</v>
      </c>
      <c r="Q32" s="17">
        <f t="shared" ca="1" si="8"/>
        <v>973559.16047762893</v>
      </c>
      <c r="S32">
        <f ca="1">IF(A32&lt;='Dane do harmonogramu'!$D$7,'Roboczy harmonogram_1'!P32,0)</f>
        <v>8009.9501072851635</v>
      </c>
      <c r="T32">
        <f ca="1">IF(A32&lt;='Dane do harmonogramu'!$D$7,'Roboczy harmonogram_1'!O32,0)</f>
        <v>6069.1008121684426</v>
      </c>
      <c r="U32">
        <f ca="1">IF(A32&lt;='Dane do harmonogramu'!$D$7,$N$2,0)</f>
        <v>14079.050919453606</v>
      </c>
      <c r="V32" s="16">
        <f ca="1">IF(A31&lt;='Dane do harmonogramu'!$D$7,Q31*0.15%,"")</f>
        <v>1472.3536658773712</v>
      </c>
    </row>
    <row r="33" spans="1:22" x14ac:dyDescent="0.35">
      <c r="A33">
        <v>31</v>
      </c>
      <c r="B33" s="14">
        <f t="shared" ca="1" si="9"/>
        <v>47013</v>
      </c>
      <c r="C33" s="15">
        <f ca="1">(1+'Dane do harmonogramu'!$D$13*('Roboczy harmonogram_1'!B33-'Roboczy harmonogram_1'!B32)/365)</f>
        <v>1.0062</v>
      </c>
      <c r="D33" s="15">
        <f ca="1">(1+'Dane do harmonogramu'!$D$13*('Roboczy harmonogram_1'!B33-'Roboczy harmonogram_1'!B32)/366)</f>
        <v>1.0061830601092896</v>
      </c>
      <c r="E33" s="15">
        <f t="shared" ca="1" si="0"/>
        <v>0</v>
      </c>
      <c r="F33" s="15">
        <f t="shared" ca="1" si="1"/>
        <v>0</v>
      </c>
      <c r="G33">
        <f ca="1">IF(E33=1,(1+'Dane do harmonogramu'!$D$13*((('Roboczy harmonogram_1'!B33-DATE(YEAR(B33),1,1)+1)/365)+((DATE(YEAR(B32),12,31)-'Roboczy harmonogram_1'!B32)/366))),IF(F33=1,(1+'Dane do harmonogramu'!$D$13*((('Roboczy harmonogram_1'!B33-DATE(YEAR(B33),1,1)+1)/366)+((DATE(YEAR(B32),12,31)-'Roboczy harmonogram_1'!B32)/365))),0))</f>
        <v>0</v>
      </c>
      <c r="H33">
        <f t="shared" ca="1" si="2"/>
        <v>1</v>
      </c>
      <c r="I33">
        <f t="shared" ca="1" si="3"/>
        <v>1.0061830601092896</v>
      </c>
      <c r="J33">
        <f t="shared" ca="1" si="4"/>
        <v>1.0061830601092896</v>
      </c>
      <c r="K33">
        <f ca="1">PRODUCT($J$3:J33)</f>
        <v>1.2035765160228589</v>
      </c>
      <c r="L33">
        <f t="shared" ca="1" si="5"/>
        <v>0.83085702212306001</v>
      </c>
      <c r="M33">
        <f ca="1">SUM($L$3:L33)</f>
        <v>28.255299995833848</v>
      </c>
      <c r="O33">
        <f t="shared" ca="1" si="6"/>
        <v>6019.5748091826681</v>
      </c>
      <c r="P33" s="16">
        <f t="shared" ca="1" si="7"/>
        <v>8059.4761102709381</v>
      </c>
      <c r="Q33" s="17">
        <f t="shared" ca="1" si="8"/>
        <v>965499.68436735799</v>
      </c>
      <c r="S33">
        <f ca="1">IF(A33&lt;='Dane do harmonogramu'!$D$7,'Roboczy harmonogram_1'!P33,0)</f>
        <v>8059.4761102709381</v>
      </c>
      <c r="T33">
        <f ca="1">IF(A33&lt;='Dane do harmonogramu'!$D$7,'Roboczy harmonogram_1'!O33,0)</f>
        <v>6019.5748091826681</v>
      </c>
      <c r="U33">
        <f ca="1">IF(A33&lt;='Dane do harmonogramu'!$D$7,$N$2,0)</f>
        <v>14079.050919453606</v>
      </c>
      <c r="V33" s="16">
        <f ca="1">IF(A32&lt;='Dane do harmonogramu'!$D$7,Q32*0.15%,"")</f>
        <v>1460.3387407164435</v>
      </c>
    </row>
    <row r="34" spans="1:22" x14ac:dyDescent="0.35">
      <c r="A34">
        <v>32</v>
      </c>
      <c r="B34" s="14">
        <f t="shared" ca="1" si="9"/>
        <v>47043</v>
      </c>
      <c r="C34" s="15">
        <f ca="1">(1+'Dane do harmonogramu'!$D$13*('Roboczy harmonogram_1'!B34-'Roboczy harmonogram_1'!B33)/365)</f>
        <v>1.006</v>
      </c>
      <c r="D34" s="15">
        <f ca="1">(1+'Dane do harmonogramu'!$D$13*('Roboczy harmonogram_1'!B34-'Roboczy harmonogram_1'!B33)/366)</f>
        <v>1.0059836065573771</v>
      </c>
      <c r="E34" s="15">
        <f t="shared" ca="1" si="0"/>
        <v>0</v>
      </c>
      <c r="F34" s="15">
        <f t="shared" ca="1" si="1"/>
        <v>0</v>
      </c>
      <c r="G34">
        <f ca="1">IF(E34=1,(1+'Dane do harmonogramu'!$D$13*((('Roboczy harmonogram_1'!B34-DATE(YEAR(B34),1,1)+1)/365)+((DATE(YEAR(B33),12,31)-'Roboczy harmonogram_1'!B33)/366))),IF(F34=1,(1+'Dane do harmonogramu'!$D$13*((('Roboczy harmonogram_1'!B34-DATE(YEAR(B34),1,1)+1)/366)+((DATE(YEAR(B33),12,31)-'Roboczy harmonogram_1'!B33)/365))),0))</f>
        <v>0</v>
      </c>
      <c r="H34">
        <f t="shared" ca="1" si="2"/>
        <v>1</v>
      </c>
      <c r="I34">
        <f t="shared" ca="1" si="3"/>
        <v>1.0059836065573771</v>
      </c>
      <c r="J34">
        <f t="shared" ca="1" si="4"/>
        <v>1.0059836065573771</v>
      </c>
      <c r="K34">
        <f ca="1">PRODUCT($J$3:J34)</f>
        <v>1.2107782443564383</v>
      </c>
      <c r="L34">
        <f t="shared" ca="1" si="5"/>
        <v>0.82591507128667252</v>
      </c>
      <c r="M34">
        <f ca="1">SUM($L$3:L34)</f>
        <v>29.081215067120521</v>
      </c>
      <c r="O34">
        <f t="shared" ca="1" si="6"/>
        <v>5777.1702425259864</v>
      </c>
      <c r="P34" s="16">
        <f t="shared" ca="1" si="7"/>
        <v>8301.8806769276198</v>
      </c>
      <c r="Q34" s="17">
        <f t="shared" ca="1" si="8"/>
        <v>957197.80369043036</v>
      </c>
      <c r="S34">
        <f ca="1">IF(A34&lt;='Dane do harmonogramu'!$D$7,'Roboczy harmonogram_1'!P34,0)</f>
        <v>8301.8806769276198</v>
      </c>
      <c r="T34">
        <f ca="1">IF(A34&lt;='Dane do harmonogramu'!$D$7,'Roboczy harmonogram_1'!O34,0)</f>
        <v>5777.1702425259864</v>
      </c>
      <c r="U34">
        <f ca="1">IF(A34&lt;='Dane do harmonogramu'!$D$7,$N$2,0)</f>
        <v>14079.050919453606</v>
      </c>
      <c r="V34" s="16">
        <f ca="1">IF(A33&lt;='Dane do harmonogramu'!$D$7,Q33*0.15%,"")</f>
        <v>1448.249526551037</v>
      </c>
    </row>
    <row r="35" spans="1:22" x14ac:dyDescent="0.35">
      <c r="A35">
        <v>33</v>
      </c>
      <c r="B35" s="14">
        <f t="shared" ca="1" si="9"/>
        <v>47074</v>
      </c>
      <c r="C35" s="15">
        <f ca="1">(1+'Dane do harmonogramu'!$D$13*('Roboczy harmonogram_1'!B35-'Roboczy harmonogram_1'!B34)/365)</f>
        <v>1.0062</v>
      </c>
      <c r="D35" s="15">
        <f ca="1">(1+'Dane do harmonogramu'!$D$13*('Roboczy harmonogram_1'!B35-'Roboczy harmonogram_1'!B34)/366)</f>
        <v>1.0061830601092896</v>
      </c>
      <c r="E35" s="15">
        <f t="shared" ca="1" si="0"/>
        <v>0</v>
      </c>
      <c r="F35" s="15">
        <f t="shared" ca="1" si="1"/>
        <v>0</v>
      </c>
      <c r="G35">
        <f ca="1">IF(E35=1,(1+'Dane do harmonogramu'!$D$13*((('Roboczy harmonogram_1'!B35-DATE(YEAR(B35),1,1)+1)/365)+((DATE(YEAR(B34),12,31)-'Roboczy harmonogram_1'!B34)/366))),IF(F35=1,(1+'Dane do harmonogramu'!$D$13*((('Roboczy harmonogram_1'!B35-DATE(YEAR(B35),1,1)+1)/366)+((DATE(YEAR(B34),12,31)-'Roboczy harmonogram_1'!B34)/365))),0))</f>
        <v>0</v>
      </c>
      <c r="H35">
        <f t="shared" ca="1" si="2"/>
        <v>1</v>
      </c>
      <c r="I35">
        <f t="shared" ca="1" si="3"/>
        <v>1.0061830601092896</v>
      </c>
      <c r="J35">
        <f t="shared" ca="1" si="4"/>
        <v>1.0061830601092896</v>
      </c>
      <c r="K35">
        <f ca="1">PRODUCT($J$3:J35)</f>
        <v>1.2182645590203143</v>
      </c>
      <c r="L35">
        <f t="shared" ca="1" si="5"/>
        <v>0.82083976965082606</v>
      </c>
      <c r="M35">
        <f ca="1">SUM($L$3:L35)</f>
        <v>29.902054836771349</v>
      </c>
      <c r="O35">
        <f t="shared" ca="1" si="6"/>
        <v>5918.4115566979162</v>
      </c>
      <c r="P35" s="16">
        <f t="shared" ca="1" si="7"/>
        <v>8160.6393627556899</v>
      </c>
      <c r="Q35" s="17">
        <f t="shared" ca="1" si="8"/>
        <v>949037.16432767466</v>
      </c>
      <c r="S35">
        <f ca="1">IF(A35&lt;='Dane do harmonogramu'!$D$7,'Roboczy harmonogram_1'!P35,0)</f>
        <v>8160.6393627556899</v>
      </c>
      <c r="T35">
        <f ca="1">IF(A35&lt;='Dane do harmonogramu'!$D$7,'Roboczy harmonogram_1'!O35,0)</f>
        <v>5918.4115566979162</v>
      </c>
      <c r="U35">
        <f ca="1">IF(A35&lt;='Dane do harmonogramu'!$D$7,$N$2,0)</f>
        <v>14079.050919453606</v>
      </c>
      <c r="V35" s="16">
        <f ca="1">IF(A34&lt;='Dane do harmonogramu'!$D$7,Q34*0.15%,"")</f>
        <v>1435.7967055356455</v>
      </c>
    </row>
    <row r="36" spans="1:22" x14ac:dyDescent="0.35">
      <c r="A36">
        <v>34</v>
      </c>
      <c r="B36" s="14">
        <f t="shared" ca="1" si="9"/>
        <v>47104</v>
      </c>
      <c r="C36" s="15">
        <f ca="1">(1+'Dane do harmonogramu'!$D$13*('Roboczy harmonogram_1'!B36-'Roboczy harmonogram_1'!B35)/365)</f>
        <v>1.006</v>
      </c>
      <c r="D36" s="15">
        <f ca="1">(1+'Dane do harmonogramu'!$D$13*('Roboczy harmonogram_1'!B36-'Roboczy harmonogram_1'!B35)/366)</f>
        <v>1.0059836065573771</v>
      </c>
      <c r="E36" s="15">
        <f t="shared" ca="1" si="0"/>
        <v>0</v>
      </c>
      <c r="F36" s="15">
        <f t="shared" ca="1" si="1"/>
        <v>0</v>
      </c>
      <c r="G36">
        <f ca="1">IF(E36=1,(1+'Dane do harmonogramu'!$D$13*((('Roboczy harmonogram_1'!B36-DATE(YEAR(B36),1,1)+1)/365)+((DATE(YEAR(B35),12,31)-'Roboczy harmonogram_1'!B35)/366))),IF(F36=1,(1+'Dane do harmonogramu'!$D$13*((('Roboczy harmonogram_1'!B36-DATE(YEAR(B36),1,1)+1)/366)+((DATE(YEAR(B35),12,31)-'Roboczy harmonogram_1'!B35)/365))),0))</f>
        <v>0</v>
      </c>
      <c r="H36">
        <f t="shared" ca="1" si="2"/>
        <v>1</v>
      </c>
      <c r="I36">
        <f t="shared" ca="1" si="3"/>
        <v>1.0059836065573771</v>
      </c>
      <c r="J36">
        <f t="shared" ca="1" si="4"/>
        <v>1.0059836065573771</v>
      </c>
      <c r="K36">
        <f ca="1">PRODUCT($J$3:J36)</f>
        <v>1.2255541748242884</v>
      </c>
      <c r="L36">
        <f t="shared" ca="1" si="5"/>
        <v>0.81595740159211905</v>
      </c>
      <c r="M36">
        <f ca="1">SUM($L$3:L36)</f>
        <v>30.718012238363468</v>
      </c>
      <c r="O36">
        <f t="shared" ca="1" si="6"/>
        <v>5678.664999665576</v>
      </c>
      <c r="P36" s="16">
        <f t="shared" ca="1" si="7"/>
        <v>8400.3859197880302</v>
      </c>
      <c r="Q36" s="17">
        <f t="shared" ca="1" si="8"/>
        <v>940636.77840788662</v>
      </c>
      <c r="S36">
        <f ca="1">IF(A36&lt;='Dane do harmonogramu'!$D$7,'Roboczy harmonogram_1'!P36,0)</f>
        <v>8400.3859197880302</v>
      </c>
      <c r="T36">
        <f ca="1">IF(A36&lt;='Dane do harmonogramu'!$D$7,'Roboczy harmonogram_1'!O36,0)</f>
        <v>5678.664999665576</v>
      </c>
      <c r="U36">
        <f ca="1">IF(A36&lt;='Dane do harmonogramu'!$D$7,$N$2,0)</f>
        <v>14079.050919453606</v>
      </c>
      <c r="V36" s="16">
        <f ca="1">IF(A35&lt;='Dane do harmonogramu'!$D$7,Q35*0.15%,"")</f>
        <v>1423.5557464915121</v>
      </c>
    </row>
    <row r="37" spans="1:22" x14ac:dyDescent="0.35">
      <c r="A37">
        <v>35</v>
      </c>
      <c r="B37" s="14">
        <f t="shared" ca="1" si="9"/>
        <v>47135</v>
      </c>
      <c r="C37" s="15">
        <f ca="1">(1+'Dane do harmonogramu'!$D$13*('Roboczy harmonogram_1'!B37-'Roboczy harmonogram_1'!B36)/365)</f>
        <v>1.0062</v>
      </c>
      <c r="D37" s="15">
        <f ca="1">(1+'Dane do harmonogramu'!$D$13*('Roboczy harmonogram_1'!B37-'Roboczy harmonogram_1'!B36)/366)</f>
        <v>1.0061830601092896</v>
      </c>
      <c r="E37" s="15">
        <f t="shared" ca="1" si="0"/>
        <v>1</v>
      </c>
      <c r="F37" s="15">
        <f t="shared" ca="1" si="1"/>
        <v>0</v>
      </c>
      <c r="G37">
        <f ca="1">IF(E37=1,(1+'Dane do harmonogramu'!$D$13*((('Roboczy harmonogram_1'!B37-DATE(YEAR(B37),1,1)+1)/365)+((DATE(YEAR(B36),12,31)-'Roboczy harmonogram_1'!B36)/366))),IF(F37=1,(1+'Dane do harmonogramu'!$D$13*((('Roboczy harmonogram_1'!B37-DATE(YEAR(B37),1,1)+1)/366)+((DATE(YEAR(B36),12,31)-'Roboczy harmonogram_1'!B36)/365))),0))</f>
        <v>1.006192349726776</v>
      </c>
      <c r="H37">
        <f t="shared" ca="1" si="2"/>
        <v>0</v>
      </c>
      <c r="I37">
        <f t="shared" ca="1" si="3"/>
        <v>1.0062</v>
      </c>
      <c r="J37">
        <f t="shared" ca="1" si="4"/>
        <v>1.006192349726776</v>
      </c>
      <c r="K37">
        <f ca="1">PRODUCT($J$3:J37)</f>
        <v>1.2331432348839106</v>
      </c>
      <c r="L37">
        <f t="shared" ca="1" si="5"/>
        <v>0.81093580349093919</v>
      </c>
      <c r="M37">
        <f ca="1">SUM($L$3:L37)</f>
        <v>31.528948041854406</v>
      </c>
      <c r="O37">
        <f t="shared" ca="1" si="6"/>
        <v>5824.7518977695145</v>
      </c>
      <c r="P37" s="16">
        <f t="shared" ca="1" si="7"/>
        <v>8254.2990216840917</v>
      </c>
      <c r="Q37" s="17">
        <f t="shared" ca="1" si="8"/>
        <v>932382.47938620253</v>
      </c>
      <c r="S37">
        <f ca="1">IF(A37&lt;='Dane do harmonogramu'!$D$7,'Roboczy harmonogram_1'!P37,0)</f>
        <v>8254.2990216840917</v>
      </c>
      <c r="T37">
        <f ca="1">IF(A37&lt;='Dane do harmonogramu'!$D$7,'Roboczy harmonogram_1'!O37,0)</f>
        <v>5824.7518977695145</v>
      </c>
      <c r="U37">
        <f ca="1">IF(A37&lt;='Dane do harmonogramu'!$D$7,$N$2,0)</f>
        <v>14079.050919453606</v>
      </c>
      <c r="V37" s="16">
        <f ca="1">IF(A36&lt;='Dane do harmonogramu'!$D$7,Q36*0.15%,"")</f>
        <v>1410.9551676118299</v>
      </c>
    </row>
    <row r="38" spans="1:22" x14ac:dyDescent="0.35">
      <c r="A38">
        <v>36</v>
      </c>
      <c r="B38" s="14">
        <f t="shared" ca="1" si="9"/>
        <v>47166</v>
      </c>
      <c r="C38" s="15">
        <f ca="1">(1+'Dane do harmonogramu'!$D$13*('Roboczy harmonogram_1'!B38-'Roboczy harmonogram_1'!B37)/365)</f>
        <v>1.0062</v>
      </c>
      <c r="D38" s="15">
        <f ca="1">(1+'Dane do harmonogramu'!$D$13*('Roboczy harmonogram_1'!B38-'Roboczy harmonogram_1'!B37)/366)</f>
        <v>1.0061830601092896</v>
      </c>
      <c r="E38" s="15">
        <f t="shared" ca="1" si="0"/>
        <v>0</v>
      </c>
      <c r="F38" s="15">
        <f t="shared" ca="1" si="1"/>
        <v>0</v>
      </c>
      <c r="G38">
        <f ca="1">IF(E38=1,(1+'Dane do harmonogramu'!$D$13*((('Roboczy harmonogram_1'!B38-DATE(YEAR(B38),1,1)+1)/365)+((DATE(YEAR(B37),12,31)-'Roboczy harmonogram_1'!B37)/366))),IF(F38=1,(1+'Dane do harmonogramu'!$D$13*((('Roboczy harmonogram_1'!B38-DATE(YEAR(B38),1,1)+1)/366)+((DATE(YEAR(B37),12,31)-'Roboczy harmonogram_1'!B37)/365))),0))</f>
        <v>0</v>
      </c>
      <c r="H38">
        <f t="shared" ca="1" si="2"/>
        <v>0</v>
      </c>
      <c r="I38">
        <f t="shared" ca="1" si="3"/>
        <v>1.0062</v>
      </c>
      <c r="J38">
        <f t="shared" ca="1" si="4"/>
        <v>1.0062</v>
      </c>
      <c r="K38">
        <f ca="1">PRODUCT($J$3:J38)</f>
        <v>1.2407887229401908</v>
      </c>
      <c r="L38">
        <f t="shared" ca="1" si="5"/>
        <v>0.80593898180375589</v>
      </c>
      <c r="M38">
        <f ca="1">SUM($L$3:L38)</f>
        <v>32.334887023658162</v>
      </c>
      <c r="O38">
        <f t="shared" ca="1" si="6"/>
        <v>5780.7713721944019</v>
      </c>
      <c r="P38" s="16">
        <f t="shared" ca="1" si="7"/>
        <v>8298.2795472592043</v>
      </c>
      <c r="Q38" s="17">
        <f t="shared" ca="1" si="8"/>
        <v>924084.19983894331</v>
      </c>
      <c r="S38">
        <f ca="1">IF(A38&lt;='Dane do harmonogramu'!$D$7,'Roboczy harmonogram_1'!P38,0)</f>
        <v>8298.2795472592043</v>
      </c>
      <c r="T38">
        <f ca="1">IF(A38&lt;='Dane do harmonogramu'!$D$7,'Roboczy harmonogram_1'!O38,0)</f>
        <v>5780.7713721944019</v>
      </c>
      <c r="U38">
        <f ca="1">IF(A38&lt;='Dane do harmonogramu'!$D$7,$N$2,0)</f>
        <v>14079.050919453606</v>
      </c>
      <c r="V38" s="16">
        <f ca="1">IF(A37&lt;='Dane do harmonogramu'!$D$7,Q37*0.15%,"")</f>
        <v>1398.5737190793038</v>
      </c>
    </row>
    <row r="39" spans="1:22" x14ac:dyDescent="0.35">
      <c r="A39">
        <v>37</v>
      </c>
      <c r="B39" s="14">
        <f t="shared" ca="1" si="9"/>
        <v>47194</v>
      </c>
      <c r="C39" s="15">
        <f ca="1">(1+'Dane do harmonogramu'!$D$13*('Roboczy harmonogram_1'!B39-'Roboczy harmonogram_1'!B38)/365)</f>
        <v>1.0056</v>
      </c>
      <c r="D39" s="15">
        <f ca="1">(1+'Dane do harmonogramu'!$D$13*('Roboczy harmonogram_1'!B39-'Roboczy harmonogram_1'!B38)/366)</f>
        <v>1.005584699453552</v>
      </c>
      <c r="E39" s="15">
        <f t="shared" ca="1" si="0"/>
        <v>0</v>
      </c>
      <c r="F39" s="15">
        <f t="shared" ca="1" si="1"/>
        <v>0</v>
      </c>
      <c r="G39">
        <f ca="1">IF(E39=1,(1+'Dane do harmonogramu'!$D$13*((('Roboczy harmonogram_1'!B39-DATE(YEAR(B39),1,1)+1)/365)+((DATE(YEAR(B38),12,31)-'Roboczy harmonogram_1'!B38)/366))),IF(F39=1,(1+'Dane do harmonogramu'!$D$13*((('Roboczy harmonogram_1'!B39-DATE(YEAR(B39),1,1)+1)/366)+((DATE(YEAR(B38),12,31)-'Roboczy harmonogram_1'!B38)/365))),0))</f>
        <v>0</v>
      </c>
      <c r="H39">
        <f t="shared" ca="1" si="2"/>
        <v>0</v>
      </c>
      <c r="I39">
        <f t="shared" ca="1" si="3"/>
        <v>1.0056</v>
      </c>
      <c r="J39">
        <f t="shared" ca="1" si="4"/>
        <v>1.0056</v>
      </c>
      <c r="K39">
        <f ca="1">PRODUCT($J$3:J39)</f>
        <v>1.2477371397886559</v>
      </c>
      <c r="L39">
        <f t="shared" ca="1" si="5"/>
        <v>0.80145085700453056</v>
      </c>
      <c r="M39">
        <f ca="1">SUM($L$3:L39)</f>
        <v>33.136337880662694</v>
      </c>
      <c r="O39">
        <f t="shared" ca="1" si="6"/>
        <v>5174.8715190981748</v>
      </c>
      <c r="P39" s="16">
        <f t="shared" ca="1" si="7"/>
        <v>8904.1794003554314</v>
      </c>
      <c r="Q39" s="17">
        <f t="shared" ca="1" si="8"/>
        <v>915180.02043858788</v>
      </c>
      <c r="S39">
        <f ca="1">IF(A39&lt;='Dane do harmonogramu'!$D$7,'Roboczy harmonogram_1'!P39,0)</f>
        <v>8904.1794003554314</v>
      </c>
      <c r="T39">
        <f ca="1">IF(A39&lt;='Dane do harmonogramu'!$D$7,'Roboczy harmonogram_1'!O39,0)</f>
        <v>5174.8715190981748</v>
      </c>
      <c r="U39">
        <f ca="1">IF(A39&lt;='Dane do harmonogramu'!$D$7,$N$2,0)</f>
        <v>14079.050919453606</v>
      </c>
      <c r="V39" s="16">
        <f ca="1">IF(A38&lt;='Dane do harmonogramu'!$D$7,Q38*0.15%,"")</f>
        <v>1386.1262997584149</v>
      </c>
    </row>
    <row r="40" spans="1:22" x14ac:dyDescent="0.35">
      <c r="A40">
        <v>38</v>
      </c>
      <c r="B40" s="14">
        <f t="shared" ca="1" si="9"/>
        <v>47225</v>
      </c>
      <c r="C40" s="15">
        <f ca="1">(1+'Dane do harmonogramu'!$D$13*('Roboczy harmonogram_1'!B40-'Roboczy harmonogram_1'!B39)/365)</f>
        <v>1.0062</v>
      </c>
      <c r="D40" s="15">
        <f ca="1">(1+'Dane do harmonogramu'!$D$13*('Roboczy harmonogram_1'!B40-'Roboczy harmonogram_1'!B39)/366)</f>
        <v>1.0061830601092896</v>
      </c>
      <c r="E40" s="15">
        <f t="shared" ca="1" si="0"/>
        <v>0</v>
      </c>
      <c r="F40" s="15">
        <f t="shared" ca="1" si="1"/>
        <v>0</v>
      </c>
      <c r="G40">
        <f ca="1">IF(E40=1,(1+'Dane do harmonogramu'!$D$13*((('Roboczy harmonogram_1'!B40-DATE(YEAR(B40),1,1)+1)/365)+((DATE(YEAR(B39),12,31)-'Roboczy harmonogram_1'!B39)/366))),IF(F40=1,(1+'Dane do harmonogramu'!$D$13*((('Roboczy harmonogram_1'!B40-DATE(YEAR(B40),1,1)+1)/366)+((DATE(YEAR(B39),12,31)-'Roboczy harmonogram_1'!B39)/365))),0))</f>
        <v>0</v>
      </c>
      <c r="H40">
        <f t="shared" ca="1" si="2"/>
        <v>0</v>
      </c>
      <c r="I40">
        <f t="shared" ca="1" si="3"/>
        <v>1.0062</v>
      </c>
      <c r="J40">
        <f t="shared" ca="1" si="4"/>
        <v>1.0062</v>
      </c>
      <c r="K40">
        <f ca="1">PRODUCT($J$3:J40)</f>
        <v>1.2554731100553456</v>
      </c>
      <c r="L40">
        <f t="shared" ca="1" si="5"/>
        <v>0.7965124796308195</v>
      </c>
      <c r="M40">
        <f ca="1">SUM($L$3:L40)</f>
        <v>33.932850360293514</v>
      </c>
      <c r="O40">
        <f t="shared" ca="1" si="6"/>
        <v>5674.1161267192801</v>
      </c>
      <c r="P40" s="16">
        <f t="shared" ca="1" si="7"/>
        <v>8404.934792734326</v>
      </c>
      <c r="Q40" s="17">
        <f t="shared" ca="1" si="8"/>
        <v>906775.08564585354</v>
      </c>
      <c r="S40">
        <f ca="1">IF(A40&lt;='Dane do harmonogramu'!$D$7,'Roboczy harmonogram_1'!P40,0)</f>
        <v>8404.934792734326</v>
      </c>
      <c r="T40">
        <f ca="1">IF(A40&lt;='Dane do harmonogramu'!$D$7,'Roboczy harmonogram_1'!O40,0)</f>
        <v>5674.1161267192801</v>
      </c>
      <c r="U40">
        <f ca="1">IF(A40&lt;='Dane do harmonogramu'!$D$7,$N$2,0)</f>
        <v>14079.050919453606</v>
      </c>
      <c r="V40" s="16">
        <f ca="1">IF(A39&lt;='Dane do harmonogramu'!$D$7,Q39*0.15%,"")</f>
        <v>1372.7700306578818</v>
      </c>
    </row>
    <row r="41" spans="1:22" x14ac:dyDescent="0.35">
      <c r="A41">
        <v>39</v>
      </c>
      <c r="B41" s="14">
        <f t="shared" ca="1" si="9"/>
        <v>47255</v>
      </c>
      <c r="C41" s="15">
        <f ca="1">(1+'Dane do harmonogramu'!$D$13*('Roboczy harmonogram_1'!B41-'Roboczy harmonogram_1'!B40)/365)</f>
        <v>1.006</v>
      </c>
      <c r="D41" s="15">
        <f ca="1">(1+'Dane do harmonogramu'!$D$13*('Roboczy harmonogram_1'!B41-'Roboczy harmonogram_1'!B40)/366)</f>
        <v>1.0059836065573771</v>
      </c>
      <c r="E41" s="15">
        <f t="shared" ca="1" si="0"/>
        <v>0</v>
      </c>
      <c r="F41" s="15">
        <f t="shared" ca="1" si="1"/>
        <v>0</v>
      </c>
      <c r="G41">
        <f ca="1">IF(E41=1,(1+'Dane do harmonogramu'!$D$13*((('Roboczy harmonogram_1'!B41-DATE(YEAR(B41),1,1)+1)/365)+((DATE(YEAR(B40),12,31)-'Roboczy harmonogram_1'!B40)/366))),IF(F41=1,(1+'Dane do harmonogramu'!$D$13*((('Roboczy harmonogram_1'!B41-DATE(YEAR(B41),1,1)+1)/366)+((DATE(YEAR(B40),12,31)-'Roboczy harmonogram_1'!B40)/365))),0))</f>
        <v>0</v>
      </c>
      <c r="H41">
        <f t="shared" ca="1" si="2"/>
        <v>0</v>
      </c>
      <c r="I41">
        <f t="shared" ca="1" si="3"/>
        <v>1.006</v>
      </c>
      <c r="J41">
        <f t="shared" ca="1" si="4"/>
        <v>1.006</v>
      </c>
      <c r="K41">
        <f ca="1">PRODUCT($J$3:J41)</f>
        <v>1.2630059487156777</v>
      </c>
      <c r="L41">
        <f t="shared" ca="1" si="5"/>
        <v>0.79176190818172898</v>
      </c>
      <c r="M41">
        <f ca="1">SUM($L$3:L41)</f>
        <v>34.724612268475241</v>
      </c>
      <c r="O41">
        <f t="shared" ca="1" si="6"/>
        <v>5440.6505138751818</v>
      </c>
      <c r="P41" s="16">
        <f t="shared" ca="1" si="7"/>
        <v>8638.4004055784244</v>
      </c>
      <c r="Q41" s="17">
        <f t="shared" ca="1" si="8"/>
        <v>898136.68524027511</v>
      </c>
      <c r="S41">
        <f ca="1">IF(A41&lt;='Dane do harmonogramu'!$D$7,'Roboczy harmonogram_1'!P41,0)</f>
        <v>8638.4004055784244</v>
      </c>
      <c r="T41">
        <f ca="1">IF(A41&lt;='Dane do harmonogramu'!$D$7,'Roboczy harmonogram_1'!O41,0)</f>
        <v>5440.6505138751818</v>
      </c>
      <c r="U41">
        <f ca="1">IF(A41&lt;='Dane do harmonogramu'!$D$7,$N$2,0)</f>
        <v>14079.050919453606</v>
      </c>
      <c r="V41" s="16">
        <f ca="1">IF(A40&lt;='Dane do harmonogramu'!$D$7,Q40*0.15%,"")</f>
        <v>1360.1626284687804</v>
      </c>
    </row>
    <row r="42" spans="1:22" x14ac:dyDescent="0.35">
      <c r="A42">
        <v>40</v>
      </c>
      <c r="B42" s="14">
        <f t="shared" ca="1" si="9"/>
        <v>47286</v>
      </c>
      <c r="C42" s="15">
        <f ca="1">(1+'Dane do harmonogramu'!$D$13*('Roboczy harmonogram_1'!B42-'Roboczy harmonogram_1'!B41)/365)</f>
        <v>1.0062</v>
      </c>
      <c r="D42" s="15">
        <f ca="1">(1+'Dane do harmonogramu'!$D$13*('Roboczy harmonogram_1'!B42-'Roboczy harmonogram_1'!B41)/366)</f>
        <v>1.0061830601092896</v>
      </c>
      <c r="E42" s="15">
        <f t="shared" ca="1" si="0"/>
        <v>0</v>
      </c>
      <c r="F42" s="15">
        <f t="shared" ca="1" si="1"/>
        <v>0</v>
      </c>
      <c r="G42">
        <f ca="1">IF(E42=1,(1+'Dane do harmonogramu'!$D$13*((('Roboczy harmonogram_1'!B42-DATE(YEAR(B42),1,1)+1)/365)+((DATE(YEAR(B41),12,31)-'Roboczy harmonogram_1'!B41)/366))),IF(F42=1,(1+'Dane do harmonogramu'!$D$13*((('Roboczy harmonogram_1'!B42-DATE(YEAR(B42),1,1)+1)/366)+((DATE(YEAR(B41),12,31)-'Roboczy harmonogram_1'!B41)/365))),0))</f>
        <v>0</v>
      </c>
      <c r="H42">
        <f t="shared" ca="1" si="2"/>
        <v>0</v>
      </c>
      <c r="I42">
        <f t="shared" ca="1" si="3"/>
        <v>1.0062</v>
      </c>
      <c r="J42">
        <f t="shared" ca="1" si="4"/>
        <v>1.0062</v>
      </c>
      <c r="K42">
        <f ca="1">PRODUCT($J$3:J42)</f>
        <v>1.2708365855977148</v>
      </c>
      <c r="L42">
        <f t="shared" ca="1" si="5"/>
        <v>0.78688323214244593</v>
      </c>
      <c r="M42">
        <f ca="1">SUM($L$3:L42)</f>
        <v>35.511495500617684</v>
      </c>
      <c r="O42">
        <f t="shared" ca="1" si="6"/>
        <v>5568.4474484897219</v>
      </c>
      <c r="P42" s="16">
        <f t="shared" ca="1" si="7"/>
        <v>8510.6034709638843</v>
      </c>
      <c r="Q42" s="17">
        <f t="shared" ca="1" si="8"/>
        <v>889626.08176931122</v>
      </c>
      <c r="S42">
        <f ca="1">IF(A42&lt;='Dane do harmonogramu'!$D$7,'Roboczy harmonogram_1'!P42,0)</f>
        <v>8510.6034709638843</v>
      </c>
      <c r="T42">
        <f ca="1">IF(A42&lt;='Dane do harmonogramu'!$D$7,'Roboczy harmonogram_1'!O42,0)</f>
        <v>5568.4474484897219</v>
      </c>
      <c r="U42">
        <f ca="1">IF(A42&lt;='Dane do harmonogramu'!$D$7,$N$2,0)</f>
        <v>14079.050919453606</v>
      </c>
      <c r="V42" s="16">
        <f ca="1">IF(A41&lt;='Dane do harmonogramu'!$D$7,Q41*0.15%,"")</f>
        <v>1347.2050278604127</v>
      </c>
    </row>
    <row r="43" spans="1:22" x14ac:dyDescent="0.35">
      <c r="A43">
        <v>41</v>
      </c>
      <c r="B43" s="14">
        <f t="shared" ca="1" si="9"/>
        <v>47316</v>
      </c>
      <c r="C43" s="15">
        <f ca="1">(1+'Dane do harmonogramu'!$D$13*('Roboczy harmonogram_1'!B43-'Roboczy harmonogram_1'!B42)/365)</f>
        <v>1.006</v>
      </c>
      <c r="D43" s="15">
        <f ca="1">(1+'Dane do harmonogramu'!$D$13*('Roboczy harmonogram_1'!B43-'Roboczy harmonogram_1'!B42)/366)</f>
        <v>1.0059836065573771</v>
      </c>
      <c r="E43" s="15">
        <f t="shared" ca="1" si="0"/>
        <v>0</v>
      </c>
      <c r="F43" s="15">
        <f t="shared" ca="1" si="1"/>
        <v>0</v>
      </c>
      <c r="G43">
        <f ca="1">IF(E43=1,(1+'Dane do harmonogramu'!$D$13*((('Roboczy harmonogram_1'!B43-DATE(YEAR(B43),1,1)+1)/365)+((DATE(YEAR(B42),12,31)-'Roboczy harmonogram_1'!B42)/366))),IF(F43=1,(1+'Dane do harmonogramu'!$D$13*((('Roboczy harmonogram_1'!B43-DATE(YEAR(B43),1,1)+1)/366)+((DATE(YEAR(B42),12,31)-'Roboczy harmonogram_1'!B42)/365))),0))</f>
        <v>0</v>
      </c>
      <c r="H43">
        <f t="shared" ca="1" si="2"/>
        <v>0</v>
      </c>
      <c r="I43">
        <f t="shared" ca="1" si="3"/>
        <v>1.006</v>
      </c>
      <c r="J43">
        <f t="shared" ca="1" si="4"/>
        <v>1.006</v>
      </c>
      <c r="K43">
        <f ca="1">PRODUCT($J$3:J43)</f>
        <v>1.2784616051113011</v>
      </c>
      <c r="L43">
        <f t="shared" ca="1" si="5"/>
        <v>0.78219009159288855</v>
      </c>
      <c r="M43">
        <f ca="1">SUM($L$3:L43)</f>
        <v>36.293685592210572</v>
      </c>
      <c r="O43">
        <f t="shared" ca="1" si="6"/>
        <v>5337.756490615895</v>
      </c>
      <c r="P43" s="16">
        <f t="shared" ca="1" si="7"/>
        <v>8741.2944288377112</v>
      </c>
      <c r="Q43" s="17">
        <f t="shared" ca="1" si="8"/>
        <v>880884.7873404735</v>
      </c>
      <c r="S43">
        <f ca="1">IF(A43&lt;='Dane do harmonogramu'!$D$7,'Roboczy harmonogram_1'!P43,0)</f>
        <v>8741.2944288377112</v>
      </c>
      <c r="T43">
        <f ca="1">IF(A43&lt;='Dane do harmonogramu'!$D$7,'Roboczy harmonogram_1'!O43,0)</f>
        <v>5337.756490615895</v>
      </c>
      <c r="U43">
        <f ca="1">IF(A43&lt;='Dane do harmonogramu'!$D$7,$N$2,0)</f>
        <v>14079.050919453606</v>
      </c>
      <c r="V43" s="16">
        <f ca="1">IF(A42&lt;='Dane do harmonogramu'!$D$7,Q42*0.15%,"")</f>
        <v>1334.4391226539669</v>
      </c>
    </row>
    <row r="44" spans="1:22" x14ac:dyDescent="0.35">
      <c r="A44">
        <v>42</v>
      </c>
      <c r="B44" s="14">
        <f t="shared" ca="1" si="9"/>
        <v>47347</v>
      </c>
      <c r="C44" s="15">
        <f ca="1">(1+'Dane do harmonogramu'!$D$13*('Roboczy harmonogram_1'!B44-'Roboczy harmonogram_1'!B43)/365)</f>
        <v>1.0062</v>
      </c>
      <c r="D44" s="15">
        <f ca="1">(1+'Dane do harmonogramu'!$D$13*('Roboczy harmonogram_1'!B44-'Roboczy harmonogram_1'!B43)/366)</f>
        <v>1.0061830601092896</v>
      </c>
      <c r="E44" s="15">
        <f t="shared" ca="1" si="0"/>
        <v>0</v>
      </c>
      <c r="F44" s="15">
        <f t="shared" ca="1" si="1"/>
        <v>0</v>
      </c>
      <c r="G44">
        <f ca="1">IF(E44=1,(1+'Dane do harmonogramu'!$D$13*((('Roboczy harmonogram_1'!B44-DATE(YEAR(B44),1,1)+1)/365)+((DATE(YEAR(B43),12,31)-'Roboczy harmonogram_1'!B43)/366))),IF(F44=1,(1+'Dane do harmonogramu'!$D$13*((('Roboczy harmonogram_1'!B44-DATE(YEAR(B44),1,1)+1)/366)+((DATE(YEAR(B43),12,31)-'Roboczy harmonogram_1'!B43)/365))),0))</f>
        <v>0</v>
      </c>
      <c r="H44">
        <f t="shared" ca="1" si="2"/>
        <v>0</v>
      </c>
      <c r="I44">
        <f t="shared" ca="1" si="3"/>
        <v>1.0062</v>
      </c>
      <c r="J44">
        <f t="shared" ca="1" si="4"/>
        <v>1.0062</v>
      </c>
      <c r="K44">
        <f ca="1">PRODUCT($J$3:J44)</f>
        <v>1.2863880670629912</v>
      </c>
      <c r="L44">
        <f t="shared" ca="1" si="5"/>
        <v>0.77737039514300199</v>
      </c>
      <c r="M44">
        <f ca="1">SUM($L$3:L44)</f>
        <v>37.071055987353574</v>
      </c>
      <c r="O44">
        <f t="shared" ca="1" si="6"/>
        <v>5461.4856815108797</v>
      </c>
      <c r="P44" s="16">
        <f t="shared" ca="1" si="7"/>
        <v>8617.5652379427265</v>
      </c>
      <c r="Q44" s="17">
        <f t="shared" ca="1" si="8"/>
        <v>872267.22210253077</v>
      </c>
      <c r="S44">
        <f ca="1">IF(A44&lt;='Dane do harmonogramu'!$D$7,'Roboczy harmonogram_1'!P44,0)</f>
        <v>8617.5652379427265</v>
      </c>
      <c r="T44">
        <f ca="1">IF(A44&lt;='Dane do harmonogramu'!$D$7,'Roboczy harmonogram_1'!O44,0)</f>
        <v>5461.4856815108797</v>
      </c>
      <c r="U44">
        <f ca="1">IF(A44&lt;='Dane do harmonogramu'!$D$7,$N$2,0)</f>
        <v>14079.050919453606</v>
      </c>
      <c r="V44" s="16">
        <f ca="1">IF(A43&lt;='Dane do harmonogramu'!$D$7,Q43*0.15%,"")</f>
        <v>1321.3271810107103</v>
      </c>
    </row>
    <row r="45" spans="1:22" x14ac:dyDescent="0.35">
      <c r="A45">
        <v>43</v>
      </c>
      <c r="B45" s="14">
        <f t="shared" ca="1" si="9"/>
        <v>47378</v>
      </c>
      <c r="C45" s="15">
        <f ca="1">(1+'Dane do harmonogramu'!$D$13*('Roboczy harmonogram_1'!B45-'Roboczy harmonogram_1'!B44)/365)</f>
        <v>1.0062</v>
      </c>
      <c r="D45" s="15">
        <f ca="1">(1+'Dane do harmonogramu'!$D$13*('Roboczy harmonogram_1'!B45-'Roboczy harmonogram_1'!B44)/366)</f>
        <v>1.0061830601092896</v>
      </c>
      <c r="E45" s="15">
        <f t="shared" ca="1" si="0"/>
        <v>0</v>
      </c>
      <c r="F45" s="15">
        <f t="shared" ca="1" si="1"/>
        <v>0</v>
      </c>
      <c r="G45">
        <f ca="1">IF(E45=1,(1+'Dane do harmonogramu'!$D$13*((('Roboczy harmonogram_1'!B45-DATE(YEAR(B45),1,1)+1)/365)+((DATE(YEAR(B44),12,31)-'Roboczy harmonogram_1'!B44)/366))),IF(F45=1,(1+'Dane do harmonogramu'!$D$13*((('Roboczy harmonogram_1'!B45-DATE(YEAR(B45),1,1)+1)/366)+((DATE(YEAR(B44),12,31)-'Roboczy harmonogram_1'!B44)/365))),0))</f>
        <v>0</v>
      </c>
      <c r="H45">
        <f t="shared" ca="1" si="2"/>
        <v>0</v>
      </c>
      <c r="I45">
        <f t="shared" ca="1" si="3"/>
        <v>1.0062</v>
      </c>
      <c r="J45">
        <f t="shared" ca="1" si="4"/>
        <v>1.0062</v>
      </c>
      <c r="K45">
        <f ca="1">PRODUCT($J$3:J45)</f>
        <v>1.2943636730787818</v>
      </c>
      <c r="L45">
        <f t="shared" ca="1" si="5"/>
        <v>0.77258039668356393</v>
      </c>
      <c r="M45">
        <f ca="1">SUM($L$3:L45)</f>
        <v>37.84363638403714</v>
      </c>
      <c r="O45">
        <f t="shared" ca="1" si="6"/>
        <v>5408.0567770357011</v>
      </c>
      <c r="P45" s="16">
        <f t="shared" ca="1" si="7"/>
        <v>8670.9941424179051</v>
      </c>
      <c r="Q45" s="17">
        <f t="shared" ca="1" si="8"/>
        <v>863596.22796011285</v>
      </c>
      <c r="S45">
        <f ca="1">IF(A45&lt;='Dane do harmonogramu'!$D$7,'Roboczy harmonogram_1'!P45,0)</f>
        <v>8670.9941424179051</v>
      </c>
      <c r="T45">
        <f ca="1">IF(A45&lt;='Dane do harmonogramu'!$D$7,'Roboczy harmonogram_1'!O45,0)</f>
        <v>5408.0567770357011</v>
      </c>
      <c r="U45">
        <f ca="1">IF(A45&lt;='Dane do harmonogramu'!$D$7,$N$2,0)</f>
        <v>14079.050919453606</v>
      </c>
      <c r="V45" s="16">
        <f ca="1">IF(A44&lt;='Dane do harmonogramu'!$D$7,Q44*0.15%,"")</f>
        <v>1308.4008331537962</v>
      </c>
    </row>
    <row r="46" spans="1:22" x14ac:dyDescent="0.35">
      <c r="A46">
        <v>44</v>
      </c>
      <c r="B46" s="14">
        <f t="shared" ca="1" si="9"/>
        <v>47408</v>
      </c>
      <c r="C46" s="15">
        <f ca="1">(1+'Dane do harmonogramu'!$D$13*('Roboczy harmonogram_1'!B46-'Roboczy harmonogram_1'!B45)/365)</f>
        <v>1.006</v>
      </c>
      <c r="D46" s="15">
        <f ca="1">(1+'Dane do harmonogramu'!$D$13*('Roboczy harmonogram_1'!B46-'Roboczy harmonogram_1'!B45)/366)</f>
        <v>1.0059836065573771</v>
      </c>
      <c r="E46" s="15">
        <f t="shared" ca="1" si="0"/>
        <v>0</v>
      </c>
      <c r="F46" s="15">
        <f t="shared" ca="1" si="1"/>
        <v>0</v>
      </c>
      <c r="G46">
        <f ca="1">IF(E46=1,(1+'Dane do harmonogramu'!$D$13*((('Roboczy harmonogram_1'!B46-DATE(YEAR(B46),1,1)+1)/365)+((DATE(YEAR(B45),12,31)-'Roboczy harmonogram_1'!B45)/366))),IF(F46=1,(1+'Dane do harmonogramu'!$D$13*((('Roboczy harmonogram_1'!B46-DATE(YEAR(B46),1,1)+1)/366)+((DATE(YEAR(B45),12,31)-'Roboczy harmonogram_1'!B45)/365))),0))</f>
        <v>0</v>
      </c>
      <c r="H46">
        <f t="shared" ca="1" si="2"/>
        <v>0</v>
      </c>
      <c r="I46">
        <f t="shared" ca="1" si="3"/>
        <v>1.006</v>
      </c>
      <c r="J46">
        <f t="shared" ca="1" si="4"/>
        <v>1.006</v>
      </c>
      <c r="K46">
        <f ca="1">PRODUCT($J$3:J46)</f>
        <v>1.3021298551172544</v>
      </c>
      <c r="L46">
        <f t="shared" ca="1" si="5"/>
        <v>0.76797256131566982</v>
      </c>
      <c r="M46">
        <f ca="1">SUM($L$3:L46)</f>
        <v>38.611608945352813</v>
      </c>
      <c r="O46">
        <f t="shared" ca="1" si="6"/>
        <v>5181.5773677607067</v>
      </c>
      <c r="P46" s="16">
        <f t="shared" ca="1" si="7"/>
        <v>8897.4735516928995</v>
      </c>
      <c r="Q46" s="17">
        <f t="shared" ca="1" si="8"/>
        <v>854698.75440841995</v>
      </c>
      <c r="S46">
        <f ca="1">IF(A46&lt;='Dane do harmonogramu'!$D$7,'Roboczy harmonogram_1'!P46,0)</f>
        <v>8897.4735516928995</v>
      </c>
      <c r="T46">
        <f ca="1">IF(A46&lt;='Dane do harmonogramu'!$D$7,'Roboczy harmonogram_1'!O46,0)</f>
        <v>5181.5773677607067</v>
      </c>
      <c r="U46">
        <f ca="1">IF(A46&lt;='Dane do harmonogramu'!$D$7,$N$2,0)</f>
        <v>14079.050919453606</v>
      </c>
      <c r="V46" s="16">
        <f ca="1">IF(A45&lt;='Dane do harmonogramu'!$D$7,Q45*0.15%,"")</f>
        <v>1295.3943419401694</v>
      </c>
    </row>
    <row r="47" spans="1:22" x14ac:dyDescent="0.35">
      <c r="A47">
        <v>45</v>
      </c>
      <c r="B47" s="14">
        <f t="shared" ca="1" si="9"/>
        <v>47439</v>
      </c>
      <c r="C47" s="15">
        <f ca="1">(1+'Dane do harmonogramu'!$D$13*('Roboczy harmonogram_1'!B47-'Roboczy harmonogram_1'!B46)/365)</f>
        <v>1.0062</v>
      </c>
      <c r="D47" s="15">
        <f ca="1">(1+'Dane do harmonogramu'!$D$13*('Roboczy harmonogram_1'!B47-'Roboczy harmonogram_1'!B46)/366)</f>
        <v>1.0061830601092896</v>
      </c>
      <c r="E47" s="15">
        <f t="shared" ca="1" si="0"/>
        <v>0</v>
      </c>
      <c r="F47" s="15">
        <f t="shared" ca="1" si="1"/>
        <v>0</v>
      </c>
      <c r="G47">
        <f ca="1">IF(E47=1,(1+'Dane do harmonogramu'!$D$13*((('Roboczy harmonogram_1'!B47-DATE(YEAR(B47),1,1)+1)/365)+((DATE(YEAR(B46),12,31)-'Roboczy harmonogram_1'!B46)/366))),IF(F47=1,(1+'Dane do harmonogramu'!$D$13*((('Roboczy harmonogram_1'!B47-DATE(YEAR(B47),1,1)+1)/366)+((DATE(YEAR(B46),12,31)-'Roboczy harmonogram_1'!B46)/365))),0))</f>
        <v>0</v>
      </c>
      <c r="H47">
        <f t="shared" ca="1" si="2"/>
        <v>0</v>
      </c>
      <c r="I47">
        <f t="shared" ca="1" si="3"/>
        <v>1.0062</v>
      </c>
      <c r="J47">
        <f t="shared" ca="1" si="4"/>
        <v>1.0062</v>
      </c>
      <c r="K47">
        <f ca="1">PRODUCT($J$3:J47)</f>
        <v>1.3102030602189814</v>
      </c>
      <c r="L47">
        <f t="shared" ca="1" si="5"/>
        <v>0.76324047039919485</v>
      </c>
      <c r="M47">
        <f ca="1">SUM($L$3:L47)</f>
        <v>39.37484941575201</v>
      </c>
      <c r="O47">
        <f t="shared" ca="1" si="6"/>
        <v>5299.1322773322463</v>
      </c>
      <c r="P47" s="16">
        <f t="shared" ca="1" si="7"/>
        <v>8779.9186421213599</v>
      </c>
      <c r="Q47" s="17">
        <f t="shared" ca="1" si="8"/>
        <v>845918.83576629858</v>
      </c>
      <c r="S47">
        <f ca="1">IF(A47&lt;='Dane do harmonogramu'!$D$7,'Roboczy harmonogram_1'!P47,0)</f>
        <v>8779.9186421213599</v>
      </c>
      <c r="T47">
        <f ca="1">IF(A47&lt;='Dane do harmonogramu'!$D$7,'Roboczy harmonogram_1'!O47,0)</f>
        <v>5299.1322773322463</v>
      </c>
      <c r="U47">
        <f ca="1">IF(A47&lt;='Dane do harmonogramu'!$D$7,$N$2,0)</f>
        <v>14079.050919453606</v>
      </c>
      <c r="V47" s="16">
        <f ca="1">IF(A46&lt;='Dane do harmonogramu'!$D$7,Q46*0.15%,"")</f>
        <v>1282.04813161263</v>
      </c>
    </row>
    <row r="48" spans="1:22" x14ac:dyDescent="0.35">
      <c r="A48">
        <v>46</v>
      </c>
      <c r="B48" s="14">
        <f t="shared" ca="1" si="9"/>
        <v>47469</v>
      </c>
      <c r="C48" s="15">
        <f ca="1">(1+'Dane do harmonogramu'!$D$13*('Roboczy harmonogram_1'!B48-'Roboczy harmonogram_1'!B47)/365)</f>
        <v>1.006</v>
      </c>
      <c r="D48" s="15">
        <f ca="1">(1+'Dane do harmonogramu'!$D$13*('Roboczy harmonogram_1'!B48-'Roboczy harmonogram_1'!B47)/366)</f>
        <v>1.0059836065573771</v>
      </c>
      <c r="E48" s="15">
        <f t="shared" ca="1" si="0"/>
        <v>0</v>
      </c>
      <c r="F48" s="15">
        <f t="shared" ca="1" si="1"/>
        <v>0</v>
      </c>
      <c r="G48">
        <f ca="1">IF(E48=1,(1+'Dane do harmonogramu'!$D$13*((('Roboczy harmonogram_1'!B48-DATE(YEAR(B48),1,1)+1)/365)+((DATE(YEAR(B47),12,31)-'Roboczy harmonogram_1'!B47)/366))),IF(F48=1,(1+'Dane do harmonogramu'!$D$13*((('Roboczy harmonogram_1'!B48-DATE(YEAR(B48),1,1)+1)/366)+((DATE(YEAR(B47),12,31)-'Roboczy harmonogram_1'!B47)/365))),0))</f>
        <v>0</v>
      </c>
      <c r="H48">
        <f t="shared" ca="1" si="2"/>
        <v>0</v>
      </c>
      <c r="I48">
        <f t="shared" ca="1" si="3"/>
        <v>1.006</v>
      </c>
      <c r="J48">
        <f t="shared" ca="1" si="4"/>
        <v>1.006</v>
      </c>
      <c r="K48">
        <f ca="1">PRODUCT($J$3:J48)</f>
        <v>1.3180642785802952</v>
      </c>
      <c r="L48">
        <f t="shared" ca="1" si="5"/>
        <v>0.75868834035705257</v>
      </c>
      <c r="M48">
        <f ca="1">SUM($L$3:L48)</f>
        <v>40.133537756109064</v>
      </c>
      <c r="O48">
        <f t="shared" ca="1" si="6"/>
        <v>5075.5130145978183</v>
      </c>
      <c r="P48" s="16">
        <f t="shared" ca="1" si="7"/>
        <v>9003.5379048557879</v>
      </c>
      <c r="Q48" s="17">
        <f t="shared" ca="1" si="8"/>
        <v>836915.29786144278</v>
      </c>
      <c r="S48">
        <f ca="1">IF(A48&lt;='Dane do harmonogramu'!$D$7,'Roboczy harmonogram_1'!P48,0)</f>
        <v>9003.5379048557879</v>
      </c>
      <c r="T48">
        <f ca="1">IF(A48&lt;='Dane do harmonogramu'!$D$7,'Roboczy harmonogram_1'!O48,0)</f>
        <v>5075.5130145978183</v>
      </c>
      <c r="U48">
        <f ca="1">IF(A48&lt;='Dane do harmonogramu'!$D$7,$N$2,0)</f>
        <v>14079.050919453606</v>
      </c>
      <c r="V48" s="16">
        <f ca="1">IF(A47&lt;='Dane do harmonogramu'!$D$7,Q47*0.15%,"")</f>
        <v>1268.878253649448</v>
      </c>
    </row>
    <row r="49" spans="1:22" x14ac:dyDescent="0.35">
      <c r="A49">
        <v>47</v>
      </c>
      <c r="B49" s="14">
        <f t="shared" ca="1" si="9"/>
        <v>47500</v>
      </c>
      <c r="C49" s="15">
        <f ca="1">(1+'Dane do harmonogramu'!$D$13*('Roboczy harmonogram_1'!B49-'Roboczy harmonogram_1'!B48)/365)</f>
        <v>1.0062</v>
      </c>
      <c r="D49" s="15">
        <f ca="1">(1+'Dane do harmonogramu'!$D$13*('Roboczy harmonogram_1'!B49-'Roboczy harmonogram_1'!B48)/366)</f>
        <v>1.0061830601092896</v>
      </c>
      <c r="E49" s="15">
        <f t="shared" ca="1" si="0"/>
        <v>0</v>
      </c>
      <c r="F49" s="15">
        <f t="shared" ca="1" si="1"/>
        <v>0</v>
      </c>
      <c r="G49">
        <f ca="1">IF(E49=1,(1+'Dane do harmonogramu'!$D$13*((('Roboczy harmonogram_1'!B49-DATE(YEAR(B49),1,1)+1)/365)+((DATE(YEAR(B48),12,31)-'Roboczy harmonogram_1'!B48)/366))),IF(F49=1,(1+'Dane do harmonogramu'!$D$13*((('Roboczy harmonogram_1'!B49-DATE(YEAR(B49),1,1)+1)/366)+((DATE(YEAR(B48),12,31)-'Roboczy harmonogram_1'!B48)/365))),0))</f>
        <v>0</v>
      </c>
      <c r="H49">
        <f t="shared" ca="1" si="2"/>
        <v>0</v>
      </c>
      <c r="I49">
        <f t="shared" ca="1" si="3"/>
        <v>1.0062</v>
      </c>
      <c r="J49">
        <f t="shared" ca="1" si="4"/>
        <v>1.0062</v>
      </c>
      <c r="K49">
        <f ca="1">PRODUCT($J$3:J49)</f>
        <v>1.3262362771074929</v>
      </c>
      <c r="L49">
        <f t="shared" ca="1" si="5"/>
        <v>0.75401345692412314</v>
      </c>
      <c r="M49">
        <f ca="1">SUM($L$3:L49)</f>
        <v>40.887551213033184</v>
      </c>
      <c r="O49">
        <f t="shared" ca="1" si="6"/>
        <v>5188.874846740975</v>
      </c>
      <c r="P49" s="16">
        <f t="shared" ca="1" si="7"/>
        <v>8890.1760727126311</v>
      </c>
      <c r="Q49" s="17">
        <f t="shared" ca="1" si="8"/>
        <v>828025.12178873015</v>
      </c>
      <c r="S49">
        <f ca="1">IF(A49&lt;='Dane do harmonogramu'!$D$7,'Roboczy harmonogram_1'!P49,0)</f>
        <v>8890.1760727126311</v>
      </c>
      <c r="T49">
        <f ca="1">IF(A49&lt;='Dane do harmonogramu'!$D$7,'Roboczy harmonogram_1'!O49,0)</f>
        <v>5188.874846740975</v>
      </c>
      <c r="U49">
        <f ca="1">IF(A49&lt;='Dane do harmonogramu'!$D$7,$N$2,0)</f>
        <v>14079.050919453606</v>
      </c>
      <c r="V49" s="16">
        <f ca="1">IF(A48&lt;='Dane do harmonogramu'!$D$7,Q48*0.15%,"")</f>
        <v>1255.3729467921642</v>
      </c>
    </row>
    <row r="50" spans="1:22" x14ac:dyDescent="0.35">
      <c r="A50">
        <v>48</v>
      </c>
      <c r="B50" s="14">
        <f t="shared" ca="1" si="9"/>
        <v>47531</v>
      </c>
      <c r="C50" s="15">
        <f ca="1">(1+'Dane do harmonogramu'!$D$13*('Roboczy harmonogram_1'!B50-'Roboczy harmonogram_1'!B49)/365)</f>
        <v>1.0062</v>
      </c>
      <c r="D50" s="15">
        <f ca="1">(1+'Dane do harmonogramu'!$D$13*('Roboczy harmonogram_1'!B50-'Roboczy harmonogram_1'!B49)/366)</f>
        <v>1.0061830601092896</v>
      </c>
      <c r="E50" s="15">
        <f t="shared" ca="1" si="0"/>
        <v>0</v>
      </c>
      <c r="F50" s="15">
        <f t="shared" ca="1" si="1"/>
        <v>0</v>
      </c>
      <c r="G50">
        <f ca="1">IF(E50=1,(1+'Dane do harmonogramu'!$D$13*((('Roboczy harmonogram_1'!B50-DATE(YEAR(B50),1,1)+1)/365)+((DATE(YEAR(B49),12,31)-'Roboczy harmonogram_1'!B49)/366))),IF(F50=1,(1+'Dane do harmonogramu'!$D$13*((('Roboczy harmonogram_1'!B50-DATE(YEAR(B50),1,1)+1)/366)+((DATE(YEAR(B49),12,31)-'Roboczy harmonogram_1'!B49)/365))),0))</f>
        <v>0</v>
      </c>
      <c r="H50">
        <f t="shared" ca="1" si="2"/>
        <v>0</v>
      </c>
      <c r="I50">
        <f t="shared" ca="1" si="3"/>
        <v>1.0062</v>
      </c>
      <c r="J50">
        <f t="shared" ca="1" si="4"/>
        <v>1.0062</v>
      </c>
      <c r="K50">
        <f ca="1">PRODUCT($J$3:J50)</f>
        <v>1.3344589420255593</v>
      </c>
      <c r="L50">
        <f t="shared" ca="1" si="5"/>
        <v>0.74936737917324903</v>
      </c>
      <c r="M50">
        <f ca="1">SUM($L$3:L50)</f>
        <v>41.636918592206435</v>
      </c>
      <c r="O50">
        <f t="shared" ca="1" si="6"/>
        <v>5133.7557550901547</v>
      </c>
      <c r="P50" s="16">
        <f t="shared" ca="1" si="7"/>
        <v>8945.2951643634515</v>
      </c>
      <c r="Q50" s="17">
        <f t="shared" ca="1" si="8"/>
        <v>819079.82662436669</v>
      </c>
      <c r="S50">
        <f ca="1">IF(A50&lt;='Dane do harmonogramu'!$D$7,'Roboczy harmonogram_1'!P50,0)</f>
        <v>8945.2951643634515</v>
      </c>
      <c r="T50">
        <f ca="1">IF(A50&lt;='Dane do harmonogramu'!$D$7,'Roboczy harmonogram_1'!O50,0)</f>
        <v>5133.7557550901547</v>
      </c>
      <c r="U50">
        <f ca="1">IF(A50&lt;='Dane do harmonogramu'!$D$7,$N$2,0)</f>
        <v>14079.050919453606</v>
      </c>
      <c r="V50" s="16">
        <f ca="1">IF(A49&lt;='Dane do harmonogramu'!$D$7,Q49*0.15%,"")</f>
        <v>1242.0376826830952</v>
      </c>
    </row>
    <row r="51" spans="1:22" x14ac:dyDescent="0.35">
      <c r="A51">
        <v>49</v>
      </c>
      <c r="B51" s="14">
        <f t="shared" ca="1" si="9"/>
        <v>47559</v>
      </c>
      <c r="C51" s="15">
        <f ca="1">(1+'Dane do harmonogramu'!$D$13*('Roboczy harmonogram_1'!B51-'Roboczy harmonogram_1'!B50)/365)</f>
        <v>1.0056</v>
      </c>
      <c r="D51" s="15">
        <f ca="1">(1+'Dane do harmonogramu'!$D$13*('Roboczy harmonogram_1'!B51-'Roboczy harmonogram_1'!B50)/366)</f>
        <v>1.005584699453552</v>
      </c>
      <c r="E51" s="15">
        <f t="shared" ca="1" si="0"/>
        <v>0</v>
      </c>
      <c r="F51" s="15">
        <f t="shared" ca="1" si="1"/>
        <v>0</v>
      </c>
      <c r="G51">
        <f ca="1">IF(E51=1,(1+'Dane do harmonogramu'!$D$13*((('Roboczy harmonogram_1'!B51-DATE(YEAR(B51),1,1)+1)/365)+((DATE(YEAR(B50),12,31)-'Roboczy harmonogram_1'!B50)/366))),IF(F51=1,(1+'Dane do harmonogramu'!$D$13*((('Roboczy harmonogram_1'!B51-DATE(YEAR(B51),1,1)+1)/366)+((DATE(YEAR(B50),12,31)-'Roboczy harmonogram_1'!B50)/365))),0))</f>
        <v>0</v>
      </c>
      <c r="H51">
        <f t="shared" ca="1" si="2"/>
        <v>0</v>
      </c>
      <c r="I51">
        <f t="shared" ca="1" si="3"/>
        <v>1.0056</v>
      </c>
      <c r="J51">
        <f t="shared" ca="1" si="4"/>
        <v>1.0056</v>
      </c>
      <c r="K51">
        <f ca="1">PRODUCT($J$3:J51)</f>
        <v>1.3419319121009023</v>
      </c>
      <c r="L51">
        <f t="shared" ca="1" si="5"/>
        <v>0.74519429114284907</v>
      </c>
      <c r="M51">
        <f ca="1">SUM($L$3:L51)</f>
        <v>42.382112883349286</v>
      </c>
      <c r="O51">
        <f t="shared" ca="1" si="6"/>
        <v>4586.8470290964469</v>
      </c>
      <c r="P51" s="16">
        <f t="shared" ca="1" si="7"/>
        <v>9492.2038903571593</v>
      </c>
      <c r="Q51" s="17">
        <f t="shared" ca="1" si="8"/>
        <v>809587.62273400952</v>
      </c>
      <c r="S51">
        <f ca="1">IF(A51&lt;='Dane do harmonogramu'!$D$7,'Roboczy harmonogram_1'!P51,0)</f>
        <v>9492.2038903571593</v>
      </c>
      <c r="T51">
        <f ca="1">IF(A51&lt;='Dane do harmonogramu'!$D$7,'Roboczy harmonogram_1'!O51,0)</f>
        <v>4586.8470290964469</v>
      </c>
      <c r="U51">
        <f ca="1">IF(A51&lt;='Dane do harmonogramu'!$D$7,$N$2,0)</f>
        <v>14079.050919453606</v>
      </c>
      <c r="V51" s="16">
        <f ca="1">IF(A50&lt;='Dane do harmonogramu'!$D$7,Q50*0.15%,"")</f>
        <v>1228.6197399365501</v>
      </c>
    </row>
    <row r="52" spans="1:22" x14ac:dyDescent="0.35">
      <c r="A52">
        <v>50</v>
      </c>
      <c r="B52" s="14">
        <f t="shared" ca="1" si="9"/>
        <v>47590</v>
      </c>
      <c r="C52" s="15">
        <f ca="1">(1+'Dane do harmonogramu'!$D$13*('Roboczy harmonogram_1'!B52-'Roboczy harmonogram_1'!B51)/365)</f>
        <v>1.0062</v>
      </c>
      <c r="D52" s="15">
        <f ca="1">(1+'Dane do harmonogramu'!$D$13*('Roboczy harmonogram_1'!B52-'Roboczy harmonogram_1'!B51)/366)</f>
        <v>1.0061830601092896</v>
      </c>
      <c r="E52" s="15">
        <f t="shared" ca="1" si="0"/>
        <v>0</v>
      </c>
      <c r="F52" s="15">
        <f t="shared" ca="1" si="1"/>
        <v>0</v>
      </c>
      <c r="G52">
        <f ca="1">IF(E52=1,(1+'Dane do harmonogramu'!$D$13*((('Roboczy harmonogram_1'!B52-DATE(YEAR(B52),1,1)+1)/365)+((DATE(YEAR(B51),12,31)-'Roboczy harmonogram_1'!B51)/366))),IF(F52=1,(1+'Dane do harmonogramu'!$D$13*((('Roboczy harmonogram_1'!B52-DATE(YEAR(B52),1,1)+1)/366)+((DATE(YEAR(B51),12,31)-'Roboczy harmonogram_1'!B51)/365))),0))</f>
        <v>0</v>
      </c>
      <c r="H52">
        <f t="shared" ca="1" si="2"/>
        <v>0</v>
      </c>
      <c r="I52">
        <f t="shared" ca="1" si="3"/>
        <v>1.0062</v>
      </c>
      <c r="J52">
        <f t="shared" ca="1" si="4"/>
        <v>1.0062</v>
      </c>
      <c r="K52">
        <f ca="1">PRODUCT($J$3:J52)</f>
        <v>1.3502518899559279</v>
      </c>
      <c r="L52">
        <f t="shared" ca="1" si="5"/>
        <v>0.7406025552999892</v>
      </c>
      <c r="M52">
        <f ca="1">SUM($L$3:L52)</f>
        <v>43.122715438649273</v>
      </c>
      <c r="O52">
        <f t="shared" ca="1" si="6"/>
        <v>5019.4432609508513</v>
      </c>
      <c r="P52" s="16">
        <f t="shared" ca="1" si="7"/>
        <v>9059.6076585027549</v>
      </c>
      <c r="Q52" s="17">
        <f t="shared" ca="1" si="8"/>
        <v>800528.01507550676</v>
      </c>
      <c r="S52">
        <f ca="1">IF(A52&lt;='Dane do harmonogramu'!$D$7,'Roboczy harmonogram_1'!P52,0)</f>
        <v>9059.6076585027549</v>
      </c>
      <c r="T52">
        <f ca="1">IF(A52&lt;='Dane do harmonogramu'!$D$7,'Roboczy harmonogram_1'!O52,0)</f>
        <v>5019.4432609508513</v>
      </c>
      <c r="U52">
        <f ca="1">IF(A52&lt;='Dane do harmonogramu'!$D$7,$N$2,0)</f>
        <v>14079.050919453606</v>
      </c>
      <c r="V52" s="16">
        <f ca="1">IF(A51&lt;='Dane do harmonogramu'!$D$7,Q51*0.15%,"")</f>
        <v>1214.3814341010143</v>
      </c>
    </row>
    <row r="53" spans="1:22" x14ac:dyDescent="0.35">
      <c r="A53">
        <v>51</v>
      </c>
      <c r="B53" s="14">
        <f t="shared" ca="1" si="9"/>
        <v>47620</v>
      </c>
      <c r="C53" s="15">
        <f ca="1">(1+'Dane do harmonogramu'!$D$13*('Roboczy harmonogram_1'!B53-'Roboczy harmonogram_1'!B52)/365)</f>
        <v>1.006</v>
      </c>
      <c r="D53" s="15">
        <f ca="1">(1+'Dane do harmonogramu'!$D$13*('Roboczy harmonogram_1'!B53-'Roboczy harmonogram_1'!B52)/366)</f>
        <v>1.0059836065573771</v>
      </c>
      <c r="E53" s="15">
        <f t="shared" ca="1" si="0"/>
        <v>0</v>
      </c>
      <c r="F53" s="15">
        <f t="shared" ca="1" si="1"/>
        <v>0</v>
      </c>
      <c r="G53">
        <f ca="1">IF(E53=1,(1+'Dane do harmonogramu'!$D$13*((('Roboczy harmonogram_1'!B53-DATE(YEAR(B53),1,1)+1)/365)+((DATE(YEAR(B52),12,31)-'Roboczy harmonogram_1'!B52)/366))),IF(F53=1,(1+'Dane do harmonogramu'!$D$13*((('Roboczy harmonogram_1'!B53-DATE(YEAR(B53),1,1)+1)/366)+((DATE(YEAR(B52),12,31)-'Roboczy harmonogram_1'!B52)/365))),0))</f>
        <v>0</v>
      </c>
      <c r="H53">
        <f t="shared" ca="1" si="2"/>
        <v>0</v>
      </c>
      <c r="I53">
        <f t="shared" ca="1" si="3"/>
        <v>1.006</v>
      </c>
      <c r="J53">
        <f t="shared" ca="1" si="4"/>
        <v>1.006</v>
      </c>
      <c r="K53">
        <f ca="1">PRODUCT($J$3:J53)</f>
        <v>1.3583534012956635</v>
      </c>
      <c r="L53">
        <f t="shared" ca="1" si="5"/>
        <v>0.73618544264412444</v>
      </c>
      <c r="M53">
        <f ca="1">SUM($L$3:L53)</f>
        <v>43.858900881293394</v>
      </c>
      <c r="O53">
        <f t="shared" ca="1" si="6"/>
        <v>4803.1680904530222</v>
      </c>
      <c r="P53" s="16">
        <f t="shared" ca="1" si="7"/>
        <v>9275.882829000584</v>
      </c>
      <c r="Q53" s="17">
        <f t="shared" ca="1" si="8"/>
        <v>791252.13224650617</v>
      </c>
      <c r="S53">
        <f ca="1">IF(A53&lt;='Dane do harmonogramu'!$D$7,'Roboczy harmonogram_1'!P53,0)</f>
        <v>9275.882829000584</v>
      </c>
      <c r="T53">
        <f ca="1">IF(A53&lt;='Dane do harmonogramu'!$D$7,'Roboczy harmonogram_1'!O53,0)</f>
        <v>4803.1680904530222</v>
      </c>
      <c r="U53">
        <f ca="1">IF(A53&lt;='Dane do harmonogramu'!$D$7,$N$2,0)</f>
        <v>14079.050919453606</v>
      </c>
      <c r="V53" s="16">
        <f ca="1">IF(A52&lt;='Dane do harmonogramu'!$D$7,Q52*0.15%,"")</f>
        <v>1200.7920226132601</v>
      </c>
    </row>
    <row r="54" spans="1:22" x14ac:dyDescent="0.35">
      <c r="A54">
        <v>52</v>
      </c>
      <c r="B54" s="14">
        <f t="shared" ca="1" si="9"/>
        <v>47651</v>
      </c>
      <c r="C54" s="15">
        <f ca="1">(1+'Dane do harmonogramu'!$D$13*('Roboczy harmonogram_1'!B54-'Roboczy harmonogram_1'!B53)/365)</f>
        <v>1.0062</v>
      </c>
      <c r="D54" s="15">
        <f ca="1">(1+'Dane do harmonogramu'!$D$13*('Roboczy harmonogram_1'!B54-'Roboczy harmonogram_1'!B53)/366)</f>
        <v>1.0061830601092896</v>
      </c>
      <c r="E54" s="15">
        <f t="shared" ca="1" si="0"/>
        <v>0</v>
      </c>
      <c r="F54" s="15">
        <f t="shared" ca="1" si="1"/>
        <v>0</v>
      </c>
      <c r="G54">
        <f ca="1">IF(E54=1,(1+'Dane do harmonogramu'!$D$13*((('Roboczy harmonogram_1'!B54-DATE(YEAR(B54),1,1)+1)/365)+((DATE(YEAR(B53),12,31)-'Roboczy harmonogram_1'!B53)/366))),IF(F54=1,(1+'Dane do harmonogramu'!$D$13*((('Roboczy harmonogram_1'!B54-DATE(YEAR(B54),1,1)+1)/366)+((DATE(YEAR(B53),12,31)-'Roboczy harmonogram_1'!B53)/365))),0))</f>
        <v>0</v>
      </c>
      <c r="H54">
        <f t="shared" ca="1" si="2"/>
        <v>0</v>
      </c>
      <c r="I54">
        <f t="shared" ca="1" si="3"/>
        <v>1.0062</v>
      </c>
      <c r="J54">
        <f t="shared" ca="1" si="4"/>
        <v>1.0062</v>
      </c>
      <c r="K54">
        <f ca="1">PRODUCT($J$3:J54)</f>
        <v>1.3667751923836966</v>
      </c>
      <c r="L54">
        <f t="shared" ca="1" si="5"/>
        <v>0.73164921749565137</v>
      </c>
      <c r="M54">
        <f ca="1">SUM($L$3:L54)</f>
        <v>44.590550098789045</v>
      </c>
      <c r="O54">
        <f t="shared" ca="1" si="6"/>
        <v>4905.7632199283689</v>
      </c>
      <c r="P54" s="16">
        <f t="shared" ca="1" si="7"/>
        <v>9173.2876995252373</v>
      </c>
      <c r="Q54" s="17">
        <f t="shared" ca="1" si="8"/>
        <v>782078.84454698092</v>
      </c>
      <c r="S54">
        <f ca="1">IF(A54&lt;='Dane do harmonogramu'!$D$7,'Roboczy harmonogram_1'!P54,0)</f>
        <v>9173.2876995252373</v>
      </c>
      <c r="T54">
        <f ca="1">IF(A54&lt;='Dane do harmonogramu'!$D$7,'Roboczy harmonogram_1'!O54,0)</f>
        <v>4905.7632199283689</v>
      </c>
      <c r="U54">
        <f ca="1">IF(A54&lt;='Dane do harmonogramu'!$D$7,$N$2,0)</f>
        <v>14079.050919453606</v>
      </c>
      <c r="V54" s="16">
        <f ca="1">IF(A53&lt;='Dane do harmonogramu'!$D$7,Q53*0.15%,"")</f>
        <v>1186.8781983697593</v>
      </c>
    </row>
    <row r="55" spans="1:22" x14ac:dyDescent="0.35">
      <c r="A55">
        <v>53</v>
      </c>
      <c r="B55" s="14">
        <f t="shared" ca="1" si="9"/>
        <v>47681</v>
      </c>
      <c r="C55" s="15">
        <f ca="1">(1+'Dane do harmonogramu'!$D$13*('Roboczy harmonogram_1'!B55-'Roboczy harmonogram_1'!B54)/365)</f>
        <v>1.006</v>
      </c>
      <c r="D55" s="15">
        <f ca="1">(1+'Dane do harmonogramu'!$D$13*('Roboczy harmonogram_1'!B55-'Roboczy harmonogram_1'!B54)/366)</f>
        <v>1.0059836065573771</v>
      </c>
      <c r="E55" s="15">
        <f t="shared" ca="1" si="0"/>
        <v>0</v>
      </c>
      <c r="F55" s="15">
        <f t="shared" ca="1" si="1"/>
        <v>0</v>
      </c>
      <c r="G55">
        <f ca="1">IF(E55=1,(1+'Dane do harmonogramu'!$D$13*((('Roboczy harmonogram_1'!B55-DATE(YEAR(B55),1,1)+1)/365)+((DATE(YEAR(B54),12,31)-'Roboczy harmonogram_1'!B54)/366))),IF(F55=1,(1+'Dane do harmonogramu'!$D$13*((('Roboczy harmonogram_1'!B55-DATE(YEAR(B55),1,1)+1)/366)+((DATE(YEAR(B54),12,31)-'Roboczy harmonogram_1'!B54)/365))),0))</f>
        <v>0</v>
      </c>
      <c r="H55">
        <f t="shared" ca="1" si="2"/>
        <v>0</v>
      </c>
      <c r="I55">
        <f t="shared" ca="1" si="3"/>
        <v>1.006</v>
      </c>
      <c r="J55">
        <f t="shared" ca="1" si="4"/>
        <v>1.006</v>
      </c>
      <c r="K55">
        <f ca="1">PRODUCT($J$3:J55)</f>
        <v>1.3749758435379988</v>
      </c>
      <c r="L55">
        <f t="shared" ca="1" si="5"/>
        <v>0.72728550446883833</v>
      </c>
      <c r="M55">
        <f ca="1">SUM($L$3:L55)</f>
        <v>45.317835603257883</v>
      </c>
      <c r="O55">
        <f t="shared" ca="1" si="6"/>
        <v>4692.4730672818841</v>
      </c>
      <c r="P55" s="16">
        <f t="shared" ca="1" si="7"/>
        <v>9386.577852171722</v>
      </c>
      <c r="Q55" s="17">
        <f t="shared" ca="1" si="8"/>
        <v>772692.26669480919</v>
      </c>
      <c r="S55">
        <f ca="1">IF(A55&lt;='Dane do harmonogramu'!$D$7,'Roboczy harmonogram_1'!P55,0)</f>
        <v>9386.577852171722</v>
      </c>
      <c r="T55">
        <f ca="1">IF(A55&lt;='Dane do harmonogramu'!$D$7,'Roboczy harmonogram_1'!O55,0)</f>
        <v>4692.4730672818841</v>
      </c>
      <c r="U55">
        <f ca="1">IF(A55&lt;='Dane do harmonogramu'!$D$7,$N$2,0)</f>
        <v>14079.050919453606</v>
      </c>
      <c r="V55" s="16">
        <f ca="1">IF(A54&lt;='Dane do harmonogramu'!$D$7,Q54*0.15%,"")</f>
        <v>1173.1182668204715</v>
      </c>
    </row>
    <row r="56" spans="1:22" x14ac:dyDescent="0.35">
      <c r="A56">
        <v>54</v>
      </c>
      <c r="B56" s="14">
        <f t="shared" ca="1" si="9"/>
        <v>47712</v>
      </c>
      <c r="C56" s="15">
        <f ca="1">(1+'Dane do harmonogramu'!$D$13*('Roboczy harmonogram_1'!B56-'Roboczy harmonogram_1'!B55)/365)</f>
        <v>1.0062</v>
      </c>
      <c r="D56" s="15">
        <f ca="1">(1+'Dane do harmonogramu'!$D$13*('Roboczy harmonogram_1'!B56-'Roboczy harmonogram_1'!B55)/366)</f>
        <v>1.0061830601092896</v>
      </c>
      <c r="E56" s="15">
        <f t="shared" ca="1" si="0"/>
        <v>0</v>
      </c>
      <c r="F56" s="15">
        <f t="shared" ca="1" si="1"/>
        <v>0</v>
      </c>
      <c r="G56">
        <f ca="1">IF(E56=1,(1+'Dane do harmonogramu'!$D$13*((('Roboczy harmonogram_1'!B56-DATE(YEAR(B56),1,1)+1)/365)+((DATE(YEAR(B55),12,31)-'Roboczy harmonogram_1'!B55)/366))),IF(F56=1,(1+'Dane do harmonogramu'!$D$13*((('Roboczy harmonogram_1'!B56-DATE(YEAR(B56),1,1)+1)/366)+((DATE(YEAR(B55),12,31)-'Roboczy harmonogram_1'!B55)/365))),0))</f>
        <v>0</v>
      </c>
      <c r="H56">
        <f t="shared" ca="1" si="2"/>
        <v>0</v>
      </c>
      <c r="I56">
        <f t="shared" ca="1" si="3"/>
        <v>1.0062</v>
      </c>
      <c r="J56">
        <f t="shared" ca="1" si="4"/>
        <v>1.0062</v>
      </c>
      <c r="K56">
        <f ca="1">PRODUCT($J$3:J56)</f>
        <v>1.3835006937679344</v>
      </c>
      <c r="L56">
        <f t="shared" ca="1" si="5"/>
        <v>0.72280411893146324</v>
      </c>
      <c r="M56">
        <f ca="1">SUM($L$3:L56)</f>
        <v>46.040639722189347</v>
      </c>
      <c r="O56">
        <f t="shared" ca="1" si="6"/>
        <v>4790.6920535077807</v>
      </c>
      <c r="P56" s="16">
        <f t="shared" ca="1" si="7"/>
        <v>9288.3588659458255</v>
      </c>
      <c r="Q56" s="17">
        <f t="shared" ca="1" si="8"/>
        <v>763403.90782886336</v>
      </c>
      <c r="S56">
        <f ca="1">IF(A56&lt;='Dane do harmonogramu'!$D$7,'Roboczy harmonogram_1'!P56,0)</f>
        <v>9288.3588659458255</v>
      </c>
      <c r="T56">
        <f ca="1">IF(A56&lt;='Dane do harmonogramu'!$D$7,'Roboczy harmonogram_1'!O56,0)</f>
        <v>4790.6920535077807</v>
      </c>
      <c r="U56">
        <f ca="1">IF(A56&lt;='Dane do harmonogramu'!$D$7,$N$2,0)</f>
        <v>14079.050919453606</v>
      </c>
      <c r="V56" s="16">
        <f ca="1">IF(A55&lt;='Dane do harmonogramu'!$D$7,Q55*0.15%,"")</f>
        <v>1159.0384000422139</v>
      </c>
    </row>
    <row r="57" spans="1:22" x14ac:dyDescent="0.35">
      <c r="A57">
        <v>55</v>
      </c>
      <c r="B57" s="14">
        <f t="shared" ca="1" si="9"/>
        <v>47743</v>
      </c>
      <c r="C57" s="15">
        <f ca="1">(1+'Dane do harmonogramu'!$D$13*('Roboczy harmonogram_1'!B57-'Roboczy harmonogram_1'!B56)/365)</f>
        <v>1.0062</v>
      </c>
      <c r="D57" s="15">
        <f ca="1">(1+'Dane do harmonogramu'!$D$13*('Roboczy harmonogram_1'!B57-'Roboczy harmonogram_1'!B56)/366)</f>
        <v>1.0061830601092896</v>
      </c>
      <c r="E57" s="15">
        <f t="shared" ca="1" si="0"/>
        <v>0</v>
      </c>
      <c r="F57" s="15">
        <f t="shared" ca="1" si="1"/>
        <v>0</v>
      </c>
      <c r="G57">
        <f ca="1">IF(E57=1,(1+'Dane do harmonogramu'!$D$13*((('Roboczy harmonogram_1'!B57-DATE(YEAR(B57),1,1)+1)/365)+((DATE(YEAR(B56),12,31)-'Roboczy harmonogram_1'!B56)/366))),IF(F57=1,(1+'Dane do harmonogramu'!$D$13*((('Roboczy harmonogram_1'!B57-DATE(YEAR(B57),1,1)+1)/366)+((DATE(YEAR(B56),12,31)-'Roboczy harmonogram_1'!B56)/365))),0))</f>
        <v>0</v>
      </c>
      <c r="H57">
        <f t="shared" ca="1" si="2"/>
        <v>0</v>
      </c>
      <c r="I57">
        <f t="shared" ca="1" si="3"/>
        <v>1.0062</v>
      </c>
      <c r="J57">
        <f t="shared" ca="1" si="4"/>
        <v>1.0062</v>
      </c>
      <c r="K57">
        <f ca="1">PRODUCT($J$3:J57)</f>
        <v>1.3920783980692955</v>
      </c>
      <c r="L57">
        <f t="shared" ca="1" si="5"/>
        <v>0.71835034678141851</v>
      </c>
      <c r="M57">
        <f ca="1">SUM($L$3:L57)</f>
        <v>46.758990068970768</v>
      </c>
      <c r="O57">
        <f t="shared" ca="1" si="6"/>
        <v>4733.1042285389267</v>
      </c>
      <c r="P57" s="16">
        <f t="shared" ca="1" si="7"/>
        <v>9345.9466909146795</v>
      </c>
      <c r="Q57" s="17">
        <f t="shared" ca="1" si="8"/>
        <v>754057.96113794867</v>
      </c>
      <c r="S57">
        <f ca="1">IF(A57&lt;='Dane do harmonogramu'!$D$7,'Roboczy harmonogram_1'!P57,0)</f>
        <v>9345.9466909146795</v>
      </c>
      <c r="T57">
        <f ca="1">IF(A57&lt;='Dane do harmonogramu'!$D$7,'Roboczy harmonogram_1'!O57,0)</f>
        <v>4733.1042285389267</v>
      </c>
      <c r="U57">
        <f ca="1">IF(A57&lt;='Dane do harmonogramu'!$D$7,$N$2,0)</f>
        <v>14079.050919453606</v>
      </c>
      <c r="V57" s="16">
        <f ca="1">IF(A56&lt;='Dane do harmonogramu'!$D$7,Q56*0.15%,"")</f>
        <v>1145.105861743295</v>
      </c>
    </row>
    <row r="58" spans="1:22" x14ac:dyDescent="0.35">
      <c r="A58">
        <v>56</v>
      </c>
      <c r="B58" s="14">
        <f t="shared" ca="1" si="9"/>
        <v>47773</v>
      </c>
      <c r="C58" s="15">
        <f ca="1">(1+'Dane do harmonogramu'!$D$13*('Roboczy harmonogram_1'!B58-'Roboczy harmonogram_1'!B57)/365)</f>
        <v>1.006</v>
      </c>
      <c r="D58" s="15">
        <f ca="1">(1+'Dane do harmonogramu'!$D$13*('Roboczy harmonogram_1'!B58-'Roboczy harmonogram_1'!B57)/366)</f>
        <v>1.0059836065573771</v>
      </c>
      <c r="E58" s="15">
        <f t="shared" ca="1" si="0"/>
        <v>0</v>
      </c>
      <c r="F58" s="15">
        <f t="shared" ca="1" si="1"/>
        <v>0</v>
      </c>
      <c r="G58">
        <f ca="1">IF(E58=1,(1+'Dane do harmonogramu'!$D$13*((('Roboczy harmonogram_1'!B58-DATE(YEAR(B58),1,1)+1)/365)+((DATE(YEAR(B57),12,31)-'Roboczy harmonogram_1'!B57)/366))),IF(F58=1,(1+'Dane do harmonogramu'!$D$13*((('Roboczy harmonogram_1'!B58-DATE(YEAR(B58),1,1)+1)/366)+((DATE(YEAR(B57),12,31)-'Roboczy harmonogram_1'!B57)/365))),0))</f>
        <v>0</v>
      </c>
      <c r="H58">
        <f t="shared" ca="1" si="2"/>
        <v>0</v>
      </c>
      <c r="I58">
        <f t="shared" ca="1" si="3"/>
        <v>1.006</v>
      </c>
      <c r="J58">
        <f t="shared" ca="1" si="4"/>
        <v>1.006</v>
      </c>
      <c r="K58">
        <f ca="1">PRODUCT($J$3:J58)</f>
        <v>1.4004308684577111</v>
      </c>
      <c r="L58">
        <f t="shared" ca="1" si="5"/>
        <v>0.71406595107496873</v>
      </c>
      <c r="M58">
        <f ca="1">SUM($L$3:L58)</f>
        <v>47.473056020045739</v>
      </c>
      <c r="O58">
        <f t="shared" ca="1" si="6"/>
        <v>4524.3477668276755</v>
      </c>
      <c r="P58" s="16">
        <f t="shared" ca="1" si="7"/>
        <v>9554.7031526259307</v>
      </c>
      <c r="Q58" s="17">
        <f t="shared" ca="1" si="8"/>
        <v>744503.25798532274</v>
      </c>
      <c r="S58">
        <f ca="1">IF(A58&lt;='Dane do harmonogramu'!$D$7,'Roboczy harmonogram_1'!P58,0)</f>
        <v>9554.7031526259307</v>
      </c>
      <c r="T58">
        <f ca="1">IF(A58&lt;='Dane do harmonogramu'!$D$7,'Roboczy harmonogram_1'!O58,0)</f>
        <v>4524.3477668276755</v>
      </c>
      <c r="U58">
        <f ca="1">IF(A58&lt;='Dane do harmonogramu'!$D$7,$N$2,0)</f>
        <v>14079.050919453606</v>
      </c>
      <c r="V58" s="16">
        <f ca="1">IF(A57&lt;='Dane do harmonogramu'!$D$7,Q57*0.15%,"")</f>
        <v>1131.086941706923</v>
      </c>
    </row>
    <row r="59" spans="1:22" x14ac:dyDescent="0.35">
      <c r="A59">
        <v>57</v>
      </c>
      <c r="B59" s="14">
        <f t="shared" ca="1" si="9"/>
        <v>47804</v>
      </c>
      <c r="C59" s="15">
        <f ca="1">(1+'Dane do harmonogramu'!$D$13*('Roboczy harmonogram_1'!B59-'Roboczy harmonogram_1'!B58)/365)</f>
        <v>1.0062</v>
      </c>
      <c r="D59" s="15">
        <f ca="1">(1+'Dane do harmonogramu'!$D$13*('Roboczy harmonogram_1'!B59-'Roboczy harmonogram_1'!B58)/366)</f>
        <v>1.0061830601092896</v>
      </c>
      <c r="E59" s="15">
        <f t="shared" ca="1" si="0"/>
        <v>0</v>
      </c>
      <c r="F59" s="15">
        <f t="shared" ca="1" si="1"/>
        <v>0</v>
      </c>
      <c r="G59">
        <f ca="1">IF(E59=1,(1+'Dane do harmonogramu'!$D$13*((('Roboczy harmonogram_1'!B59-DATE(YEAR(B59),1,1)+1)/365)+((DATE(YEAR(B58),12,31)-'Roboczy harmonogram_1'!B58)/366))),IF(F59=1,(1+'Dane do harmonogramu'!$D$13*((('Roboczy harmonogram_1'!B59-DATE(YEAR(B59),1,1)+1)/366)+((DATE(YEAR(B58),12,31)-'Roboczy harmonogram_1'!B58)/365))),0))</f>
        <v>0</v>
      </c>
      <c r="H59">
        <f t="shared" ca="1" si="2"/>
        <v>0</v>
      </c>
      <c r="I59">
        <f t="shared" ca="1" si="3"/>
        <v>1.0062</v>
      </c>
      <c r="J59">
        <f t="shared" ca="1" si="4"/>
        <v>1.0062</v>
      </c>
      <c r="K59">
        <f ca="1">PRODUCT($J$3:J59)</f>
        <v>1.4091135398421488</v>
      </c>
      <c r="L59">
        <f t="shared" ca="1" si="5"/>
        <v>0.70966602174017968</v>
      </c>
      <c r="M59">
        <f ca="1">SUM($L$3:L59)</f>
        <v>48.182722041785915</v>
      </c>
      <c r="O59">
        <f t="shared" ca="1" si="6"/>
        <v>4615.9201995090116</v>
      </c>
      <c r="P59" s="16">
        <f t="shared" ca="1" si="7"/>
        <v>9463.1307199445946</v>
      </c>
      <c r="Q59" s="17">
        <f t="shared" ca="1" si="8"/>
        <v>735040.12726537813</v>
      </c>
      <c r="S59">
        <f ca="1">IF(A59&lt;='Dane do harmonogramu'!$D$7,'Roboczy harmonogram_1'!P59,0)</f>
        <v>9463.1307199445946</v>
      </c>
      <c r="T59">
        <f ca="1">IF(A59&lt;='Dane do harmonogramu'!$D$7,'Roboczy harmonogram_1'!O59,0)</f>
        <v>4615.9201995090116</v>
      </c>
      <c r="U59">
        <f ca="1">IF(A59&lt;='Dane do harmonogramu'!$D$7,$N$2,0)</f>
        <v>14079.050919453606</v>
      </c>
      <c r="V59" s="16">
        <f ca="1">IF(A58&lt;='Dane do harmonogramu'!$D$7,Q58*0.15%,"")</f>
        <v>1116.7548869779841</v>
      </c>
    </row>
    <row r="60" spans="1:22" x14ac:dyDescent="0.35">
      <c r="A60">
        <v>58</v>
      </c>
      <c r="B60" s="14">
        <f t="shared" ca="1" si="9"/>
        <v>47834</v>
      </c>
      <c r="C60" s="15">
        <f ca="1">(1+'Dane do harmonogramu'!$D$13*('Roboczy harmonogram_1'!B60-'Roboczy harmonogram_1'!B59)/365)</f>
        <v>1.006</v>
      </c>
      <c r="D60" s="15">
        <f ca="1">(1+'Dane do harmonogramu'!$D$13*('Roboczy harmonogram_1'!B60-'Roboczy harmonogram_1'!B59)/366)</f>
        <v>1.0059836065573771</v>
      </c>
      <c r="E60" s="15">
        <f t="shared" ca="1" si="0"/>
        <v>0</v>
      </c>
      <c r="F60" s="15">
        <f t="shared" ca="1" si="1"/>
        <v>0</v>
      </c>
      <c r="G60">
        <f ca="1">IF(E60=1,(1+'Dane do harmonogramu'!$D$13*((('Roboczy harmonogram_1'!B60-DATE(YEAR(B60),1,1)+1)/365)+((DATE(YEAR(B59),12,31)-'Roboczy harmonogram_1'!B59)/366))),IF(F60=1,(1+'Dane do harmonogramu'!$D$13*((('Roboczy harmonogram_1'!B60-DATE(YEAR(B60),1,1)+1)/366)+((DATE(YEAR(B59),12,31)-'Roboczy harmonogram_1'!B59)/365))),0))</f>
        <v>0</v>
      </c>
      <c r="H60">
        <f t="shared" ca="1" si="2"/>
        <v>0</v>
      </c>
      <c r="I60">
        <f t="shared" ca="1" si="3"/>
        <v>1.006</v>
      </c>
      <c r="J60">
        <f t="shared" ca="1" si="4"/>
        <v>1.006</v>
      </c>
      <c r="K60">
        <f ca="1">PRODUCT($J$3:J60)</f>
        <v>1.4175682210812017</v>
      </c>
      <c r="L60">
        <f t="shared" ca="1" si="5"/>
        <v>0.70543342121290231</v>
      </c>
      <c r="M60">
        <f ca="1">SUM($L$3:L60)</f>
        <v>48.888155462998817</v>
      </c>
      <c r="O60">
        <f t="shared" ca="1" si="6"/>
        <v>4410.2407635923009</v>
      </c>
      <c r="P60" s="16">
        <f t="shared" ca="1" si="7"/>
        <v>9668.8101558613052</v>
      </c>
      <c r="Q60" s="17">
        <f t="shared" ca="1" si="8"/>
        <v>725371.31710951682</v>
      </c>
      <c r="S60">
        <f ca="1">IF(A60&lt;='Dane do harmonogramu'!$D$7,'Roboczy harmonogram_1'!P60,0)</f>
        <v>9668.8101558613052</v>
      </c>
      <c r="T60">
        <f ca="1">IF(A60&lt;='Dane do harmonogramu'!$D$7,'Roboczy harmonogram_1'!O60,0)</f>
        <v>4410.2407635923009</v>
      </c>
      <c r="U60">
        <f ca="1">IF(A60&lt;='Dane do harmonogramu'!$D$7,$N$2,0)</f>
        <v>14079.050919453606</v>
      </c>
      <c r="V60" s="16">
        <f ca="1">IF(A59&lt;='Dane do harmonogramu'!$D$7,Q59*0.15%,"")</f>
        <v>1102.5601908980673</v>
      </c>
    </row>
    <row r="61" spans="1:22" x14ac:dyDescent="0.35">
      <c r="A61">
        <v>59</v>
      </c>
      <c r="B61" s="14">
        <f t="shared" ca="1" si="9"/>
        <v>47865</v>
      </c>
      <c r="C61" s="15">
        <f ca="1">(1+'Dane do harmonogramu'!$D$13*('Roboczy harmonogram_1'!B61-'Roboczy harmonogram_1'!B60)/365)</f>
        <v>1.0062</v>
      </c>
      <c r="D61" s="15">
        <f ca="1">(1+'Dane do harmonogramu'!$D$13*('Roboczy harmonogram_1'!B61-'Roboczy harmonogram_1'!B60)/366)</f>
        <v>1.0061830601092896</v>
      </c>
      <c r="E61" s="15">
        <f t="shared" ca="1" si="0"/>
        <v>0</v>
      </c>
      <c r="F61" s="15">
        <f t="shared" ca="1" si="1"/>
        <v>0</v>
      </c>
      <c r="G61">
        <f ca="1">IF(E61=1,(1+'Dane do harmonogramu'!$D$13*((('Roboczy harmonogram_1'!B61-DATE(YEAR(B61),1,1)+1)/365)+((DATE(YEAR(B60),12,31)-'Roboczy harmonogram_1'!B60)/366))),IF(F61=1,(1+'Dane do harmonogramu'!$D$13*((('Roboczy harmonogram_1'!B61-DATE(YEAR(B61),1,1)+1)/366)+((DATE(YEAR(B60),12,31)-'Roboczy harmonogram_1'!B60)/365))),0))</f>
        <v>0</v>
      </c>
      <c r="H61">
        <f t="shared" ca="1" si="2"/>
        <v>0</v>
      </c>
      <c r="I61">
        <f t="shared" ca="1" si="3"/>
        <v>1.0062</v>
      </c>
      <c r="J61">
        <f t="shared" ca="1" si="4"/>
        <v>1.0062</v>
      </c>
      <c r="K61">
        <f ca="1">PRODUCT($J$3:J61)</f>
        <v>1.4263571440519052</v>
      </c>
      <c r="L61">
        <f t="shared" ca="1" si="5"/>
        <v>0.70108668377350658</v>
      </c>
      <c r="M61">
        <f ca="1">SUM($L$3:L61)</f>
        <v>49.589242146772321</v>
      </c>
      <c r="O61">
        <f t="shared" ca="1" si="6"/>
        <v>4497.3021660789382</v>
      </c>
      <c r="P61" s="16">
        <f t="shared" ca="1" si="7"/>
        <v>9581.748753374668</v>
      </c>
      <c r="Q61" s="17">
        <f t="shared" ca="1" si="8"/>
        <v>715789.56835614215</v>
      </c>
      <c r="S61">
        <f ca="1">IF(A61&lt;='Dane do harmonogramu'!$D$7,'Roboczy harmonogram_1'!P61,0)</f>
        <v>9581.748753374668</v>
      </c>
      <c r="T61">
        <f ca="1">IF(A61&lt;='Dane do harmonogramu'!$D$7,'Roboczy harmonogram_1'!O61,0)</f>
        <v>4497.3021660789382</v>
      </c>
      <c r="U61">
        <f ca="1">IF(A61&lt;='Dane do harmonogramu'!$D$7,$N$2,0)</f>
        <v>14079.050919453606</v>
      </c>
      <c r="V61" s="16">
        <f ca="1">IF(A60&lt;='Dane do harmonogramu'!$D$7,Q60*0.15%,"")</f>
        <v>1088.0569756642753</v>
      </c>
    </row>
    <row r="62" spans="1:22" x14ac:dyDescent="0.35">
      <c r="A62">
        <v>60</v>
      </c>
      <c r="B62" s="14">
        <f t="shared" ca="1" si="9"/>
        <v>47896</v>
      </c>
      <c r="C62" s="15">
        <f ca="1">(1+'Dane do harmonogramu'!$D$13*('Roboczy harmonogram_1'!B62-'Roboczy harmonogram_1'!B61)/365)</f>
        <v>1.0062</v>
      </c>
      <c r="D62" s="15">
        <f ca="1">(1+'Dane do harmonogramu'!$D$13*('Roboczy harmonogram_1'!B62-'Roboczy harmonogram_1'!B61)/366)</f>
        <v>1.0061830601092896</v>
      </c>
      <c r="E62" s="15">
        <f t="shared" ca="1" si="0"/>
        <v>0</v>
      </c>
      <c r="F62" s="15">
        <f t="shared" ca="1" si="1"/>
        <v>0</v>
      </c>
      <c r="G62">
        <f ca="1">IF(E62=1,(1+'Dane do harmonogramu'!$D$13*((('Roboczy harmonogram_1'!B62-DATE(YEAR(B62),1,1)+1)/365)+((DATE(YEAR(B61),12,31)-'Roboczy harmonogram_1'!B61)/366))),IF(F62=1,(1+'Dane do harmonogramu'!$D$13*((('Roboczy harmonogram_1'!B62-DATE(YEAR(B62),1,1)+1)/366)+((DATE(YEAR(B61),12,31)-'Roboczy harmonogram_1'!B61)/365))),0))</f>
        <v>0</v>
      </c>
      <c r="H62">
        <f t="shared" ca="1" si="2"/>
        <v>0</v>
      </c>
      <c r="I62">
        <f t="shared" ca="1" si="3"/>
        <v>1.0062</v>
      </c>
      <c r="J62">
        <f t="shared" ca="1" si="4"/>
        <v>1.0062</v>
      </c>
      <c r="K62">
        <f ca="1">PRODUCT($J$3:J62)</f>
        <v>1.4352005583450269</v>
      </c>
      <c r="L62">
        <f t="shared" ca="1" si="5"/>
        <v>0.6967667300472139</v>
      </c>
      <c r="M62">
        <f ca="1">SUM($L$3:L62)</f>
        <v>50.286008876819537</v>
      </c>
      <c r="O62">
        <f t="shared" ca="1" si="6"/>
        <v>4437.8953238080721</v>
      </c>
      <c r="P62" s="16">
        <f t="shared" ca="1" si="7"/>
        <v>9641.155595645534</v>
      </c>
      <c r="Q62" s="17">
        <f t="shared" ca="1" si="8"/>
        <v>706148.41276049661</v>
      </c>
      <c r="S62">
        <f ca="1">IF(A62&lt;='Dane do harmonogramu'!$D$7,'Roboczy harmonogram_1'!P62,0)</f>
        <v>9641.155595645534</v>
      </c>
      <c r="T62">
        <f ca="1">IF(A62&lt;='Dane do harmonogramu'!$D$7,'Roboczy harmonogram_1'!O62,0)</f>
        <v>4437.8953238080721</v>
      </c>
      <c r="U62">
        <f ca="1">IF(A62&lt;='Dane do harmonogramu'!$D$7,$N$2,0)</f>
        <v>14079.050919453606</v>
      </c>
      <c r="V62" s="16">
        <f ca="1">IF(A61&lt;='Dane do harmonogramu'!$D$7,Q61*0.15%,"")</f>
        <v>1073.6843525342133</v>
      </c>
    </row>
    <row r="63" spans="1:22" x14ac:dyDescent="0.35">
      <c r="A63">
        <v>61</v>
      </c>
      <c r="B63" s="14">
        <f t="shared" ca="1" si="9"/>
        <v>47924</v>
      </c>
      <c r="C63" s="15">
        <f ca="1">(1+'Dane do harmonogramu'!$D$13*('Roboczy harmonogram_1'!B63-'Roboczy harmonogram_1'!B62)/365)</f>
        <v>1.0056</v>
      </c>
      <c r="D63" s="15">
        <f ca="1">(1+'Dane do harmonogramu'!$D$13*('Roboczy harmonogram_1'!B63-'Roboczy harmonogram_1'!B62)/366)</f>
        <v>1.005584699453552</v>
      </c>
      <c r="E63" s="15">
        <f t="shared" ca="1" si="0"/>
        <v>0</v>
      </c>
      <c r="F63" s="15">
        <f t="shared" ca="1" si="1"/>
        <v>0</v>
      </c>
      <c r="G63">
        <f ca="1">IF(E63=1,(1+'Dane do harmonogramu'!$D$13*((('Roboczy harmonogram_1'!B63-DATE(YEAR(B63),1,1)+1)/365)+((DATE(YEAR(B62),12,31)-'Roboczy harmonogram_1'!B62)/366))),IF(F63=1,(1+'Dane do harmonogramu'!$D$13*((('Roboczy harmonogram_1'!B63-DATE(YEAR(B63),1,1)+1)/366)+((DATE(YEAR(B62),12,31)-'Roboczy harmonogram_1'!B62)/365))),0))</f>
        <v>0</v>
      </c>
      <c r="H63">
        <f t="shared" ca="1" si="2"/>
        <v>0</v>
      </c>
      <c r="I63">
        <f t="shared" ca="1" si="3"/>
        <v>1.0056</v>
      </c>
      <c r="J63">
        <f t="shared" ca="1" si="4"/>
        <v>1.0056</v>
      </c>
      <c r="K63">
        <f ca="1">PRODUCT($J$3:J63)</f>
        <v>1.4432376814717591</v>
      </c>
      <c r="L63">
        <f t="shared" ca="1" si="5"/>
        <v>0.69288656528163672</v>
      </c>
      <c r="M63">
        <f ca="1">SUM($L$3:L63)</f>
        <v>50.978895442101177</v>
      </c>
      <c r="O63">
        <f t="shared" ca="1" si="6"/>
        <v>3954.4311114588054</v>
      </c>
      <c r="P63" s="16">
        <f t="shared" ca="1" si="7"/>
        <v>10124.619807994801</v>
      </c>
      <c r="Q63" s="17">
        <f t="shared" ca="1" si="8"/>
        <v>696023.7929525018</v>
      </c>
      <c r="S63">
        <f ca="1">IF(A63&lt;='Dane do harmonogramu'!$D$7,'Roboczy harmonogram_1'!P63,0)</f>
        <v>10124.619807994801</v>
      </c>
      <c r="T63">
        <f ca="1">IF(A63&lt;='Dane do harmonogramu'!$D$7,'Roboczy harmonogram_1'!O63,0)</f>
        <v>3954.4311114588054</v>
      </c>
      <c r="U63">
        <f ca="1">IF(A63&lt;='Dane do harmonogramu'!$D$7,$N$2,0)</f>
        <v>14079.050919453606</v>
      </c>
      <c r="V63" s="16">
        <f ca="1">IF(A62&lt;='Dane do harmonogramu'!$D$7,Q62*0.15%,"")</f>
        <v>1059.2226191407449</v>
      </c>
    </row>
    <row r="64" spans="1:22" x14ac:dyDescent="0.35">
      <c r="A64">
        <v>62</v>
      </c>
      <c r="B64" s="14">
        <f t="shared" ca="1" si="9"/>
        <v>47955</v>
      </c>
      <c r="C64" s="15">
        <f ca="1">(1+'Dane do harmonogramu'!$D$13*('Roboczy harmonogram_1'!B64-'Roboczy harmonogram_1'!B63)/365)</f>
        <v>1.0062</v>
      </c>
      <c r="D64" s="15">
        <f ca="1">(1+'Dane do harmonogramu'!$D$13*('Roboczy harmonogram_1'!B64-'Roboczy harmonogram_1'!B63)/366)</f>
        <v>1.0061830601092896</v>
      </c>
      <c r="E64" s="15">
        <f t="shared" ca="1" si="0"/>
        <v>0</v>
      </c>
      <c r="F64" s="15">
        <f t="shared" ca="1" si="1"/>
        <v>0</v>
      </c>
      <c r="G64">
        <f ca="1">IF(E64=1,(1+'Dane do harmonogramu'!$D$13*((('Roboczy harmonogram_1'!B64-DATE(YEAR(B64),1,1)+1)/365)+((DATE(YEAR(B63),12,31)-'Roboczy harmonogram_1'!B63)/366))),IF(F64=1,(1+'Dane do harmonogramu'!$D$13*((('Roboczy harmonogram_1'!B64-DATE(YEAR(B64),1,1)+1)/366)+((DATE(YEAR(B63),12,31)-'Roboczy harmonogram_1'!B63)/365))),0))</f>
        <v>0</v>
      </c>
      <c r="H64">
        <f t="shared" ca="1" si="2"/>
        <v>0</v>
      </c>
      <c r="I64">
        <f t="shared" ca="1" si="3"/>
        <v>1.0062</v>
      </c>
      <c r="J64">
        <f t="shared" ca="1" si="4"/>
        <v>1.0062</v>
      </c>
      <c r="K64">
        <f ca="1">PRODUCT($J$3:J64)</f>
        <v>1.452185755096884</v>
      </c>
      <c r="L64">
        <f t="shared" ca="1" si="5"/>
        <v>0.68861713901971444</v>
      </c>
      <c r="M64">
        <f ca="1">SUM($L$3:L64)</f>
        <v>51.667512581120889</v>
      </c>
      <c r="O64">
        <f t="shared" ca="1" si="6"/>
        <v>4315.3475163055118</v>
      </c>
      <c r="P64" s="16">
        <f t="shared" ca="1" si="7"/>
        <v>9763.7034031480944</v>
      </c>
      <c r="Q64" s="17">
        <f t="shared" ca="1" si="8"/>
        <v>686260.0895493537</v>
      </c>
      <c r="S64">
        <f ca="1">IF(A64&lt;='Dane do harmonogramu'!$D$7,'Roboczy harmonogram_1'!P64,0)</f>
        <v>9763.7034031480944</v>
      </c>
      <c r="T64">
        <f ca="1">IF(A64&lt;='Dane do harmonogramu'!$D$7,'Roboczy harmonogram_1'!O64,0)</f>
        <v>4315.3475163055118</v>
      </c>
      <c r="U64">
        <f ca="1">IF(A64&lt;='Dane do harmonogramu'!$D$7,$N$2,0)</f>
        <v>14079.050919453606</v>
      </c>
      <c r="V64" s="16">
        <f ca="1">IF(A63&lt;='Dane do harmonogramu'!$D$7,Q63*0.15%,"")</f>
        <v>1044.0356894287527</v>
      </c>
    </row>
    <row r="65" spans="1:22" x14ac:dyDescent="0.35">
      <c r="A65">
        <v>63</v>
      </c>
      <c r="B65" s="14">
        <f t="shared" ca="1" si="9"/>
        <v>47985</v>
      </c>
      <c r="C65" s="15">
        <f ca="1">(1+'Dane do harmonogramu'!$D$13*('Roboczy harmonogram_1'!B65-'Roboczy harmonogram_1'!B64)/365)</f>
        <v>1.006</v>
      </c>
      <c r="D65" s="15">
        <f ca="1">(1+'Dane do harmonogramu'!$D$13*('Roboczy harmonogram_1'!B65-'Roboczy harmonogram_1'!B64)/366)</f>
        <v>1.0059836065573771</v>
      </c>
      <c r="E65" s="15">
        <f t="shared" ca="1" si="0"/>
        <v>0</v>
      </c>
      <c r="F65" s="15">
        <f t="shared" ca="1" si="1"/>
        <v>0</v>
      </c>
      <c r="G65">
        <f ca="1">IF(E65=1,(1+'Dane do harmonogramu'!$D$13*((('Roboczy harmonogram_1'!B65-DATE(YEAR(B65),1,1)+1)/365)+((DATE(YEAR(B64),12,31)-'Roboczy harmonogram_1'!B64)/366))),IF(F65=1,(1+'Dane do harmonogramu'!$D$13*((('Roboczy harmonogram_1'!B65-DATE(YEAR(B65),1,1)+1)/366)+((DATE(YEAR(B64),12,31)-'Roboczy harmonogram_1'!B64)/365))),0))</f>
        <v>0</v>
      </c>
      <c r="H65">
        <f t="shared" ca="1" si="2"/>
        <v>0</v>
      </c>
      <c r="I65">
        <f t="shared" ca="1" si="3"/>
        <v>1.006</v>
      </c>
      <c r="J65">
        <f t="shared" ca="1" si="4"/>
        <v>1.006</v>
      </c>
      <c r="K65">
        <f ca="1">PRODUCT($J$3:J65)</f>
        <v>1.4608988696274652</v>
      </c>
      <c r="L65">
        <f t="shared" ca="1" si="5"/>
        <v>0.68451007854842394</v>
      </c>
      <c r="M65">
        <f ca="1">SUM($L$3:L65)</f>
        <v>52.352022659669309</v>
      </c>
      <c r="O65">
        <f t="shared" ca="1" si="6"/>
        <v>4117.5605372961145</v>
      </c>
      <c r="P65" s="16">
        <f t="shared" ca="1" si="7"/>
        <v>9961.4903821574917</v>
      </c>
      <c r="Q65" s="17">
        <f t="shared" ca="1" si="8"/>
        <v>676298.5991671962</v>
      </c>
      <c r="S65">
        <f ca="1">IF(A65&lt;='Dane do harmonogramu'!$D$7,'Roboczy harmonogram_1'!P65,0)</f>
        <v>9961.4903821574917</v>
      </c>
      <c r="T65">
        <f ca="1">IF(A65&lt;='Dane do harmonogramu'!$D$7,'Roboczy harmonogram_1'!O65,0)</f>
        <v>4117.5605372961145</v>
      </c>
      <c r="U65">
        <f ca="1">IF(A65&lt;='Dane do harmonogramu'!$D$7,$N$2,0)</f>
        <v>14079.050919453606</v>
      </c>
      <c r="V65" s="16">
        <f ca="1">IF(A64&lt;='Dane do harmonogramu'!$D$7,Q64*0.15%,"")</f>
        <v>1029.3901343240307</v>
      </c>
    </row>
    <row r="66" spans="1:22" x14ac:dyDescent="0.35">
      <c r="A66">
        <v>64</v>
      </c>
      <c r="B66" s="14">
        <f t="shared" ca="1" si="9"/>
        <v>48016</v>
      </c>
      <c r="C66" s="15">
        <f ca="1">(1+'Dane do harmonogramu'!$D$13*('Roboczy harmonogram_1'!B66-'Roboczy harmonogram_1'!B65)/365)</f>
        <v>1.0062</v>
      </c>
      <c r="D66" s="15">
        <f ca="1">(1+'Dane do harmonogramu'!$D$13*('Roboczy harmonogram_1'!B66-'Roboczy harmonogram_1'!B65)/366)</f>
        <v>1.0061830601092896</v>
      </c>
      <c r="E66" s="15">
        <f t="shared" ca="1" si="0"/>
        <v>0</v>
      </c>
      <c r="F66" s="15">
        <f t="shared" ca="1" si="1"/>
        <v>0</v>
      </c>
      <c r="G66">
        <f ca="1">IF(E66=1,(1+'Dane do harmonogramu'!$D$13*((('Roboczy harmonogram_1'!B66-DATE(YEAR(B66),1,1)+1)/365)+((DATE(YEAR(B65),12,31)-'Roboczy harmonogram_1'!B65)/366))),IF(F66=1,(1+'Dane do harmonogramu'!$D$13*((('Roboczy harmonogram_1'!B66-DATE(YEAR(B66),1,1)+1)/366)+((DATE(YEAR(B65),12,31)-'Roboczy harmonogram_1'!B65)/365))),0))</f>
        <v>0</v>
      </c>
      <c r="H66">
        <f t="shared" ca="1" si="2"/>
        <v>0</v>
      </c>
      <c r="I66">
        <f t="shared" ca="1" si="3"/>
        <v>1.0062</v>
      </c>
      <c r="J66">
        <f t="shared" ca="1" si="4"/>
        <v>1.0062</v>
      </c>
      <c r="K66">
        <f ca="1">PRODUCT($J$3:J66)</f>
        <v>1.4699564426191554</v>
      </c>
      <c r="L66">
        <f t="shared" ca="1" si="5"/>
        <v>0.68029226649614793</v>
      </c>
      <c r="M66">
        <f ca="1">SUM($L$3:L66)</f>
        <v>53.032314926165455</v>
      </c>
      <c r="O66">
        <f t="shared" ca="1" si="6"/>
        <v>4193.0513148366008</v>
      </c>
      <c r="P66" s="16">
        <f t="shared" ca="1" si="7"/>
        <v>9885.9996046170054</v>
      </c>
      <c r="Q66" s="17">
        <f t="shared" ca="1" si="8"/>
        <v>666412.59956257918</v>
      </c>
      <c r="S66">
        <f ca="1">IF(A66&lt;='Dane do harmonogramu'!$D$7,'Roboczy harmonogram_1'!P66,0)</f>
        <v>9885.9996046170054</v>
      </c>
      <c r="T66">
        <f ca="1">IF(A66&lt;='Dane do harmonogramu'!$D$7,'Roboczy harmonogram_1'!O66,0)</f>
        <v>4193.0513148366008</v>
      </c>
      <c r="U66">
        <f ca="1">IF(A66&lt;='Dane do harmonogramu'!$D$7,$N$2,0)</f>
        <v>14079.050919453606</v>
      </c>
      <c r="V66" s="16">
        <f ca="1">IF(A65&lt;='Dane do harmonogramu'!$D$7,Q65*0.15%,"")</f>
        <v>1014.4478987507944</v>
      </c>
    </row>
    <row r="67" spans="1:22" x14ac:dyDescent="0.35">
      <c r="A67">
        <v>65</v>
      </c>
      <c r="B67" s="14">
        <f t="shared" ca="1" si="9"/>
        <v>48046</v>
      </c>
      <c r="C67" s="15">
        <f ca="1">(1+'Dane do harmonogramu'!$D$13*('Roboczy harmonogram_1'!B67-'Roboczy harmonogram_1'!B66)/365)</f>
        <v>1.006</v>
      </c>
      <c r="D67" s="15">
        <f ca="1">(1+'Dane do harmonogramu'!$D$13*('Roboczy harmonogram_1'!B67-'Roboczy harmonogram_1'!B66)/366)</f>
        <v>1.0059836065573771</v>
      </c>
      <c r="E67" s="15">
        <f t="shared" ca="1" si="0"/>
        <v>0</v>
      </c>
      <c r="F67" s="15">
        <f t="shared" ca="1" si="1"/>
        <v>0</v>
      </c>
      <c r="G67">
        <f ca="1">IF(E67=1,(1+'Dane do harmonogramu'!$D$13*((('Roboczy harmonogram_1'!B67-DATE(YEAR(B67),1,1)+1)/365)+((DATE(YEAR(B66),12,31)-'Roboczy harmonogram_1'!B66)/366))),IF(F67=1,(1+'Dane do harmonogramu'!$D$13*((('Roboczy harmonogram_1'!B67-DATE(YEAR(B67),1,1)+1)/366)+((DATE(YEAR(B66),12,31)-'Roboczy harmonogram_1'!B66)/365))),0))</f>
        <v>0</v>
      </c>
      <c r="H67">
        <f t="shared" ca="1" si="2"/>
        <v>0</v>
      </c>
      <c r="I67">
        <f t="shared" ca="1" si="3"/>
        <v>1.006</v>
      </c>
      <c r="J67">
        <f t="shared" ca="1" si="4"/>
        <v>1.006</v>
      </c>
      <c r="K67">
        <f ca="1">PRODUCT($J$3:J67)</f>
        <v>1.4787761812748703</v>
      </c>
      <c r="L67">
        <f t="shared" ca="1" si="5"/>
        <v>0.6762348573520357</v>
      </c>
      <c r="M67">
        <f ca="1">SUM($L$3:L67)</f>
        <v>53.708549783517491</v>
      </c>
      <c r="O67">
        <f t="shared" ca="1" si="6"/>
        <v>3998.4755973754218</v>
      </c>
      <c r="P67" s="16">
        <f t="shared" ca="1" si="7"/>
        <v>10080.575322078184</v>
      </c>
      <c r="Q67" s="17">
        <f t="shared" ca="1" si="8"/>
        <v>656332.02424050099</v>
      </c>
      <c r="S67">
        <f ca="1">IF(A67&lt;='Dane do harmonogramu'!$D$7,'Roboczy harmonogram_1'!P67,0)</f>
        <v>10080.575322078184</v>
      </c>
      <c r="T67">
        <f ca="1">IF(A67&lt;='Dane do harmonogramu'!$D$7,'Roboczy harmonogram_1'!O67,0)</f>
        <v>3998.4755973754218</v>
      </c>
      <c r="U67">
        <f ca="1">IF(A67&lt;='Dane do harmonogramu'!$D$7,$N$2,0)</f>
        <v>14079.050919453606</v>
      </c>
      <c r="V67" s="16">
        <f ca="1">IF(A66&lt;='Dane do harmonogramu'!$D$7,Q66*0.15%,"")</f>
        <v>999.61889934386875</v>
      </c>
    </row>
    <row r="68" spans="1:22" x14ac:dyDescent="0.35">
      <c r="A68">
        <v>66</v>
      </c>
      <c r="B68" s="14">
        <f t="shared" ca="1" si="9"/>
        <v>48077</v>
      </c>
      <c r="C68" s="15">
        <f ca="1">(1+'Dane do harmonogramu'!$D$13*('Roboczy harmonogram_1'!B68-'Roboczy harmonogram_1'!B67)/365)</f>
        <v>1.0062</v>
      </c>
      <c r="D68" s="15">
        <f ca="1">(1+'Dane do harmonogramu'!$D$13*('Roboczy harmonogram_1'!B68-'Roboczy harmonogram_1'!B67)/366)</f>
        <v>1.0061830601092896</v>
      </c>
      <c r="E68" s="15">
        <f t="shared" ref="E68:E131" ca="1" si="10">IF(AND(MOD(YEAR(B67),4)=0,MOD(YEAR(B68),4)&lt;&gt;0),1,0)</f>
        <v>0</v>
      </c>
      <c r="F68" s="15">
        <f t="shared" ref="F68:F131" ca="1" si="11">IF(AND(MOD(YEAR(B68),4)=0,MOD(YEAR(B67),4)&lt;&gt;0),1,0)</f>
        <v>0</v>
      </c>
      <c r="G68">
        <f ca="1">IF(E68=1,(1+'Dane do harmonogramu'!$D$13*((('Roboczy harmonogram_1'!B68-DATE(YEAR(B68),1,1)+1)/365)+((DATE(YEAR(B67),12,31)-'Roboczy harmonogram_1'!B67)/366))),IF(F68=1,(1+'Dane do harmonogramu'!$D$13*((('Roboczy harmonogram_1'!B68-DATE(YEAR(B68),1,1)+1)/366)+((DATE(YEAR(B67),12,31)-'Roboczy harmonogram_1'!B67)/365))),0))</f>
        <v>0</v>
      </c>
      <c r="H68">
        <f t="shared" ref="H68:H131" ca="1" si="12">IF(MOD(YEAR(B68),4)=0,1,0)</f>
        <v>0</v>
      </c>
      <c r="I68">
        <f t="shared" ref="I68:I131" ca="1" si="13">IF(H68=0,C68,IF(H68=1,D68,"blad"))</f>
        <v>1.0062</v>
      </c>
      <c r="J68">
        <f t="shared" ref="J68:J131" ca="1" si="14">IF(OR(E68=1,F68=1),G68,I68)</f>
        <v>1.0062</v>
      </c>
      <c r="K68">
        <f ca="1">PRODUCT($J$3:J68)</f>
        <v>1.4879445935987745</v>
      </c>
      <c r="L68">
        <f t="shared" ref="L68:L131" ca="1" si="15">1/K68</f>
        <v>0.67206803553173888</v>
      </c>
      <c r="M68">
        <f ca="1">SUM($L$3:L68)</f>
        <v>54.380617819049228</v>
      </c>
      <c r="O68">
        <f t="shared" ca="1" si="6"/>
        <v>4069.2585502910661</v>
      </c>
      <c r="P68" s="16">
        <f t="shared" ca="1" si="7"/>
        <v>10009.79236916254</v>
      </c>
      <c r="Q68" s="17">
        <f t="shared" ca="1" si="8"/>
        <v>646322.23187133844</v>
      </c>
      <c r="S68">
        <f ca="1">IF(A68&lt;='Dane do harmonogramu'!$D$7,'Roboczy harmonogram_1'!P68,0)</f>
        <v>10009.79236916254</v>
      </c>
      <c r="T68">
        <f ca="1">IF(A68&lt;='Dane do harmonogramu'!$D$7,'Roboczy harmonogram_1'!O68,0)</f>
        <v>4069.2585502910661</v>
      </c>
      <c r="U68">
        <f ca="1">IF(A68&lt;='Dane do harmonogramu'!$D$7,$N$2,0)</f>
        <v>14079.050919453606</v>
      </c>
      <c r="V68" s="16">
        <f ca="1">IF(A67&lt;='Dane do harmonogramu'!$D$7,Q67*0.15%,"")</f>
        <v>984.49803636075148</v>
      </c>
    </row>
    <row r="69" spans="1:22" x14ac:dyDescent="0.35">
      <c r="A69">
        <v>67</v>
      </c>
      <c r="B69" s="14">
        <f t="shared" ca="1" si="9"/>
        <v>48108</v>
      </c>
      <c r="C69" s="15">
        <f ca="1">(1+'Dane do harmonogramu'!$D$13*('Roboczy harmonogram_1'!B69-'Roboczy harmonogram_1'!B68)/365)</f>
        <v>1.0062</v>
      </c>
      <c r="D69" s="15">
        <f ca="1">(1+'Dane do harmonogramu'!$D$13*('Roboczy harmonogram_1'!B69-'Roboczy harmonogram_1'!B68)/366)</f>
        <v>1.0061830601092896</v>
      </c>
      <c r="E69" s="15">
        <f t="shared" ca="1" si="10"/>
        <v>0</v>
      </c>
      <c r="F69" s="15">
        <f t="shared" ca="1" si="11"/>
        <v>0</v>
      </c>
      <c r="G69">
        <f ca="1">IF(E69=1,(1+'Dane do harmonogramu'!$D$13*((('Roboczy harmonogram_1'!B69-DATE(YEAR(B69),1,1)+1)/365)+((DATE(YEAR(B68),12,31)-'Roboczy harmonogram_1'!B68)/366))),IF(F69=1,(1+'Dane do harmonogramu'!$D$13*((('Roboczy harmonogram_1'!B69-DATE(YEAR(B69),1,1)+1)/366)+((DATE(YEAR(B68),12,31)-'Roboczy harmonogram_1'!B68)/365))),0))</f>
        <v>0</v>
      </c>
      <c r="H69">
        <f t="shared" ca="1" si="12"/>
        <v>0</v>
      </c>
      <c r="I69">
        <f t="shared" ca="1" si="13"/>
        <v>1.0062</v>
      </c>
      <c r="J69">
        <f t="shared" ca="1" si="14"/>
        <v>1.0062</v>
      </c>
      <c r="K69">
        <f ca="1">PRODUCT($J$3:J69)</f>
        <v>1.4971698500790869</v>
      </c>
      <c r="L69">
        <f t="shared" ca="1" si="15"/>
        <v>0.66792688882104845</v>
      </c>
      <c r="M69">
        <f ca="1">SUM($L$3:L69)</f>
        <v>55.048544707870278</v>
      </c>
      <c r="O69">
        <f t="shared" ref="O69:O132" ca="1" si="16">(Q68*J69)-Q68</f>
        <v>4007.1978376022307</v>
      </c>
      <c r="P69" s="16">
        <f t="shared" ref="P69:P132" ca="1" si="17">$N$2-O69</f>
        <v>10071.853081851375</v>
      </c>
      <c r="Q69" s="17">
        <f t="shared" ref="Q69:Q132" ca="1" si="18">Q68-P69</f>
        <v>636250.37878948706</v>
      </c>
      <c r="S69">
        <f ca="1">IF(A69&lt;='Dane do harmonogramu'!$D$7,'Roboczy harmonogram_1'!P69,0)</f>
        <v>10071.853081851375</v>
      </c>
      <c r="T69">
        <f ca="1">IF(A69&lt;='Dane do harmonogramu'!$D$7,'Roboczy harmonogram_1'!O69,0)</f>
        <v>4007.1978376022307</v>
      </c>
      <c r="U69">
        <f ca="1">IF(A69&lt;='Dane do harmonogramu'!$D$7,$N$2,0)</f>
        <v>14079.050919453606</v>
      </c>
      <c r="V69" s="16">
        <f ca="1">IF(A68&lt;='Dane do harmonogramu'!$D$7,Q68*0.15%,"")</f>
        <v>969.4833478070077</v>
      </c>
    </row>
    <row r="70" spans="1:22" x14ac:dyDescent="0.35">
      <c r="A70">
        <v>68</v>
      </c>
      <c r="B70" s="14">
        <f t="shared" ref="B70:B133" ca="1" si="19">DATE(YEAR((B69)),MONTH((B69))+1,IF(AND(DAY(B69)&gt;28,MONTH((B69))+1=2),IF(MOD(YEAR(B69),4)=0,29,28),IF(AND(OR(DAY(B69)=28,DAY(B69)=29),MONTH((B69))=2),DAY(B68),DAY(B69))))</f>
        <v>48138</v>
      </c>
      <c r="C70" s="15">
        <f ca="1">(1+'Dane do harmonogramu'!$D$13*('Roboczy harmonogram_1'!B70-'Roboczy harmonogram_1'!B69)/365)</f>
        <v>1.006</v>
      </c>
      <c r="D70" s="15">
        <f ca="1">(1+'Dane do harmonogramu'!$D$13*('Roboczy harmonogram_1'!B70-'Roboczy harmonogram_1'!B69)/366)</f>
        <v>1.0059836065573771</v>
      </c>
      <c r="E70" s="15">
        <f t="shared" ca="1" si="10"/>
        <v>0</v>
      </c>
      <c r="F70" s="15">
        <f t="shared" ca="1" si="11"/>
        <v>0</v>
      </c>
      <c r="G70">
        <f ca="1">IF(E70=1,(1+'Dane do harmonogramu'!$D$13*((('Roboczy harmonogram_1'!B70-DATE(YEAR(B70),1,1)+1)/365)+((DATE(YEAR(B69),12,31)-'Roboczy harmonogram_1'!B69)/366))),IF(F70=1,(1+'Dane do harmonogramu'!$D$13*((('Roboczy harmonogram_1'!B70-DATE(YEAR(B70),1,1)+1)/366)+((DATE(YEAR(B69),12,31)-'Roboczy harmonogram_1'!B69)/365))),0))</f>
        <v>0</v>
      </c>
      <c r="H70">
        <f t="shared" ca="1" si="12"/>
        <v>0</v>
      </c>
      <c r="I70">
        <f t="shared" ca="1" si="13"/>
        <v>1.006</v>
      </c>
      <c r="J70">
        <f t="shared" ca="1" si="14"/>
        <v>1.006</v>
      </c>
      <c r="K70">
        <f ca="1">PRODUCT($J$3:J70)</f>
        <v>1.5061528691795614</v>
      </c>
      <c r="L70">
        <f t="shared" ca="1" si="15"/>
        <v>0.66394322944438211</v>
      </c>
      <c r="M70">
        <f ca="1">SUM($L$3:L70)</f>
        <v>55.712487937314663</v>
      </c>
      <c r="O70">
        <f t="shared" ca="1" si="16"/>
        <v>3817.5022727369796</v>
      </c>
      <c r="P70" s="16">
        <f t="shared" ca="1" si="17"/>
        <v>10261.548646716627</v>
      </c>
      <c r="Q70" s="17">
        <f t="shared" ca="1" si="18"/>
        <v>625988.83014277043</v>
      </c>
      <c r="S70">
        <f ca="1">IF(A70&lt;='Dane do harmonogramu'!$D$7,'Roboczy harmonogram_1'!P70,0)</f>
        <v>10261.548646716627</v>
      </c>
      <c r="T70">
        <f ca="1">IF(A70&lt;='Dane do harmonogramu'!$D$7,'Roboczy harmonogram_1'!O70,0)</f>
        <v>3817.5022727369796</v>
      </c>
      <c r="U70">
        <f ca="1">IF(A70&lt;='Dane do harmonogramu'!$D$7,$N$2,0)</f>
        <v>14079.050919453606</v>
      </c>
      <c r="V70" s="16">
        <f ca="1">IF(A69&lt;='Dane do harmonogramu'!$D$7,Q69*0.15%,"")</f>
        <v>954.37556818423059</v>
      </c>
    </row>
    <row r="71" spans="1:22" x14ac:dyDescent="0.35">
      <c r="A71">
        <v>69</v>
      </c>
      <c r="B71" s="14">
        <f t="shared" ca="1" si="19"/>
        <v>48169</v>
      </c>
      <c r="C71" s="15">
        <f ca="1">(1+'Dane do harmonogramu'!$D$13*('Roboczy harmonogram_1'!B71-'Roboczy harmonogram_1'!B70)/365)</f>
        <v>1.0062</v>
      </c>
      <c r="D71" s="15">
        <f ca="1">(1+'Dane do harmonogramu'!$D$13*('Roboczy harmonogram_1'!B71-'Roboczy harmonogram_1'!B70)/366)</f>
        <v>1.0061830601092896</v>
      </c>
      <c r="E71" s="15">
        <f t="shared" ca="1" si="10"/>
        <v>0</v>
      </c>
      <c r="F71" s="15">
        <f t="shared" ca="1" si="11"/>
        <v>0</v>
      </c>
      <c r="G71">
        <f ca="1">IF(E71=1,(1+'Dane do harmonogramu'!$D$13*((('Roboczy harmonogram_1'!B71-DATE(YEAR(B71),1,1)+1)/365)+((DATE(YEAR(B70),12,31)-'Roboczy harmonogram_1'!B70)/366))),IF(F71=1,(1+'Dane do harmonogramu'!$D$13*((('Roboczy harmonogram_1'!B71-DATE(YEAR(B71),1,1)+1)/366)+((DATE(YEAR(B70),12,31)-'Roboczy harmonogram_1'!B70)/365))),0))</f>
        <v>0</v>
      </c>
      <c r="H71">
        <f t="shared" ca="1" si="12"/>
        <v>0</v>
      </c>
      <c r="I71">
        <f t="shared" ca="1" si="13"/>
        <v>1.0062</v>
      </c>
      <c r="J71">
        <f t="shared" ca="1" si="14"/>
        <v>1.0062</v>
      </c>
      <c r="K71">
        <f ca="1">PRODUCT($J$3:J71)</f>
        <v>1.5154910169684745</v>
      </c>
      <c r="L71">
        <f t="shared" ca="1" si="15"/>
        <v>0.65985214613832455</v>
      </c>
      <c r="M71">
        <f ca="1">SUM($L$3:L71)</f>
        <v>56.37234008345299</v>
      </c>
      <c r="O71">
        <f t="shared" ca="1" si="16"/>
        <v>3881.1307468852028</v>
      </c>
      <c r="P71" s="16">
        <f t="shared" ca="1" si="17"/>
        <v>10197.920172568403</v>
      </c>
      <c r="Q71" s="17">
        <f t="shared" ca="1" si="18"/>
        <v>615790.90997020202</v>
      </c>
      <c r="S71">
        <f ca="1">IF(A71&lt;='Dane do harmonogramu'!$D$7,'Roboczy harmonogram_1'!P71,0)</f>
        <v>10197.920172568403</v>
      </c>
      <c r="T71">
        <f ca="1">IF(A71&lt;='Dane do harmonogramu'!$D$7,'Roboczy harmonogram_1'!O71,0)</f>
        <v>3881.1307468852028</v>
      </c>
      <c r="U71">
        <f ca="1">IF(A71&lt;='Dane do harmonogramu'!$D$7,$N$2,0)</f>
        <v>14079.050919453606</v>
      </c>
      <c r="V71" s="16">
        <f ca="1">IF(A70&lt;='Dane do harmonogramu'!$D$7,Q70*0.15%,"")</f>
        <v>938.98324521415566</v>
      </c>
    </row>
    <row r="72" spans="1:22" x14ac:dyDescent="0.35">
      <c r="A72">
        <v>70</v>
      </c>
      <c r="B72" s="14">
        <f t="shared" ca="1" si="19"/>
        <v>48199</v>
      </c>
      <c r="C72" s="15">
        <f ca="1">(1+'Dane do harmonogramu'!$D$13*('Roboczy harmonogram_1'!B72-'Roboczy harmonogram_1'!B71)/365)</f>
        <v>1.006</v>
      </c>
      <c r="D72" s="15">
        <f ca="1">(1+'Dane do harmonogramu'!$D$13*('Roboczy harmonogram_1'!B72-'Roboczy harmonogram_1'!B71)/366)</f>
        <v>1.0059836065573771</v>
      </c>
      <c r="E72" s="15">
        <f t="shared" ca="1" si="10"/>
        <v>0</v>
      </c>
      <c r="F72" s="15">
        <f t="shared" ca="1" si="11"/>
        <v>0</v>
      </c>
      <c r="G72">
        <f ca="1">IF(E72=1,(1+'Dane do harmonogramu'!$D$13*((('Roboczy harmonogram_1'!B72-DATE(YEAR(B72),1,1)+1)/365)+((DATE(YEAR(B71),12,31)-'Roboczy harmonogram_1'!B71)/366))),IF(F72=1,(1+'Dane do harmonogramu'!$D$13*((('Roboczy harmonogram_1'!B72-DATE(YEAR(B72),1,1)+1)/366)+((DATE(YEAR(B71),12,31)-'Roboczy harmonogram_1'!B71)/365))),0))</f>
        <v>0</v>
      </c>
      <c r="H72">
        <f t="shared" ca="1" si="12"/>
        <v>0</v>
      </c>
      <c r="I72">
        <f t="shared" ca="1" si="13"/>
        <v>1.006</v>
      </c>
      <c r="J72">
        <f t="shared" ca="1" si="14"/>
        <v>1.006</v>
      </c>
      <c r="K72">
        <f ca="1">PRODUCT($J$3:J72)</f>
        <v>1.5245839630702853</v>
      </c>
      <c r="L72">
        <f t="shared" ca="1" si="15"/>
        <v>0.65591664626076007</v>
      </c>
      <c r="M72">
        <f ca="1">SUM($L$3:L72)</f>
        <v>57.028256729713753</v>
      </c>
      <c r="O72">
        <f t="shared" ca="1" si="16"/>
        <v>3694.7454598211916</v>
      </c>
      <c r="P72" s="16">
        <f t="shared" ca="1" si="17"/>
        <v>10384.305459632415</v>
      </c>
      <c r="Q72" s="17">
        <f t="shared" ca="1" si="18"/>
        <v>605406.6045105696</v>
      </c>
      <c r="S72">
        <f ca="1">IF(A72&lt;='Dane do harmonogramu'!$D$7,'Roboczy harmonogram_1'!P72,0)</f>
        <v>10384.305459632415</v>
      </c>
      <c r="T72">
        <f ca="1">IF(A72&lt;='Dane do harmonogramu'!$D$7,'Roboczy harmonogram_1'!O72,0)</f>
        <v>3694.7454598211916</v>
      </c>
      <c r="U72">
        <f ca="1">IF(A72&lt;='Dane do harmonogramu'!$D$7,$N$2,0)</f>
        <v>14079.050919453606</v>
      </c>
      <c r="V72" s="16">
        <f ca="1">IF(A71&lt;='Dane do harmonogramu'!$D$7,Q71*0.15%,"")</f>
        <v>923.68636495530302</v>
      </c>
    </row>
    <row r="73" spans="1:22" x14ac:dyDescent="0.35">
      <c r="A73">
        <v>71</v>
      </c>
      <c r="B73" s="14">
        <f t="shared" ca="1" si="19"/>
        <v>48230</v>
      </c>
      <c r="C73" s="15">
        <f ca="1">(1+'Dane do harmonogramu'!$D$13*('Roboczy harmonogram_1'!B73-'Roboczy harmonogram_1'!B72)/365)</f>
        <v>1.0062</v>
      </c>
      <c r="D73" s="15">
        <f ca="1">(1+'Dane do harmonogramu'!$D$13*('Roboczy harmonogram_1'!B73-'Roboczy harmonogram_1'!B72)/366)</f>
        <v>1.0061830601092896</v>
      </c>
      <c r="E73" s="15">
        <f t="shared" ca="1" si="10"/>
        <v>0</v>
      </c>
      <c r="F73" s="15">
        <f t="shared" ca="1" si="11"/>
        <v>1</v>
      </c>
      <c r="G73">
        <f ca="1">IF(E73=1,(1+'Dane do harmonogramu'!$D$13*((('Roboczy harmonogram_1'!B73-DATE(YEAR(B73),1,1)+1)/365)+((DATE(YEAR(B72),12,31)-'Roboczy harmonogram_1'!B72)/366))),IF(F73=1,(1+'Dane do harmonogramu'!$D$13*((('Roboczy harmonogram_1'!B73-DATE(YEAR(B73),1,1)+1)/366)+((DATE(YEAR(B72),12,31)-'Roboczy harmonogram_1'!B72)/365))),0))</f>
        <v>1.0061907103825136</v>
      </c>
      <c r="H73">
        <f t="shared" ca="1" si="12"/>
        <v>1</v>
      </c>
      <c r="I73">
        <f t="shared" ca="1" si="13"/>
        <v>1.0061830601092896</v>
      </c>
      <c r="J73">
        <f t="shared" ca="1" si="14"/>
        <v>1.0061907103825136</v>
      </c>
      <c r="K73">
        <f ca="1">PRODUCT($J$3:J73)</f>
        <v>1.5340222208394783</v>
      </c>
      <c r="L73">
        <f t="shared" ca="1" si="15"/>
        <v>0.6518810395411091</v>
      </c>
      <c r="M73">
        <f ca="1">SUM($L$3:L73)</f>
        <v>57.680137769254863</v>
      </c>
      <c r="O73">
        <f t="shared" ca="1" si="16"/>
        <v>3747.8969521858962</v>
      </c>
      <c r="P73" s="16">
        <f t="shared" ca="1" si="17"/>
        <v>10331.15396726771</v>
      </c>
      <c r="Q73" s="17">
        <f t="shared" ca="1" si="18"/>
        <v>595075.45054330188</v>
      </c>
      <c r="S73">
        <f ca="1">IF(A73&lt;='Dane do harmonogramu'!$D$7,'Roboczy harmonogram_1'!P73,0)</f>
        <v>10331.15396726771</v>
      </c>
      <c r="T73">
        <f ca="1">IF(A73&lt;='Dane do harmonogramu'!$D$7,'Roboczy harmonogram_1'!O73,0)</f>
        <v>3747.8969521858962</v>
      </c>
      <c r="U73">
        <f ca="1">IF(A73&lt;='Dane do harmonogramu'!$D$7,$N$2,0)</f>
        <v>14079.050919453606</v>
      </c>
      <c r="V73" s="16">
        <f ca="1">IF(A72&lt;='Dane do harmonogramu'!$D$7,Q72*0.15%,"")</f>
        <v>908.10990676585436</v>
      </c>
    </row>
    <row r="74" spans="1:22" x14ac:dyDescent="0.35">
      <c r="A74">
        <v>72</v>
      </c>
      <c r="B74" s="14">
        <f t="shared" ca="1" si="19"/>
        <v>48261</v>
      </c>
      <c r="C74" s="15">
        <f ca="1">(1+'Dane do harmonogramu'!$D$13*('Roboczy harmonogram_1'!B74-'Roboczy harmonogram_1'!B73)/365)</f>
        <v>1.0062</v>
      </c>
      <c r="D74" s="15">
        <f ca="1">(1+'Dane do harmonogramu'!$D$13*('Roboczy harmonogram_1'!B74-'Roboczy harmonogram_1'!B73)/366)</f>
        <v>1.0061830601092896</v>
      </c>
      <c r="E74" s="15">
        <f t="shared" ca="1" si="10"/>
        <v>0</v>
      </c>
      <c r="F74" s="15">
        <f t="shared" ca="1" si="11"/>
        <v>0</v>
      </c>
      <c r="G74">
        <f ca="1">IF(E74=1,(1+'Dane do harmonogramu'!$D$13*((('Roboczy harmonogram_1'!B74-DATE(YEAR(B74),1,1)+1)/365)+((DATE(YEAR(B73),12,31)-'Roboczy harmonogram_1'!B73)/366))),IF(F74=1,(1+'Dane do harmonogramu'!$D$13*((('Roboczy harmonogram_1'!B74-DATE(YEAR(B74),1,1)+1)/366)+((DATE(YEAR(B73),12,31)-'Roboczy harmonogram_1'!B73)/365))),0))</f>
        <v>0</v>
      </c>
      <c r="H74">
        <f t="shared" ca="1" si="12"/>
        <v>1</v>
      </c>
      <c r="I74">
        <f t="shared" ca="1" si="13"/>
        <v>1.0061830601092896</v>
      </c>
      <c r="J74">
        <f t="shared" ca="1" si="14"/>
        <v>1.0061830601092896</v>
      </c>
      <c r="K74">
        <f ca="1">PRODUCT($J$3:J74)</f>
        <v>1.5435071724399148</v>
      </c>
      <c r="L74">
        <f t="shared" ca="1" si="15"/>
        <v>0.64787518830848045</v>
      </c>
      <c r="M74">
        <f ca="1">SUM($L$3:L74)</f>
        <v>58.328012957563345</v>
      </c>
      <c r="O74">
        <f t="shared" ca="1" si="16"/>
        <v>3679.3872802718543</v>
      </c>
      <c r="P74" s="16">
        <f t="shared" ca="1" si="17"/>
        <v>10399.663639181752</v>
      </c>
      <c r="Q74" s="17">
        <f t="shared" ca="1" si="18"/>
        <v>584675.78690412012</v>
      </c>
      <c r="S74">
        <f ca="1">IF(A74&lt;='Dane do harmonogramu'!$D$7,'Roboczy harmonogram_1'!P74,0)</f>
        <v>10399.663639181752</v>
      </c>
      <c r="T74">
        <f ca="1">IF(A74&lt;='Dane do harmonogramu'!$D$7,'Roboczy harmonogram_1'!O74,0)</f>
        <v>3679.3872802718543</v>
      </c>
      <c r="U74">
        <f ca="1">IF(A74&lt;='Dane do harmonogramu'!$D$7,$N$2,0)</f>
        <v>14079.050919453606</v>
      </c>
      <c r="V74" s="16">
        <f ca="1">IF(A73&lt;='Dane do harmonogramu'!$D$7,Q73*0.15%,"")</f>
        <v>892.6131758149528</v>
      </c>
    </row>
    <row r="75" spans="1:22" x14ac:dyDescent="0.35">
      <c r="A75">
        <v>73</v>
      </c>
      <c r="B75" s="14">
        <f t="shared" ca="1" si="19"/>
        <v>48290</v>
      </c>
      <c r="C75" s="15">
        <f ca="1">(1+'Dane do harmonogramu'!$D$13*('Roboczy harmonogram_1'!B75-'Roboczy harmonogram_1'!B74)/365)</f>
        <v>1.0058</v>
      </c>
      <c r="D75" s="15">
        <f ca="1">(1+'Dane do harmonogramu'!$D$13*('Roboczy harmonogram_1'!B75-'Roboczy harmonogram_1'!B74)/366)</f>
        <v>1.0057841530054645</v>
      </c>
      <c r="E75" s="15">
        <f t="shared" ca="1" si="10"/>
        <v>0</v>
      </c>
      <c r="F75" s="15">
        <f t="shared" ca="1" si="11"/>
        <v>0</v>
      </c>
      <c r="G75">
        <f ca="1">IF(E75=1,(1+'Dane do harmonogramu'!$D$13*((('Roboczy harmonogram_1'!B75-DATE(YEAR(B75),1,1)+1)/365)+((DATE(YEAR(B74),12,31)-'Roboczy harmonogram_1'!B74)/366))),IF(F75=1,(1+'Dane do harmonogramu'!$D$13*((('Roboczy harmonogram_1'!B75-DATE(YEAR(B75),1,1)+1)/366)+((DATE(YEAR(B74),12,31)-'Roboczy harmonogram_1'!B74)/365))),0))</f>
        <v>0</v>
      </c>
      <c r="H75">
        <f t="shared" ca="1" si="12"/>
        <v>1</v>
      </c>
      <c r="I75">
        <f t="shared" ca="1" si="13"/>
        <v>1.0057841530054645</v>
      </c>
      <c r="J75">
        <f t="shared" ca="1" si="14"/>
        <v>1.0057841530054645</v>
      </c>
      <c r="K75">
        <f ca="1">PRODUCT($J$3:J75)</f>
        <v>1.5524350540903391</v>
      </c>
      <c r="L75">
        <f t="shared" ca="1" si="15"/>
        <v>0.64414933002524699</v>
      </c>
      <c r="M75">
        <f ca="1">SUM($L$3:L75)</f>
        <v>58.972162287588596</v>
      </c>
      <c r="O75">
        <f t="shared" ca="1" si="16"/>
        <v>3381.8542100437917</v>
      </c>
      <c r="P75" s="16">
        <f t="shared" ca="1" si="17"/>
        <v>10697.196709409815</v>
      </c>
      <c r="Q75" s="17">
        <f t="shared" ca="1" si="18"/>
        <v>573978.5901947103</v>
      </c>
      <c r="S75">
        <f ca="1">IF(A75&lt;='Dane do harmonogramu'!$D$7,'Roboczy harmonogram_1'!P75,0)</f>
        <v>10697.196709409815</v>
      </c>
      <c r="T75">
        <f ca="1">IF(A75&lt;='Dane do harmonogramu'!$D$7,'Roboczy harmonogram_1'!O75,0)</f>
        <v>3381.8542100437917</v>
      </c>
      <c r="U75">
        <f ca="1">IF(A75&lt;='Dane do harmonogramu'!$D$7,$N$2,0)</f>
        <v>14079.050919453606</v>
      </c>
      <c r="V75" s="16">
        <f ca="1">IF(A74&lt;='Dane do harmonogramu'!$D$7,Q74*0.15%,"")</f>
        <v>877.0136803561802</v>
      </c>
    </row>
    <row r="76" spans="1:22" x14ac:dyDescent="0.35">
      <c r="A76">
        <v>74</v>
      </c>
      <c r="B76" s="14">
        <f t="shared" ca="1" si="19"/>
        <v>48321</v>
      </c>
      <c r="C76" s="15">
        <f ca="1">(1+'Dane do harmonogramu'!$D$13*('Roboczy harmonogram_1'!B76-'Roboczy harmonogram_1'!B75)/365)</f>
        <v>1.0062</v>
      </c>
      <c r="D76" s="15">
        <f ca="1">(1+'Dane do harmonogramu'!$D$13*('Roboczy harmonogram_1'!B76-'Roboczy harmonogram_1'!B75)/366)</f>
        <v>1.0061830601092896</v>
      </c>
      <c r="E76" s="15">
        <f t="shared" ca="1" si="10"/>
        <v>0</v>
      </c>
      <c r="F76" s="15">
        <f t="shared" ca="1" si="11"/>
        <v>0</v>
      </c>
      <c r="G76">
        <f ca="1">IF(E76=1,(1+'Dane do harmonogramu'!$D$13*((('Roboczy harmonogram_1'!B76-DATE(YEAR(B76),1,1)+1)/365)+((DATE(YEAR(B75),12,31)-'Roboczy harmonogram_1'!B75)/366))),IF(F76=1,(1+'Dane do harmonogramu'!$D$13*((('Roboczy harmonogram_1'!B76-DATE(YEAR(B76),1,1)+1)/366)+((DATE(YEAR(B75),12,31)-'Roboczy harmonogram_1'!B75)/365))),0))</f>
        <v>0</v>
      </c>
      <c r="H76">
        <f t="shared" ca="1" si="12"/>
        <v>1</v>
      </c>
      <c r="I76">
        <f t="shared" ca="1" si="13"/>
        <v>1.0061830601092896</v>
      </c>
      <c r="J76">
        <f t="shared" ca="1" si="14"/>
        <v>1.0061830601092896</v>
      </c>
      <c r="K76">
        <f ca="1">PRODUCT($J$3:J76)</f>
        <v>1.562033853345548</v>
      </c>
      <c r="L76">
        <f t="shared" ca="1" si="15"/>
        <v>0.64019099064864071</v>
      </c>
      <c r="M76">
        <f ca="1">SUM($L$3:L76)</f>
        <v>59.612353278237237</v>
      </c>
      <c r="O76">
        <f t="shared" ca="1" si="16"/>
        <v>3548.9441246192437</v>
      </c>
      <c r="P76" s="16">
        <f t="shared" ca="1" si="17"/>
        <v>10530.106794834363</v>
      </c>
      <c r="Q76" s="17">
        <f t="shared" ca="1" si="18"/>
        <v>563448.48339987593</v>
      </c>
      <c r="S76">
        <f ca="1">IF(A76&lt;='Dane do harmonogramu'!$D$7,'Roboczy harmonogram_1'!P76,0)</f>
        <v>10530.106794834363</v>
      </c>
      <c r="T76">
        <f ca="1">IF(A76&lt;='Dane do harmonogramu'!$D$7,'Roboczy harmonogram_1'!O76,0)</f>
        <v>3548.9441246192437</v>
      </c>
      <c r="U76">
        <f ca="1">IF(A76&lt;='Dane do harmonogramu'!$D$7,$N$2,0)</f>
        <v>14079.050919453606</v>
      </c>
      <c r="V76" s="16">
        <f ca="1">IF(A75&lt;='Dane do harmonogramu'!$D$7,Q75*0.15%,"")</f>
        <v>860.96788529206549</v>
      </c>
    </row>
    <row r="77" spans="1:22" x14ac:dyDescent="0.35">
      <c r="A77">
        <v>75</v>
      </c>
      <c r="B77" s="14">
        <f t="shared" ca="1" si="19"/>
        <v>48351</v>
      </c>
      <c r="C77" s="15">
        <f ca="1">(1+'Dane do harmonogramu'!$D$13*('Roboczy harmonogram_1'!B77-'Roboczy harmonogram_1'!B76)/365)</f>
        <v>1.006</v>
      </c>
      <c r="D77" s="15">
        <f ca="1">(1+'Dane do harmonogramu'!$D$13*('Roboczy harmonogram_1'!B77-'Roboczy harmonogram_1'!B76)/366)</f>
        <v>1.0059836065573771</v>
      </c>
      <c r="E77" s="15">
        <f t="shared" ca="1" si="10"/>
        <v>0</v>
      </c>
      <c r="F77" s="15">
        <f t="shared" ca="1" si="11"/>
        <v>0</v>
      </c>
      <c r="G77">
        <f ca="1">IF(E77=1,(1+'Dane do harmonogramu'!$D$13*((('Roboczy harmonogram_1'!B77-DATE(YEAR(B77),1,1)+1)/365)+((DATE(YEAR(B76),12,31)-'Roboczy harmonogram_1'!B76)/366))),IF(F77=1,(1+'Dane do harmonogramu'!$D$13*((('Roboczy harmonogram_1'!B77-DATE(YEAR(B77),1,1)+1)/366)+((DATE(YEAR(B76),12,31)-'Roboczy harmonogram_1'!B76)/365))),0))</f>
        <v>0</v>
      </c>
      <c r="H77">
        <f t="shared" ca="1" si="12"/>
        <v>1</v>
      </c>
      <c r="I77">
        <f t="shared" ca="1" si="13"/>
        <v>1.0059836065573771</v>
      </c>
      <c r="J77">
        <f t="shared" ca="1" si="14"/>
        <v>1.0059836065573771</v>
      </c>
      <c r="K77">
        <f ca="1">PRODUCT($J$3:J77)</f>
        <v>1.5713804493532715</v>
      </c>
      <c r="L77">
        <f t="shared" ca="1" si="15"/>
        <v>0.63638312441240252</v>
      </c>
      <c r="M77">
        <f ca="1">SUM($L$3:L77)</f>
        <v>60.248736402649641</v>
      </c>
      <c r="O77">
        <f t="shared" ca="1" si="16"/>
        <v>3371.4540400156984</v>
      </c>
      <c r="P77" s="16">
        <f t="shared" ca="1" si="17"/>
        <v>10707.596879437908</v>
      </c>
      <c r="Q77" s="17">
        <f t="shared" ca="1" si="18"/>
        <v>552740.88652043801</v>
      </c>
      <c r="S77">
        <f ca="1">IF(A77&lt;='Dane do harmonogramu'!$D$7,'Roboczy harmonogram_1'!P77,0)</f>
        <v>10707.596879437908</v>
      </c>
      <c r="T77">
        <f ca="1">IF(A77&lt;='Dane do harmonogramu'!$D$7,'Roboczy harmonogram_1'!O77,0)</f>
        <v>3371.4540400156984</v>
      </c>
      <c r="U77">
        <f ca="1">IF(A77&lt;='Dane do harmonogramu'!$D$7,$N$2,0)</f>
        <v>14079.050919453606</v>
      </c>
      <c r="V77" s="16">
        <f ca="1">IF(A76&lt;='Dane do harmonogramu'!$D$7,Q76*0.15%,"")</f>
        <v>845.17272509981387</v>
      </c>
    </row>
    <row r="78" spans="1:22" x14ac:dyDescent="0.35">
      <c r="A78">
        <v>76</v>
      </c>
      <c r="B78" s="14">
        <f t="shared" ca="1" si="19"/>
        <v>48382</v>
      </c>
      <c r="C78" s="15">
        <f ca="1">(1+'Dane do harmonogramu'!$D$13*('Roboczy harmonogram_1'!B78-'Roboczy harmonogram_1'!B77)/365)</f>
        <v>1.0062</v>
      </c>
      <c r="D78" s="15">
        <f ca="1">(1+'Dane do harmonogramu'!$D$13*('Roboczy harmonogram_1'!B78-'Roboczy harmonogram_1'!B77)/366)</f>
        <v>1.0061830601092896</v>
      </c>
      <c r="E78" s="15">
        <f t="shared" ca="1" si="10"/>
        <v>0</v>
      </c>
      <c r="F78" s="15">
        <f t="shared" ca="1" si="11"/>
        <v>0</v>
      </c>
      <c r="G78">
        <f ca="1">IF(E78=1,(1+'Dane do harmonogramu'!$D$13*((('Roboczy harmonogram_1'!B78-DATE(YEAR(B78),1,1)+1)/365)+((DATE(YEAR(B77),12,31)-'Roboczy harmonogram_1'!B77)/366))),IF(F78=1,(1+'Dane do harmonogramu'!$D$13*((('Roboczy harmonogram_1'!B78-DATE(YEAR(B78),1,1)+1)/366)+((DATE(YEAR(B77),12,31)-'Roboczy harmonogram_1'!B77)/365))),0))</f>
        <v>0</v>
      </c>
      <c r="H78">
        <f t="shared" ca="1" si="12"/>
        <v>1</v>
      </c>
      <c r="I78">
        <f t="shared" ca="1" si="13"/>
        <v>1.0061830601092896</v>
      </c>
      <c r="J78">
        <f t="shared" ca="1" si="14"/>
        <v>1.0061830601092896</v>
      </c>
      <c r="K78">
        <f ca="1">PRODUCT($J$3:J78)</f>
        <v>1.5810963891261853</v>
      </c>
      <c r="L78">
        <f t="shared" ca="1" si="15"/>
        <v>0.63247250887257023</v>
      </c>
      <c r="M78">
        <f ca="1">SUM($L$3:L78)</f>
        <v>60.881208911522208</v>
      </c>
      <c r="O78">
        <f t="shared" ca="1" si="16"/>
        <v>3417.6301262178458</v>
      </c>
      <c r="P78" s="16">
        <f t="shared" ca="1" si="17"/>
        <v>10661.42079323576</v>
      </c>
      <c r="Q78" s="17">
        <f t="shared" ca="1" si="18"/>
        <v>542079.46572720225</v>
      </c>
      <c r="S78">
        <f ca="1">IF(A78&lt;='Dane do harmonogramu'!$D$7,'Roboczy harmonogram_1'!P78,0)</f>
        <v>10661.42079323576</v>
      </c>
      <c r="T78">
        <f ca="1">IF(A78&lt;='Dane do harmonogramu'!$D$7,'Roboczy harmonogram_1'!O78,0)</f>
        <v>3417.6301262178458</v>
      </c>
      <c r="U78">
        <f ca="1">IF(A78&lt;='Dane do harmonogramu'!$D$7,$N$2,0)</f>
        <v>14079.050919453606</v>
      </c>
      <c r="V78" s="16">
        <f ca="1">IF(A77&lt;='Dane do harmonogramu'!$D$7,Q77*0.15%,"")</f>
        <v>829.111329780657</v>
      </c>
    </row>
    <row r="79" spans="1:22" x14ac:dyDescent="0.35">
      <c r="A79">
        <v>77</v>
      </c>
      <c r="B79" s="14">
        <f t="shared" ca="1" si="19"/>
        <v>48412</v>
      </c>
      <c r="C79" s="15">
        <f ca="1">(1+'Dane do harmonogramu'!$D$13*('Roboczy harmonogram_1'!B79-'Roboczy harmonogram_1'!B78)/365)</f>
        <v>1.006</v>
      </c>
      <c r="D79" s="15">
        <f ca="1">(1+'Dane do harmonogramu'!$D$13*('Roboczy harmonogram_1'!B79-'Roboczy harmonogram_1'!B78)/366)</f>
        <v>1.0059836065573771</v>
      </c>
      <c r="E79" s="15">
        <f t="shared" ca="1" si="10"/>
        <v>0</v>
      </c>
      <c r="F79" s="15">
        <f t="shared" ca="1" si="11"/>
        <v>0</v>
      </c>
      <c r="G79">
        <f ca="1">IF(E79=1,(1+'Dane do harmonogramu'!$D$13*((('Roboczy harmonogram_1'!B79-DATE(YEAR(B79),1,1)+1)/365)+((DATE(YEAR(B78),12,31)-'Roboczy harmonogram_1'!B78)/366))),IF(F79=1,(1+'Dane do harmonogramu'!$D$13*((('Roboczy harmonogram_1'!B79-DATE(YEAR(B79),1,1)+1)/366)+((DATE(YEAR(B78),12,31)-'Roboczy harmonogram_1'!B78)/365))),0))</f>
        <v>0</v>
      </c>
      <c r="H79">
        <f t="shared" ca="1" si="12"/>
        <v>1</v>
      </c>
      <c r="I79">
        <f t="shared" ca="1" si="13"/>
        <v>1.0059836065573771</v>
      </c>
      <c r="J79">
        <f t="shared" ca="1" si="14"/>
        <v>1.0059836065573771</v>
      </c>
      <c r="K79">
        <f ca="1">PRODUCT($J$3:J79)</f>
        <v>1.590557047848006</v>
      </c>
      <c r="L79">
        <f t="shared" ca="1" si="15"/>
        <v>0.62871055228920036</v>
      </c>
      <c r="M79">
        <f ca="1">SUM($L$3:L79)</f>
        <v>61.509919463811407</v>
      </c>
      <c r="O79">
        <f t="shared" ca="1" si="16"/>
        <v>3243.5902457447955</v>
      </c>
      <c r="P79" s="16">
        <f t="shared" ca="1" si="17"/>
        <v>10835.460673708811</v>
      </c>
      <c r="Q79" s="17">
        <f t="shared" ca="1" si="18"/>
        <v>531244.00505349343</v>
      </c>
      <c r="S79">
        <f ca="1">IF(A79&lt;='Dane do harmonogramu'!$D$7,'Roboczy harmonogram_1'!P79,0)</f>
        <v>10835.460673708811</v>
      </c>
      <c r="T79">
        <f ca="1">IF(A79&lt;='Dane do harmonogramu'!$D$7,'Roboczy harmonogram_1'!O79,0)</f>
        <v>3243.5902457447955</v>
      </c>
      <c r="U79">
        <f ca="1">IF(A79&lt;='Dane do harmonogramu'!$D$7,$N$2,0)</f>
        <v>14079.050919453606</v>
      </c>
      <c r="V79" s="16">
        <f ca="1">IF(A78&lt;='Dane do harmonogramu'!$D$7,Q78*0.15%,"")</f>
        <v>813.11919859080342</v>
      </c>
    </row>
    <row r="80" spans="1:22" x14ac:dyDescent="0.35">
      <c r="A80">
        <v>78</v>
      </c>
      <c r="B80" s="14">
        <f t="shared" ca="1" si="19"/>
        <v>48443</v>
      </c>
      <c r="C80" s="15">
        <f ca="1">(1+'Dane do harmonogramu'!$D$13*('Roboczy harmonogram_1'!B80-'Roboczy harmonogram_1'!B79)/365)</f>
        <v>1.0062</v>
      </c>
      <c r="D80" s="15">
        <f ca="1">(1+'Dane do harmonogramu'!$D$13*('Roboczy harmonogram_1'!B80-'Roboczy harmonogram_1'!B79)/366)</f>
        <v>1.0061830601092896</v>
      </c>
      <c r="E80" s="15">
        <f t="shared" ca="1" si="10"/>
        <v>0</v>
      </c>
      <c r="F80" s="15">
        <f t="shared" ca="1" si="11"/>
        <v>0</v>
      </c>
      <c r="G80">
        <f ca="1">IF(E80=1,(1+'Dane do harmonogramu'!$D$13*((('Roboczy harmonogram_1'!B80-DATE(YEAR(B80),1,1)+1)/365)+((DATE(YEAR(B79),12,31)-'Roboczy harmonogram_1'!B79)/366))),IF(F80=1,(1+'Dane do harmonogramu'!$D$13*((('Roboczy harmonogram_1'!B80-DATE(YEAR(B80),1,1)+1)/366)+((DATE(YEAR(B79),12,31)-'Roboczy harmonogram_1'!B79)/365))),0))</f>
        <v>0</v>
      </c>
      <c r="H80">
        <f t="shared" ca="1" si="12"/>
        <v>1</v>
      </c>
      <c r="I80">
        <f t="shared" ca="1" si="13"/>
        <v>1.0061830601092896</v>
      </c>
      <c r="J80">
        <f t="shared" ca="1" si="14"/>
        <v>1.0061830601092896</v>
      </c>
      <c r="K80">
        <f ca="1">PRODUCT($J$3:J80)</f>
        <v>1.6003915576821044</v>
      </c>
      <c r="L80">
        <f t="shared" ca="1" si="15"/>
        <v>0.62484708520228027</v>
      </c>
      <c r="M80">
        <f ca="1">SUM($L$3:L80)</f>
        <v>62.13476654901369</v>
      </c>
      <c r="O80">
        <f t="shared" ca="1" si="16"/>
        <v>3284.7136159455404</v>
      </c>
      <c r="P80" s="16">
        <f t="shared" ca="1" si="17"/>
        <v>10794.337303508066</v>
      </c>
      <c r="Q80" s="17">
        <f t="shared" ca="1" si="18"/>
        <v>520449.66774998535</v>
      </c>
      <c r="S80">
        <f ca="1">IF(A80&lt;='Dane do harmonogramu'!$D$7,'Roboczy harmonogram_1'!P80,0)</f>
        <v>10794.337303508066</v>
      </c>
      <c r="T80">
        <f ca="1">IF(A80&lt;='Dane do harmonogramu'!$D$7,'Roboczy harmonogram_1'!O80,0)</f>
        <v>3284.7136159455404</v>
      </c>
      <c r="U80">
        <f ca="1">IF(A80&lt;='Dane do harmonogramu'!$D$7,$N$2,0)</f>
        <v>14079.050919453606</v>
      </c>
      <c r="V80" s="16">
        <f ca="1">IF(A79&lt;='Dane do harmonogramu'!$D$7,Q79*0.15%,"")</f>
        <v>796.86600758024019</v>
      </c>
    </row>
    <row r="81" spans="1:22" x14ac:dyDescent="0.35">
      <c r="A81">
        <v>79</v>
      </c>
      <c r="B81" s="14">
        <f t="shared" ca="1" si="19"/>
        <v>48474</v>
      </c>
      <c r="C81" s="15">
        <f ca="1">(1+'Dane do harmonogramu'!$D$13*('Roboczy harmonogram_1'!B81-'Roboczy harmonogram_1'!B80)/365)</f>
        <v>1.0062</v>
      </c>
      <c r="D81" s="15">
        <f ca="1">(1+'Dane do harmonogramu'!$D$13*('Roboczy harmonogram_1'!B81-'Roboczy harmonogram_1'!B80)/366)</f>
        <v>1.0061830601092896</v>
      </c>
      <c r="E81" s="15">
        <f t="shared" ca="1" si="10"/>
        <v>0</v>
      </c>
      <c r="F81" s="15">
        <f t="shared" ca="1" si="11"/>
        <v>0</v>
      </c>
      <c r="G81">
        <f ca="1">IF(E81=1,(1+'Dane do harmonogramu'!$D$13*((('Roboczy harmonogram_1'!B81-DATE(YEAR(B81),1,1)+1)/365)+((DATE(YEAR(B80),12,31)-'Roboczy harmonogram_1'!B80)/366))),IF(F81=1,(1+'Dane do harmonogramu'!$D$13*((('Roboczy harmonogram_1'!B81-DATE(YEAR(B81),1,1)+1)/366)+((DATE(YEAR(B80),12,31)-'Roboczy harmonogram_1'!B80)/365))),0))</f>
        <v>0</v>
      </c>
      <c r="H81">
        <f t="shared" ca="1" si="12"/>
        <v>1</v>
      </c>
      <c r="I81">
        <f t="shared" ca="1" si="13"/>
        <v>1.0061830601092896</v>
      </c>
      <c r="J81">
        <f t="shared" ca="1" si="14"/>
        <v>1.0061830601092896</v>
      </c>
      <c r="K81">
        <f ca="1">PRODUCT($J$3:J81)</f>
        <v>1.6102868748816523</v>
      </c>
      <c r="L81">
        <f t="shared" ca="1" si="15"/>
        <v>0.6210073593709784</v>
      </c>
      <c r="M81">
        <f ca="1">SUM($L$3:L81)</f>
        <v>62.755773908384668</v>
      </c>
      <c r="O81">
        <f t="shared" ca="1" si="16"/>
        <v>3217.9715795579832</v>
      </c>
      <c r="P81" s="16">
        <f t="shared" ca="1" si="17"/>
        <v>10861.079339895623</v>
      </c>
      <c r="Q81" s="17">
        <f t="shared" ca="1" si="18"/>
        <v>509588.58841008972</v>
      </c>
      <c r="S81">
        <f ca="1">IF(A81&lt;='Dane do harmonogramu'!$D$7,'Roboczy harmonogram_1'!P81,0)</f>
        <v>10861.079339895623</v>
      </c>
      <c r="T81">
        <f ca="1">IF(A81&lt;='Dane do harmonogramu'!$D$7,'Roboczy harmonogram_1'!O81,0)</f>
        <v>3217.9715795579832</v>
      </c>
      <c r="U81">
        <f ca="1">IF(A81&lt;='Dane do harmonogramu'!$D$7,$N$2,0)</f>
        <v>14079.050919453606</v>
      </c>
      <c r="V81" s="16">
        <f ca="1">IF(A80&lt;='Dane do harmonogramu'!$D$7,Q80*0.15%,"")</f>
        <v>780.67450162497801</v>
      </c>
    </row>
    <row r="82" spans="1:22" x14ac:dyDescent="0.35">
      <c r="A82">
        <v>80</v>
      </c>
      <c r="B82" s="14">
        <f t="shared" ca="1" si="19"/>
        <v>48504</v>
      </c>
      <c r="C82" s="15">
        <f ca="1">(1+'Dane do harmonogramu'!$D$13*('Roboczy harmonogram_1'!B82-'Roboczy harmonogram_1'!B81)/365)</f>
        <v>1.006</v>
      </c>
      <c r="D82" s="15">
        <f ca="1">(1+'Dane do harmonogramu'!$D$13*('Roboczy harmonogram_1'!B82-'Roboczy harmonogram_1'!B81)/366)</f>
        <v>1.0059836065573771</v>
      </c>
      <c r="E82" s="15">
        <f t="shared" ca="1" si="10"/>
        <v>0</v>
      </c>
      <c r="F82" s="15">
        <f t="shared" ca="1" si="11"/>
        <v>0</v>
      </c>
      <c r="G82">
        <f ca="1">IF(E82=1,(1+'Dane do harmonogramu'!$D$13*((('Roboczy harmonogram_1'!B82-DATE(YEAR(B82),1,1)+1)/365)+((DATE(YEAR(B81),12,31)-'Roboczy harmonogram_1'!B81)/366))),IF(F82=1,(1+'Dane do harmonogramu'!$D$13*((('Roboczy harmonogram_1'!B82-DATE(YEAR(B82),1,1)+1)/366)+((DATE(YEAR(B81),12,31)-'Roboczy harmonogram_1'!B81)/365))),0))</f>
        <v>0</v>
      </c>
      <c r="H82">
        <f t="shared" ca="1" si="12"/>
        <v>1</v>
      </c>
      <c r="I82">
        <f t="shared" ca="1" si="13"/>
        <v>1.0059836065573771</v>
      </c>
      <c r="J82">
        <f t="shared" ca="1" si="14"/>
        <v>1.0059836065573771</v>
      </c>
      <c r="K82">
        <f ca="1">PRODUCT($J$3:J82)</f>
        <v>1.6199221979854523</v>
      </c>
      <c r="L82">
        <f t="shared" ca="1" si="15"/>
        <v>0.61731359767994265</v>
      </c>
      <c r="M82">
        <f ca="1">SUM($L$3:L82)</f>
        <v>63.373087506064614</v>
      </c>
      <c r="O82">
        <f t="shared" ca="1" si="16"/>
        <v>3049.1776191751123</v>
      </c>
      <c r="P82" s="16">
        <f t="shared" ca="1" si="17"/>
        <v>11029.873300278494</v>
      </c>
      <c r="Q82" s="17">
        <f t="shared" ca="1" si="18"/>
        <v>498558.71510981122</v>
      </c>
      <c r="S82">
        <f ca="1">IF(A82&lt;='Dane do harmonogramu'!$D$7,'Roboczy harmonogram_1'!P82,0)</f>
        <v>11029.873300278494</v>
      </c>
      <c r="T82">
        <f ca="1">IF(A82&lt;='Dane do harmonogramu'!$D$7,'Roboczy harmonogram_1'!O82,0)</f>
        <v>3049.1776191751123</v>
      </c>
      <c r="U82">
        <f ca="1">IF(A82&lt;='Dane do harmonogramu'!$D$7,$N$2,0)</f>
        <v>14079.050919453606</v>
      </c>
      <c r="V82" s="16">
        <f ca="1">IF(A81&lt;='Dane do harmonogramu'!$D$7,Q81*0.15%,"")</f>
        <v>764.38288261513458</v>
      </c>
    </row>
    <row r="83" spans="1:22" x14ac:dyDescent="0.35">
      <c r="A83">
        <v>81</v>
      </c>
      <c r="B83" s="14">
        <f t="shared" ca="1" si="19"/>
        <v>48535</v>
      </c>
      <c r="C83" s="15">
        <f ca="1">(1+'Dane do harmonogramu'!$D$13*('Roboczy harmonogram_1'!B83-'Roboczy harmonogram_1'!B82)/365)</f>
        <v>1.0062</v>
      </c>
      <c r="D83" s="15">
        <f ca="1">(1+'Dane do harmonogramu'!$D$13*('Roboczy harmonogram_1'!B83-'Roboczy harmonogram_1'!B82)/366)</f>
        <v>1.0061830601092896</v>
      </c>
      <c r="E83" s="15">
        <f t="shared" ca="1" si="10"/>
        <v>0</v>
      </c>
      <c r="F83" s="15">
        <f t="shared" ca="1" si="11"/>
        <v>0</v>
      </c>
      <c r="G83">
        <f ca="1">IF(E83=1,(1+'Dane do harmonogramu'!$D$13*((('Roboczy harmonogram_1'!B83-DATE(YEAR(B83),1,1)+1)/365)+((DATE(YEAR(B82),12,31)-'Roboczy harmonogram_1'!B82)/366))),IF(F83=1,(1+'Dane do harmonogramu'!$D$13*((('Roboczy harmonogram_1'!B83-DATE(YEAR(B83),1,1)+1)/366)+((DATE(YEAR(B82),12,31)-'Roboczy harmonogram_1'!B82)/365))),0))</f>
        <v>0</v>
      </c>
      <c r="H83">
        <f t="shared" ca="1" si="12"/>
        <v>1</v>
      </c>
      <c r="I83">
        <f t="shared" ca="1" si="13"/>
        <v>1.0061830601092896</v>
      </c>
      <c r="J83">
        <f t="shared" ca="1" si="14"/>
        <v>1.0061830601092896</v>
      </c>
      <c r="K83">
        <f ca="1">PRODUCT($J$3:J83)</f>
        <v>1.6299382743079689</v>
      </c>
      <c r="L83">
        <f t="shared" ca="1" si="15"/>
        <v>0.61352016561766731</v>
      </c>
      <c r="M83">
        <f ca="1">SUM($L$3:L83)</f>
        <v>63.986607671682279</v>
      </c>
      <c r="O83">
        <f t="shared" ca="1" si="16"/>
        <v>3082.6185035341769</v>
      </c>
      <c r="P83" s="16">
        <f t="shared" ca="1" si="17"/>
        <v>10996.432415919429</v>
      </c>
      <c r="Q83" s="17">
        <f t="shared" ca="1" si="18"/>
        <v>487562.28269389179</v>
      </c>
      <c r="S83">
        <f ca="1">IF(A83&lt;='Dane do harmonogramu'!$D$7,'Roboczy harmonogram_1'!P83,0)</f>
        <v>10996.432415919429</v>
      </c>
      <c r="T83">
        <f ca="1">IF(A83&lt;='Dane do harmonogramu'!$D$7,'Roboczy harmonogram_1'!O83,0)</f>
        <v>3082.6185035341769</v>
      </c>
      <c r="U83">
        <f ca="1">IF(A83&lt;='Dane do harmonogramu'!$D$7,$N$2,0)</f>
        <v>14079.050919453606</v>
      </c>
      <c r="V83" s="16">
        <f ca="1">IF(A82&lt;='Dane do harmonogramu'!$D$7,Q82*0.15%,"")</f>
        <v>747.83807266471683</v>
      </c>
    </row>
    <row r="84" spans="1:22" x14ac:dyDescent="0.35">
      <c r="A84">
        <v>82</v>
      </c>
      <c r="B84" s="14">
        <f t="shared" ca="1" si="19"/>
        <v>48565</v>
      </c>
      <c r="C84" s="15">
        <f ca="1">(1+'Dane do harmonogramu'!$D$13*('Roboczy harmonogram_1'!B84-'Roboczy harmonogram_1'!B83)/365)</f>
        <v>1.006</v>
      </c>
      <c r="D84" s="15">
        <f ca="1">(1+'Dane do harmonogramu'!$D$13*('Roboczy harmonogram_1'!B84-'Roboczy harmonogram_1'!B83)/366)</f>
        <v>1.0059836065573771</v>
      </c>
      <c r="E84" s="15">
        <f t="shared" ca="1" si="10"/>
        <v>0</v>
      </c>
      <c r="F84" s="15">
        <f t="shared" ca="1" si="11"/>
        <v>0</v>
      </c>
      <c r="G84">
        <f ca="1">IF(E84=1,(1+'Dane do harmonogramu'!$D$13*((('Roboczy harmonogram_1'!B84-DATE(YEAR(B84),1,1)+1)/365)+((DATE(YEAR(B83),12,31)-'Roboczy harmonogram_1'!B83)/366))),IF(F84=1,(1+'Dane do harmonogramu'!$D$13*((('Roboczy harmonogram_1'!B84-DATE(YEAR(B84),1,1)+1)/366)+((DATE(YEAR(B83),12,31)-'Roboczy harmonogram_1'!B83)/365))),0))</f>
        <v>0</v>
      </c>
      <c r="H84">
        <f t="shared" ca="1" si="12"/>
        <v>1</v>
      </c>
      <c r="I84">
        <f t="shared" ca="1" si="13"/>
        <v>1.0059836065573771</v>
      </c>
      <c r="J84">
        <f t="shared" ca="1" si="14"/>
        <v>1.0059836065573771</v>
      </c>
      <c r="K84">
        <f ca="1">PRODUCT($J$3:J84)</f>
        <v>1.6396911836542378</v>
      </c>
      <c r="L84">
        <f t="shared" ca="1" si="15"/>
        <v>0.60987093787464697</v>
      </c>
      <c r="M84">
        <f ca="1">SUM($L$3:L84)</f>
        <v>64.596478609556925</v>
      </c>
      <c r="O84">
        <f t="shared" ca="1" si="16"/>
        <v>2917.3808718568762</v>
      </c>
      <c r="P84" s="16">
        <f t="shared" ca="1" si="17"/>
        <v>11161.67004759673</v>
      </c>
      <c r="Q84" s="17">
        <f t="shared" ca="1" si="18"/>
        <v>476400.61264629505</v>
      </c>
      <c r="S84">
        <f ca="1">IF(A84&lt;='Dane do harmonogramu'!$D$7,'Roboczy harmonogram_1'!P84,0)</f>
        <v>11161.67004759673</v>
      </c>
      <c r="T84">
        <f ca="1">IF(A84&lt;='Dane do harmonogramu'!$D$7,'Roboczy harmonogram_1'!O84,0)</f>
        <v>2917.3808718568762</v>
      </c>
      <c r="U84">
        <f ca="1">IF(A84&lt;='Dane do harmonogramu'!$D$7,$N$2,0)</f>
        <v>14079.050919453606</v>
      </c>
      <c r="V84" s="16">
        <f ca="1">IF(A83&lt;='Dane do harmonogramu'!$D$7,Q83*0.15%,"")</f>
        <v>731.3434240408377</v>
      </c>
    </row>
    <row r="85" spans="1:22" x14ac:dyDescent="0.35">
      <c r="A85">
        <v>83</v>
      </c>
      <c r="B85" s="14">
        <f t="shared" ca="1" si="19"/>
        <v>48596</v>
      </c>
      <c r="C85" s="15">
        <f ca="1">(1+'Dane do harmonogramu'!$D$13*('Roboczy harmonogram_1'!B85-'Roboczy harmonogram_1'!B84)/365)</f>
        <v>1.0062</v>
      </c>
      <c r="D85" s="15">
        <f ca="1">(1+'Dane do harmonogramu'!$D$13*('Roboczy harmonogram_1'!B85-'Roboczy harmonogram_1'!B84)/366)</f>
        <v>1.0061830601092896</v>
      </c>
      <c r="E85" s="15">
        <f t="shared" ca="1" si="10"/>
        <v>1</v>
      </c>
      <c r="F85" s="15">
        <f t="shared" ca="1" si="11"/>
        <v>0</v>
      </c>
      <c r="G85">
        <f ca="1">IF(E85=1,(1+'Dane do harmonogramu'!$D$13*((('Roboczy harmonogram_1'!B85-DATE(YEAR(B85),1,1)+1)/365)+((DATE(YEAR(B84),12,31)-'Roboczy harmonogram_1'!B84)/366))),IF(F85=1,(1+'Dane do harmonogramu'!$D$13*((('Roboczy harmonogram_1'!B85-DATE(YEAR(B85),1,1)+1)/366)+((DATE(YEAR(B84),12,31)-'Roboczy harmonogram_1'!B84)/365))),0))</f>
        <v>1.006192349726776</v>
      </c>
      <c r="H85">
        <f t="shared" ca="1" si="12"/>
        <v>0</v>
      </c>
      <c r="I85">
        <f t="shared" ca="1" si="13"/>
        <v>1.0062</v>
      </c>
      <c r="J85">
        <f t="shared" ca="1" si="14"/>
        <v>1.006192349726776</v>
      </c>
      <c r="K85">
        <f ca="1">PRODUCT($J$3:J85)</f>
        <v>1.649844724907336</v>
      </c>
      <c r="L85">
        <f t="shared" ca="1" si="15"/>
        <v>0.60611764543852165</v>
      </c>
      <c r="M85">
        <f ca="1">SUM($L$3:L85)</f>
        <v>65.202596254995441</v>
      </c>
      <c r="O85">
        <f t="shared" ca="1" si="16"/>
        <v>2950.0392035561963</v>
      </c>
      <c r="P85" s="16">
        <f t="shared" ca="1" si="17"/>
        <v>11129.01171589741</v>
      </c>
      <c r="Q85" s="17">
        <f t="shared" ca="1" si="18"/>
        <v>465271.60093039763</v>
      </c>
      <c r="S85">
        <f ca="1">IF(A85&lt;='Dane do harmonogramu'!$D$7,'Roboczy harmonogram_1'!P85,0)</f>
        <v>11129.01171589741</v>
      </c>
      <c r="T85">
        <f ca="1">IF(A85&lt;='Dane do harmonogramu'!$D$7,'Roboczy harmonogram_1'!O85,0)</f>
        <v>2950.0392035561963</v>
      </c>
      <c r="U85">
        <f ca="1">IF(A85&lt;='Dane do harmonogramu'!$D$7,$N$2,0)</f>
        <v>14079.050919453606</v>
      </c>
      <c r="V85" s="16">
        <f ca="1">IF(A84&lt;='Dane do harmonogramu'!$D$7,Q84*0.15%,"")</f>
        <v>714.60091896944255</v>
      </c>
    </row>
    <row r="86" spans="1:22" x14ac:dyDescent="0.35">
      <c r="A86">
        <v>84</v>
      </c>
      <c r="B86" s="14">
        <f t="shared" ca="1" si="19"/>
        <v>48627</v>
      </c>
      <c r="C86" s="15">
        <f ca="1">(1+'Dane do harmonogramu'!$D$13*('Roboczy harmonogram_1'!B86-'Roboczy harmonogram_1'!B85)/365)</f>
        <v>1.0062</v>
      </c>
      <c r="D86" s="15">
        <f ca="1">(1+'Dane do harmonogramu'!$D$13*('Roboczy harmonogram_1'!B86-'Roboczy harmonogram_1'!B85)/366)</f>
        <v>1.0061830601092896</v>
      </c>
      <c r="E86" s="15">
        <f t="shared" ca="1" si="10"/>
        <v>0</v>
      </c>
      <c r="F86" s="15">
        <f t="shared" ca="1" si="11"/>
        <v>0</v>
      </c>
      <c r="G86">
        <f ca="1">IF(E86=1,(1+'Dane do harmonogramu'!$D$13*((('Roboczy harmonogram_1'!B86-DATE(YEAR(B86),1,1)+1)/365)+((DATE(YEAR(B85),12,31)-'Roboczy harmonogram_1'!B85)/366))),IF(F86=1,(1+'Dane do harmonogramu'!$D$13*((('Roboczy harmonogram_1'!B86-DATE(YEAR(B86),1,1)+1)/366)+((DATE(YEAR(B85),12,31)-'Roboczy harmonogram_1'!B85)/365))),0))</f>
        <v>0</v>
      </c>
      <c r="H86">
        <f t="shared" ca="1" si="12"/>
        <v>0</v>
      </c>
      <c r="I86">
        <f t="shared" ca="1" si="13"/>
        <v>1.0062</v>
      </c>
      <c r="J86">
        <f t="shared" ca="1" si="14"/>
        <v>1.0062</v>
      </c>
      <c r="K86">
        <f ca="1">PRODUCT($J$3:J86)</f>
        <v>1.6600737622017614</v>
      </c>
      <c r="L86">
        <f t="shared" ca="1" si="15"/>
        <v>0.60238287163438853</v>
      </c>
      <c r="M86">
        <f ca="1">SUM($L$3:L86)</f>
        <v>65.804979126629831</v>
      </c>
      <c r="O86">
        <f t="shared" ca="1" si="16"/>
        <v>2884.6839257684769</v>
      </c>
      <c r="P86" s="16">
        <f t="shared" ca="1" si="17"/>
        <v>11194.366993685129</v>
      </c>
      <c r="Q86" s="17">
        <f t="shared" ca="1" si="18"/>
        <v>454077.2339367125</v>
      </c>
      <c r="S86">
        <f ca="1">IF(A86&lt;='Dane do harmonogramu'!$D$7,'Roboczy harmonogram_1'!P86,0)</f>
        <v>11194.366993685129</v>
      </c>
      <c r="T86">
        <f ca="1">IF(A86&lt;='Dane do harmonogramu'!$D$7,'Roboczy harmonogram_1'!O86,0)</f>
        <v>2884.6839257684769</v>
      </c>
      <c r="U86">
        <f ca="1">IF(A86&lt;='Dane do harmonogramu'!$D$7,$N$2,0)</f>
        <v>14079.050919453606</v>
      </c>
      <c r="V86" s="16">
        <f ca="1">IF(A85&lt;='Dane do harmonogramu'!$D$7,Q85*0.15%,"")</f>
        <v>697.90740139559648</v>
      </c>
    </row>
    <row r="87" spans="1:22" x14ac:dyDescent="0.35">
      <c r="A87">
        <v>85</v>
      </c>
      <c r="B87" s="14">
        <f t="shared" ca="1" si="19"/>
        <v>48655</v>
      </c>
      <c r="C87" s="15">
        <f ca="1">(1+'Dane do harmonogramu'!$D$13*('Roboczy harmonogram_1'!B87-'Roboczy harmonogram_1'!B86)/365)</f>
        <v>1.0056</v>
      </c>
      <c r="D87" s="15">
        <f ca="1">(1+'Dane do harmonogramu'!$D$13*('Roboczy harmonogram_1'!B87-'Roboczy harmonogram_1'!B86)/366)</f>
        <v>1.005584699453552</v>
      </c>
      <c r="E87" s="15">
        <f t="shared" ca="1" si="10"/>
        <v>0</v>
      </c>
      <c r="F87" s="15">
        <f t="shared" ca="1" si="11"/>
        <v>0</v>
      </c>
      <c r="G87">
        <f ca="1">IF(E87=1,(1+'Dane do harmonogramu'!$D$13*((('Roboczy harmonogram_1'!B87-DATE(YEAR(B87),1,1)+1)/365)+((DATE(YEAR(B86),12,31)-'Roboczy harmonogram_1'!B86)/366))),IF(F87=1,(1+'Dane do harmonogramu'!$D$13*((('Roboczy harmonogram_1'!B87-DATE(YEAR(B87),1,1)+1)/366)+((DATE(YEAR(B86),12,31)-'Roboczy harmonogram_1'!B86)/365))),0))</f>
        <v>0</v>
      </c>
      <c r="H87">
        <f t="shared" ca="1" si="12"/>
        <v>0</v>
      </c>
      <c r="I87">
        <f t="shared" ca="1" si="13"/>
        <v>1.0056</v>
      </c>
      <c r="J87">
        <f t="shared" ca="1" si="14"/>
        <v>1.0056</v>
      </c>
      <c r="K87">
        <f ca="1">PRODUCT($J$3:J87)</f>
        <v>1.6693701752700913</v>
      </c>
      <c r="L87">
        <f t="shared" ca="1" si="15"/>
        <v>0.59902831308113413</v>
      </c>
      <c r="M87">
        <f ca="1">SUM($L$3:L87)</f>
        <v>66.404007439710966</v>
      </c>
      <c r="O87">
        <f t="shared" ca="1" si="16"/>
        <v>2542.8325100456132</v>
      </c>
      <c r="P87" s="16">
        <f t="shared" ca="1" si="17"/>
        <v>11536.218409407993</v>
      </c>
      <c r="Q87" s="17">
        <f t="shared" ca="1" si="18"/>
        <v>442541.01552730449</v>
      </c>
      <c r="S87">
        <f ca="1">IF(A87&lt;='Dane do harmonogramu'!$D$7,'Roboczy harmonogram_1'!P87,0)</f>
        <v>11536.218409407993</v>
      </c>
      <c r="T87">
        <f ca="1">IF(A87&lt;='Dane do harmonogramu'!$D$7,'Roboczy harmonogram_1'!O87,0)</f>
        <v>2542.8325100456132</v>
      </c>
      <c r="U87">
        <f ca="1">IF(A87&lt;='Dane do harmonogramu'!$D$7,$N$2,0)</f>
        <v>14079.050919453606</v>
      </c>
      <c r="V87" s="16">
        <f ca="1">IF(A86&lt;='Dane do harmonogramu'!$D$7,Q86*0.15%,"")</f>
        <v>681.11585090506878</v>
      </c>
    </row>
    <row r="88" spans="1:22" x14ac:dyDescent="0.35">
      <c r="A88">
        <v>86</v>
      </c>
      <c r="B88" s="14">
        <f t="shared" ca="1" si="19"/>
        <v>48686</v>
      </c>
      <c r="C88" s="15">
        <f ca="1">(1+'Dane do harmonogramu'!$D$13*('Roboczy harmonogram_1'!B88-'Roboczy harmonogram_1'!B87)/365)</f>
        <v>1.0062</v>
      </c>
      <c r="D88" s="15">
        <f ca="1">(1+'Dane do harmonogramu'!$D$13*('Roboczy harmonogram_1'!B88-'Roboczy harmonogram_1'!B87)/366)</f>
        <v>1.0061830601092896</v>
      </c>
      <c r="E88" s="15">
        <f t="shared" ca="1" si="10"/>
        <v>0</v>
      </c>
      <c r="F88" s="15">
        <f t="shared" ca="1" si="11"/>
        <v>0</v>
      </c>
      <c r="G88">
        <f ca="1">IF(E88=1,(1+'Dane do harmonogramu'!$D$13*((('Roboczy harmonogram_1'!B88-DATE(YEAR(B88),1,1)+1)/365)+((DATE(YEAR(B87),12,31)-'Roboczy harmonogram_1'!B87)/366))),IF(F88=1,(1+'Dane do harmonogramu'!$D$13*((('Roboczy harmonogram_1'!B88-DATE(YEAR(B88),1,1)+1)/366)+((DATE(YEAR(B87),12,31)-'Roboczy harmonogram_1'!B87)/365))),0))</f>
        <v>0</v>
      </c>
      <c r="H88">
        <f t="shared" ca="1" si="12"/>
        <v>0</v>
      </c>
      <c r="I88">
        <f t="shared" ca="1" si="13"/>
        <v>1.0062</v>
      </c>
      <c r="J88">
        <f t="shared" ca="1" si="14"/>
        <v>1.0062</v>
      </c>
      <c r="K88">
        <f ca="1">PRODUCT($J$3:J88)</f>
        <v>1.679720270356766</v>
      </c>
      <c r="L88">
        <f t="shared" ca="1" si="15"/>
        <v>0.59533722230285635</v>
      </c>
      <c r="M88">
        <f ca="1">SUM($L$3:L88)</f>
        <v>66.999344662013826</v>
      </c>
      <c r="O88">
        <f t="shared" ca="1" si="16"/>
        <v>2743.7542962692678</v>
      </c>
      <c r="P88" s="16">
        <f t="shared" ca="1" si="17"/>
        <v>11335.296623184338</v>
      </c>
      <c r="Q88" s="17">
        <f t="shared" ca="1" si="18"/>
        <v>431205.71890412015</v>
      </c>
      <c r="S88">
        <f ca="1">IF(A88&lt;='Dane do harmonogramu'!$D$7,'Roboczy harmonogram_1'!P88,0)</f>
        <v>11335.296623184338</v>
      </c>
      <c r="T88">
        <f ca="1">IF(A88&lt;='Dane do harmonogramu'!$D$7,'Roboczy harmonogram_1'!O88,0)</f>
        <v>2743.7542962692678</v>
      </c>
      <c r="U88">
        <f ca="1">IF(A88&lt;='Dane do harmonogramu'!$D$7,$N$2,0)</f>
        <v>14079.050919453606</v>
      </c>
      <c r="V88" s="16">
        <f ca="1">IF(A87&lt;='Dane do harmonogramu'!$D$7,Q87*0.15%,"")</f>
        <v>663.81152329095676</v>
      </c>
    </row>
    <row r="89" spans="1:22" x14ac:dyDescent="0.35">
      <c r="A89">
        <v>87</v>
      </c>
      <c r="B89" s="14">
        <f t="shared" ca="1" si="19"/>
        <v>48716</v>
      </c>
      <c r="C89" s="15">
        <f ca="1">(1+'Dane do harmonogramu'!$D$13*('Roboczy harmonogram_1'!B89-'Roboczy harmonogram_1'!B88)/365)</f>
        <v>1.006</v>
      </c>
      <c r="D89" s="15">
        <f ca="1">(1+'Dane do harmonogramu'!$D$13*('Roboczy harmonogram_1'!B89-'Roboczy harmonogram_1'!B88)/366)</f>
        <v>1.0059836065573771</v>
      </c>
      <c r="E89" s="15">
        <f t="shared" ca="1" si="10"/>
        <v>0</v>
      </c>
      <c r="F89" s="15">
        <f t="shared" ca="1" si="11"/>
        <v>0</v>
      </c>
      <c r="G89">
        <f ca="1">IF(E89=1,(1+'Dane do harmonogramu'!$D$13*((('Roboczy harmonogram_1'!B89-DATE(YEAR(B89),1,1)+1)/365)+((DATE(YEAR(B88),12,31)-'Roboczy harmonogram_1'!B88)/366))),IF(F89=1,(1+'Dane do harmonogramu'!$D$13*((('Roboczy harmonogram_1'!B89-DATE(YEAR(B89),1,1)+1)/366)+((DATE(YEAR(B88),12,31)-'Roboczy harmonogram_1'!B88)/365))),0))</f>
        <v>0</v>
      </c>
      <c r="H89">
        <f t="shared" ca="1" si="12"/>
        <v>0</v>
      </c>
      <c r="I89">
        <f t="shared" ca="1" si="13"/>
        <v>1.006</v>
      </c>
      <c r="J89">
        <f t="shared" ca="1" si="14"/>
        <v>1.006</v>
      </c>
      <c r="K89">
        <f ca="1">PRODUCT($J$3:J89)</f>
        <v>1.6897985919789065</v>
      </c>
      <c r="L89">
        <f t="shared" ca="1" si="15"/>
        <v>0.59178650328315752</v>
      </c>
      <c r="M89">
        <f ca="1">SUM($L$3:L89)</f>
        <v>67.591131165296986</v>
      </c>
      <c r="O89">
        <f t="shared" ca="1" si="16"/>
        <v>2587.2343134247349</v>
      </c>
      <c r="P89" s="16">
        <f t="shared" ca="1" si="17"/>
        <v>11491.816606028871</v>
      </c>
      <c r="Q89" s="17">
        <f t="shared" ca="1" si="18"/>
        <v>419713.90229809127</v>
      </c>
      <c r="S89">
        <f ca="1">IF(A89&lt;='Dane do harmonogramu'!$D$7,'Roboczy harmonogram_1'!P89,0)</f>
        <v>11491.816606028871</v>
      </c>
      <c r="T89">
        <f ca="1">IF(A89&lt;='Dane do harmonogramu'!$D$7,'Roboczy harmonogram_1'!O89,0)</f>
        <v>2587.2343134247349</v>
      </c>
      <c r="U89">
        <f ca="1">IF(A89&lt;='Dane do harmonogramu'!$D$7,$N$2,0)</f>
        <v>14079.050919453606</v>
      </c>
      <c r="V89" s="16">
        <f ca="1">IF(A88&lt;='Dane do harmonogramu'!$D$7,Q88*0.15%,"")</f>
        <v>646.80857835618019</v>
      </c>
    </row>
    <row r="90" spans="1:22" x14ac:dyDescent="0.35">
      <c r="A90">
        <v>88</v>
      </c>
      <c r="B90" s="14">
        <f t="shared" ca="1" si="19"/>
        <v>48747</v>
      </c>
      <c r="C90" s="15">
        <f ca="1">(1+'Dane do harmonogramu'!$D$13*('Roboczy harmonogram_1'!B90-'Roboczy harmonogram_1'!B89)/365)</f>
        <v>1.0062</v>
      </c>
      <c r="D90" s="15">
        <f ca="1">(1+'Dane do harmonogramu'!$D$13*('Roboczy harmonogram_1'!B90-'Roboczy harmonogram_1'!B89)/366)</f>
        <v>1.0061830601092896</v>
      </c>
      <c r="E90" s="15">
        <f t="shared" ca="1" si="10"/>
        <v>0</v>
      </c>
      <c r="F90" s="15">
        <f t="shared" ca="1" si="11"/>
        <v>0</v>
      </c>
      <c r="G90">
        <f ca="1">IF(E90=1,(1+'Dane do harmonogramu'!$D$13*((('Roboczy harmonogram_1'!B90-DATE(YEAR(B90),1,1)+1)/365)+((DATE(YEAR(B89),12,31)-'Roboczy harmonogram_1'!B89)/366))),IF(F90=1,(1+'Dane do harmonogramu'!$D$13*((('Roboczy harmonogram_1'!B90-DATE(YEAR(B90),1,1)+1)/366)+((DATE(YEAR(B89),12,31)-'Roboczy harmonogram_1'!B89)/365))),0))</f>
        <v>0</v>
      </c>
      <c r="H90">
        <f t="shared" ca="1" si="12"/>
        <v>0</v>
      </c>
      <c r="I90">
        <f t="shared" ca="1" si="13"/>
        <v>1.0062</v>
      </c>
      <c r="J90">
        <f t="shared" ca="1" si="14"/>
        <v>1.0062</v>
      </c>
      <c r="K90">
        <f ca="1">PRODUCT($J$3:J90)</f>
        <v>1.7002753432491757</v>
      </c>
      <c r="L90">
        <f t="shared" ca="1" si="15"/>
        <v>0.58814003506574986</v>
      </c>
      <c r="M90">
        <f ca="1">SUM($L$3:L90)</f>
        <v>68.179271200362734</v>
      </c>
      <c r="O90">
        <f t="shared" ca="1" si="16"/>
        <v>2602.2261942481855</v>
      </c>
      <c r="P90" s="16">
        <f t="shared" ca="1" si="17"/>
        <v>11476.824725205421</v>
      </c>
      <c r="Q90" s="17">
        <f t="shared" ca="1" si="18"/>
        <v>408237.07757288584</v>
      </c>
      <c r="S90">
        <f ca="1">IF(A90&lt;='Dane do harmonogramu'!$D$7,'Roboczy harmonogram_1'!P90,0)</f>
        <v>11476.824725205421</v>
      </c>
      <c r="T90">
        <f ca="1">IF(A90&lt;='Dane do harmonogramu'!$D$7,'Roboczy harmonogram_1'!O90,0)</f>
        <v>2602.2261942481855</v>
      </c>
      <c r="U90">
        <f ca="1">IF(A90&lt;='Dane do harmonogramu'!$D$7,$N$2,0)</f>
        <v>14079.050919453606</v>
      </c>
      <c r="V90" s="16">
        <f ca="1">IF(A89&lt;='Dane do harmonogramu'!$D$7,Q89*0.15%,"")</f>
        <v>629.57085344713687</v>
      </c>
    </row>
    <row r="91" spans="1:22" x14ac:dyDescent="0.35">
      <c r="A91">
        <v>89</v>
      </c>
      <c r="B91" s="14">
        <f t="shared" ca="1" si="19"/>
        <v>48777</v>
      </c>
      <c r="C91" s="15">
        <f ca="1">(1+'Dane do harmonogramu'!$D$13*('Roboczy harmonogram_1'!B91-'Roboczy harmonogram_1'!B90)/365)</f>
        <v>1.006</v>
      </c>
      <c r="D91" s="15">
        <f ca="1">(1+'Dane do harmonogramu'!$D$13*('Roboczy harmonogram_1'!B91-'Roboczy harmonogram_1'!B90)/366)</f>
        <v>1.0059836065573771</v>
      </c>
      <c r="E91" s="15">
        <f t="shared" ca="1" si="10"/>
        <v>0</v>
      </c>
      <c r="F91" s="15">
        <f t="shared" ca="1" si="11"/>
        <v>0</v>
      </c>
      <c r="G91">
        <f ca="1">IF(E91=1,(1+'Dane do harmonogramu'!$D$13*((('Roboczy harmonogram_1'!B91-DATE(YEAR(B91),1,1)+1)/365)+((DATE(YEAR(B90),12,31)-'Roboczy harmonogram_1'!B90)/366))),IF(F91=1,(1+'Dane do harmonogramu'!$D$13*((('Roboczy harmonogram_1'!B91-DATE(YEAR(B91),1,1)+1)/366)+((DATE(YEAR(B90),12,31)-'Roboczy harmonogram_1'!B90)/365))),0))</f>
        <v>0</v>
      </c>
      <c r="H91">
        <f t="shared" ca="1" si="12"/>
        <v>0</v>
      </c>
      <c r="I91">
        <f t="shared" ca="1" si="13"/>
        <v>1.006</v>
      </c>
      <c r="J91">
        <f t="shared" ca="1" si="14"/>
        <v>1.006</v>
      </c>
      <c r="K91">
        <f ca="1">PRODUCT($J$3:J91)</f>
        <v>1.7104769953086707</v>
      </c>
      <c r="L91">
        <f t="shared" ca="1" si="15"/>
        <v>0.58463224161605354</v>
      </c>
      <c r="M91">
        <f ca="1">SUM($L$3:L91)</f>
        <v>68.763903441978783</v>
      </c>
      <c r="O91">
        <f t="shared" ca="1" si="16"/>
        <v>2449.4224654373247</v>
      </c>
      <c r="P91" s="16">
        <f t="shared" ca="1" si="17"/>
        <v>11629.628454016281</v>
      </c>
      <c r="Q91" s="17">
        <f t="shared" ca="1" si="18"/>
        <v>396607.44911886955</v>
      </c>
      <c r="S91">
        <f ca="1">IF(A91&lt;='Dane do harmonogramu'!$D$7,'Roboczy harmonogram_1'!P91,0)</f>
        <v>11629.628454016281</v>
      </c>
      <c r="T91">
        <f ca="1">IF(A91&lt;='Dane do harmonogramu'!$D$7,'Roboczy harmonogram_1'!O91,0)</f>
        <v>2449.4224654373247</v>
      </c>
      <c r="U91">
        <f ca="1">IF(A91&lt;='Dane do harmonogramu'!$D$7,$N$2,0)</f>
        <v>14079.050919453606</v>
      </c>
      <c r="V91" s="16">
        <f ca="1">IF(A90&lt;='Dane do harmonogramu'!$D$7,Q90*0.15%,"")</f>
        <v>612.35561635932879</v>
      </c>
    </row>
    <row r="92" spans="1:22" x14ac:dyDescent="0.35">
      <c r="A92">
        <v>90</v>
      </c>
      <c r="B92" s="14">
        <f t="shared" ca="1" si="19"/>
        <v>48808</v>
      </c>
      <c r="C92" s="15">
        <f ca="1">(1+'Dane do harmonogramu'!$D$13*('Roboczy harmonogram_1'!B92-'Roboczy harmonogram_1'!B91)/365)</f>
        <v>1.0062</v>
      </c>
      <c r="D92" s="15">
        <f ca="1">(1+'Dane do harmonogramu'!$D$13*('Roboczy harmonogram_1'!B92-'Roboczy harmonogram_1'!B91)/366)</f>
        <v>1.0061830601092896</v>
      </c>
      <c r="E92" s="15">
        <f t="shared" ca="1" si="10"/>
        <v>0</v>
      </c>
      <c r="F92" s="15">
        <f t="shared" ca="1" si="11"/>
        <v>0</v>
      </c>
      <c r="G92">
        <f ca="1">IF(E92=1,(1+'Dane do harmonogramu'!$D$13*((('Roboczy harmonogram_1'!B92-DATE(YEAR(B92),1,1)+1)/365)+((DATE(YEAR(B91),12,31)-'Roboczy harmonogram_1'!B91)/366))),IF(F92=1,(1+'Dane do harmonogramu'!$D$13*((('Roboczy harmonogram_1'!B92-DATE(YEAR(B92),1,1)+1)/366)+((DATE(YEAR(B91),12,31)-'Roboczy harmonogram_1'!B91)/365))),0))</f>
        <v>0</v>
      </c>
      <c r="H92">
        <f t="shared" ca="1" si="12"/>
        <v>0</v>
      </c>
      <c r="I92">
        <f t="shared" ca="1" si="13"/>
        <v>1.0062</v>
      </c>
      <c r="J92">
        <f t="shared" ca="1" si="14"/>
        <v>1.0062</v>
      </c>
      <c r="K92">
        <f ca="1">PRODUCT($J$3:J92)</f>
        <v>1.7210819526795844</v>
      </c>
      <c r="L92">
        <f t="shared" ca="1" si="15"/>
        <v>0.58102985650571803</v>
      </c>
      <c r="M92">
        <f ca="1">SUM($L$3:L92)</f>
        <v>69.344933298484506</v>
      </c>
      <c r="O92">
        <f t="shared" ca="1" si="16"/>
        <v>2458.9661845369847</v>
      </c>
      <c r="P92" s="16">
        <f t="shared" ca="1" si="17"/>
        <v>11620.084734916622</v>
      </c>
      <c r="Q92" s="17">
        <f t="shared" ca="1" si="18"/>
        <v>384987.36438395292</v>
      </c>
      <c r="S92">
        <f ca="1">IF(A92&lt;='Dane do harmonogramu'!$D$7,'Roboczy harmonogram_1'!P92,0)</f>
        <v>11620.084734916622</v>
      </c>
      <c r="T92">
        <f ca="1">IF(A92&lt;='Dane do harmonogramu'!$D$7,'Roboczy harmonogram_1'!O92,0)</f>
        <v>2458.9661845369847</v>
      </c>
      <c r="U92">
        <f ca="1">IF(A92&lt;='Dane do harmonogramu'!$D$7,$N$2,0)</f>
        <v>14079.050919453606</v>
      </c>
      <c r="V92" s="16">
        <f ca="1">IF(A91&lt;='Dane do harmonogramu'!$D$7,Q91*0.15%,"")</f>
        <v>594.91117367830429</v>
      </c>
    </row>
    <row r="93" spans="1:22" x14ac:dyDescent="0.35">
      <c r="A93">
        <v>91</v>
      </c>
      <c r="B93" s="14">
        <f t="shared" ca="1" si="19"/>
        <v>48839</v>
      </c>
      <c r="C93" s="15">
        <f ca="1">(1+'Dane do harmonogramu'!$D$13*('Roboczy harmonogram_1'!B93-'Roboczy harmonogram_1'!B92)/365)</f>
        <v>1.0062</v>
      </c>
      <c r="D93" s="15">
        <f ca="1">(1+'Dane do harmonogramu'!$D$13*('Roboczy harmonogram_1'!B93-'Roboczy harmonogram_1'!B92)/366)</f>
        <v>1.0061830601092896</v>
      </c>
      <c r="E93" s="15">
        <f t="shared" ca="1" si="10"/>
        <v>0</v>
      </c>
      <c r="F93" s="15">
        <f t="shared" ca="1" si="11"/>
        <v>0</v>
      </c>
      <c r="G93">
        <f ca="1">IF(E93=1,(1+'Dane do harmonogramu'!$D$13*((('Roboczy harmonogram_1'!B93-DATE(YEAR(B93),1,1)+1)/365)+((DATE(YEAR(B92),12,31)-'Roboczy harmonogram_1'!B92)/366))),IF(F93=1,(1+'Dane do harmonogramu'!$D$13*((('Roboczy harmonogram_1'!B93-DATE(YEAR(B93),1,1)+1)/366)+((DATE(YEAR(B92),12,31)-'Roboczy harmonogram_1'!B92)/365))),0))</f>
        <v>0</v>
      </c>
      <c r="H93">
        <f t="shared" ca="1" si="12"/>
        <v>0</v>
      </c>
      <c r="I93">
        <f t="shared" ca="1" si="13"/>
        <v>1.0062</v>
      </c>
      <c r="J93">
        <f t="shared" ca="1" si="14"/>
        <v>1.0062</v>
      </c>
      <c r="K93">
        <f ca="1">PRODUCT($J$3:J93)</f>
        <v>1.7317526607861977</v>
      </c>
      <c r="L93">
        <f t="shared" ca="1" si="15"/>
        <v>0.57744966856064217</v>
      </c>
      <c r="M93">
        <f ca="1">SUM($L$3:L93)</f>
        <v>69.922382967045152</v>
      </c>
      <c r="O93">
        <f t="shared" ca="1" si="16"/>
        <v>2386.921659180487</v>
      </c>
      <c r="P93" s="16">
        <f t="shared" ca="1" si="17"/>
        <v>11692.129260273119</v>
      </c>
      <c r="Q93" s="17">
        <f t="shared" ca="1" si="18"/>
        <v>373295.2351236798</v>
      </c>
      <c r="S93">
        <f ca="1">IF(A93&lt;='Dane do harmonogramu'!$D$7,'Roboczy harmonogram_1'!P93,0)</f>
        <v>11692.129260273119</v>
      </c>
      <c r="T93">
        <f ca="1">IF(A93&lt;='Dane do harmonogramu'!$D$7,'Roboczy harmonogram_1'!O93,0)</f>
        <v>2386.921659180487</v>
      </c>
      <c r="U93">
        <f ca="1">IF(A93&lt;='Dane do harmonogramu'!$D$7,$N$2,0)</f>
        <v>14079.050919453606</v>
      </c>
      <c r="V93" s="16">
        <f ca="1">IF(A92&lt;='Dane do harmonogramu'!$D$7,Q92*0.15%,"")</f>
        <v>577.48104657592944</v>
      </c>
    </row>
    <row r="94" spans="1:22" x14ac:dyDescent="0.35">
      <c r="A94">
        <v>92</v>
      </c>
      <c r="B94" s="14">
        <f t="shared" ca="1" si="19"/>
        <v>48869</v>
      </c>
      <c r="C94" s="15">
        <f ca="1">(1+'Dane do harmonogramu'!$D$13*('Roboczy harmonogram_1'!B94-'Roboczy harmonogram_1'!B93)/365)</f>
        <v>1.006</v>
      </c>
      <c r="D94" s="15">
        <f ca="1">(1+'Dane do harmonogramu'!$D$13*('Roboczy harmonogram_1'!B94-'Roboczy harmonogram_1'!B93)/366)</f>
        <v>1.0059836065573771</v>
      </c>
      <c r="E94" s="15">
        <f t="shared" ca="1" si="10"/>
        <v>0</v>
      </c>
      <c r="F94" s="15">
        <f t="shared" ca="1" si="11"/>
        <v>0</v>
      </c>
      <c r="G94">
        <f ca="1">IF(E94=1,(1+'Dane do harmonogramu'!$D$13*((('Roboczy harmonogram_1'!B94-DATE(YEAR(B94),1,1)+1)/365)+((DATE(YEAR(B93),12,31)-'Roboczy harmonogram_1'!B93)/366))),IF(F94=1,(1+'Dane do harmonogramu'!$D$13*((('Roboczy harmonogram_1'!B94-DATE(YEAR(B94),1,1)+1)/366)+((DATE(YEAR(B93),12,31)-'Roboczy harmonogram_1'!B93)/365))),0))</f>
        <v>0</v>
      </c>
      <c r="H94">
        <f t="shared" ca="1" si="12"/>
        <v>0</v>
      </c>
      <c r="I94">
        <f t="shared" ca="1" si="13"/>
        <v>1.006</v>
      </c>
      <c r="J94">
        <f t="shared" ca="1" si="14"/>
        <v>1.006</v>
      </c>
      <c r="K94">
        <f ca="1">PRODUCT($J$3:J94)</f>
        <v>1.742143176750915</v>
      </c>
      <c r="L94">
        <f t="shared" ca="1" si="15"/>
        <v>0.57400563475212929</v>
      </c>
      <c r="M94">
        <f ca="1">SUM($L$3:L94)</f>
        <v>70.496388601797278</v>
      </c>
      <c r="O94">
        <f t="shared" ca="1" si="16"/>
        <v>2239.7714107420761</v>
      </c>
      <c r="P94" s="16">
        <f t="shared" ca="1" si="17"/>
        <v>11839.27950871153</v>
      </c>
      <c r="Q94" s="17">
        <f t="shared" ca="1" si="18"/>
        <v>361455.95561496826</v>
      </c>
      <c r="S94">
        <f ca="1">IF(A94&lt;='Dane do harmonogramu'!$D$7,'Roboczy harmonogram_1'!P94,0)</f>
        <v>11839.27950871153</v>
      </c>
      <c r="T94">
        <f ca="1">IF(A94&lt;='Dane do harmonogramu'!$D$7,'Roboczy harmonogram_1'!O94,0)</f>
        <v>2239.7714107420761</v>
      </c>
      <c r="U94">
        <f ca="1">IF(A94&lt;='Dane do harmonogramu'!$D$7,$N$2,0)</f>
        <v>14079.050919453606</v>
      </c>
      <c r="V94" s="16">
        <f ca="1">IF(A93&lt;='Dane do harmonogramu'!$D$7,Q93*0.15%,"")</f>
        <v>559.94285268551971</v>
      </c>
    </row>
    <row r="95" spans="1:22" x14ac:dyDescent="0.35">
      <c r="A95">
        <v>93</v>
      </c>
      <c r="B95" s="14">
        <f t="shared" ca="1" si="19"/>
        <v>48900</v>
      </c>
      <c r="C95" s="15">
        <f ca="1">(1+'Dane do harmonogramu'!$D$13*('Roboczy harmonogram_1'!B95-'Roboczy harmonogram_1'!B94)/365)</f>
        <v>1.0062</v>
      </c>
      <c r="D95" s="15">
        <f ca="1">(1+'Dane do harmonogramu'!$D$13*('Roboczy harmonogram_1'!B95-'Roboczy harmonogram_1'!B94)/366)</f>
        <v>1.0061830601092896</v>
      </c>
      <c r="E95" s="15">
        <f t="shared" ca="1" si="10"/>
        <v>0</v>
      </c>
      <c r="F95" s="15">
        <f t="shared" ca="1" si="11"/>
        <v>0</v>
      </c>
      <c r="G95">
        <f ca="1">IF(E95=1,(1+'Dane do harmonogramu'!$D$13*((('Roboczy harmonogram_1'!B95-DATE(YEAR(B95),1,1)+1)/365)+((DATE(YEAR(B94),12,31)-'Roboczy harmonogram_1'!B94)/366))),IF(F95=1,(1+'Dane do harmonogramu'!$D$13*((('Roboczy harmonogram_1'!B95-DATE(YEAR(B95),1,1)+1)/366)+((DATE(YEAR(B94),12,31)-'Roboczy harmonogram_1'!B94)/365))),0))</f>
        <v>0</v>
      </c>
      <c r="H95">
        <f t="shared" ca="1" si="12"/>
        <v>0</v>
      </c>
      <c r="I95">
        <f t="shared" ca="1" si="13"/>
        <v>1.0062</v>
      </c>
      <c r="J95">
        <f t="shared" ca="1" si="14"/>
        <v>1.0062</v>
      </c>
      <c r="K95">
        <f ca="1">PRODUCT($J$3:J95)</f>
        <v>1.7529444644467707</v>
      </c>
      <c r="L95">
        <f t="shared" ca="1" si="15"/>
        <v>0.57046872863459486</v>
      </c>
      <c r="M95">
        <f ca="1">SUM($L$3:L95)</f>
        <v>71.066857330431873</v>
      </c>
      <c r="O95">
        <f t="shared" ca="1" si="16"/>
        <v>2241.026924812817</v>
      </c>
      <c r="P95" s="16">
        <f t="shared" ca="1" si="17"/>
        <v>11838.023994640789</v>
      </c>
      <c r="Q95" s="17">
        <f t="shared" ca="1" si="18"/>
        <v>349617.93162032746</v>
      </c>
      <c r="S95">
        <f ca="1">IF(A95&lt;='Dane do harmonogramu'!$D$7,'Roboczy harmonogram_1'!P95,0)</f>
        <v>11838.023994640789</v>
      </c>
      <c r="T95">
        <f ca="1">IF(A95&lt;='Dane do harmonogramu'!$D$7,'Roboczy harmonogram_1'!O95,0)</f>
        <v>2241.026924812817</v>
      </c>
      <c r="U95">
        <f ca="1">IF(A95&lt;='Dane do harmonogramu'!$D$7,$N$2,0)</f>
        <v>14079.050919453606</v>
      </c>
      <c r="V95" s="16">
        <f ca="1">IF(A94&lt;='Dane do harmonogramu'!$D$7,Q94*0.15%,"")</f>
        <v>542.18393342245236</v>
      </c>
    </row>
    <row r="96" spans="1:22" x14ac:dyDescent="0.35">
      <c r="A96">
        <v>94</v>
      </c>
      <c r="B96" s="14">
        <f t="shared" ca="1" si="19"/>
        <v>48930</v>
      </c>
      <c r="C96" s="15">
        <f ca="1">(1+'Dane do harmonogramu'!$D$13*('Roboczy harmonogram_1'!B96-'Roboczy harmonogram_1'!B95)/365)</f>
        <v>1.006</v>
      </c>
      <c r="D96" s="15">
        <f ca="1">(1+'Dane do harmonogramu'!$D$13*('Roboczy harmonogram_1'!B96-'Roboczy harmonogram_1'!B95)/366)</f>
        <v>1.0059836065573771</v>
      </c>
      <c r="E96" s="15">
        <f t="shared" ca="1" si="10"/>
        <v>0</v>
      </c>
      <c r="F96" s="15">
        <f t="shared" ca="1" si="11"/>
        <v>0</v>
      </c>
      <c r="G96">
        <f ca="1">IF(E96=1,(1+'Dane do harmonogramu'!$D$13*((('Roboczy harmonogram_1'!B96-DATE(YEAR(B96),1,1)+1)/365)+((DATE(YEAR(B95),12,31)-'Roboczy harmonogram_1'!B95)/366))),IF(F96=1,(1+'Dane do harmonogramu'!$D$13*((('Roboczy harmonogram_1'!B96-DATE(YEAR(B96),1,1)+1)/366)+((DATE(YEAR(B95),12,31)-'Roboczy harmonogram_1'!B95)/365))),0))</f>
        <v>0</v>
      </c>
      <c r="H96">
        <f t="shared" ca="1" si="12"/>
        <v>0</v>
      </c>
      <c r="I96">
        <f t="shared" ca="1" si="13"/>
        <v>1.006</v>
      </c>
      <c r="J96">
        <f t="shared" ca="1" si="14"/>
        <v>1.006</v>
      </c>
      <c r="K96">
        <f ca="1">PRODUCT($J$3:J96)</f>
        <v>1.7634621312334513</v>
      </c>
      <c r="L96">
        <f t="shared" ca="1" si="15"/>
        <v>0.56706633065069068</v>
      </c>
      <c r="M96">
        <f ca="1">SUM($L$3:L96)</f>
        <v>71.633923661082562</v>
      </c>
      <c r="O96">
        <f t="shared" ca="1" si="16"/>
        <v>2097.7075897219474</v>
      </c>
      <c r="P96" s="16">
        <f t="shared" ca="1" si="17"/>
        <v>11981.343329731659</v>
      </c>
      <c r="Q96" s="17">
        <f t="shared" ca="1" si="18"/>
        <v>337636.5882905958</v>
      </c>
      <c r="S96">
        <f ca="1">IF(A96&lt;='Dane do harmonogramu'!$D$7,'Roboczy harmonogram_1'!P96,0)</f>
        <v>11981.343329731659</v>
      </c>
      <c r="T96">
        <f ca="1">IF(A96&lt;='Dane do harmonogramu'!$D$7,'Roboczy harmonogram_1'!O96,0)</f>
        <v>2097.7075897219474</v>
      </c>
      <c r="U96">
        <f ca="1">IF(A96&lt;='Dane do harmonogramu'!$D$7,$N$2,0)</f>
        <v>14079.050919453606</v>
      </c>
      <c r="V96" s="16">
        <f ca="1">IF(A95&lt;='Dane do harmonogramu'!$D$7,Q95*0.15%,"")</f>
        <v>524.42689743049118</v>
      </c>
    </row>
    <row r="97" spans="1:22" x14ac:dyDescent="0.35">
      <c r="A97">
        <v>95</v>
      </c>
      <c r="B97" s="14">
        <f t="shared" ca="1" si="19"/>
        <v>48961</v>
      </c>
      <c r="C97" s="15">
        <f ca="1">(1+'Dane do harmonogramu'!$D$13*('Roboczy harmonogram_1'!B97-'Roboczy harmonogram_1'!B96)/365)</f>
        <v>1.0062</v>
      </c>
      <c r="D97" s="15">
        <f ca="1">(1+'Dane do harmonogramu'!$D$13*('Roboczy harmonogram_1'!B97-'Roboczy harmonogram_1'!B96)/366)</f>
        <v>1.0061830601092896</v>
      </c>
      <c r="E97" s="15">
        <f t="shared" ca="1" si="10"/>
        <v>0</v>
      </c>
      <c r="F97" s="15">
        <f t="shared" ca="1" si="11"/>
        <v>0</v>
      </c>
      <c r="G97">
        <f ca="1">IF(E97=1,(1+'Dane do harmonogramu'!$D$13*((('Roboczy harmonogram_1'!B97-DATE(YEAR(B97),1,1)+1)/365)+((DATE(YEAR(B96),12,31)-'Roboczy harmonogram_1'!B96)/366))),IF(F97=1,(1+'Dane do harmonogramu'!$D$13*((('Roboczy harmonogram_1'!B97-DATE(YEAR(B97),1,1)+1)/366)+((DATE(YEAR(B96),12,31)-'Roboczy harmonogram_1'!B96)/365))),0))</f>
        <v>0</v>
      </c>
      <c r="H97">
        <f t="shared" ca="1" si="12"/>
        <v>0</v>
      </c>
      <c r="I97">
        <f t="shared" ca="1" si="13"/>
        <v>1.0062</v>
      </c>
      <c r="J97">
        <f t="shared" ca="1" si="14"/>
        <v>1.0062</v>
      </c>
      <c r="K97">
        <f ca="1">PRODUCT($J$3:J97)</f>
        <v>1.7743955964470988</v>
      </c>
      <c r="L97">
        <f t="shared" ca="1" si="15"/>
        <v>0.56357218311537538</v>
      </c>
      <c r="M97">
        <f ca="1">SUM($L$3:L97)</f>
        <v>72.197495844197931</v>
      </c>
      <c r="O97">
        <f t="shared" ca="1" si="16"/>
        <v>2093.3468474016991</v>
      </c>
      <c r="P97" s="16">
        <f t="shared" ca="1" si="17"/>
        <v>11985.704072051907</v>
      </c>
      <c r="Q97" s="17">
        <f t="shared" ca="1" si="18"/>
        <v>325650.88421854388</v>
      </c>
      <c r="S97">
        <f ca="1">IF(A97&lt;='Dane do harmonogramu'!$D$7,'Roboczy harmonogram_1'!P97,0)</f>
        <v>11985.704072051907</v>
      </c>
      <c r="T97">
        <f ca="1">IF(A97&lt;='Dane do harmonogramu'!$D$7,'Roboczy harmonogram_1'!O97,0)</f>
        <v>2093.3468474016991</v>
      </c>
      <c r="U97">
        <f ca="1">IF(A97&lt;='Dane do harmonogramu'!$D$7,$N$2,0)</f>
        <v>14079.050919453606</v>
      </c>
      <c r="V97" s="16">
        <f ca="1">IF(A96&lt;='Dane do harmonogramu'!$D$7,Q96*0.15%,"")</f>
        <v>506.45488243589369</v>
      </c>
    </row>
    <row r="98" spans="1:22" x14ac:dyDescent="0.35">
      <c r="A98">
        <v>96</v>
      </c>
      <c r="B98" s="14">
        <f t="shared" ca="1" si="19"/>
        <v>48992</v>
      </c>
      <c r="C98" s="15">
        <f ca="1">(1+'Dane do harmonogramu'!$D$13*('Roboczy harmonogram_1'!B98-'Roboczy harmonogram_1'!B97)/365)</f>
        <v>1.0062</v>
      </c>
      <c r="D98" s="15">
        <f ca="1">(1+'Dane do harmonogramu'!$D$13*('Roboczy harmonogram_1'!B98-'Roboczy harmonogram_1'!B97)/366)</f>
        <v>1.0061830601092896</v>
      </c>
      <c r="E98" s="15">
        <f t="shared" ca="1" si="10"/>
        <v>0</v>
      </c>
      <c r="F98" s="15">
        <f t="shared" ca="1" si="11"/>
        <v>0</v>
      </c>
      <c r="G98">
        <f ca="1">IF(E98=1,(1+'Dane do harmonogramu'!$D$13*((('Roboczy harmonogram_1'!B98-DATE(YEAR(B98),1,1)+1)/365)+((DATE(YEAR(B97),12,31)-'Roboczy harmonogram_1'!B97)/366))),IF(F98=1,(1+'Dane do harmonogramu'!$D$13*((('Roboczy harmonogram_1'!B98-DATE(YEAR(B98),1,1)+1)/366)+((DATE(YEAR(B97),12,31)-'Roboczy harmonogram_1'!B97)/365))),0))</f>
        <v>0</v>
      </c>
      <c r="H98">
        <f t="shared" ca="1" si="12"/>
        <v>0</v>
      </c>
      <c r="I98">
        <f t="shared" ca="1" si="13"/>
        <v>1.0062</v>
      </c>
      <c r="J98">
        <f t="shared" ca="1" si="14"/>
        <v>1.0062</v>
      </c>
      <c r="K98">
        <f ca="1">PRODUCT($J$3:J98)</f>
        <v>1.7853968491450707</v>
      </c>
      <c r="L98">
        <f t="shared" ca="1" si="15"/>
        <v>0.56009956580736964</v>
      </c>
      <c r="M98">
        <f ca="1">SUM($L$3:L98)</f>
        <v>72.757595410005294</v>
      </c>
      <c r="O98">
        <f t="shared" ca="1" si="16"/>
        <v>2019.0354821549845</v>
      </c>
      <c r="P98" s="16">
        <f t="shared" ca="1" si="17"/>
        <v>12060.015437298622</v>
      </c>
      <c r="Q98" s="17">
        <f t="shared" ca="1" si="18"/>
        <v>313590.86878124526</v>
      </c>
      <c r="S98">
        <f ca="1">IF(A98&lt;='Dane do harmonogramu'!$D$7,'Roboczy harmonogram_1'!P98,0)</f>
        <v>12060.015437298622</v>
      </c>
      <c r="T98">
        <f ca="1">IF(A98&lt;='Dane do harmonogramu'!$D$7,'Roboczy harmonogram_1'!O98,0)</f>
        <v>2019.0354821549845</v>
      </c>
      <c r="U98">
        <f ca="1">IF(A98&lt;='Dane do harmonogramu'!$D$7,$N$2,0)</f>
        <v>14079.050919453606</v>
      </c>
      <c r="V98" s="16">
        <f ca="1">IF(A97&lt;='Dane do harmonogramu'!$D$7,Q97*0.15%,"")</f>
        <v>488.47632632781585</v>
      </c>
    </row>
    <row r="99" spans="1:22" x14ac:dyDescent="0.35">
      <c r="A99">
        <v>97</v>
      </c>
      <c r="B99" s="14">
        <f t="shared" ca="1" si="19"/>
        <v>49020</v>
      </c>
      <c r="C99" s="15">
        <f ca="1">(1+'Dane do harmonogramu'!$D$13*('Roboczy harmonogram_1'!B99-'Roboczy harmonogram_1'!B98)/365)</f>
        <v>1.0056</v>
      </c>
      <c r="D99" s="15">
        <f ca="1">(1+'Dane do harmonogramu'!$D$13*('Roboczy harmonogram_1'!B99-'Roboczy harmonogram_1'!B98)/366)</f>
        <v>1.005584699453552</v>
      </c>
      <c r="E99" s="15">
        <f t="shared" ca="1" si="10"/>
        <v>0</v>
      </c>
      <c r="F99" s="15">
        <f t="shared" ca="1" si="11"/>
        <v>0</v>
      </c>
      <c r="G99">
        <f ca="1">IF(E99=1,(1+'Dane do harmonogramu'!$D$13*((('Roboczy harmonogram_1'!B99-DATE(YEAR(B99),1,1)+1)/365)+((DATE(YEAR(B98),12,31)-'Roboczy harmonogram_1'!B98)/366))),IF(F99=1,(1+'Dane do harmonogramu'!$D$13*((('Roboczy harmonogram_1'!B99-DATE(YEAR(B99),1,1)+1)/366)+((DATE(YEAR(B98),12,31)-'Roboczy harmonogram_1'!B98)/365))),0))</f>
        <v>0</v>
      </c>
      <c r="H99">
        <f t="shared" ca="1" si="12"/>
        <v>0</v>
      </c>
      <c r="I99">
        <f t="shared" ca="1" si="13"/>
        <v>1.0056</v>
      </c>
      <c r="J99">
        <f t="shared" ca="1" si="14"/>
        <v>1.0056</v>
      </c>
      <c r="K99">
        <f ca="1">PRODUCT($J$3:J99)</f>
        <v>1.7953950715002831</v>
      </c>
      <c r="L99">
        <f t="shared" ca="1" si="15"/>
        <v>0.55698047514654903</v>
      </c>
      <c r="M99">
        <f ca="1">SUM($L$3:L99)</f>
        <v>73.314575885151839</v>
      </c>
      <c r="O99">
        <f t="shared" ca="1" si="16"/>
        <v>1756.1088651749888</v>
      </c>
      <c r="P99" s="16">
        <f t="shared" ca="1" si="17"/>
        <v>12322.942054278617</v>
      </c>
      <c r="Q99" s="17">
        <f t="shared" ca="1" si="18"/>
        <v>301267.92672696663</v>
      </c>
      <c r="S99">
        <f ca="1">IF(A99&lt;='Dane do harmonogramu'!$D$7,'Roboczy harmonogram_1'!P99,0)</f>
        <v>12322.942054278617</v>
      </c>
      <c r="T99">
        <f ca="1">IF(A99&lt;='Dane do harmonogramu'!$D$7,'Roboczy harmonogram_1'!O99,0)</f>
        <v>1756.1088651749888</v>
      </c>
      <c r="U99">
        <f ca="1">IF(A99&lt;='Dane do harmonogramu'!$D$7,$N$2,0)</f>
        <v>14079.050919453606</v>
      </c>
      <c r="V99" s="16">
        <f ca="1">IF(A98&lt;='Dane do harmonogramu'!$D$7,Q98*0.15%,"")</f>
        <v>470.38630317186789</v>
      </c>
    </row>
    <row r="100" spans="1:22" x14ac:dyDescent="0.35">
      <c r="A100">
        <v>98</v>
      </c>
      <c r="B100" s="14">
        <f t="shared" ca="1" si="19"/>
        <v>49051</v>
      </c>
      <c r="C100" s="15">
        <f ca="1">(1+'Dane do harmonogramu'!$D$13*('Roboczy harmonogram_1'!B100-'Roboczy harmonogram_1'!B99)/365)</f>
        <v>1.0062</v>
      </c>
      <c r="D100" s="15">
        <f ca="1">(1+'Dane do harmonogramu'!$D$13*('Roboczy harmonogram_1'!B100-'Roboczy harmonogram_1'!B99)/366)</f>
        <v>1.0061830601092896</v>
      </c>
      <c r="E100" s="15">
        <f t="shared" ca="1" si="10"/>
        <v>0</v>
      </c>
      <c r="F100" s="15">
        <f t="shared" ca="1" si="11"/>
        <v>0</v>
      </c>
      <c r="G100">
        <f ca="1">IF(E100=1,(1+'Dane do harmonogramu'!$D$13*((('Roboczy harmonogram_1'!B100-DATE(YEAR(B100),1,1)+1)/365)+((DATE(YEAR(B99),12,31)-'Roboczy harmonogram_1'!B99)/366))),IF(F100=1,(1+'Dane do harmonogramu'!$D$13*((('Roboczy harmonogram_1'!B100-DATE(YEAR(B100),1,1)+1)/366)+((DATE(YEAR(B99),12,31)-'Roboczy harmonogram_1'!B99)/365))),0))</f>
        <v>0</v>
      </c>
      <c r="H100">
        <f t="shared" ca="1" si="12"/>
        <v>0</v>
      </c>
      <c r="I100">
        <f t="shared" ca="1" si="13"/>
        <v>1.0062</v>
      </c>
      <c r="J100">
        <f t="shared" ca="1" si="14"/>
        <v>1.0062</v>
      </c>
      <c r="K100">
        <f ca="1">PRODUCT($J$3:J100)</f>
        <v>1.8065265209435848</v>
      </c>
      <c r="L100">
        <f t="shared" ca="1" si="15"/>
        <v>0.55354847460400425</v>
      </c>
      <c r="M100">
        <f ca="1">SUM($L$3:L100)</f>
        <v>73.868124359755839</v>
      </c>
      <c r="O100">
        <f t="shared" ca="1" si="16"/>
        <v>1867.8611457071966</v>
      </c>
      <c r="P100" s="16">
        <f t="shared" ca="1" si="17"/>
        <v>12211.18977374641</v>
      </c>
      <c r="Q100" s="17">
        <f t="shared" ca="1" si="18"/>
        <v>289056.73695322021</v>
      </c>
      <c r="S100">
        <f ca="1">IF(A100&lt;='Dane do harmonogramu'!$D$7,'Roboczy harmonogram_1'!P100,0)</f>
        <v>12211.18977374641</v>
      </c>
      <c r="T100">
        <f ca="1">IF(A100&lt;='Dane do harmonogramu'!$D$7,'Roboczy harmonogram_1'!O100,0)</f>
        <v>1867.8611457071966</v>
      </c>
      <c r="U100">
        <f ca="1">IF(A100&lt;='Dane do harmonogramu'!$D$7,$N$2,0)</f>
        <v>14079.050919453606</v>
      </c>
      <c r="V100" s="16">
        <f ca="1">IF(A99&lt;='Dane do harmonogramu'!$D$7,Q99*0.15%,"")</f>
        <v>451.90189009044997</v>
      </c>
    </row>
    <row r="101" spans="1:22" x14ac:dyDescent="0.35">
      <c r="A101">
        <v>99</v>
      </c>
      <c r="B101" s="14">
        <f t="shared" ca="1" si="19"/>
        <v>49081</v>
      </c>
      <c r="C101" s="15">
        <f ca="1">(1+'Dane do harmonogramu'!$D$13*('Roboczy harmonogram_1'!B101-'Roboczy harmonogram_1'!B100)/365)</f>
        <v>1.006</v>
      </c>
      <c r="D101" s="15">
        <f ca="1">(1+'Dane do harmonogramu'!$D$13*('Roboczy harmonogram_1'!B101-'Roboczy harmonogram_1'!B100)/366)</f>
        <v>1.0059836065573771</v>
      </c>
      <c r="E101" s="15">
        <f t="shared" ca="1" si="10"/>
        <v>0</v>
      </c>
      <c r="F101" s="15">
        <f t="shared" ca="1" si="11"/>
        <v>0</v>
      </c>
      <c r="G101">
        <f ca="1">IF(E101=1,(1+'Dane do harmonogramu'!$D$13*((('Roboczy harmonogram_1'!B101-DATE(YEAR(B101),1,1)+1)/365)+((DATE(YEAR(B100),12,31)-'Roboczy harmonogram_1'!B100)/366))),IF(F101=1,(1+'Dane do harmonogramu'!$D$13*((('Roboczy harmonogram_1'!B101-DATE(YEAR(B101),1,1)+1)/366)+((DATE(YEAR(B100),12,31)-'Roboczy harmonogram_1'!B100)/365))),0))</f>
        <v>0</v>
      </c>
      <c r="H101">
        <f t="shared" ca="1" si="12"/>
        <v>0</v>
      </c>
      <c r="I101">
        <f t="shared" ca="1" si="13"/>
        <v>1.006</v>
      </c>
      <c r="J101">
        <f t="shared" ca="1" si="14"/>
        <v>1.006</v>
      </c>
      <c r="K101">
        <f ca="1">PRODUCT($J$3:J101)</f>
        <v>1.8173656800692464</v>
      </c>
      <c r="L101">
        <f t="shared" ca="1" si="15"/>
        <v>0.5502469926481155</v>
      </c>
      <c r="M101">
        <f ca="1">SUM($L$3:L101)</f>
        <v>74.418371352403952</v>
      </c>
      <c r="O101">
        <f t="shared" ca="1" si="16"/>
        <v>1734.340421719302</v>
      </c>
      <c r="P101" s="16">
        <f t="shared" ca="1" si="17"/>
        <v>12344.710497734304</v>
      </c>
      <c r="Q101" s="17">
        <f t="shared" ca="1" si="18"/>
        <v>276712.0264554859</v>
      </c>
      <c r="S101">
        <f ca="1">IF(A101&lt;='Dane do harmonogramu'!$D$7,'Roboczy harmonogram_1'!P101,0)</f>
        <v>12344.710497734304</v>
      </c>
      <c r="T101">
        <f ca="1">IF(A101&lt;='Dane do harmonogramu'!$D$7,'Roboczy harmonogram_1'!O101,0)</f>
        <v>1734.340421719302</v>
      </c>
      <c r="U101">
        <f ca="1">IF(A101&lt;='Dane do harmonogramu'!$D$7,$N$2,0)</f>
        <v>14079.050919453606</v>
      </c>
      <c r="V101" s="16">
        <f ca="1">IF(A100&lt;='Dane do harmonogramu'!$D$7,Q100*0.15%,"")</f>
        <v>433.58510542983032</v>
      </c>
    </row>
    <row r="102" spans="1:22" x14ac:dyDescent="0.35">
      <c r="A102">
        <v>100</v>
      </c>
      <c r="B102" s="14">
        <f t="shared" ca="1" si="19"/>
        <v>49112</v>
      </c>
      <c r="C102" s="15">
        <f ca="1">(1+'Dane do harmonogramu'!$D$13*('Roboczy harmonogram_1'!B102-'Roboczy harmonogram_1'!B101)/365)</f>
        <v>1.0062</v>
      </c>
      <c r="D102" s="15">
        <f ca="1">(1+'Dane do harmonogramu'!$D$13*('Roboczy harmonogram_1'!B102-'Roboczy harmonogram_1'!B101)/366)</f>
        <v>1.0061830601092896</v>
      </c>
      <c r="E102" s="15">
        <f t="shared" ca="1" si="10"/>
        <v>0</v>
      </c>
      <c r="F102" s="15">
        <f t="shared" ca="1" si="11"/>
        <v>0</v>
      </c>
      <c r="G102">
        <f ca="1">IF(E102=1,(1+'Dane do harmonogramu'!$D$13*((('Roboczy harmonogram_1'!B102-DATE(YEAR(B102),1,1)+1)/365)+((DATE(YEAR(B101),12,31)-'Roboczy harmonogram_1'!B101)/366))),IF(F102=1,(1+'Dane do harmonogramu'!$D$13*((('Roboczy harmonogram_1'!B102-DATE(YEAR(B102),1,1)+1)/366)+((DATE(YEAR(B101),12,31)-'Roboczy harmonogram_1'!B101)/365))),0))</f>
        <v>0</v>
      </c>
      <c r="H102">
        <f t="shared" ca="1" si="12"/>
        <v>0</v>
      </c>
      <c r="I102">
        <f t="shared" ca="1" si="13"/>
        <v>1.0062</v>
      </c>
      <c r="J102">
        <f t="shared" ca="1" si="14"/>
        <v>1.0062</v>
      </c>
      <c r="K102">
        <f ca="1">PRODUCT($J$3:J102)</f>
        <v>1.8286333472856757</v>
      </c>
      <c r="L102">
        <f t="shared" ca="1" si="15"/>
        <v>0.54685648245688279</v>
      </c>
      <c r="M102">
        <f ca="1">SUM($L$3:L102)</f>
        <v>74.965227834860841</v>
      </c>
      <c r="O102">
        <f t="shared" ca="1" si="16"/>
        <v>1715.6145640240284</v>
      </c>
      <c r="P102" s="16">
        <f t="shared" ca="1" si="17"/>
        <v>12363.436355429578</v>
      </c>
      <c r="Q102" s="17">
        <f t="shared" ca="1" si="18"/>
        <v>264348.59010005632</v>
      </c>
      <c r="S102">
        <f ca="1">IF(A102&lt;='Dane do harmonogramu'!$D$7,'Roboczy harmonogram_1'!P102,0)</f>
        <v>12363.436355429578</v>
      </c>
      <c r="T102">
        <f ca="1">IF(A102&lt;='Dane do harmonogramu'!$D$7,'Roboczy harmonogram_1'!O102,0)</f>
        <v>1715.6145640240284</v>
      </c>
      <c r="U102">
        <f ca="1">IF(A102&lt;='Dane do harmonogramu'!$D$7,$N$2,0)</f>
        <v>14079.050919453606</v>
      </c>
      <c r="V102" s="16">
        <f ca="1">IF(A101&lt;='Dane do harmonogramu'!$D$7,Q101*0.15%,"")</f>
        <v>415.06803968322885</v>
      </c>
    </row>
    <row r="103" spans="1:22" x14ac:dyDescent="0.35">
      <c r="A103">
        <v>101</v>
      </c>
      <c r="B103" s="14">
        <f t="shared" ca="1" si="19"/>
        <v>49142</v>
      </c>
      <c r="C103" s="15">
        <f ca="1">(1+'Dane do harmonogramu'!$D$13*('Roboczy harmonogram_1'!B103-'Roboczy harmonogram_1'!B102)/365)</f>
        <v>1.006</v>
      </c>
      <c r="D103" s="15">
        <f ca="1">(1+'Dane do harmonogramu'!$D$13*('Roboczy harmonogram_1'!B103-'Roboczy harmonogram_1'!B102)/366)</f>
        <v>1.0059836065573771</v>
      </c>
      <c r="E103" s="15">
        <f t="shared" ca="1" si="10"/>
        <v>0</v>
      </c>
      <c r="F103" s="15">
        <f t="shared" ca="1" si="11"/>
        <v>0</v>
      </c>
      <c r="G103">
        <f ca="1">IF(E103=1,(1+'Dane do harmonogramu'!$D$13*((('Roboczy harmonogram_1'!B103-DATE(YEAR(B103),1,1)+1)/365)+((DATE(YEAR(B102),12,31)-'Roboczy harmonogram_1'!B102)/366))),IF(F103=1,(1+'Dane do harmonogramu'!$D$13*((('Roboczy harmonogram_1'!B103-DATE(YEAR(B103),1,1)+1)/366)+((DATE(YEAR(B102),12,31)-'Roboczy harmonogram_1'!B102)/365))),0))</f>
        <v>0</v>
      </c>
      <c r="H103">
        <f t="shared" ca="1" si="12"/>
        <v>0</v>
      </c>
      <c r="I103">
        <f t="shared" ca="1" si="13"/>
        <v>1.006</v>
      </c>
      <c r="J103">
        <f t="shared" ca="1" si="14"/>
        <v>1.006</v>
      </c>
      <c r="K103">
        <f ca="1">PRODUCT($J$3:J103)</f>
        <v>1.8396051473693897</v>
      </c>
      <c r="L103">
        <f t="shared" ca="1" si="15"/>
        <v>0.54359491297900875</v>
      </c>
      <c r="M103">
        <f ca="1">SUM($L$3:L103)</f>
        <v>75.508822747839844</v>
      </c>
      <c r="O103">
        <f t="shared" ca="1" si="16"/>
        <v>1586.0915406003478</v>
      </c>
      <c r="P103" s="16">
        <f t="shared" ca="1" si="17"/>
        <v>12492.959378853258</v>
      </c>
      <c r="Q103" s="17">
        <f t="shared" ca="1" si="18"/>
        <v>251855.63072120305</v>
      </c>
      <c r="S103">
        <f ca="1">IF(A103&lt;='Dane do harmonogramu'!$D$7,'Roboczy harmonogram_1'!P103,0)</f>
        <v>12492.959378853258</v>
      </c>
      <c r="T103">
        <f ca="1">IF(A103&lt;='Dane do harmonogramu'!$D$7,'Roboczy harmonogram_1'!O103,0)</f>
        <v>1586.0915406003478</v>
      </c>
      <c r="U103">
        <f ca="1">IF(A103&lt;='Dane do harmonogramu'!$D$7,$N$2,0)</f>
        <v>14079.050919453606</v>
      </c>
      <c r="V103" s="16">
        <f ca="1">IF(A102&lt;='Dane do harmonogramu'!$D$7,Q102*0.15%,"")</f>
        <v>396.52288515008451</v>
      </c>
    </row>
    <row r="104" spans="1:22" x14ac:dyDescent="0.35">
      <c r="A104">
        <v>102</v>
      </c>
      <c r="B104" s="14">
        <f t="shared" ca="1" si="19"/>
        <v>49173</v>
      </c>
      <c r="C104" s="15">
        <f ca="1">(1+'Dane do harmonogramu'!$D$13*('Roboczy harmonogram_1'!B104-'Roboczy harmonogram_1'!B103)/365)</f>
        <v>1.0062</v>
      </c>
      <c r="D104" s="15">
        <f ca="1">(1+'Dane do harmonogramu'!$D$13*('Roboczy harmonogram_1'!B104-'Roboczy harmonogram_1'!B103)/366)</f>
        <v>1.0061830601092896</v>
      </c>
      <c r="E104" s="15">
        <f t="shared" ca="1" si="10"/>
        <v>0</v>
      </c>
      <c r="F104" s="15">
        <f t="shared" ca="1" si="11"/>
        <v>0</v>
      </c>
      <c r="G104">
        <f ca="1">IF(E104=1,(1+'Dane do harmonogramu'!$D$13*((('Roboczy harmonogram_1'!B104-DATE(YEAR(B104),1,1)+1)/365)+((DATE(YEAR(B103),12,31)-'Roboczy harmonogram_1'!B103)/366))),IF(F104=1,(1+'Dane do harmonogramu'!$D$13*((('Roboczy harmonogram_1'!B104-DATE(YEAR(B104),1,1)+1)/366)+((DATE(YEAR(B103),12,31)-'Roboczy harmonogram_1'!B103)/365))),0))</f>
        <v>0</v>
      </c>
      <c r="H104">
        <f t="shared" ca="1" si="12"/>
        <v>0</v>
      </c>
      <c r="I104">
        <f t="shared" ca="1" si="13"/>
        <v>1.0062</v>
      </c>
      <c r="J104">
        <f t="shared" ca="1" si="14"/>
        <v>1.0062</v>
      </c>
      <c r="K104">
        <f ca="1">PRODUCT($J$3:J104)</f>
        <v>1.8510106992830799</v>
      </c>
      <c r="L104">
        <f t="shared" ca="1" si="15"/>
        <v>0.54024539155139017</v>
      </c>
      <c r="M104">
        <f ca="1">SUM($L$3:L104)</f>
        <v>76.049068139391238</v>
      </c>
      <c r="O104">
        <f t="shared" ca="1" si="16"/>
        <v>1561.5049104714417</v>
      </c>
      <c r="P104" s="16">
        <f t="shared" ca="1" si="17"/>
        <v>12517.546008982164</v>
      </c>
      <c r="Q104" s="17">
        <f t="shared" ca="1" si="18"/>
        <v>239338.08471222088</v>
      </c>
      <c r="S104">
        <f ca="1">IF(A104&lt;='Dane do harmonogramu'!$D$7,'Roboczy harmonogram_1'!P104,0)</f>
        <v>12517.546008982164</v>
      </c>
      <c r="T104">
        <f ca="1">IF(A104&lt;='Dane do harmonogramu'!$D$7,'Roboczy harmonogram_1'!O104,0)</f>
        <v>1561.5049104714417</v>
      </c>
      <c r="U104">
        <f ca="1">IF(A104&lt;='Dane do harmonogramu'!$D$7,$N$2,0)</f>
        <v>14079.050919453606</v>
      </c>
      <c r="V104" s="16">
        <f ca="1">IF(A103&lt;='Dane do harmonogramu'!$D$7,Q103*0.15%,"")</f>
        <v>377.78344608180458</v>
      </c>
    </row>
    <row r="105" spans="1:22" x14ac:dyDescent="0.35">
      <c r="A105">
        <v>103</v>
      </c>
      <c r="B105" s="14">
        <f t="shared" ca="1" si="19"/>
        <v>49204</v>
      </c>
      <c r="C105" s="15">
        <f ca="1">(1+'Dane do harmonogramu'!$D$13*('Roboczy harmonogram_1'!B105-'Roboczy harmonogram_1'!B104)/365)</f>
        <v>1.0062</v>
      </c>
      <c r="D105" s="15">
        <f ca="1">(1+'Dane do harmonogramu'!$D$13*('Roboczy harmonogram_1'!B105-'Roboczy harmonogram_1'!B104)/366)</f>
        <v>1.0061830601092896</v>
      </c>
      <c r="E105" s="15">
        <f t="shared" ca="1" si="10"/>
        <v>0</v>
      </c>
      <c r="F105" s="15">
        <f t="shared" ca="1" si="11"/>
        <v>0</v>
      </c>
      <c r="G105">
        <f ca="1">IF(E105=1,(1+'Dane do harmonogramu'!$D$13*((('Roboczy harmonogram_1'!B105-DATE(YEAR(B105),1,1)+1)/365)+((DATE(YEAR(B104),12,31)-'Roboczy harmonogram_1'!B104)/366))),IF(F105=1,(1+'Dane do harmonogramu'!$D$13*((('Roboczy harmonogram_1'!B105-DATE(YEAR(B105),1,1)+1)/366)+((DATE(YEAR(B104),12,31)-'Roboczy harmonogram_1'!B104)/365))),0))</f>
        <v>0</v>
      </c>
      <c r="H105">
        <f t="shared" ca="1" si="12"/>
        <v>0</v>
      </c>
      <c r="I105">
        <f t="shared" ca="1" si="13"/>
        <v>1.0062</v>
      </c>
      <c r="J105">
        <f t="shared" ca="1" si="14"/>
        <v>1.0062</v>
      </c>
      <c r="K105">
        <f ca="1">PRODUCT($J$3:J105)</f>
        <v>1.8624869656186349</v>
      </c>
      <c r="L105">
        <f t="shared" ca="1" si="15"/>
        <v>0.53691650919438494</v>
      </c>
      <c r="M105">
        <f ca="1">SUM($L$3:L105)</f>
        <v>76.585984648585622</v>
      </c>
      <c r="O105">
        <f t="shared" ca="1" si="16"/>
        <v>1483.8961252157751</v>
      </c>
      <c r="P105" s="16">
        <f t="shared" ca="1" si="17"/>
        <v>12595.154794237831</v>
      </c>
      <c r="Q105" s="17">
        <f t="shared" ca="1" si="18"/>
        <v>226742.92991798304</v>
      </c>
      <c r="S105">
        <f ca="1">IF(A105&lt;='Dane do harmonogramu'!$D$7,'Roboczy harmonogram_1'!P105,0)</f>
        <v>12595.154794237831</v>
      </c>
      <c r="T105">
        <f ca="1">IF(A105&lt;='Dane do harmonogramu'!$D$7,'Roboczy harmonogram_1'!O105,0)</f>
        <v>1483.8961252157751</v>
      </c>
      <c r="U105">
        <f ca="1">IF(A105&lt;='Dane do harmonogramu'!$D$7,$N$2,0)</f>
        <v>14079.050919453606</v>
      </c>
      <c r="V105" s="16">
        <f ca="1">IF(A104&lt;='Dane do harmonogramu'!$D$7,Q104*0.15%,"")</f>
        <v>359.00712706833133</v>
      </c>
    </row>
    <row r="106" spans="1:22" x14ac:dyDescent="0.35">
      <c r="A106">
        <v>104</v>
      </c>
      <c r="B106" s="14">
        <f t="shared" ca="1" si="19"/>
        <v>49234</v>
      </c>
      <c r="C106" s="15">
        <f ca="1">(1+'Dane do harmonogramu'!$D$13*('Roboczy harmonogram_1'!B106-'Roboczy harmonogram_1'!B105)/365)</f>
        <v>1.006</v>
      </c>
      <c r="D106" s="15">
        <f ca="1">(1+'Dane do harmonogramu'!$D$13*('Roboczy harmonogram_1'!B106-'Roboczy harmonogram_1'!B105)/366)</f>
        <v>1.0059836065573771</v>
      </c>
      <c r="E106" s="15">
        <f t="shared" ca="1" si="10"/>
        <v>0</v>
      </c>
      <c r="F106" s="15">
        <f t="shared" ca="1" si="11"/>
        <v>0</v>
      </c>
      <c r="G106">
        <f ca="1">IF(E106=1,(1+'Dane do harmonogramu'!$D$13*((('Roboczy harmonogram_1'!B106-DATE(YEAR(B106),1,1)+1)/365)+((DATE(YEAR(B105),12,31)-'Roboczy harmonogram_1'!B105)/366))),IF(F106=1,(1+'Dane do harmonogramu'!$D$13*((('Roboczy harmonogram_1'!B106-DATE(YEAR(B106),1,1)+1)/366)+((DATE(YEAR(B105),12,31)-'Roboczy harmonogram_1'!B105)/365))),0))</f>
        <v>0</v>
      </c>
      <c r="H106">
        <f t="shared" ca="1" si="12"/>
        <v>0</v>
      </c>
      <c r="I106">
        <f t="shared" ca="1" si="13"/>
        <v>1.006</v>
      </c>
      <c r="J106">
        <f t="shared" ca="1" si="14"/>
        <v>1.006</v>
      </c>
      <c r="K106">
        <f ca="1">PRODUCT($J$3:J106)</f>
        <v>1.8736618874123467</v>
      </c>
      <c r="L106">
        <f t="shared" ca="1" si="15"/>
        <v>0.53371422385127731</v>
      </c>
      <c r="M106">
        <f ca="1">SUM($L$3:L106)</f>
        <v>77.119698872436899</v>
      </c>
      <c r="O106">
        <f t="shared" ca="1" si="16"/>
        <v>1360.4575795078999</v>
      </c>
      <c r="P106" s="16">
        <f t="shared" ca="1" si="17"/>
        <v>12718.593339945706</v>
      </c>
      <c r="Q106" s="17">
        <f t="shared" ca="1" si="18"/>
        <v>214024.33657803733</v>
      </c>
      <c r="S106">
        <f ca="1">IF(A106&lt;='Dane do harmonogramu'!$D$7,'Roboczy harmonogram_1'!P106,0)</f>
        <v>12718.593339945706</v>
      </c>
      <c r="T106">
        <f ca="1">IF(A106&lt;='Dane do harmonogramu'!$D$7,'Roboczy harmonogram_1'!O106,0)</f>
        <v>1360.4575795078999</v>
      </c>
      <c r="U106">
        <f ca="1">IF(A106&lt;='Dane do harmonogramu'!$D$7,$N$2,0)</f>
        <v>14079.050919453606</v>
      </c>
      <c r="V106" s="16">
        <f ca="1">IF(A105&lt;='Dane do harmonogramu'!$D$7,Q105*0.15%,"")</f>
        <v>340.11439487697459</v>
      </c>
    </row>
    <row r="107" spans="1:22" x14ac:dyDescent="0.35">
      <c r="A107">
        <v>105</v>
      </c>
      <c r="B107" s="14">
        <f t="shared" ca="1" si="19"/>
        <v>49265</v>
      </c>
      <c r="C107" s="15">
        <f ca="1">(1+'Dane do harmonogramu'!$D$13*('Roboczy harmonogram_1'!B107-'Roboczy harmonogram_1'!B106)/365)</f>
        <v>1.0062</v>
      </c>
      <c r="D107" s="15">
        <f ca="1">(1+'Dane do harmonogramu'!$D$13*('Roboczy harmonogram_1'!B107-'Roboczy harmonogram_1'!B106)/366)</f>
        <v>1.0061830601092896</v>
      </c>
      <c r="E107" s="15">
        <f t="shared" ca="1" si="10"/>
        <v>0</v>
      </c>
      <c r="F107" s="15">
        <f t="shared" ca="1" si="11"/>
        <v>0</v>
      </c>
      <c r="G107">
        <f ca="1">IF(E107=1,(1+'Dane do harmonogramu'!$D$13*((('Roboczy harmonogram_1'!B107-DATE(YEAR(B107),1,1)+1)/365)+((DATE(YEAR(B106),12,31)-'Roboczy harmonogram_1'!B106)/366))),IF(F107=1,(1+'Dane do harmonogramu'!$D$13*((('Roboczy harmonogram_1'!B107-DATE(YEAR(B107),1,1)+1)/366)+((DATE(YEAR(B106),12,31)-'Roboczy harmonogram_1'!B106)/365))),0))</f>
        <v>0</v>
      </c>
      <c r="H107">
        <f t="shared" ca="1" si="12"/>
        <v>0</v>
      </c>
      <c r="I107">
        <f t="shared" ca="1" si="13"/>
        <v>1.0062</v>
      </c>
      <c r="J107">
        <f t="shared" ca="1" si="14"/>
        <v>1.0062</v>
      </c>
      <c r="K107">
        <f ca="1">PRODUCT($J$3:J107)</f>
        <v>1.8852785911143033</v>
      </c>
      <c r="L107">
        <f t="shared" ca="1" si="15"/>
        <v>0.5304255852228954</v>
      </c>
      <c r="M107">
        <f ca="1">SUM($L$3:L107)</f>
        <v>77.6501244576598</v>
      </c>
      <c r="O107">
        <f t="shared" ca="1" si="16"/>
        <v>1326.9508867838304</v>
      </c>
      <c r="P107" s="16">
        <f t="shared" ca="1" si="17"/>
        <v>12752.100032669776</v>
      </c>
      <c r="Q107" s="17">
        <f t="shared" ca="1" si="18"/>
        <v>201272.23654536754</v>
      </c>
      <c r="S107">
        <f ca="1">IF(A107&lt;='Dane do harmonogramu'!$D$7,'Roboczy harmonogram_1'!P107,0)</f>
        <v>12752.100032669776</v>
      </c>
      <c r="T107">
        <f ca="1">IF(A107&lt;='Dane do harmonogramu'!$D$7,'Roboczy harmonogram_1'!O107,0)</f>
        <v>1326.9508867838304</v>
      </c>
      <c r="U107">
        <f ca="1">IF(A107&lt;='Dane do harmonogramu'!$D$7,$N$2,0)</f>
        <v>14079.050919453606</v>
      </c>
      <c r="V107" s="16">
        <f ca="1">IF(A106&lt;='Dane do harmonogramu'!$D$7,Q106*0.15%,"")</f>
        <v>321.03650486705601</v>
      </c>
    </row>
    <row r="108" spans="1:22" x14ac:dyDescent="0.35">
      <c r="A108">
        <v>106</v>
      </c>
      <c r="B108" s="14">
        <f t="shared" ca="1" si="19"/>
        <v>49295</v>
      </c>
      <c r="C108" s="15">
        <f ca="1">(1+'Dane do harmonogramu'!$D$13*('Roboczy harmonogram_1'!B108-'Roboczy harmonogram_1'!B107)/365)</f>
        <v>1.006</v>
      </c>
      <c r="D108" s="15">
        <f ca="1">(1+'Dane do harmonogramu'!$D$13*('Roboczy harmonogram_1'!B108-'Roboczy harmonogram_1'!B107)/366)</f>
        <v>1.0059836065573771</v>
      </c>
      <c r="E108" s="15">
        <f t="shared" ca="1" si="10"/>
        <v>0</v>
      </c>
      <c r="F108" s="15">
        <f t="shared" ca="1" si="11"/>
        <v>0</v>
      </c>
      <c r="G108">
        <f ca="1">IF(E108=1,(1+'Dane do harmonogramu'!$D$13*((('Roboczy harmonogram_1'!B108-DATE(YEAR(B108),1,1)+1)/365)+((DATE(YEAR(B107),12,31)-'Roboczy harmonogram_1'!B107)/366))),IF(F108=1,(1+'Dane do harmonogramu'!$D$13*((('Roboczy harmonogram_1'!B108-DATE(YEAR(B108),1,1)+1)/366)+((DATE(YEAR(B107),12,31)-'Roboczy harmonogram_1'!B107)/365))),0))</f>
        <v>0</v>
      </c>
      <c r="H108">
        <f t="shared" ca="1" si="12"/>
        <v>0</v>
      </c>
      <c r="I108">
        <f t="shared" ca="1" si="13"/>
        <v>1.006</v>
      </c>
      <c r="J108">
        <f t="shared" ca="1" si="14"/>
        <v>1.006</v>
      </c>
      <c r="K108">
        <f ca="1">PRODUCT($J$3:J108)</f>
        <v>1.8965902626609892</v>
      </c>
      <c r="L108">
        <f t="shared" ca="1" si="15"/>
        <v>0.52726201314403121</v>
      </c>
      <c r="M108">
        <f ca="1">SUM($L$3:L108)</f>
        <v>78.177386470803825</v>
      </c>
      <c r="O108">
        <f t="shared" ca="1" si="16"/>
        <v>1207.6334192721988</v>
      </c>
      <c r="P108" s="16">
        <f t="shared" ca="1" si="17"/>
        <v>12871.417500181407</v>
      </c>
      <c r="Q108" s="17">
        <f t="shared" ca="1" si="18"/>
        <v>188400.81904518613</v>
      </c>
      <c r="S108">
        <f ca="1">IF(A108&lt;='Dane do harmonogramu'!$D$7,'Roboczy harmonogram_1'!P108,0)</f>
        <v>12871.417500181407</v>
      </c>
      <c r="T108">
        <f ca="1">IF(A108&lt;='Dane do harmonogramu'!$D$7,'Roboczy harmonogram_1'!O108,0)</f>
        <v>1207.6334192721988</v>
      </c>
      <c r="U108">
        <f ca="1">IF(A108&lt;='Dane do harmonogramu'!$D$7,$N$2,0)</f>
        <v>14079.050919453606</v>
      </c>
      <c r="V108" s="16">
        <f ca="1">IF(A107&lt;='Dane do harmonogramu'!$D$7,Q107*0.15%,"")</f>
        <v>301.90835481805135</v>
      </c>
    </row>
    <row r="109" spans="1:22" x14ac:dyDescent="0.35">
      <c r="A109">
        <v>107</v>
      </c>
      <c r="B109" s="14">
        <f t="shared" ca="1" si="19"/>
        <v>49326</v>
      </c>
      <c r="C109" s="15">
        <f ca="1">(1+'Dane do harmonogramu'!$D$13*('Roboczy harmonogram_1'!B109-'Roboczy harmonogram_1'!B108)/365)</f>
        <v>1.0062</v>
      </c>
      <c r="D109" s="15">
        <f ca="1">(1+'Dane do harmonogramu'!$D$13*('Roboczy harmonogram_1'!B109-'Roboczy harmonogram_1'!B108)/366)</f>
        <v>1.0061830601092896</v>
      </c>
      <c r="E109" s="15">
        <f t="shared" ca="1" si="10"/>
        <v>0</v>
      </c>
      <c r="F109" s="15">
        <f t="shared" ca="1" si="11"/>
        <v>0</v>
      </c>
      <c r="G109">
        <f ca="1">IF(E109=1,(1+'Dane do harmonogramu'!$D$13*((('Roboczy harmonogram_1'!B109-DATE(YEAR(B109),1,1)+1)/365)+((DATE(YEAR(B108),12,31)-'Roboczy harmonogram_1'!B108)/366))),IF(F109=1,(1+'Dane do harmonogramu'!$D$13*((('Roboczy harmonogram_1'!B109-DATE(YEAR(B109),1,1)+1)/366)+((DATE(YEAR(B108),12,31)-'Roboczy harmonogram_1'!B108)/365))),0))</f>
        <v>0</v>
      </c>
      <c r="H109">
        <f t="shared" ca="1" si="12"/>
        <v>0</v>
      </c>
      <c r="I109">
        <f t="shared" ca="1" si="13"/>
        <v>1.0062</v>
      </c>
      <c r="J109">
        <f t="shared" ca="1" si="14"/>
        <v>1.0062</v>
      </c>
      <c r="K109">
        <f ca="1">PRODUCT($J$3:J109)</f>
        <v>1.9083491222894873</v>
      </c>
      <c r="L109">
        <f t="shared" ca="1" si="15"/>
        <v>0.52401313172732178</v>
      </c>
      <c r="M109">
        <f ca="1">SUM($L$3:L109)</f>
        <v>78.70139960253114</v>
      </c>
      <c r="O109">
        <f t="shared" ca="1" si="16"/>
        <v>1168.0850780801557</v>
      </c>
      <c r="P109" s="16">
        <f t="shared" ca="1" si="17"/>
        <v>12910.965841373451</v>
      </c>
      <c r="Q109" s="17">
        <f t="shared" ca="1" si="18"/>
        <v>175489.85320381267</v>
      </c>
      <c r="S109">
        <f ca="1">IF(A109&lt;='Dane do harmonogramu'!$D$7,'Roboczy harmonogram_1'!P109,0)</f>
        <v>12910.965841373451</v>
      </c>
      <c r="T109">
        <f ca="1">IF(A109&lt;='Dane do harmonogramu'!$D$7,'Roboczy harmonogram_1'!O109,0)</f>
        <v>1168.0850780801557</v>
      </c>
      <c r="U109">
        <f ca="1">IF(A109&lt;='Dane do harmonogramu'!$D$7,$N$2,0)</f>
        <v>14079.050919453606</v>
      </c>
      <c r="V109" s="16">
        <f ca="1">IF(A108&lt;='Dane do harmonogramu'!$D$7,Q108*0.15%,"")</f>
        <v>282.60122856777917</v>
      </c>
    </row>
    <row r="110" spans="1:22" x14ac:dyDescent="0.35">
      <c r="A110">
        <v>108</v>
      </c>
      <c r="B110" s="14">
        <f t="shared" ca="1" si="19"/>
        <v>49357</v>
      </c>
      <c r="C110" s="15">
        <f ca="1">(1+'Dane do harmonogramu'!$D$13*('Roboczy harmonogram_1'!B110-'Roboczy harmonogram_1'!B109)/365)</f>
        <v>1.0062</v>
      </c>
      <c r="D110" s="15">
        <f ca="1">(1+'Dane do harmonogramu'!$D$13*('Roboczy harmonogram_1'!B110-'Roboczy harmonogram_1'!B109)/366)</f>
        <v>1.0061830601092896</v>
      </c>
      <c r="E110" s="15">
        <f t="shared" ca="1" si="10"/>
        <v>0</v>
      </c>
      <c r="F110" s="15">
        <f t="shared" ca="1" si="11"/>
        <v>0</v>
      </c>
      <c r="G110">
        <f ca="1">IF(E110=1,(1+'Dane do harmonogramu'!$D$13*((('Roboczy harmonogram_1'!B110-DATE(YEAR(B110),1,1)+1)/365)+((DATE(YEAR(B109),12,31)-'Roboczy harmonogram_1'!B109)/366))),IF(F110=1,(1+'Dane do harmonogramu'!$D$13*((('Roboczy harmonogram_1'!B110-DATE(YEAR(B110),1,1)+1)/366)+((DATE(YEAR(B109),12,31)-'Roboczy harmonogram_1'!B109)/365))),0))</f>
        <v>0</v>
      </c>
      <c r="H110">
        <f t="shared" ca="1" si="12"/>
        <v>0</v>
      </c>
      <c r="I110">
        <f t="shared" ca="1" si="13"/>
        <v>1.0062</v>
      </c>
      <c r="J110">
        <f t="shared" ca="1" si="14"/>
        <v>1.0062</v>
      </c>
      <c r="K110">
        <f ca="1">PRODUCT($J$3:J110)</f>
        <v>1.920180886847682</v>
      </c>
      <c r="L110">
        <f t="shared" ca="1" si="15"/>
        <v>0.52078426925792265</v>
      </c>
      <c r="M110">
        <f ca="1">SUM($L$3:L110)</f>
        <v>79.222183871789056</v>
      </c>
      <c r="O110">
        <f t="shared" ca="1" si="16"/>
        <v>1088.0370898636465</v>
      </c>
      <c r="P110" s="16">
        <f t="shared" ca="1" si="17"/>
        <v>12991.01382958996</v>
      </c>
      <c r="Q110" s="17">
        <f t="shared" ca="1" si="18"/>
        <v>162498.83937422271</v>
      </c>
      <c r="S110">
        <f ca="1">IF(A110&lt;='Dane do harmonogramu'!$D$7,'Roboczy harmonogram_1'!P110,0)</f>
        <v>12991.01382958996</v>
      </c>
      <c r="T110">
        <f ca="1">IF(A110&lt;='Dane do harmonogramu'!$D$7,'Roboczy harmonogram_1'!O110,0)</f>
        <v>1088.0370898636465</v>
      </c>
      <c r="U110">
        <f ca="1">IF(A110&lt;='Dane do harmonogramu'!$D$7,$N$2,0)</f>
        <v>14079.050919453606</v>
      </c>
      <c r="V110" s="16">
        <f ca="1">IF(A109&lt;='Dane do harmonogramu'!$D$7,Q109*0.15%,"")</f>
        <v>263.23477980571903</v>
      </c>
    </row>
    <row r="111" spans="1:22" x14ac:dyDescent="0.35">
      <c r="A111">
        <v>109</v>
      </c>
      <c r="B111" s="14">
        <f t="shared" ca="1" si="19"/>
        <v>49385</v>
      </c>
      <c r="C111" s="15">
        <f ca="1">(1+'Dane do harmonogramu'!$D$13*('Roboczy harmonogram_1'!B111-'Roboczy harmonogram_1'!B110)/365)</f>
        <v>1.0056</v>
      </c>
      <c r="D111" s="15">
        <f ca="1">(1+'Dane do harmonogramu'!$D$13*('Roboczy harmonogram_1'!B111-'Roboczy harmonogram_1'!B110)/366)</f>
        <v>1.005584699453552</v>
      </c>
      <c r="E111" s="15">
        <f t="shared" ca="1" si="10"/>
        <v>0</v>
      </c>
      <c r="F111" s="15">
        <f t="shared" ca="1" si="11"/>
        <v>0</v>
      </c>
      <c r="G111">
        <f ca="1">IF(E111=1,(1+'Dane do harmonogramu'!$D$13*((('Roboczy harmonogram_1'!B111-DATE(YEAR(B111),1,1)+1)/365)+((DATE(YEAR(B110),12,31)-'Roboczy harmonogram_1'!B110)/366))),IF(F111=1,(1+'Dane do harmonogramu'!$D$13*((('Roboczy harmonogram_1'!B111-DATE(YEAR(B111),1,1)+1)/366)+((DATE(YEAR(B110),12,31)-'Roboczy harmonogram_1'!B110)/365))),0))</f>
        <v>0</v>
      </c>
      <c r="H111">
        <f t="shared" ca="1" si="12"/>
        <v>0</v>
      </c>
      <c r="I111">
        <f t="shared" ca="1" si="13"/>
        <v>1.0056</v>
      </c>
      <c r="J111">
        <f t="shared" ca="1" si="14"/>
        <v>1.0056</v>
      </c>
      <c r="K111">
        <f ca="1">PRODUCT($J$3:J111)</f>
        <v>1.9309338998140291</v>
      </c>
      <c r="L111">
        <f t="shared" ca="1" si="15"/>
        <v>0.51788411819602498</v>
      </c>
      <c r="M111">
        <f ca="1">SUM($L$3:L111)</f>
        <v>79.740067989985079</v>
      </c>
      <c r="O111">
        <f t="shared" ca="1" si="16"/>
        <v>909.99350049564964</v>
      </c>
      <c r="P111" s="16">
        <f t="shared" ca="1" si="17"/>
        <v>13169.057418957957</v>
      </c>
      <c r="Q111" s="17">
        <f t="shared" ca="1" si="18"/>
        <v>149329.78195526474</v>
      </c>
      <c r="S111">
        <f ca="1">IF(A111&lt;='Dane do harmonogramu'!$D$7,'Roboczy harmonogram_1'!P111,0)</f>
        <v>13169.057418957957</v>
      </c>
      <c r="T111">
        <f ca="1">IF(A111&lt;='Dane do harmonogramu'!$D$7,'Roboczy harmonogram_1'!O111,0)</f>
        <v>909.99350049564964</v>
      </c>
      <c r="U111">
        <f ca="1">IF(A111&lt;='Dane do harmonogramu'!$D$7,$N$2,0)</f>
        <v>14079.050919453606</v>
      </c>
      <c r="V111" s="16">
        <f ca="1">IF(A110&lt;='Dane do harmonogramu'!$D$7,Q110*0.15%,"")</f>
        <v>243.74825906133407</v>
      </c>
    </row>
    <row r="112" spans="1:22" x14ac:dyDescent="0.35">
      <c r="A112">
        <v>110</v>
      </c>
      <c r="B112" s="14">
        <f t="shared" ca="1" si="19"/>
        <v>49416</v>
      </c>
      <c r="C112" s="15">
        <f ca="1">(1+'Dane do harmonogramu'!$D$13*('Roboczy harmonogram_1'!B112-'Roboczy harmonogram_1'!B111)/365)</f>
        <v>1.0062</v>
      </c>
      <c r="D112" s="15">
        <f ca="1">(1+'Dane do harmonogramu'!$D$13*('Roboczy harmonogram_1'!B112-'Roboczy harmonogram_1'!B111)/366)</f>
        <v>1.0061830601092896</v>
      </c>
      <c r="E112" s="15">
        <f t="shared" ca="1" si="10"/>
        <v>0</v>
      </c>
      <c r="F112" s="15">
        <f t="shared" ca="1" si="11"/>
        <v>0</v>
      </c>
      <c r="G112">
        <f ca="1">IF(E112=1,(1+'Dane do harmonogramu'!$D$13*((('Roboczy harmonogram_1'!B112-DATE(YEAR(B112),1,1)+1)/365)+((DATE(YEAR(B111),12,31)-'Roboczy harmonogram_1'!B111)/366))),IF(F112=1,(1+'Dane do harmonogramu'!$D$13*((('Roboczy harmonogram_1'!B112-DATE(YEAR(B112),1,1)+1)/366)+((DATE(YEAR(B111),12,31)-'Roboczy harmonogram_1'!B111)/365))),0))</f>
        <v>0</v>
      </c>
      <c r="H112">
        <f t="shared" ca="1" si="12"/>
        <v>0</v>
      </c>
      <c r="I112">
        <f t="shared" ca="1" si="13"/>
        <v>1.0062</v>
      </c>
      <c r="J112">
        <f t="shared" ca="1" si="14"/>
        <v>1.0062</v>
      </c>
      <c r="K112">
        <f ca="1">PRODUCT($J$3:J112)</f>
        <v>1.9429056899928761</v>
      </c>
      <c r="L112">
        <f t="shared" ca="1" si="15"/>
        <v>0.51469302146295459</v>
      </c>
      <c r="M112">
        <f ca="1">SUM($L$3:L112)</f>
        <v>80.254761011448039</v>
      </c>
      <c r="O112">
        <f t="shared" ca="1" si="16"/>
        <v>925.84464812264196</v>
      </c>
      <c r="P112" s="16">
        <f t="shared" ca="1" si="17"/>
        <v>13153.206271330964</v>
      </c>
      <c r="Q112" s="17">
        <f t="shared" ca="1" si="18"/>
        <v>136176.57568393377</v>
      </c>
      <c r="S112">
        <f ca="1">IF(A112&lt;='Dane do harmonogramu'!$D$7,'Roboczy harmonogram_1'!P112,0)</f>
        <v>13153.206271330964</v>
      </c>
      <c r="T112">
        <f ca="1">IF(A112&lt;='Dane do harmonogramu'!$D$7,'Roboczy harmonogram_1'!O112,0)</f>
        <v>925.84464812264196</v>
      </c>
      <c r="U112">
        <f ca="1">IF(A112&lt;='Dane do harmonogramu'!$D$7,$N$2,0)</f>
        <v>14079.050919453606</v>
      </c>
      <c r="V112" s="16">
        <f ca="1">IF(A111&lt;='Dane do harmonogramu'!$D$7,Q111*0.15%,"")</f>
        <v>223.99467293289712</v>
      </c>
    </row>
    <row r="113" spans="1:22" x14ac:dyDescent="0.35">
      <c r="A113">
        <v>111</v>
      </c>
      <c r="B113" s="14">
        <f t="shared" ca="1" si="19"/>
        <v>49446</v>
      </c>
      <c r="C113" s="15">
        <f ca="1">(1+'Dane do harmonogramu'!$D$13*('Roboczy harmonogram_1'!B113-'Roboczy harmonogram_1'!B112)/365)</f>
        <v>1.006</v>
      </c>
      <c r="D113" s="15">
        <f ca="1">(1+'Dane do harmonogramu'!$D$13*('Roboczy harmonogram_1'!B113-'Roboczy harmonogram_1'!B112)/366)</f>
        <v>1.0059836065573771</v>
      </c>
      <c r="E113" s="15">
        <f t="shared" ca="1" si="10"/>
        <v>0</v>
      </c>
      <c r="F113" s="15">
        <f t="shared" ca="1" si="11"/>
        <v>0</v>
      </c>
      <c r="G113">
        <f ca="1">IF(E113=1,(1+'Dane do harmonogramu'!$D$13*((('Roboczy harmonogram_1'!B113-DATE(YEAR(B113),1,1)+1)/365)+((DATE(YEAR(B112),12,31)-'Roboczy harmonogram_1'!B112)/366))),IF(F113=1,(1+'Dane do harmonogramu'!$D$13*((('Roboczy harmonogram_1'!B113-DATE(YEAR(B113),1,1)+1)/366)+((DATE(YEAR(B112),12,31)-'Roboczy harmonogram_1'!B112)/365))),0))</f>
        <v>0</v>
      </c>
      <c r="H113">
        <f t="shared" ca="1" si="12"/>
        <v>0</v>
      </c>
      <c r="I113">
        <f t="shared" ca="1" si="13"/>
        <v>1.006</v>
      </c>
      <c r="J113">
        <f t="shared" ca="1" si="14"/>
        <v>1.006</v>
      </c>
      <c r="K113">
        <f ca="1">PRODUCT($J$3:J113)</f>
        <v>1.9545631241328334</v>
      </c>
      <c r="L113">
        <f t="shared" ca="1" si="15"/>
        <v>0.51162328177232064</v>
      </c>
      <c r="M113">
        <f ca="1">SUM($L$3:L113)</f>
        <v>80.766384293220355</v>
      </c>
      <c r="O113">
        <f t="shared" ca="1" si="16"/>
        <v>817.05945410361164</v>
      </c>
      <c r="P113" s="16">
        <f t="shared" ca="1" si="17"/>
        <v>13261.991465349995</v>
      </c>
      <c r="Q113" s="17">
        <f t="shared" ca="1" si="18"/>
        <v>122914.58421858377</v>
      </c>
      <c r="S113">
        <f ca="1">IF(A113&lt;='Dane do harmonogramu'!$D$7,'Roboczy harmonogram_1'!P113,0)</f>
        <v>13261.991465349995</v>
      </c>
      <c r="T113">
        <f ca="1">IF(A113&lt;='Dane do harmonogramu'!$D$7,'Roboczy harmonogram_1'!O113,0)</f>
        <v>817.05945410361164</v>
      </c>
      <c r="U113">
        <f ca="1">IF(A113&lt;='Dane do harmonogramu'!$D$7,$N$2,0)</f>
        <v>14079.050919453606</v>
      </c>
      <c r="V113" s="16">
        <f ca="1">IF(A112&lt;='Dane do harmonogramu'!$D$7,Q112*0.15%,"")</f>
        <v>204.26486352590067</v>
      </c>
    </row>
    <row r="114" spans="1:22" x14ac:dyDescent="0.35">
      <c r="A114">
        <v>112</v>
      </c>
      <c r="B114" s="14">
        <f t="shared" ca="1" si="19"/>
        <v>49477</v>
      </c>
      <c r="C114" s="15">
        <f ca="1">(1+'Dane do harmonogramu'!$D$13*('Roboczy harmonogram_1'!B114-'Roboczy harmonogram_1'!B113)/365)</f>
        <v>1.0062</v>
      </c>
      <c r="D114" s="15">
        <f ca="1">(1+'Dane do harmonogramu'!$D$13*('Roboczy harmonogram_1'!B114-'Roboczy harmonogram_1'!B113)/366)</f>
        <v>1.0061830601092896</v>
      </c>
      <c r="E114" s="15">
        <f t="shared" ca="1" si="10"/>
        <v>0</v>
      </c>
      <c r="F114" s="15">
        <f t="shared" ca="1" si="11"/>
        <v>0</v>
      </c>
      <c r="G114">
        <f ca="1">IF(E114=1,(1+'Dane do harmonogramu'!$D$13*((('Roboczy harmonogram_1'!B114-DATE(YEAR(B114),1,1)+1)/365)+((DATE(YEAR(B113),12,31)-'Roboczy harmonogram_1'!B113)/366))),IF(F114=1,(1+'Dane do harmonogramu'!$D$13*((('Roboczy harmonogram_1'!B114-DATE(YEAR(B114),1,1)+1)/366)+((DATE(YEAR(B113),12,31)-'Roboczy harmonogram_1'!B113)/365))),0))</f>
        <v>0</v>
      </c>
      <c r="H114">
        <f t="shared" ca="1" si="12"/>
        <v>0</v>
      </c>
      <c r="I114">
        <f t="shared" ca="1" si="13"/>
        <v>1.0062</v>
      </c>
      <c r="J114">
        <f t="shared" ca="1" si="14"/>
        <v>1.0062</v>
      </c>
      <c r="K114">
        <f ca="1">PRODUCT($J$3:J114)</f>
        <v>1.966681415502457</v>
      </c>
      <c r="L114">
        <f t="shared" ca="1" si="15"/>
        <v>0.50847076304146355</v>
      </c>
      <c r="M114">
        <f ca="1">SUM($L$3:L114)</f>
        <v>81.274855056261814</v>
      </c>
      <c r="O114">
        <f t="shared" ca="1" si="16"/>
        <v>762.07042215521506</v>
      </c>
      <c r="P114" s="16">
        <f t="shared" ca="1" si="17"/>
        <v>13316.980497298391</v>
      </c>
      <c r="Q114" s="17">
        <f t="shared" ca="1" si="18"/>
        <v>109597.60372128538</v>
      </c>
      <c r="S114">
        <f ca="1">IF(A114&lt;='Dane do harmonogramu'!$D$7,'Roboczy harmonogram_1'!P114,0)</f>
        <v>13316.980497298391</v>
      </c>
      <c r="T114">
        <f ca="1">IF(A114&lt;='Dane do harmonogramu'!$D$7,'Roboczy harmonogram_1'!O114,0)</f>
        <v>762.07042215521506</v>
      </c>
      <c r="U114">
        <f ca="1">IF(A114&lt;='Dane do harmonogramu'!$D$7,$N$2,0)</f>
        <v>14079.050919453606</v>
      </c>
      <c r="V114" s="16">
        <f ca="1">IF(A113&lt;='Dane do harmonogramu'!$D$7,Q113*0.15%,"")</f>
        <v>184.37187632787567</v>
      </c>
    </row>
    <row r="115" spans="1:22" x14ac:dyDescent="0.35">
      <c r="A115">
        <v>113</v>
      </c>
      <c r="B115" s="14">
        <f t="shared" ca="1" si="19"/>
        <v>49507</v>
      </c>
      <c r="C115" s="15">
        <f ca="1">(1+'Dane do harmonogramu'!$D$13*('Roboczy harmonogram_1'!B115-'Roboczy harmonogram_1'!B114)/365)</f>
        <v>1.006</v>
      </c>
      <c r="D115" s="15">
        <f ca="1">(1+'Dane do harmonogramu'!$D$13*('Roboczy harmonogram_1'!B115-'Roboczy harmonogram_1'!B114)/366)</f>
        <v>1.0059836065573771</v>
      </c>
      <c r="E115" s="15">
        <f t="shared" ca="1" si="10"/>
        <v>0</v>
      </c>
      <c r="F115" s="15">
        <f t="shared" ca="1" si="11"/>
        <v>0</v>
      </c>
      <c r="G115">
        <f ca="1">IF(E115=1,(1+'Dane do harmonogramu'!$D$13*((('Roboczy harmonogram_1'!B115-DATE(YEAR(B115),1,1)+1)/365)+((DATE(YEAR(B114),12,31)-'Roboczy harmonogram_1'!B114)/366))),IF(F115=1,(1+'Dane do harmonogramu'!$D$13*((('Roboczy harmonogram_1'!B115-DATE(YEAR(B115),1,1)+1)/366)+((DATE(YEAR(B114),12,31)-'Roboczy harmonogram_1'!B114)/365))),0))</f>
        <v>0</v>
      </c>
      <c r="H115">
        <f t="shared" ca="1" si="12"/>
        <v>0</v>
      </c>
      <c r="I115">
        <f t="shared" ca="1" si="13"/>
        <v>1.006</v>
      </c>
      <c r="J115">
        <f t="shared" ca="1" si="14"/>
        <v>1.006</v>
      </c>
      <c r="K115">
        <f ca="1">PRODUCT($J$3:J115)</f>
        <v>1.9784815039954717</v>
      </c>
      <c r="L115">
        <f t="shared" ca="1" si="15"/>
        <v>0.50543813423604733</v>
      </c>
      <c r="M115">
        <f ca="1">SUM($L$3:L115)</f>
        <v>81.780293190497858</v>
      </c>
      <c r="O115">
        <f t="shared" ca="1" si="16"/>
        <v>657.58562232770782</v>
      </c>
      <c r="P115" s="16">
        <f t="shared" ca="1" si="17"/>
        <v>13421.465297125898</v>
      </c>
      <c r="Q115" s="17">
        <f t="shared" ca="1" si="18"/>
        <v>96176.138424159493</v>
      </c>
      <c r="S115">
        <f ca="1">IF(A115&lt;='Dane do harmonogramu'!$D$7,'Roboczy harmonogram_1'!P115,0)</f>
        <v>13421.465297125898</v>
      </c>
      <c r="T115">
        <f ca="1">IF(A115&lt;='Dane do harmonogramu'!$D$7,'Roboczy harmonogram_1'!O115,0)</f>
        <v>657.58562232770782</v>
      </c>
      <c r="U115">
        <f ca="1">IF(A115&lt;='Dane do harmonogramu'!$D$7,$N$2,0)</f>
        <v>14079.050919453606</v>
      </c>
      <c r="V115" s="16">
        <f ca="1">IF(A114&lt;='Dane do harmonogramu'!$D$7,Q114*0.15%,"")</f>
        <v>164.39640558192809</v>
      </c>
    </row>
    <row r="116" spans="1:22" x14ac:dyDescent="0.35">
      <c r="A116">
        <v>114</v>
      </c>
      <c r="B116" s="14">
        <f t="shared" ca="1" si="19"/>
        <v>49538</v>
      </c>
      <c r="C116" s="15">
        <f ca="1">(1+'Dane do harmonogramu'!$D$13*('Roboczy harmonogram_1'!B116-'Roboczy harmonogram_1'!B115)/365)</f>
        <v>1.0062</v>
      </c>
      <c r="D116" s="15">
        <f ca="1">(1+'Dane do harmonogramu'!$D$13*('Roboczy harmonogram_1'!B116-'Roboczy harmonogram_1'!B115)/366)</f>
        <v>1.0061830601092896</v>
      </c>
      <c r="E116" s="15">
        <f t="shared" ca="1" si="10"/>
        <v>0</v>
      </c>
      <c r="F116" s="15">
        <f t="shared" ca="1" si="11"/>
        <v>0</v>
      </c>
      <c r="G116">
        <f ca="1">IF(E116=1,(1+'Dane do harmonogramu'!$D$13*((('Roboczy harmonogram_1'!B116-DATE(YEAR(B116),1,1)+1)/365)+((DATE(YEAR(B115),12,31)-'Roboczy harmonogram_1'!B115)/366))),IF(F116=1,(1+'Dane do harmonogramu'!$D$13*((('Roboczy harmonogram_1'!B116-DATE(YEAR(B116),1,1)+1)/366)+((DATE(YEAR(B115),12,31)-'Roboczy harmonogram_1'!B115)/365))),0))</f>
        <v>0</v>
      </c>
      <c r="H116">
        <f t="shared" ca="1" si="12"/>
        <v>0</v>
      </c>
      <c r="I116">
        <f t="shared" ca="1" si="13"/>
        <v>1.0062</v>
      </c>
      <c r="J116">
        <f t="shared" ca="1" si="14"/>
        <v>1.0062</v>
      </c>
      <c r="K116">
        <f ca="1">PRODUCT($J$3:J116)</f>
        <v>1.9907480893202436</v>
      </c>
      <c r="L116">
        <f t="shared" ca="1" si="15"/>
        <v>0.50232372712785467</v>
      </c>
      <c r="M116">
        <f ca="1">SUM($L$3:L116)</f>
        <v>82.282616917625717</v>
      </c>
      <c r="O116">
        <f t="shared" ca="1" si="16"/>
        <v>596.29205822978111</v>
      </c>
      <c r="P116" s="16">
        <f t="shared" ca="1" si="17"/>
        <v>13482.758861223825</v>
      </c>
      <c r="Q116" s="17">
        <f t="shared" ca="1" si="18"/>
        <v>82693.379562935675</v>
      </c>
      <c r="S116">
        <f ca="1">IF(A116&lt;='Dane do harmonogramu'!$D$7,'Roboczy harmonogram_1'!P116,0)</f>
        <v>13482.758861223825</v>
      </c>
      <c r="T116">
        <f ca="1">IF(A116&lt;='Dane do harmonogramu'!$D$7,'Roboczy harmonogram_1'!O116,0)</f>
        <v>596.29205822978111</v>
      </c>
      <c r="U116">
        <f ca="1">IF(A116&lt;='Dane do harmonogramu'!$D$7,$N$2,0)</f>
        <v>14079.050919453606</v>
      </c>
      <c r="V116" s="16">
        <f ca="1">IF(A115&lt;='Dane do harmonogramu'!$D$7,Q115*0.15%,"")</f>
        <v>144.26420763623923</v>
      </c>
    </row>
    <row r="117" spans="1:22" x14ac:dyDescent="0.35">
      <c r="A117">
        <v>115</v>
      </c>
      <c r="B117" s="14">
        <f t="shared" ca="1" si="19"/>
        <v>49569</v>
      </c>
      <c r="C117" s="15">
        <f ca="1">(1+'Dane do harmonogramu'!$D$13*('Roboczy harmonogram_1'!B117-'Roboczy harmonogram_1'!B116)/365)</f>
        <v>1.0062</v>
      </c>
      <c r="D117" s="15">
        <f ca="1">(1+'Dane do harmonogramu'!$D$13*('Roboczy harmonogram_1'!B117-'Roboczy harmonogram_1'!B116)/366)</f>
        <v>1.0061830601092896</v>
      </c>
      <c r="E117" s="15">
        <f t="shared" ca="1" si="10"/>
        <v>0</v>
      </c>
      <c r="F117" s="15">
        <f t="shared" ca="1" si="11"/>
        <v>0</v>
      </c>
      <c r="G117">
        <f ca="1">IF(E117=1,(1+'Dane do harmonogramu'!$D$13*((('Roboczy harmonogram_1'!B117-DATE(YEAR(B117),1,1)+1)/365)+((DATE(YEAR(B116),12,31)-'Roboczy harmonogram_1'!B116)/366))),IF(F117=1,(1+'Dane do harmonogramu'!$D$13*((('Roboczy harmonogram_1'!B117-DATE(YEAR(B117),1,1)+1)/366)+((DATE(YEAR(B116),12,31)-'Roboczy harmonogram_1'!B116)/365))),0))</f>
        <v>0</v>
      </c>
      <c r="H117">
        <f t="shared" ca="1" si="12"/>
        <v>0</v>
      </c>
      <c r="I117">
        <f t="shared" ca="1" si="13"/>
        <v>1.0062</v>
      </c>
      <c r="J117">
        <f t="shared" ca="1" si="14"/>
        <v>1.0062</v>
      </c>
      <c r="K117">
        <f ca="1">PRODUCT($J$3:J117)</f>
        <v>2.0030907274740293</v>
      </c>
      <c r="L117">
        <f t="shared" ca="1" si="15"/>
        <v>0.49922851036360028</v>
      </c>
      <c r="M117">
        <f ca="1">SUM($L$3:L117)</f>
        <v>82.78184542798931</v>
      </c>
      <c r="O117">
        <f t="shared" ca="1" si="16"/>
        <v>512.69895329019346</v>
      </c>
      <c r="P117" s="16">
        <f t="shared" ca="1" si="17"/>
        <v>13566.351966163413</v>
      </c>
      <c r="Q117" s="17">
        <f t="shared" ca="1" si="18"/>
        <v>69127.02759677227</v>
      </c>
      <c r="S117">
        <f ca="1">IF(A117&lt;='Dane do harmonogramu'!$D$7,'Roboczy harmonogram_1'!P117,0)</f>
        <v>13566.351966163413</v>
      </c>
      <c r="T117">
        <f ca="1">IF(A117&lt;='Dane do harmonogramu'!$D$7,'Roboczy harmonogram_1'!O117,0)</f>
        <v>512.69895329019346</v>
      </c>
      <c r="U117">
        <f ca="1">IF(A117&lt;='Dane do harmonogramu'!$D$7,$N$2,0)</f>
        <v>14079.050919453606</v>
      </c>
      <c r="V117" s="16">
        <f ca="1">IF(A116&lt;='Dane do harmonogramu'!$D$7,Q116*0.15%,"")</f>
        <v>124.04006934440352</v>
      </c>
    </row>
    <row r="118" spans="1:22" x14ac:dyDescent="0.35">
      <c r="A118">
        <v>116</v>
      </c>
      <c r="B118" s="14">
        <f t="shared" ca="1" si="19"/>
        <v>49599</v>
      </c>
      <c r="C118" s="15">
        <f ca="1">(1+'Dane do harmonogramu'!$D$13*('Roboczy harmonogram_1'!B118-'Roboczy harmonogram_1'!B117)/365)</f>
        <v>1.006</v>
      </c>
      <c r="D118" s="15">
        <f ca="1">(1+'Dane do harmonogramu'!$D$13*('Roboczy harmonogram_1'!B118-'Roboczy harmonogram_1'!B117)/366)</f>
        <v>1.0059836065573771</v>
      </c>
      <c r="E118" s="15">
        <f t="shared" ca="1" si="10"/>
        <v>0</v>
      </c>
      <c r="F118" s="15">
        <f t="shared" ca="1" si="11"/>
        <v>0</v>
      </c>
      <c r="G118">
        <f ca="1">IF(E118=1,(1+'Dane do harmonogramu'!$D$13*((('Roboczy harmonogram_1'!B118-DATE(YEAR(B118),1,1)+1)/365)+((DATE(YEAR(B117),12,31)-'Roboczy harmonogram_1'!B117)/366))),IF(F118=1,(1+'Dane do harmonogramu'!$D$13*((('Roboczy harmonogram_1'!B118-DATE(YEAR(B118),1,1)+1)/366)+((DATE(YEAR(B117),12,31)-'Roboczy harmonogram_1'!B117)/365))),0))</f>
        <v>0</v>
      </c>
      <c r="H118">
        <f t="shared" ca="1" si="12"/>
        <v>0</v>
      </c>
      <c r="I118">
        <f t="shared" ca="1" si="13"/>
        <v>1.006</v>
      </c>
      <c r="J118">
        <f t="shared" ca="1" si="14"/>
        <v>1.006</v>
      </c>
      <c r="K118">
        <f ca="1">PRODUCT($J$3:J118)</f>
        <v>2.0151092718388735</v>
      </c>
      <c r="L118">
        <f t="shared" ca="1" si="15"/>
        <v>0.4962510043375748</v>
      </c>
      <c r="M118">
        <f ca="1">SUM($L$3:L118)</f>
        <v>83.27809643232689</v>
      </c>
      <c r="O118">
        <f t="shared" ca="1" si="16"/>
        <v>414.76216558062879</v>
      </c>
      <c r="P118" s="16">
        <f t="shared" ca="1" si="17"/>
        <v>13664.288753872977</v>
      </c>
      <c r="Q118" s="17">
        <f t="shared" ca="1" si="18"/>
        <v>55462.738842899293</v>
      </c>
      <c r="S118">
        <f ca="1">IF(A118&lt;='Dane do harmonogramu'!$D$7,'Roboczy harmonogram_1'!P118,0)</f>
        <v>13664.288753872977</v>
      </c>
      <c r="T118">
        <f ca="1">IF(A118&lt;='Dane do harmonogramu'!$D$7,'Roboczy harmonogram_1'!O118,0)</f>
        <v>414.76216558062879</v>
      </c>
      <c r="U118">
        <f ca="1">IF(A118&lt;='Dane do harmonogramu'!$D$7,$N$2,0)</f>
        <v>14079.050919453606</v>
      </c>
      <c r="V118" s="16">
        <f ca="1">IF(A117&lt;='Dane do harmonogramu'!$D$7,Q117*0.15%,"")</f>
        <v>103.69054139515841</v>
      </c>
    </row>
    <row r="119" spans="1:22" x14ac:dyDescent="0.35">
      <c r="A119">
        <v>117</v>
      </c>
      <c r="B119" s="14">
        <f t="shared" ca="1" si="19"/>
        <v>49630</v>
      </c>
      <c r="C119" s="15">
        <f ca="1">(1+'Dane do harmonogramu'!$D$13*('Roboczy harmonogram_1'!B119-'Roboczy harmonogram_1'!B118)/365)</f>
        <v>1.0062</v>
      </c>
      <c r="D119" s="15">
        <f ca="1">(1+'Dane do harmonogramu'!$D$13*('Roboczy harmonogram_1'!B119-'Roboczy harmonogram_1'!B118)/366)</f>
        <v>1.0061830601092896</v>
      </c>
      <c r="E119" s="15">
        <f t="shared" ca="1" si="10"/>
        <v>0</v>
      </c>
      <c r="F119" s="15">
        <f t="shared" ca="1" si="11"/>
        <v>0</v>
      </c>
      <c r="G119">
        <f ca="1">IF(E119=1,(1+'Dane do harmonogramu'!$D$13*((('Roboczy harmonogram_1'!B119-DATE(YEAR(B119),1,1)+1)/365)+((DATE(YEAR(B118),12,31)-'Roboczy harmonogram_1'!B118)/366))),IF(F119=1,(1+'Dane do harmonogramu'!$D$13*((('Roboczy harmonogram_1'!B119-DATE(YEAR(B119),1,1)+1)/366)+((DATE(YEAR(B118),12,31)-'Roboczy harmonogram_1'!B118)/365))),0))</f>
        <v>0</v>
      </c>
      <c r="H119">
        <f t="shared" ca="1" si="12"/>
        <v>0</v>
      </c>
      <c r="I119">
        <f t="shared" ca="1" si="13"/>
        <v>1.0062</v>
      </c>
      <c r="J119">
        <f t="shared" ca="1" si="14"/>
        <v>1.0062</v>
      </c>
      <c r="K119">
        <f ca="1">PRODUCT($J$3:J119)</f>
        <v>2.0276029493242747</v>
      </c>
      <c r="L119">
        <f t="shared" ca="1" si="15"/>
        <v>0.493193206457538</v>
      </c>
      <c r="M119">
        <f ca="1">SUM($L$3:L119)</f>
        <v>83.771289638784424</v>
      </c>
      <c r="O119">
        <f t="shared" ca="1" si="16"/>
        <v>343.86898082597327</v>
      </c>
      <c r="P119" s="16">
        <f t="shared" ca="1" si="17"/>
        <v>13735.181938627633</v>
      </c>
      <c r="Q119" s="17">
        <f t="shared" ca="1" si="18"/>
        <v>41727.55690427166</v>
      </c>
      <c r="S119">
        <f ca="1">IF(A119&lt;='Dane do harmonogramu'!$D$7,'Roboczy harmonogram_1'!P119,0)</f>
        <v>13735.181938627633</v>
      </c>
      <c r="T119">
        <f ca="1">IF(A119&lt;='Dane do harmonogramu'!$D$7,'Roboczy harmonogram_1'!O119,0)</f>
        <v>343.86898082597327</v>
      </c>
      <c r="U119">
        <f ca="1">IF(A119&lt;='Dane do harmonogramu'!$D$7,$N$2,0)</f>
        <v>14079.050919453606</v>
      </c>
      <c r="V119" s="16">
        <f ca="1">IF(A118&lt;='Dane do harmonogramu'!$D$7,Q118*0.15%,"")</f>
        <v>83.194108264348941</v>
      </c>
    </row>
    <row r="120" spans="1:22" x14ac:dyDescent="0.35">
      <c r="A120">
        <v>118</v>
      </c>
      <c r="B120" s="14">
        <f t="shared" ca="1" si="19"/>
        <v>49660</v>
      </c>
      <c r="C120" s="15">
        <f ca="1">(1+'Dane do harmonogramu'!$D$13*('Roboczy harmonogram_1'!B120-'Roboczy harmonogram_1'!B119)/365)</f>
        <v>1.006</v>
      </c>
      <c r="D120" s="15">
        <f ca="1">(1+'Dane do harmonogramu'!$D$13*('Roboczy harmonogram_1'!B120-'Roboczy harmonogram_1'!B119)/366)</f>
        <v>1.0059836065573771</v>
      </c>
      <c r="E120" s="15">
        <f t="shared" ca="1" si="10"/>
        <v>0</v>
      </c>
      <c r="F120" s="15">
        <f t="shared" ca="1" si="11"/>
        <v>0</v>
      </c>
      <c r="G120">
        <f ca="1">IF(E120=1,(1+'Dane do harmonogramu'!$D$13*((('Roboczy harmonogram_1'!B120-DATE(YEAR(B120),1,1)+1)/365)+((DATE(YEAR(B119),12,31)-'Roboczy harmonogram_1'!B119)/366))),IF(F120=1,(1+'Dane do harmonogramu'!$D$13*((('Roboczy harmonogram_1'!B120-DATE(YEAR(B120),1,1)+1)/366)+((DATE(YEAR(B119),12,31)-'Roboczy harmonogram_1'!B119)/365))),0))</f>
        <v>0</v>
      </c>
      <c r="H120">
        <f t="shared" ca="1" si="12"/>
        <v>0</v>
      </c>
      <c r="I120">
        <f t="shared" ca="1" si="13"/>
        <v>1.006</v>
      </c>
      <c r="J120">
        <f t="shared" ca="1" si="14"/>
        <v>1.006</v>
      </c>
      <c r="K120">
        <f ca="1">PRODUCT($J$3:J120)</f>
        <v>2.0397685670202201</v>
      </c>
      <c r="L120">
        <f t="shared" ca="1" si="15"/>
        <v>0.49025169627985893</v>
      </c>
      <c r="M120">
        <f ca="1">SUM($L$3:L120)</f>
        <v>84.26154133506428</v>
      </c>
      <c r="O120">
        <f t="shared" ca="1" si="16"/>
        <v>250.36534142563323</v>
      </c>
      <c r="P120" s="16">
        <f t="shared" ca="1" si="17"/>
        <v>13828.685578027973</v>
      </c>
      <c r="Q120" s="17">
        <f t="shared" ca="1" si="18"/>
        <v>27898.871326243687</v>
      </c>
      <c r="S120">
        <f ca="1">IF(A120&lt;='Dane do harmonogramu'!$D$7,'Roboczy harmonogram_1'!P120,0)</f>
        <v>13828.685578027973</v>
      </c>
      <c r="T120">
        <f ca="1">IF(A120&lt;='Dane do harmonogramu'!$D$7,'Roboczy harmonogram_1'!O120,0)</f>
        <v>250.36534142563323</v>
      </c>
      <c r="U120">
        <f ca="1">IF(A120&lt;='Dane do harmonogramu'!$D$7,$N$2,0)</f>
        <v>14079.050919453606</v>
      </c>
      <c r="V120" s="16">
        <f ca="1">IF(A119&lt;='Dane do harmonogramu'!$D$7,Q119*0.15%,"")</f>
        <v>62.591335356407491</v>
      </c>
    </row>
    <row r="121" spans="1:22" x14ac:dyDescent="0.35">
      <c r="A121">
        <v>119</v>
      </c>
      <c r="B121" s="14">
        <f t="shared" ca="1" si="19"/>
        <v>49691</v>
      </c>
      <c r="C121" s="15">
        <f ca="1">(1+'Dane do harmonogramu'!$D$13*('Roboczy harmonogram_1'!B121-'Roboczy harmonogram_1'!B120)/365)</f>
        <v>1.0062</v>
      </c>
      <c r="D121" s="15">
        <f ca="1">(1+'Dane do harmonogramu'!$D$13*('Roboczy harmonogram_1'!B121-'Roboczy harmonogram_1'!B120)/366)</f>
        <v>1.0061830601092896</v>
      </c>
      <c r="E121" s="15">
        <f t="shared" ca="1" si="10"/>
        <v>0</v>
      </c>
      <c r="F121" s="15">
        <f t="shared" ca="1" si="11"/>
        <v>1</v>
      </c>
      <c r="G121">
        <f ca="1">IF(E121=1,(1+'Dane do harmonogramu'!$D$13*((('Roboczy harmonogram_1'!B121-DATE(YEAR(B121),1,1)+1)/365)+((DATE(YEAR(B120),12,31)-'Roboczy harmonogram_1'!B120)/366))),IF(F121=1,(1+'Dane do harmonogramu'!$D$13*((('Roboczy harmonogram_1'!B121-DATE(YEAR(B121),1,1)+1)/366)+((DATE(YEAR(B120),12,31)-'Roboczy harmonogram_1'!B120)/365))),0))</f>
        <v>1.0061907103825136</v>
      </c>
      <c r="H121">
        <f t="shared" ca="1" si="12"/>
        <v>1</v>
      </c>
      <c r="I121">
        <f t="shared" ca="1" si="13"/>
        <v>1.0061830601092896</v>
      </c>
      <c r="J121">
        <f t="shared" ca="1" si="14"/>
        <v>1.0061907103825136</v>
      </c>
      <c r="K121">
        <f ca="1">PRODUCT($J$3:J121)</f>
        <v>2.0523961834659969</v>
      </c>
      <c r="L121">
        <f t="shared" ca="1" si="15"/>
        <v>0.48723536325781103</v>
      </c>
      <c r="M121">
        <f ca="1">SUM($L$3:L121)</f>
        <v>84.748776698322089</v>
      </c>
      <c r="O121">
        <f t="shared" ca="1" si="16"/>
        <v>172.71383237978807</v>
      </c>
      <c r="P121" s="16">
        <f t="shared" ca="1" si="17"/>
        <v>13906.337087073818</v>
      </c>
      <c r="Q121" s="17">
        <f t="shared" ca="1" si="18"/>
        <v>13992.534239169869</v>
      </c>
      <c r="S121">
        <f ca="1">IF(A121&lt;='Dane do harmonogramu'!$D$7,'Roboczy harmonogram_1'!P121,0)</f>
        <v>13906.337087073818</v>
      </c>
      <c r="T121">
        <f ca="1">IF(A121&lt;='Dane do harmonogramu'!$D$7,'Roboczy harmonogram_1'!O121,0)</f>
        <v>172.71383237978807</v>
      </c>
      <c r="U121">
        <f ca="1">IF(A121&lt;='Dane do harmonogramu'!$D$7,$N$2,0)</f>
        <v>14079.050919453606</v>
      </c>
      <c r="V121" s="16">
        <f ca="1">IF(A120&lt;='Dane do harmonogramu'!$D$7,Q120*0.15%,"")</f>
        <v>41.848306989365533</v>
      </c>
    </row>
    <row r="122" spans="1:22" x14ac:dyDescent="0.35">
      <c r="A122">
        <v>120</v>
      </c>
      <c r="B122" s="14">
        <f t="shared" ca="1" si="19"/>
        <v>49722</v>
      </c>
      <c r="C122" s="15">
        <f ca="1">(1+'Dane do harmonogramu'!$D$13*('Roboczy harmonogram_1'!B122-'Roboczy harmonogram_1'!B121)/365)</f>
        <v>1.0062</v>
      </c>
      <c r="D122" s="15">
        <f ca="1">(1+'Dane do harmonogramu'!$D$13*('Roboczy harmonogram_1'!B122-'Roboczy harmonogram_1'!B121)/366)</f>
        <v>1.0061830601092896</v>
      </c>
      <c r="E122" s="15">
        <f t="shared" ca="1" si="10"/>
        <v>0</v>
      </c>
      <c r="F122" s="15">
        <f t="shared" ca="1" si="11"/>
        <v>0</v>
      </c>
      <c r="G122">
        <f ca="1">IF(E122=1,(1+'Dane do harmonogramu'!$D$13*((('Roboczy harmonogram_1'!B122-DATE(YEAR(B122),1,1)+1)/365)+((DATE(YEAR(B121),12,31)-'Roboczy harmonogram_1'!B121)/366))),IF(F122=1,(1+'Dane do harmonogramu'!$D$13*((('Roboczy harmonogram_1'!B122-DATE(YEAR(B122),1,1)+1)/366)+((DATE(YEAR(B121),12,31)-'Roboczy harmonogram_1'!B121)/365))),0))</f>
        <v>0</v>
      </c>
      <c r="H122">
        <f t="shared" ca="1" si="12"/>
        <v>1</v>
      </c>
      <c r="I122">
        <f t="shared" ca="1" si="13"/>
        <v>1.0061830601092896</v>
      </c>
      <c r="J122">
        <f t="shared" ca="1" si="14"/>
        <v>1.0061830601092896</v>
      </c>
      <c r="K122">
        <f ca="1">PRODUCT($J$3:J122)</f>
        <v>2.0650862724364436</v>
      </c>
      <c r="L122">
        <f t="shared" ca="1" si="15"/>
        <v>0.48424127037567949</v>
      </c>
      <c r="M122">
        <f ca="1">SUM($L$3:L122)</f>
        <v>85.233017968697766</v>
      </c>
      <c r="O122">
        <f t="shared" ca="1" si="16"/>
        <v>86.516680282080415</v>
      </c>
      <c r="P122" s="16">
        <f t="shared" ca="1" si="17"/>
        <v>13992.534239171526</v>
      </c>
      <c r="Q122" s="17">
        <f t="shared" ca="1" si="18"/>
        <v>-1.6570993466302752E-9</v>
      </c>
      <c r="S122">
        <f ca="1">IF(A122&lt;='Dane do harmonogramu'!$D$7,'Roboczy harmonogram_1'!P122,0)</f>
        <v>13992.534239171526</v>
      </c>
      <c r="T122">
        <f ca="1">IF(A122&lt;='Dane do harmonogramu'!$D$7,'Roboczy harmonogram_1'!O122,0)</f>
        <v>86.516680282080415</v>
      </c>
      <c r="U122">
        <f ca="1">IF(A122&lt;='Dane do harmonogramu'!$D$7,$N$2,0)</f>
        <v>14079.050919453606</v>
      </c>
      <c r="V122" s="16">
        <f ca="1">IF(A121&lt;='Dane do harmonogramu'!$D$7,Q121*0.15%,"")</f>
        <v>20.988801358754802</v>
      </c>
    </row>
    <row r="123" spans="1:22" x14ac:dyDescent="0.35">
      <c r="A123">
        <v>121</v>
      </c>
      <c r="B123" s="14">
        <f t="shared" ca="1" si="19"/>
        <v>49751</v>
      </c>
      <c r="C123" s="15">
        <f ca="1">(1+'Dane do harmonogramu'!$D$13*('Roboczy harmonogram_1'!B123-'Roboczy harmonogram_1'!B122)/365)</f>
        <v>1.0058</v>
      </c>
      <c r="D123" s="15">
        <f ca="1">(1+'Dane do harmonogramu'!$D$13*('Roboczy harmonogram_1'!B123-'Roboczy harmonogram_1'!B122)/366)</f>
        <v>1.0057841530054645</v>
      </c>
      <c r="E123" s="15">
        <f t="shared" ca="1" si="10"/>
        <v>0</v>
      </c>
      <c r="F123" s="15">
        <f t="shared" ca="1" si="11"/>
        <v>0</v>
      </c>
      <c r="G123">
        <f ca="1">IF(E123=1,(1+'Dane do harmonogramu'!$D$13*((('Roboczy harmonogram_1'!B123-DATE(YEAR(B123),1,1)+1)/365)+((DATE(YEAR(B122),12,31)-'Roboczy harmonogram_1'!B122)/366))),IF(F123=1,(1+'Dane do harmonogramu'!$D$13*((('Roboczy harmonogram_1'!B123-DATE(YEAR(B123),1,1)+1)/366)+((DATE(YEAR(B122),12,31)-'Roboczy harmonogram_1'!B122)/365))),0))</f>
        <v>0</v>
      </c>
      <c r="H123">
        <f t="shared" ca="1" si="12"/>
        <v>1</v>
      </c>
      <c r="I123">
        <f t="shared" ca="1" si="13"/>
        <v>1.0057841530054645</v>
      </c>
      <c r="J123">
        <f t="shared" ca="1" si="14"/>
        <v>1.0057841530054645</v>
      </c>
      <c r="K123">
        <f ca="1">PRODUCT($J$3:J123)</f>
        <v>2.0770310474057005</v>
      </c>
      <c r="L123">
        <f t="shared" ca="1" si="15"/>
        <v>0.48145645258843972</v>
      </c>
      <c r="M123">
        <f ca="1">SUM($L$3:L123)</f>
        <v>85.714474421286212</v>
      </c>
      <c r="O123">
        <f t="shared" ca="1" si="16"/>
        <v>-9.5849161661647669E-12</v>
      </c>
      <c r="P123" s="16">
        <f t="shared" ca="1" si="17"/>
        <v>14079.050919453615</v>
      </c>
      <c r="Q123" s="17">
        <f t="shared" ca="1" si="18"/>
        <v>-14079.050919455272</v>
      </c>
      <c r="S123">
        <f>IF(A123&lt;='Dane do harmonogramu'!$D$7,'Roboczy harmonogram_1'!P123,0)</f>
        <v>0</v>
      </c>
      <c r="T123">
        <f>IF(A123&lt;='Dane do harmonogramu'!$D$7,'Roboczy harmonogram_1'!O123,0)</f>
        <v>0</v>
      </c>
      <c r="U123">
        <f>IF(A123&lt;='Dane do harmonogramu'!$D$7,$N$2,0)</f>
        <v>0</v>
      </c>
      <c r="V123" s="16">
        <f ca="1">IF(A122&lt;='Dane do harmonogramu'!$D$7,Q122*0.15%,"")</f>
        <v>-2.485649019945413E-12</v>
      </c>
    </row>
    <row r="124" spans="1:22" x14ac:dyDescent="0.35">
      <c r="A124">
        <v>122</v>
      </c>
      <c r="B124" s="14">
        <f t="shared" ca="1" si="19"/>
        <v>49782</v>
      </c>
      <c r="C124" s="15">
        <f ca="1">(1+'Dane do harmonogramu'!$D$13*('Roboczy harmonogram_1'!B124-'Roboczy harmonogram_1'!B123)/365)</f>
        <v>1.0062</v>
      </c>
      <c r="D124" s="15">
        <f ca="1">(1+'Dane do harmonogramu'!$D$13*('Roboczy harmonogram_1'!B124-'Roboczy harmonogram_1'!B123)/366)</f>
        <v>1.0061830601092896</v>
      </c>
      <c r="E124" s="15">
        <f t="shared" ca="1" si="10"/>
        <v>0</v>
      </c>
      <c r="F124" s="15">
        <f t="shared" ca="1" si="11"/>
        <v>0</v>
      </c>
      <c r="G124">
        <f ca="1">IF(E124=1,(1+'Dane do harmonogramu'!$D$13*((('Roboczy harmonogram_1'!B124-DATE(YEAR(B124),1,1)+1)/365)+((DATE(YEAR(B123),12,31)-'Roboczy harmonogram_1'!B123)/366))),IF(F124=1,(1+'Dane do harmonogramu'!$D$13*((('Roboczy harmonogram_1'!B124-DATE(YEAR(B124),1,1)+1)/366)+((DATE(YEAR(B123),12,31)-'Roboczy harmonogram_1'!B123)/365))),0))</f>
        <v>0</v>
      </c>
      <c r="H124">
        <f t="shared" ca="1" si="12"/>
        <v>1</v>
      </c>
      <c r="I124">
        <f t="shared" ca="1" si="13"/>
        <v>1.0061830601092896</v>
      </c>
      <c r="J124">
        <f t="shared" ca="1" si="14"/>
        <v>1.0061830601092896</v>
      </c>
      <c r="K124">
        <f ca="1">PRODUCT($J$3:J124)</f>
        <v>2.0898734552206708</v>
      </c>
      <c r="L124">
        <f t="shared" ca="1" si="15"/>
        <v>0.47849787148686929</v>
      </c>
      <c r="M124">
        <f ca="1">SUM($L$3:L124)</f>
        <v>86.192972292773078</v>
      </c>
      <c r="O124">
        <f t="shared" ca="1" si="16"/>
        <v>-87.051618116740428</v>
      </c>
      <c r="P124" s="16">
        <f t="shared" ca="1" si="17"/>
        <v>14166.102537570347</v>
      </c>
      <c r="Q124" s="17">
        <f t="shared" ca="1" si="18"/>
        <v>-28245.153457025619</v>
      </c>
      <c r="S124">
        <f>IF(A124&lt;='Dane do harmonogramu'!$D$7,'Roboczy harmonogram_1'!P124,0)</f>
        <v>0</v>
      </c>
      <c r="T124">
        <f>IF(A124&lt;='Dane do harmonogramu'!$D$7,'Roboczy harmonogram_1'!O124,0)</f>
        <v>0</v>
      </c>
      <c r="U124">
        <f>IF(A124&lt;='Dane do harmonogramu'!$D$7,$N$2,0)</f>
        <v>0</v>
      </c>
      <c r="V124" s="16" t="str">
        <f>IF(A123&lt;='Dane do harmonogramu'!$D$7,Q123*0.15%,"")</f>
        <v/>
      </c>
    </row>
    <row r="125" spans="1:22" x14ac:dyDescent="0.35">
      <c r="A125">
        <v>123</v>
      </c>
      <c r="B125" s="14">
        <f t="shared" ca="1" si="19"/>
        <v>49812</v>
      </c>
      <c r="C125" s="15">
        <f ca="1">(1+'Dane do harmonogramu'!$D$13*('Roboczy harmonogram_1'!B125-'Roboczy harmonogram_1'!B124)/365)</f>
        <v>1.006</v>
      </c>
      <c r="D125" s="15">
        <f ca="1">(1+'Dane do harmonogramu'!$D$13*('Roboczy harmonogram_1'!B125-'Roboczy harmonogram_1'!B124)/366)</f>
        <v>1.0059836065573771</v>
      </c>
      <c r="E125" s="15">
        <f t="shared" ca="1" si="10"/>
        <v>0</v>
      </c>
      <c r="F125" s="15">
        <f t="shared" ca="1" si="11"/>
        <v>0</v>
      </c>
      <c r="G125">
        <f ca="1">IF(E125=1,(1+'Dane do harmonogramu'!$D$13*((('Roboczy harmonogram_1'!B125-DATE(YEAR(B125),1,1)+1)/365)+((DATE(YEAR(B124),12,31)-'Roboczy harmonogram_1'!B124)/366))),IF(F125=1,(1+'Dane do harmonogramu'!$D$13*((('Roboczy harmonogram_1'!B125-DATE(YEAR(B125),1,1)+1)/366)+((DATE(YEAR(B124),12,31)-'Roboczy harmonogram_1'!B124)/365))),0))</f>
        <v>0</v>
      </c>
      <c r="H125">
        <f t="shared" ca="1" si="12"/>
        <v>1</v>
      </c>
      <c r="I125">
        <f t="shared" ca="1" si="13"/>
        <v>1.0059836065573771</v>
      </c>
      <c r="J125">
        <f t="shared" ca="1" si="14"/>
        <v>1.0059836065573771</v>
      </c>
      <c r="K125">
        <f ca="1">PRODUCT($J$3:J125)</f>
        <v>2.1023784357314175</v>
      </c>
      <c r="L125">
        <f t="shared" ca="1" si="15"/>
        <v>0.47565175850564695</v>
      </c>
      <c r="M125">
        <f ca="1">SUM($L$3:L125)</f>
        <v>86.668624051278726</v>
      </c>
      <c r="O125">
        <f t="shared" ca="1" si="16"/>
        <v>-169.0078854395797</v>
      </c>
      <c r="P125" s="16">
        <f t="shared" ca="1" si="17"/>
        <v>14248.058804893186</v>
      </c>
      <c r="Q125" s="17">
        <f t="shared" ca="1" si="18"/>
        <v>-42493.212261918801</v>
      </c>
      <c r="S125">
        <f>IF(A125&lt;='Dane do harmonogramu'!$D$7,'Roboczy harmonogram_1'!P125,0)</f>
        <v>0</v>
      </c>
      <c r="T125">
        <f>IF(A125&lt;='Dane do harmonogramu'!$D$7,'Roboczy harmonogram_1'!O125,0)</f>
        <v>0</v>
      </c>
      <c r="U125">
        <f>IF(A125&lt;='Dane do harmonogramu'!$D$7,$N$2,0)</f>
        <v>0</v>
      </c>
      <c r="V125" s="16" t="str">
        <f>IF(A124&lt;='Dane do harmonogramu'!$D$7,Q124*0.15%,"")</f>
        <v/>
      </c>
    </row>
    <row r="126" spans="1:22" x14ac:dyDescent="0.35">
      <c r="A126">
        <v>124</v>
      </c>
      <c r="B126" s="14">
        <f t="shared" ca="1" si="19"/>
        <v>49843</v>
      </c>
      <c r="C126" s="15">
        <f ca="1">(1+'Dane do harmonogramu'!$D$13*('Roboczy harmonogram_1'!B126-'Roboczy harmonogram_1'!B125)/365)</f>
        <v>1.0062</v>
      </c>
      <c r="D126" s="15">
        <f ca="1">(1+'Dane do harmonogramu'!$D$13*('Roboczy harmonogram_1'!B126-'Roboczy harmonogram_1'!B125)/366)</f>
        <v>1.0061830601092896</v>
      </c>
      <c r="E126" s="15">
        <f t="shared" ca="1" si="10"/>
        <v>0</v>
      </c>
      <c r="F126" s="15">
        <f t="shared" ca="1" si="11"/>
        <v>0</v>
      </c>
      <c r="G126">
        <f ca="1">IF(E126=1,(1+'Dane do harmonogramu'!$D$13*((('Roboczy harmonogram_1'!B126-DATE(YEAR(B126),1,1)+1)/365)+((DATE(YEAR(B125),12,31)-'Roboczy harmonogram_1'!B125)/366))),IF(F126=1,(1+'Dane do harmonogramu'!$D$13*((('Roboczy harmonogram_1'!B126-DATE(YEAR(B126),1,1)+1)/366)+((DATE(YEAR(B125),12,31)-'Roboczy harmonogram_1'!B125)/365))),0))</f>
        <v>0</v>
      </c>
      <c r="H126">
        <f t="shared" ca="1" si="12"/>
        <v>1</v>
      </c>
      <c r="I126">
        <f t="shared" ca="1" si="13"/>
        <v>1.0061830601092896</v>
      </c>
      <c r="J126">
        <f t="shared" ca="1" si="14"/>
        <v>1.0061830601092896</v>
      </c>
      <c r="K126">
        <f ca="1">PRODUCT($J$3:J126)</f>
        <v>2.1153775679720193</v>
      </c>
      <c r="L126">
        <f t="shared" ca="1" si="15"/>
        <v>0.47272884762538397</v>
      </c>
      <c r="M126">
        <f ca="1">SUM($L$3:L126)</f>
        <v>87.141352898904117</v>
      </c>
      <c r="O126">
        <f t="shared" ca="1" si="16"/>
        <v>-262.73808565224317</v>
      </c>
      <c r="P126" s="16">
        <f t="shared" ca="1" si="17"/>
        <v>14341.789005105849</v>
      </c>
      <c r="Q126" s="17">
        <f t="shared" ca="1" si="18"/>
        <v>-56835.001267024651</v>
      </c>
      <c r="S126">
        <f>IF(A126&lt;='Dane do harmonogramu'!$D$7,'Roboczy harmonogram_1'!P126,0)</f>
        <v>0</v>
      </c>
      <c r="T126">
        <f>IF(A126&lt;='Dane do harmonogramu'!$D$7,'Roboczy harmonogram_1'!O126,0)</f>
        <v>0</v>
      </c>
      <c r="U126">
        <f>IF(A126&lt;='Dane do harmonogramu'!$D$7,$N$2,0)</f>
        <v>0</v>
      </c>
      <c r="V126" s="16" t="str">
        <f>IF(A125&lt;='Dane do harmonogramu'!$D$7,Q125*0.15%,"")</f>
        <v/>
      </c>
    </row>
    <row r="127" spans="1:22" x14ac:dyDescent="0.35">
      <c r="A127">
        <v>125</v>
      </c>
      <c r="B127" s="14">
        <f t="shared" ca="1" si="19"/>
        <v>49873</v>
      </c>
      <c r="C127" s="15">
        <f ca="1">(1+'Dane do harmonogramu'!$D$13*('Roboczy harmonogram_1'!B127-'Roboczy harmonogram_1'!B126)/365)</f>
        <v>1.006</v>
      </c>
      <c r="D127" s="15">
        <f ca="1">(1+'Dane do harmonogramu'!$D$13*('Roboczy harmonogram_1'!B127-'Roboczy harmonogram_1'!B126)/366)</f>
        <v>1.0059836065573771</v>
      </c>
      <c r="E127" s="15">
        <f t="shared" ca="1" si="10"/>
        <v>0</v>
      </c>
      <c r="F127" s="15">
        <f t="shared" ca="1" si="11"/>
        <v>0</v>
      </c>
      <c r="G127">
        <f ca="1">IF(E127=1,(1+'Dane do harmonogramu'!$D$13*((('Roboczy harmonogram_1'!B127-DATE(YEAR(B127),1,1)+1)/365)+((DATE(YEAR(B126),12,31)-'Roboczy harmonogram_1'!B126)/366))),IF(F127=1,(1+'Dane do harmonogramu'!$D$13*((('Roboczy harmonogram_1'!B127-DATE(YEAR(B127),1,1)+1)/366)+((DATE(YEAR(B126),12,31)-'Roboczy harmonogram_1'!B126)/365))),0))</f>
        <v>0</v>
      </c>
      <c r="H127">
        <f t="shared" ca="1" si="12"/>
        <v>1</v>
      </c>
      <c r="I127">
        <f t="shared" ca="1" si="13"/>
        <v>1.0059836065573771</v>
      </c>
      <c r="J127">
        <f t="shared" ca="1" si="14"/>
        <v>1.0059836065573771</v>
      </c>
      <c r="K127">
        <f ca="1">PRODUCT($J$3:J127)</f>
        <v>2.1280351550590648</v>
      </c>
      <c r="L127">
        <f t="shared" ca="1" si="15"/>
        <v>0.46991704889022118</v>
      </c>
      <c r="M127">
        <f ca="1">SUM($L$3:L127)</f>
        <v>87.611269947794341</v>
      </c>
      <c r="O127">
        <f t="shared" ca="1" si="16"/>
        <v>-340.07828626990522</v>
      </c>
      <c r="P127" s="16">
        <f t="shared" ca="1" si="17"/>
        <v>14419.129205723511</v>
      </c>
      <c r="Q127" s="17">
        <f t="shared" ca="1" si="18"/>
        <v>-71254.130472748162</v>
      </c>
      <c r="S127">
        <f>IF(A127&lt;='Dane do harmonogramu'!$D$7,'Roboczy harmonogram_1'!P127,0)</f>
        <v>0</v>
      </c>
      <c r="T127">
        <f>IF(A127&lt;='Dane do harmonogramu'!$D$7,'Roboczy harmonogram_1'!O127,0)</f>
        <v>0</v>
      </c>
      <c r="U127">
        <f>IF(A127&lt;='Dane do harmonogramu'!$D$7,$N$2,0)</f>
        <v>0</v>
      </c>
      <c r="V127" s="16" t="str">
        <f>IF(A126&lt;='Dane do harmonogramu'!$D$7,Q126*0.15%,"")</f>
        <v/>
      </c>
    </row>
    <row r="128" spans="1:22" x14ac:dyDescent="0.35">
      <c r="A128">
        <v>126</v>
      </c>
      <c r="B128" s="14">
        <f t="shared" ca="1" si="19"/>
        <v>49904</v>
      </c>
      <c r="C128" s="15">
        <f ca="1">(1+'Dane do harmonogramu'!$D$13*('Roboczy harmonogram_1'!B128-'Roboczy harmonogram_1'!B127)/365)</f>
        <v>1.0062</v>
      </c>
      <c r="D128" s="15">
        <f ca="1">(1+'Dane do harmonogramu'!$D$13*('Roboczy harmonogram_1'!B128-'Roboczy harmonogram_1'!B127)/366)</f>
        <v>1.0061830601092896</v>
      </c>
      <c r="E128" s="15">
        <f t="shared" ca="1" si="10"/>
        <v>0</v>
      </c>
      <c r="F128" s="15">
        <f t="shared" ca="1" si="11"/>
        <v>0</v>
      </c>
      <c r="G128">
        <f ca="1">IF(E128=1,(1+'Dane do harmonogramu'!$D$13*((('Roboczy harmonogram_1'!B128-DATE(YEAR(B128),1,1)+1)/365)+((DATE(YEAR(B127),12,31)-'Roboczy harmonogram_1'!B127)/366))),IF(F128=1,(1+'Dane do harmonogramu'!$D$13*((('Roboczy harmonogram_1'!B128-DATE(YEAR(B128),1,1)+1)/366)+((DATE(YEAR(B127),12,31)-'Roboczy harmonogram_1'!B127)/365))),0))</f>
        <v>0</v>
      </c>
      <c r="H128">
        <f t="shared" ca="1" si="12"/>
        <v>1</v>
      </c>
      <c r="I128">
        <f t="shared" ca="1" si="13"/>
        <v>1.0061830601092896</v>
      </c>
      <c r="J128">
        <f t="shared" ca="1" si="14"/>
        <v>1.0061830601092896</v>
      </c>
      <c r="K128">
        <f ca="1">PRODUCT($J$3:J128)</f>
        <v>2.1411929243374765</v>
      </c>
      <c r="L128">
        <f t="shared" ca="1" si="15"/>
        <v>0.46702937817217843</v>
      </c>
      <c r="M128">
        <f ca="1">SUM($L$3:L128)</f>
        <v>88.078299325966526</v>
      </c>
      <c r="O128">
        <f t="shared" ca="1" si="16"/>
        <v>-440.56857174816832</v>
      </c>
      <c r="P128" s="16">
        <f t="shared" ca="1" si="17"/>
        <v>14519.619491201775</v>
      </c>
      <c r="Q128" s="17">
        <f t="shared" ca="1" si="18"/>
        <v>-85773.749963949929</v>
      </c>
      <c r="S128">
        <f>IF(A128&lt;='Dane do harmonogramu'!$D$7,'Roboczy harmonogram_1'!P128,0)</f>
        <v>0</v>
      </c>
      <c r="T128">
        <f>IF(A128&lt;='Dane do harmonogramu'!$D$7,'Roboczy harmonogram_1'!O128,0)</f>
        <v>0</v>
      </c>
      <c r="U128">
        <f>IF(A128&lt;='Dane do harmonogramu'!$D$7,$N$2,0)</f>
        <v>0</v>
      </c>
      <c r="V128" s="16" t="str">
        <f>IF(A127&lt;='Dane do harmonogramu'!$D$7,Q127*0.15%,"")</f>
        <v/>
      </c>
    </row>
    <row r="129" spans="1:22" x14ac:dyDescent="0.35">
      <c r="A129">
        <v>127</v>
      </c>
      <c r="B129" s="14">
        <f t="shared" ca="1" si="19"/>
        <v>49935</v>
      </c>
      <c r="C129" s="15">
        <f ca="1">(1+'Dane do harmonogramu'!$D$13*('Roboczy harmonogram_1'!B129-'Roboczy harmonogram_1'!B128)/365)</f>
        <v>1.0062</v>
      </c>
      <c r="D129" s="15">
        <f ca="1">(1+'Dane do harmonogramu'!$D$13*('Roboczy harmonogram_1'!B129-'Roboczy harmonogram_1'!B128)/366)</f>
        <v>1.0061830601092896</v>
      </c>
      <c r="E129" s="15">
        <f t="shared" ca="1" si="10"/>
        <v>0</v>
      </c>
      <c r="F129" s="15">
        <f t="shared" ca="1" si="11"/>
        <v>0</v>
      </c>
      <c r="G129">
        <f ca="1">IF(E129=1,(1+'Dane do harmonogramu'!$D$13*((('Roboczy harmonogram_1'!B129-DATE(YEAR(B129),1,1)+1)/365)+((DATE(YEAR(B128),12,31)-'Roboczy harmonogram_1'!B128)/366))),IF(F129=1,(1+'Dane do harmonogramu'!$D$13*((('Roboczy harmonogram_1'!B129-DATE(YEAR(B129),1,1)+1)/366)+((DATE(YEAR(B128),12,31)-'Roboczy harmonogram_1'!B128)/365))),0))</f>
        <v>0</v>
      </c>
      <c r="H129">
        <f t="shared" ca="1" si="12"/>
        <v>1</v>
      </c>
      <c r="I129">
        <f t="shared" ca="1" si="13"/>
        <v>1.0061830601092896</v>
      </c>
      <c r="J129">
        <f t="shared" ca="1" si="14"/>
        <v>1.0061830601092896</v>
      </c>
      <c r="K129">
        <f ca="1">PRODUCT($J$3:J129)</f>
        <v>2.1544320488942406</v>
      </c>
      <c r="L129">
        <f t="shared" ca="1" si="15"/>
        <v>0.46415945237783141</v>
      </c>
      <c r="M129">
        <f ca="1">SUM($L$3:L129)</f>
        <v>88.542458778344354</v>
      </c>
      <c r="O129">
        <f t="shared" ca="1" si="16"/>
        <v>-530.34425182627456</v>
      </c>
      <c r="P129" s="16">
        <f t="shared" ca="1" si="17"/>
        <v>14609.395171279881</v>
      </c>
      <c r="Q129" s="17">
        <f t="shared" ca="1" si="18"/>
        <v>-100383.1451352298</v>
      </c>
      <c r="S129">
        <f>IF(A129&lt;='Dane do harmonogramu'!$D$7,'Roboczy harmonogram_1'!P129,0)</f>
        <v>0</v>
      </c>
      <c r="T129">
        <f>IF(A129&lt;='Dane do harmonogramu'!$D$7,'Roboczy harmonogram_1'!O129,0)</f>
        <v>0</v>
      </c>
      <c r="U129">
        <f>IF(A129&lt;='Dane do harmonogramu'!$D$7,$N$2,0)</f>
        <v>0</v>
      </c>
      <c r="V129" s="16" t="str">
        <f>IF(A128&lt;='Dane do harmonogramu'!$D$7,Q128*0.15%,"")</f>
        <v/>
      </c>
    </row>
    <row r="130" spans="1:22" x14ac:dyDescent="0.35">
      <c r="A130">
        <v>128</v>
      </c>
      <c r="B130" s="14">
        <f t="shared" ca="1" si="19"/>
        <v>49965</v>
      </c>
      <c r="C130" s="15">
        <f ca="1">(1+'Dane do harmonogramu'!$D$13*('Roboczy harmonogram_1'!B130-'Roboczy harmonogram_1'!B129)/365)</f>
        <v>1.006</v>
      </c>
      <c r="D130" s="15">
        <f ca="1">(1+'Dane do harmonogramu'!$D$13*('Roboczy harmonogram_1'!B130-'Roboczy harmonogram_1'!B129)/366)</f>
        <v>1.0059836065573771</v>
      </c>
      <c r="E130" s="15">
        <f t="shared" ca="1" si="10"/>
        <v>0</v>
      </c>
      <c r="F130" s="15">
        <f t="shared" ca="1" si="11"/>
        <v>0</v>
      </c>
      <c r="G130">
        <f ca="1">IF(E130=1,(1+'Dane do harmonogramu'!$D$13*((('Roboczy harmonogram_1'!B130-DATE(YEAR(B130),1,1)+1)/365)+((DATE(YEAR(B129),12,31)-'Roboczy harmonogram_1'!B129)/366))),IF(F130=1,(1+'Dane do harmonogramu'!$D$13*((('Roboczy harmonogram_1'!B130-DATE(YEAR(B130),1,1)+1)/366)+((DATE(YEAR(B129),12,31)-'Roboczy harmonogram_1'!B129)/365))),0))</f>
        <v>0</v>
      </c>
      <c r="H130">
        <f t="shared" ca="1" si="12"/>
        <v>1</v>
      </c>
      <c r="I130">
        <f t="shared" ca="1" si="13"/>
        <v>1.0059836065573771</v>
      </c>
      <c r="J130">
        <f t="shared" ca="1" si="14"/>
        <v>1.0059836065573771</v>
      </c>
      <c r="K130">
        <f ca="1">PRODUCT($J$3:J130)</f>
        <v>2.1673233226294273</v>
      </c>
      <c r="L130">
        <f t="shared" ca="1" si="15"/>
        <v>0.46139862454245445</v>
      </c>
      <c r="M130">
        <f ca="1">SUM($L$3:L130)</f>
        <v>89.003857402886808</v>
      </c>
      <c r="O130">
        <f t="shared" ca="1" si="16"/>
        <v>-600.65324548129865</v>
      </c>
      <c r="P130" s="16">
        <f t="shared" ca="1" si="17"/>
        <v>14679.704164934905</v>
      </c>
      <c r="Q130" s="17">
        <f t="shared" ca="1" si="18"/>
        <v>-115062.8493001647</v>
      </c>
      <c r="S130">
        <f>IF(A130&lt;='Dane do harmonogramu'!$D$7,'Roboczy harmonogram_1'!P130,0)</f>
        <v>0</v>
      </c>
      <c r="T130">
        <f>IF(A130&lt;='Dane do harmonogramu'!$D$7,'Roboczy harmonogram_1'!O130,0)</f>
        <v>0</v>
      </c>
      <c r="U130">
        <f>IF(A130&lt;='Dane do harmonogramu'!$D$7,$N$2,0)</f>
        <v>0</v>
      </c>
      <c r="V130" s="16" t="str">
        <f>IF(A129&lt;='Dane do harmonogramu'!$D$7,Q129*0.15%,"")</f>
        <v/>
      </c>
    </row>
    <row r="131" spans="1:22" x14ac:dyDescent="0.35">
      <c r="A131">
        <v>129</v>
      </c>
      <c r="B131" s="14">
        <f t="shared" ca="1" si="19"/>
        <v>49996</v>
      </c>
      <c r="C131" s="15">
        <f ca="1">(1+'Dane do harmonogramu'!$D$13*('Roboczy harmonogram_1'!B131-'Roboczy harmonogram_1'!B130)/365)</f>
        <v>1.0062</v>
      </c>
      <c r="D131" s="15">
        <f ca="1">(1+'Dane do harmonogramu'!$D$13*('Roboczy harmonogram_1'!B131-'Roboczy harmonogram_1'!B130)/366)</f>
        <v>1.0061830601092896</v>
      </c>
      <c r="E131" s="15">
        <f t="shared" ca="1" si="10"/>
        <v>0</v>
      </c>
      <c r="F131" s="15">
        <f t="shared" ca="1" si="11"/>
        <v>0</v>
      </c>
      <c r="G131">
        <f ca="1">IF(E131=1,(1+'Dane do harmonogramu'!$D$13*((('Roboczy harmonogram_1'!B131-DATE(YEAR(B131),1,1)+1)/365)+((DATE(YEAR(B130),12,31)-'Roboczy harmonogram_1'!B130)/366))),IF(F131=1,(1+'Dane do harmonogramu'!$D$13*((('Roboczy harmonogram_1'!B131-DATE(YEAR(B131),1,1)+1)/366)+((DATE(YEAR(B130),12,31)-'Roboczy harmonogram_1'!B130)/365))),0))</f>
        <v>0</v>
      </c>
      <c r="H131">
        <f t="shared" ca="1" si="12"/>
        <v>1</v>
      </c>
      <c r="I131">
        <f t="shared" ca="1" si="13"/>
        <v>1.0061830601092896</v>
      </c>
      <c r="J131">
        <f t="shared" ca="1" si="14"/>
        <v>1.0061830601092896</v>
      </c>
      <c r="K131">
        <f ca="1">PRODUCT($J$3:J131)</f>
        <v>2.1807240130095105</v>
      </c>
      <c r="L131">
        <f t="shared" ca="1" si="15"/>
        <v>0.45856330009405866</v>
      </c>
      <c r="M131">
        <f ca="1">SUM($L$3:L131)</f>
        <v>89.462420702980864</v>
      </c>
      <c r="O131">
        <f t="shared" ca="1" si="16"/>
        <v>-711.44051356904674</v>
      </c>
      <c r="P131" s="16">
        <f t="shared" ca="1" si="17"/>
        <v>14790.491433022653</v>
      </c>
      <c r="Q131" s="17">
        <f t="shared" ca="1" si="18"/>
        <v>-129853.34073318736</v>
      </c>
      <c r="S131">
        <f>IF(A131&lt;='Dane do harmonogramu'!$D$7,'Roboczy harmonogram_1'!P131,0)</f>
        <v>0</v>
      </c>
      <c r="T131">
        <f>IF(A131&lt;='Dane do harmonogramu'!$D$7,'Roboczy harmonogram_1'!O131,0)</f>
        <v>0</v>
      </c>
      <c r="U131">
        <f>IF(A131&lt;='Dane do harmonogramu'!$D$7,$N$2,0)</f>
        <v>0</v>
      </c>
      <c r="V131" s="16" t="str">
        <f>IF(A130&lt;='Dane do harmonogramu'!$D$7,Q130*0.15%,"")</f>
        <v/>
      </c>
    </row>
    <row r="132" spans="1:22" x14ac:dyDescent="0.35">
      <c r="A132">
        <v>130</v>
      </c>
      <c r="B132" s="14">
        <f t="shared" ca="1" si="19"/>
        <v>50026</v>
      </c>
      <c r="C132" s="15">
        <f ca="1">(1+'Dane do harmonogramu'!$D$13*('Roboczy harmonogram_1'!B132-'Roboczy harmonogram_1'!B131)/365)</f>
        <v>1.006</v>
      </c>
      <c r="D132" s="15">
        <f ca="1">(1+'Dane do harmonogramu'!$D$13*('Roboczy harmonogram_1'!B132-'Roboczy harmonogram_1'!B131)/366)</f>
        <v>1.0059836065573771</v>
      </c>
      <c r="E132" s="15">
        <f t="shared" ref="E132:E182" ca="1" si="20">IF(AND(MOD(YEAR(B131),4)=0,MOD(YEAR(B132),4)&lt;&gt;0),1,0)</f>
        <v>0</v>
      </c>
      <c r="F132" s="15">
        <f t="shared" ref="F132:F182" ca="1" si="21">IF(AND(MOD(YEAR(B132),4)=0,MOD(YEAR(B131),4)&lt;&gt;0),1,0)</f>
        <v>0</v>
      </c>
      <c r="G132">
        <f ca="1">IF(E132=1,(1+'Dane do harmonogramu'!$D$13*((('Roboczy harmonogram_1'!B132-DATE(YEAR(B132),1,1)+1)/365)+((DATE(YEAR(B131),12,31)-'Roboczy harmonogram_1'!B131)/366))),IF(F132=1,(1+'Dane do harmonogramu'!$D$13*((('Roboczy harmonogram_1'!B132-DATE(YEAR(B132),1,1)+1)/366)+((DATE(YEAR(B131),12,31)-'Roboczy harmonogram_1'!B131)/365))),0))</f>
        <v>0</v>
      </c>
      <c r="H132">
        <f t="shared" ref="H132:H182" ca="1" si="22">IF(MOD(YEAR(B132),4)=0,1,0)</f>
        <v>1</v>
      </c>
      <c r="I132">
        <f t="shared" ref="I132:I182" ca="1" si="23">IF(H132=0,C132,IF(H132=1,D132,"blad"))</f>
        <v>1.0059836065573771</v>
      </c>
      <c r="J132">
        <f t="shared" ref="J132:J182" ca="1" si="24">IF(OR(E132=1,F132=1),G132,I132)</f>
        <v>1.0059836065573771</v>
      </c>
      <c r="K132">
        <f ca="1">PRODUCT($J$3:J132)</f>
        <v>2.1937726075135839</v>
      </c>
      <c r="L132">
        <f t="shared" ref="L132:L182" ca="1" si="25">1/K132</f>
        <v>0.45583575826183614</v>
      </c>
      <c r="M132">
        <f ca="1">SUM($L$3:L132)</f>
        <v>89.918256461242706</v>
      </c>
      <c r="O132">
        <f t="shared" ca="1" si="16"/>
        <v>-776.99130110841361</v>
      </c>
      <c r="P132" s="16">
        <f t="shared" ca="1" si="17"/>
        <v>14856.04222056202</v>
      </c>
      <c r="Q132" s="17">
        <f t="shared" ca="1" si="18"/>
        <v>-144709.38295374939</v>
      </c>
      <c r="S132">
        <f>IF(A132&lt;='Dane do harmonogramu'!$D$7,'Roboczy harmonogram_1'!P132,0)</f>
        <v>0</v>
      </c>
      <c r="T132">
        <f>IF(A132&lt;='Dane do harmonogramu'!$D$7,'Roboczy harmonogram_1'!O132,0)</f>
        <v>0</v>
      </c>
      <c r="U132">
        <f>IF(A132&lt;='Dane do harmonogramu'!$D$7,$N$2,0)</f>
        <v>0</v>
      </c>
      <c r="V132" s="16" t="str">
        <f>IF(A131&lt;='Dane do harmonogramu'!$D$7,Q131*0.15%,"")</f>
        <v/>
      </c>
    </row>
    <row r="133" spans="1:22" x14ac:dyDescent="0.35">
      <c r="A133">
        <v>131</v>
      </c>
      <c r="B133" s="14">
        <f t="shared" ca="1" si="19"/>
        <v>50057</v>
      </c>
      <c r="C133" s="15">
        <f ca="1">(1+'Dane do harmonogramu'!$D$13*('Roboczy harmonogram_1'!B133-'Roboczy harmonogram_1'!B132)/365)</f>
        <v>1.0062</v>
      </c>
      <c r="D133" s="15">
        <f ca="1">(1+'Dane do harmonogramu'!$D$13*('Roboczy harmonogram_1'!B133-'Roboczy harmonogram_1'!B132)/366)</f>
        <v>1.0061830601092896</v>
      </c>
      <c r="E133" s="15">
        <f t="shared" ca="1" si="20"/>
        <v>1</v>
      </c>
      <c r="F133" s="15">
        <f t="shared" ca="1" si="21"/>
        <v>0</v>
      </c>
      <c r="G133">
        <f ca="1">IF(E133=1,(1+'Dane do harmonogramu'!$D$13*((('Roboczy harmonogram_1'!B133-DATE(YEAR(B133),1,1)+1)/365)+((DATE(YEAR(B132),12,31)-'Roboczy harmonogram_1'!B132)/366))),IF(F133=1,(1+'Dane do harmonogramu'!$D$13*((('Roboczy harmonogram_1'!B133-DATE(YEAR(B133),1,1)+1)/366)+((DATE(YEAR(B132),12,31)-'Roboczy harmonogram_1'!B132)/365))),0))</f>
        <v>1.006192349726776</v>
      </c>
      <c r="H133">
        <f t="shared" ca="1" si="22"/>
        <v>0</v>
      </c>
      <c r="I133">
        <f t="shared" ca="1" si="23"/>
        <v>1.0062</v>
      </c>
      <c r="J133">
        <f t="shared" ca="1" si="24"/>
        <v>1.006192349726776</v>
      </c>
      <c r="K133">
        <f ca="1">PRODUCT($J$3:J133)</f>
        <v>2.2073572147203291</v>
      </c>
      <c r="L133">
        <f t="shared" ca="1" si="25"/>
        <v>0.45303043536915677</v>
      </c>
      <c r="M133">
        <f ca="1">SUM($L$3:L133)</f>
        <v>90.371286896611863</v>
      </c>
      <c r="O133">
        <f t="shared" ref="O133:O182" ca="1" si="26">(Q132*J133)-Q132</f>
        <v>-896.09110799556947</v>
      </c>
      <c r="P133" s="16">
        <f t="shared" ref="P133:P182" ca="1" si="27">$N$2-O133</f>
        <v>14975.142027449176</v>
      </c>
      <c r="Q133" s="17">
        <f t="shared" ref="Q133:Q182" ca="1" si="28">Q132-P133</f>
        <v>-159684.52498119857</v>
      </c>
      <c r="S133">
        <f>IF(A133&lt;='Dane do harmonogramu'!$D$7,'Roboczy harmonogram_1'!P133,0)</f>
        <v>0</v>
      </c>
      <c r="T133">
        <f>IF(A133&lt;='Dane do harmonogramu'!$D$7,'Roboczy harmonogram_1'!O133,0)</f>
        <v>0</v>
      </c>
      <c r="U133">
        <f>IF(A133&lt;='Dane do harmonogramu'!$D$7,$N$2,0)</f>
        <v>0</v>
      </c>
      <c r="V133" s="16" t="str">
        <f>IF(A132&lt;='Dane do harmonogramu'!$D$7,Q132*0.15%,"")</f>
        <v/>
      </c>
    </row>
    <row r="134" spans="1:22" x14ac:dyDescent="0.35">
      <c r="A134">
        <v>132</v>
      </c>
      <c r="B134" s="14">
        <f t="shared" ref="B134:B182" ca="1" si="29">DATE(YEAR((B133)),MONTH((B133))+1,IF(AND(DAY(B133)&gt;28,MONTH((B133))+1=2),IF(MOD(YEAR(B133),4)=0,29,28),IF(AND(OR(DAY(B133)=28,DAY(B133)=29),MONTH((B133))=2),DAY(B132),DAY(B133))))</f>
        <v>50088</v>
      </c>
      <c r="C134" s="15">
        <f ca="1">(1+'Dane do harmonogramu'!$D$13*('Roboczy harmonogram_1'!B134-'Roboczy harmonogram_1'!B133)/365)</f>
        <v>1.0062</v>
      </c>
      <c r="D134" s="15">
        <f ca="1">(1+'Dane do harmonogramu'!$D$13*('Roboczy harmonogram_1'!B134-'Roboczy harmonogram_1'!B133)/366)</f>
        <v>1.0061830601092896</v>
      </c>
      <c r="E134" s="15">
        <f t="shared" ca="1" si="20"/>
        <v>0</v>
      </c>
      <c r="F134" s="15">
        <f t="shared" ca="1" si="21"/>
        <v>0</v>
      </c>
      <c r="G134">
        <f ca="1">IF(E134=1,(1+'Dane do harmonogramu'!$D$13*((('Roboczy harmonogram_1'!B134-DATE(YEAR(B134),1,1)+1)/365)+((DATE(YEAR(B133),12,31)-'Roboczy harmonogram_1'!B133)/366))),IF(F134=1,(1+'Dane do harmonogramu'!$D$13*((('Roboczy harmonogram_1'!B134-DATE(YEAR(B134),1,1)+1)/366)+((DATE(YEAR(B133),12,31)-'Roboczy harmonogram_1'!B133)/365))),0))</f>
        <v>0</v>
      </c>
      <c r="H134">
        <f t="shared" ca="1" si="22"/>
        <v>0</v>
      </c>
      <c r="I134">
        <f t="shared" ca="1" si="23"/>
        <v>1.0062</v>
      </c>
      <c r="J134">
        <f t="shared" ca="1" si="24"/>
        <v>1.0062</v>
      </c>
      <c r="K134">
        <f ca="1">PRODUCT($J$3:J134)</f>
        <v>2.2210428294515951</v>
      </c>
      <c r="L134">
        <f t="shared" ca="1" si="25"/>
        <v>0.4502389538552542</v>
      </c>
      <c r="M134">
        <f ca="1">SUM($L$3:L134)</f>
        <v>90.821525850467111</v>
      </c>
      <c r="O134">
        <f t="shared" ca="1" si="26"/>
        <v>-990.04405488341581</v>
      </c>
      <c r="P134" s="16">
        <f t="shared" ca="1" si="27"/>
        <v>15069.094974337022</v>
      </c>
      <c r="Q134" s="17">
        <f t="shared" ca="1" si="28"/>
        <v>-174753.6199555356</v>
      </c>
      <c r="S134">
        <f>IF(A134&lt;='Dane do harmonogramu'!$D$7,'Roboczy harmonogram_1'!P134,0)</f>
        <v>0</v>
      </c>
      <c r="T134">
        <f>IF(A134&lt;='Dane do harmonogramu'!$D$7,'Roboczy harmonogram_1'!O134,0)</f>
        <v>0</v>
      </c>
      <c r="U134">
        <f>IF(A134&lt;='Dane do harmonogramu'!$D$7,$N$2,0)</f>
        <v>0</v>
      </c>
      <c r="V134" s="16" t="str">
        <f>IF(A133&lt;='Dane do harmonogramu'!$D$7,Q133*0.15%,"")</f>
        <v/>
      </c>
    </row>
    <row r="135" spans="1:22" x14ac:dyDescent="0.35">
      <c r="A135">
        <v>133</v>
      </c>
      <c r="B135" s="14">
        <f t="shared" ca="1" si="29"/>
        <v>50116</v>
      </c>
      <c r="C135" s="15">
        <f ca="1">(1+'Dane do harmonogramu'!$D$13*('Roboczy harmonogram_1'!B135-'Roboczy harmonogram_1'!B134)/365)</f>
        <v>1.0056</v>
      </c>
      <c r="D135" s="15">
        <f ca="1">(1+'Dane do harmonogramu'!$D$13*('Roboczy harmonogram_1'!B135-'Roboczy harmonogram_1'!B134)/366)</f>
        <v>1.005584699453552</v>
      </c>
      <c r="E135" s="15">
        <f t="shared" ca="1" si="20"/>
        <v>0</v>
      </c>
      <c r="F135" s="15">
        <f t="shared" ca="1" si="21"/>
        <v>0</v>
      </c>
      <c r="G135">
        <f ca="1">IF(E135=1,(1+'Dane do harmonogramu'!$D$13*((('Roboczy harmonogram_1'!B135-DATE(YEAR(B135),1,1)+1)/365)+((DATE(YEAR(B134),12,31)-'Roboczy harmonogram_1'!B134)/366))),IF(F135=1,(1+'Dane do harmonogramu'!$D$13*((('Roboczy harmonogram_1'!B135-DATE(YEAR(B135),1,1)+1)/366)+((DATE(YEAR(B134),12,31)-'Roboczy harmonogram_1'!B134)/365))),0))</f>
        <v>0</v>
      </c>
      <c r="H135">
        <f t="shared" ca="1" si="22"/>
        <v>0</v>
      </c>
      <c r="I135">
        <f t="shared" ca="1" si="23"/>
        <v>1.0056</v>
      </c>
      <c r="J135">
        <f t="shared" ca="1" si="24"/>
        <v>1.0056</v>
      </c>
      <c r="K135">
        <f ca="1">PRODUCT($J$3:J135)</f>
        <v>2.2334806692965241</v>
      </c>
      <c r="L135">
        <f t="shared" ca="1" si="25"/>
        <v>0.44773165657841507</v>
      </c>
      <c r="M135">
        <f ca="1">SUM($L$3:L135)</f>
        <v>91.269257507045523</v>
      </c>
      <c r="O135">
        <f t="shared" ca="1" si="26"/>
        <v>-978.62027175101684</v>
      </c>
      <c r="P135" s="16">
        <f t="shared" ca="1" si="27"/>
        <v>15057.671191204623</v>
      </c>
      <c r="Q135" s="17">
        <f t="shared" ca="1" si="28"/>
        <v>-189811.29114674023</v>
      </c>
      <c r="S135">
        <f>IF(A135&lt;='Dane do harmonogramu'!$D$7,'Roboczy harmonogram_1'!P135,0)</f>
        <v>0</v>
      </c>
      <c r="T135">
        <f>IF(A135&lt;='Dane do harmonogramu'!$D$7,'Roboczy harmonogram_1'!O135,0)</f>
        <v>0</v>
      </c>
      <c r="U135">
        <f>IF(A135&lt;='Dane do harmonogramu'!$D$7,$N$2,0)</f>
        <v>0</v>
      </c>
      <c r="V135" s="16" t="str">
        <f>IF(A134&lt;='Dane do harmonogramu'!$D$7,Q134*0.15%,"")</f>
        <v/>
      </c>
    </row>
    <row r="136" spans="1:22" x14ac:dyDescent="0.35">
      <c r="A136">
        <v>134</v>
      </c>
      <c r="B136" s="14">
        <f t="shared" ca="1" si="29"/>
        <v>50147</v>
      </c>
      <c r="C136" s="15">
        <f ca="1">(1+'Dane do harmonogramu'!$D$13*('Roboczy harmonogram_1'!B136-'Roboczy harmonogram_1'!B135)/365)</f>
        <v>1.0062</v>
      </c>
      <c r="D136" s="15">
        <f ca="1">(1+'Dane do harmonogramu'!$D$13*('Roboczy harmonogram_1'!B136-'Roboczy harmonogram_1'!B135)/366)</f>
        <v>1.0061830601092896</v>
      </c>
      <c r="E136" s="15">
        <f t="shared" ca="1" si="20"/>
        <v>0</v>
      </c>
      <c r="F136" s="15">
        <f t="shared" ca="1" si="21"/>
        <v>0</v>
      </c>
      <c r="G136">
        <f ca="1">IF(E136=1,(1+'Dane do harmonogramu'!$D$13*((('Roboczy harmonogram_1'!B136-DATE(YEAR(B136),1,1)+1)/365)+((DATE(YEAR(B135),12,31)-'Roboczy harmonogram_1'!B135)/366))),IF(F136=1,(1+'Dane do harmonogramu'!$D$13*((('Roboczy harmonogram_1'!B136-DATE(YEAR(B136),1,1)+1)/366)+((DATE(YEAR(B135),12,31)-'Roboczy harmonogram_1'!B135)/365))),0))</f>
        <v>0</v>
      </c>
      <c r="H136">
        <f t="shared" ca="1" si="22"/>
        <v>0</v>
      </c>
      <c r="I136">
        <f t="shared" ca="1" si="23"/>
        <v>1.0062</v>
      </c>
      <c r="J136">
        <f t="shared" ca="1" si="24"/>
        <v>1.0062</v>
      </c>
      <c r="K136">
        <f ca="1">PRODUCT($J$3:J136)</f>
        <v>2.2473282494461624</v>
      </c>
      <c r="L136">
        <f t="shared" ca="1" si="25"/>
        <v>0.44497282506302438</v>
      </c>
      <c r="M136">
        <f ca="1">SUM($L$3:L136)</f>
        <v>91.714230332108542</v>
      </c>
      <c r="O136">
        <f t="shared" ca="1" si="26"/>
        <v>-1176.8300051097758</v>
      </c>
      <c r="P136" s="16">
        <f t="shared" ca="1" si="27"/>
        <v>15255.880924563382</v>
      </c>
      <c r="Q136" s="17">
        <f t="shared" ca="1" si="28"/>
        <v>-205067.17207130362</v>
      </c>
      <c r="S136">
        <f>IF(A136&lt;='Dane do harmonogramu'!$D$7,'Roboczy harmonogram_1'!P136,0)</f>
        <v>0</v>
      </c>
      <c r="T136">
        <f>IF(A136&lt;='Dane do harmonogramu'!$D$7,'Roboczy harmonogram_1'!O136,0)</f>
        <v>0</v>
      </c>
      <c r="U136">
        <f>IF(A136&lt;='Dane do harmonogramu'!$D$7,$N$2,0)</f>
        <v>0</v>
      </c>
      <c r="V136" s="16" t="str">
        <f>IF(A135&lt;='Dane do harmonogramu'!$D$7,Q135*0.15%,"")</f>
        <v/>
      </c>
    </row>
    <row r="137" spans="1:22" x14ac:dyDescent="0.35">
      <c r="A137">
        <v>135</v>
      </c>
      <c r="B137" s="14">
        <f t="shared" ca="1" si="29"/>
        <v>50177</v>
      </c>
      <c r="C137" s="15">
        <f ca="1">(1+'Dane do harmonogramu'!$D$13*('Roboczy harmonogram_1'!B137-'Roboczy harmonogram_1'!B136)/365)</f>
        <v>1.006</v>
      </c>
      <c r="D137" s="15">
        <f ca="1">(1+'Dane do harmonogramu'!$D$13*('Roboczy harmonogram_1'!B137-'Roboczy harmonogram_1'!B136)/366)</f>
        <v>1.0059836065573771</v>
      </c>
      <c r="E137" s="15">
        <f t="shared" ca="1" si="20"/>
        <v>0</v>
      </c>
      <c r="F137" s="15">
        <f t="shared" ca="1" si="21"/>
        <v>0</v>
      </c>
      <c r="G137">
        <f ca="1">IF(E137=1,(1+'Dane do harmonogramu'!$D$13*((('Roboczy harmonogram_1'!B137-DATE(YEAR(B137),1,1)+1)/365)+((DATE(YEAR(B136),12,31)-'Roboczy harmonogram_1'!B136)/366))),IF(F137=1,(1+'Dane do harmonogramu'!$D$13*((('Roboczy harmonogram_1'!B137-DATE(YEAR(B137),1,1)+1)/366)+((DATE(YEAR(B136),12,31)-'Roboczy harmonogram_1'!B136)/365))),0))</f>
        <v>0</v>
      </c>
      <c r="H137">
        <f t="shared" ca="1" si="22"/>
        <v>0</v>
      </c>
      <c r="I137">
        <f t="shared" ca="1" si="23"/>
        <v>1.006</v>
      </c>
      <c r="J137">
        <f t="shared" ca="1" si="24"/>
        <v>1.006</v>
      </c>
      <c r="K137">
        <f ca="1">PRODUCT($J$3:J137)</f>
        <v>2.2608122189428395</v>
      </c>
      <c r="L137">
        <f t="shared" ca="1" si="25"/>
        <v>0.44231891159346359</v>
      </c>
      <c r="M137">
        <f ca="1">SUM($L$3:L137)</f>
        <v>92.156549243702003</v>
      </c>
      <c r="O137">
        <f t="shared" ca="1" si="26"/>
        <v>-1230.4030324278283</v>
      </c>
      <c r="P137" s="16">
        <f t="shared" ca="1" si="27"/>
        <v>15309.453951881434</v>
      </c>
      <c r="Q137" s="17">
        <f t="shared" ca="1" si="28"/>
        <v>-220376.62602318506</v>
      </c>
      <c r="S137">
        <f>IF(A137&lt;='Dane do harmonogramu'!$D$7,'Roboczy harmonogram_1'!P137,0)</f>
        <v>0</v>
      </c>
      <c r="T137">
        <f>IF(A137&lt;='Dane do harmonogramu'!$D$7,'Roboczy harmonogram_1'!O137,0)</f>
        <v>0</v>
      </c>
      <c r="U137">
        <f>IF(A137&lt;='Dane do harmonogramu'!$D$7,$N$2,0)</f>
        <v>0</v>
      </c>
      <c r="V137" s="16" t="str">
        <f>IF(A136&lt;='Dane do harmonogramu'!$D$7,Q136*0.15%,"")</f>
        <v/>
      </c>
    </row>
    <row r="138" spans="1:22" x14ac:dyDescent="0.35">
      <c r="A138">
        <v>136</v>
      </c>
      <c r="B138" s="14">
        <f t="shared" ca="1" si="29"/>
        <v>50208</v>
      </c>
      <c r="C138" s="15">
        <f ca="1">(1+'Dane do harmonogramu'!$D$13*('Roboczy harmonogram_1'!B138-'Roboczy harmonogram_1'!B137)/365)</f>
        <v>1.0062</v>
      </c>
      <c r="D138" s="15">
        <f ca="1">(1+'Dane do harmonogramu'!$D$13*('Roboczy harmonogram_1'!B138-'Roboczy harmonogram_1'!B137)/366)</f>
        <v>1.0061830601092896</v>
      </c>
      <c r="E138" s="15">
        <f t="shared" ca="1" si="20"/>
        <v>0</v>
      </c>
      <c r="F138" s="15">
        <f t="shared" ca="1" si="21"/>
        <v>0</v>
      </c>
      <c r="G138">
        <f ca="1">IF(E138=1,(1+'Dane do harmonogramu'!$D$13*((('Roboczy harmonogram_1'!B138-DATE(YEAR(B138),1,1)+1)/365)+((DATE(YEAR(B137),12,31)-'Roboczy harmonogram_1'!B137)/366))),IF(F138=1,(1+'Dane do harmonogramu'!$D$13*((('Roboczy harmonogram_1'!B138-DATE(YEAR(B138),1,1)+1)/366)+((DATE(YEAR(B137),12,31)-'Roboczy harmonogram_1'!B137)/365))),0))</f>
        <v>0</v>
      </c>
      <c r="H138">
        <f t="shared" ca="1" si="22"/>
        <v>0</v>
      </c>
      <c r="I138">
        <f t="shared" ca="1" si="23"/>
        <v>1.0062</v>
      </c>
      <c r="J138">
        <f t="shared" ca="1" si="24"/>
        <v>1.0062</v>
      </c>
      <c r="K138">
        <f ca="1">PRODUCT($J$3:J138)</f>
        <v>2.2748292547002849</v>
      </c>
      <c r="L138">
        <f t="shared" ca="1" si="25"/>
        <v>0.43959343231312226</v>
      </c>
      <c r="M138">
        <f ca="1">SUM($L$3:L138)</f>
        <v>92.59614267601512</v>
      </c>
      <c r="O138">
        <f t="shared" ca="1" si="26"/>
        <v>-1366.3350813437428</v>
      </c>
      <c r="P138" s="16">
        <f t="shared" ca="1" si="27"/>
        <v>15445.386000797349</v>
      </c>
      <c r="Q138" s="17">
        <f t="shared" ca="1" si="28"/>
        <v>-235822.01202398242</v>
      </c>
      <c r="S138">
        <f>IF(A138&lt;='Dane do harmonogramu'!$D$7,'Roboczy harmonogram_1'!P138,0)</f>
        <v>0</v>
      </c>
      <c r="T138">
        <f>IF(A138&lt;='Dane do harmonogramu'!$D$7,'Roboczy harmonogram_1'!O138,0)</f>
        <v>0</v>
      </c>
      <c r="U138">
        <f>IF(A138&lt;='Dane do harmonogramu'!$D$7,$N$2,0)</f>
        <v>0</v>
      </c>
      <c r="V138" s="16" t="str">
        <f>IF(A137&lt;='Dane do harmonogramu'!$D$7,Q137*0.15%,"")</f>
        <v/>
      </c>
    </row>
    <row r="139" spans="1:22" x14ac:dyDescent="0.35">
      <c r="A139">
        <v>137</v>
      </c>
      <c r="B139" s="14">
        <f t="shared" ca="1" si="29"/>
        <v>50238</v>
      </c>
      <c r="C139" s="15">
        <f ca="1">(1+'Dane do harmonogramu'!$D$13*('Roboczy harmonogram_1'!B139-'Roboczy harmonogram_1'!B138)/365)</f>
        <v>1.006</v>
      </c>
      <c r="D139" s="15">
        <f ca="1">(1+'Dane do harmonogramu'!$D$13*('Roboczy harmonogram_1'!B139-'Roboczy harmonogram_1'!B138)/366)</f>
        <v>1.0059836065573771</v>
      </c>
      <c r="E139" s="15">
        <f t="shared" ca="1" si="20"/>
        <v>0</v>
      </c>
      <c r="F139" s="15">
        <f t="shared" ca="1" si="21"/>
        <v>0</v>
      </c>
      <c r="G139">
        <f ca="1">IF(E139=1,(1+'Dane do harmonogramu'!$D$13*((('Roboczy harmonogram_1'!B139-DATE(YEAR(B139),1,1)+1)/365)+((DATE(YEAR(B138),12,31)-'Roboczy harmonogram_1'!B138)/366))),IF(F139=1,(1+'Dane do harmonogramu'!$D$13*((('Roboczy harmonogram_1'!B139-DATE(YEAR(B139),1,1)+1)/366)+((DATE(YEAR(B138),12,31)-'Roboczy harmonogram_1'!B138)/365))),0))</f>
        <v>0</v>
      </c>
      <c r="H139">
        <f t="shared" ca="1" si="22"/>
        <v>0</v>
      </c>
      <c r="I139">
        <f t="shared" ca="1" si="23"/>
        <v>1.006</v>
      </c>
      <c r="J139">
        <f t="shared" ca="1" si="24"/>
        <v>1.006</v>
      </c>
      <c r="K139">
        <f ca="1">PRODUCT($J$3:J139)</f>
        <v>2.2884782302284865</v>
      </c>
      <c r="L139">
        <f t="shared" ca="1" si="25"/>
        <v>0.43697160269694063</v>
      </c>
      <c r="M139">
        <f ca="1">SUM($L$3:L139)</f>
        <v>93.033114278712063</v>
      </c>
      <c r="O139">
        <f t="shared" ca="1" si="26"/>
        <v>-1414.9320721438853</v>
      </c>
      <c r="P139" s="16">
        <f t="shared" ca="1" si="27"/>
        <v>15493.982991597491</v>
      </c>
      <c r="Q139" s="17">
        <f t="shared" ca="1" si="28"/>
        <v>-251315.99501557992</v>
      </c>
      <c r="S139">
        <f>IF(A139&lt;='Dane do harmonogramu'!$D$7,'Roboczy harmonogram_1'!P139,0)</f>
        <v>0</v>
      </c>
      <c r="T139">
        <f>IF(A139&lt;='Dane do harmonogramu'!$D$7,'Roboczy harmonogram_1'!O139,0)</f>
        <v>0</v>
      </c>
      <c r="U139">
        <f>IF(A139&lt;='Dane do harmonogramu'!$D$7,$N$2,0)</f>
        <v>0</v>
      </c>
      <c r="V139" s="16" t="str">
        <f>IF(A138&lt;='Dane do harmonogramu'!$D$7,Q138*0.15%,"")</f>
        <v/>
      </c>
    </row>
    <row r="140" spans="1:22" x14ac:dyDescent="0.35">
      <c r="A140">
        <v>138</v>
      </c>
      <c r="B140" s="14">
        <f t="shared" ca="1" si="29"/>
        <v>50269</v>
      </c>
      <c r="C140" s="15">
        <f ca="1">(1+'Dane do harmonogramu'!$D$13*('Roboczy harmonogram_1'!B140-'Roboczy harmonogram_1'!B139)/365)</f>
        <v>1.0062</v>
      </c>
      <c r="D140" s="15">
        <f ca="1">(1+'Dane do harmonogramu'!$D$13*('Roboczy harmonogram_1'!B140-'Roboczy harmonogram_1'!B139)/366)</f>
        <v>1.0061830601092896</v>
      </c>
      <c r="E140" s="15">
        <f t="shared" ca="1" si="20"/>
        <v>0</v>
      </c>
      <c r="F140" s="15">
        <f t="shared" ca="1" si="21"/>
        <v>0</v>
      </c>
      <c r="G140">
        <f ca="1">IF(E140=1,(1+'Dane do harmonogramu'!$D$13*((('Roboczy harmonogram_1'!B140-DATE(YEAR(B140),1,1)+1)/365)+((DATE(YEAR(B139),12,31)-'Roboczy harmonogram_1'!B139)/366))),IF(F140=1,(1+'Dane do harmonogramu'!$D$13*((('Roboczy harmonogram_1'!B140-DATE(YEAR(B140),1,1)+1)/366)+((DATE(YEAR(B139),12,31)-'Roboczy harmonogram_1'!B139)/365))),0))</f>
        <v>0</v>
      </c>
      <c r="H140">
        <f t="shared" ca="1" si="22"/>
        <v>0</v>
      </c>
      <c r="I140">
        <f t="shared" ca="1" si="23"/>
        <v>1.0062</v>
      </c>
      <c r="J140">
        <f t="shared" ca="1" si="24"/>
        <v>1.0062</v>
      </c>
      <c r="K140">
        <f ca="1">PRODUCT($J$3:J140)</f>
        <v>2.3026667952559032</v>
      </c>
      <c r="L140">
        <f t="shared" ca="1" si="25"/>
        <v>0.43427907244776448</v>
      </c>
      <c r="M140">
        <f ca="1">SUM($L$3:L140)</f>
        <v>93.467393351159828</v>
      </c>
      <c r="O140">
        <f t="shared" ca="1" si="26"/>
        <v>-1558.159169096587</v>
      </c>
      <c r="P140" s="16">
        <f t="shared" ca="1" si="27"/>
        <v>15637.210088550193</v>
      </c>
      <c r="Q140" s="17">
        <f t="shared" ca="1" si="28"/>
        <v>-266953.20510413009</v>
      </c>
      <c r="S140">
        <f>IF(A140&lt;='Dane do harmonogramu'!$D$7,'Roboczy harmonogram_1'!P140,0)</f>
        <v>0</v>
      </c>
      <c r="T140">
        <f>IF(A140&lt;='Dane do harmonogramu'!$D$7,'Roboczy harmonogram_1'!O140,0)</f>
        <v>0</v>
      </c>
      <c r="U140">
        <f>IF(A140&lt;='Dane do harmonogramu'!$D$7,$N$2,0)</f>
        <v>0</v>
      </c>
      <c r="V140" s="16" t="str">
        <f>IF(A139&lt;='Dane do harmonogramu'!$D$7,Q139*0.15%,"")</f>
        <v/>
      </c>
    </row>
    <row r="141" spans="1:22" x14ac:dyDescent="0.35">
      <c r="A141">
        <v>139</v>
      </c>
      <c r="B141" s="14">
        <f t="shared" ca="1" si="29"/>
        <v>50300</v>
      </c>
      <c r="C141" s="15">
        <f ca="1">(1+'Dane do harmonogramu'!$D$13*('Roboczy harmonogram_1'!B141-'Roboczy harmonogram_1'!B140)/365)</f>
        <v>1.0062</v>
      </c>
      <c r="D141" s="15">
        <f ca="1">(1+'Dane do harmonogramu'!$D$13*('Roboczy harmonogram_1'!B141-'Roboczy harmonogram_1'!B140)/366)</f>
        <v>1.0061830601092896</v>
      </c>
      <c r="E141" s="15">
        <f t="shared" ca="1" si="20"/>
        <v>0</v>
      </c>
      <c r="F141" s="15">
        <f t="shared" ca="1" si="21"/>
        <v>0</v>
      </c>
      <c r="G141">
        <f ca="1">IF(E141=1,(1+'Dane do harmonogramu'!$D$13*((('Roboczy harmonogram_1'!B141-DATE(YEAR(B141),1,1)+1)/365)+((DATE(YEAR(B140),12,31)-'Roboczy harmonogram_1'!B140)/366))),IF(F141=1,(1+'Dane do harmonogramu'!$D$13*((('Roboczy harmonogram_1'!B141-DATE(YEAR(B141),1,1)+1)/366)+((DATE(YEAR(B140),12,31)-'Roboczy harmonogram_1'!B140)/365))),0))</f>
        <v>0</v>
      </c>
      <c r="H141">
        <f t="shared" ca="1" si="22"/>
        <v>0</v>
      </c>
      <c r="I141">
        <f t="shared" ca="1" si="23"/>
        <v>1.0062</v>
      </c>
      <c r="J141">
        <f t="shared" ca="1" si="24"/>
        <v>1.0062</v>
      </c>
      <c r="K141">
        <f ca="1">PRODUCT($J$3:J141)</f>
        <v>2.3169433293864898</v>
      </c>
      <c r="L141">
        <f t="shared" ca="1" si="25"/>
        <v>0.43160313302302172</v>
      </c>
      <c r="M141">
        <f ca="1">SUM($L$3:L141)</f>
        <v>93.898996484182845</v>
      </c>
      <c r="O141">
        <f t="shared" ca="1" si="26"/>
        <v>-1655.1098716455745</v>
      </c>
      <c r="P141" s="16">
        <f t="shared" ca="1" si="27"/>
        <v>15734.160791099181</v>
      </c>
      <c r="Q141" s="17">
        <f t="shared" ca="1" si="28"/>
        <v>-282687.36589522928</v>
      </c>
      <c r="S141">
        <f>IF(A141&lt;='Dane do harmonogramu'!$D$7,'Roboczy harmonogram_1'!P141,0)</f>
        <v>0</v>
      </c>
      <c r="T141">
        <f>IF(A141&lt;='Dane do harmonogramu'!$D$7,'Roboczy harmonogram_1'!O141,0)</f>
        <v>0</v>
      </c>
      <c r="U141">
        <f>IF(A141&lt;='Dane do harmonogramu'!$D$7,$N$2,0)</f>
        <v>0</v>
      </c>
      <c r="V141" s="16" t="str">
        <f>IF(A140&lt;='Dane do harmonogramu'!$D$7,Q140*0.15%,"")</f>
        <v/>
      </c>
    </row>
    <row r="142" spans="1:22" x14ac:dyDescent="0.35">
      <c r="A142">
        <v>140</v>
      </c>
      <c r="B142" s="14">
        <f t="shared" ca="1" si="29"/>
        <v>50330</v>
      </c>
      <c r="C142" s="15">
        <f ca="1">(1+'Dane do harmonogramu'!$D$13*('Roboczy harmonogram_1'!B142-'Roboczy harmonogram_1'!B141)/365)</f>
        <v>1.006</v>
      </c>
      <c r="D142" s="15">
        <f ca="1">(1+'Dane do harmonogramu'!$D$13*('Roboczy harmonogram_1'!B142-'Roboczy harmonogram_1'!B141)/366)</f>
        <v>1.0059836065573771</v>
      </c>
      <c r="E142" s="15">
        <f t="shared" ca="1" si="20"/>
        <v>0</v>
      </c>
      <c r="F142" s="15">
        <f t="shared" ca="1" si="21"/>
        <v>0</v>
      </c>
      <c r="G142">
        <f ca="1">IF(E142=1,(1+'Dane do harmonogramu'!$D$13*((('Roboczy harmonogram_1'!B142-DATE(YEAR(B142),1,1)+1)/365)+((DATE(YEAR(B141),12,31)-'Roboczy harmonogram_1'!B141)/366))),IF(F142=1,(1+'Dane do harmonogramu'!$D$13*((('Roboczy harmonogram_1'!B142-DATE(YEAR(B142),1,1)+1)/366)+((DATE(YEAR(B141),12,31)-'Roboczy harmonogram_1'!B141)/365))),0))</f>
        <v>0</v>
      </c>
      <c r="H142">
        <f t="shared" ca="1" si="22"/>
        <v>0</v>
      </c>
      <c r="I142">
        <f t="shared" ca="1" si="23"/>
        <v>1.006</v>
      </c>
      <c r="J142">
        <f t="shared" ca="1" si="24"/>
        <v>1.006</v>
      </c>
      <c r="K142">
        <f ca="1">PRODUCT($J$3:J142)</f>
        <v>2.3308449893628089</v>
      </c>
      <c r="L142">
        <f t="shared" ca="1" si="25"/>
        <v>0.42902895926741719</v>
      </c>
      <c r="M142">
        <f ca="1">SUM($L$3:L142)</f>
        <v>94.328025443450258</v>
      </c>
      <c r="O142">
        <f t="shared" ca="1" si="26"/>
        <v>-1696.1241953714052</v>
      </c>
      <c r="P142" s="16">
        <f t="shared" ca="1" si="27"/>
        <v>15775.175114825011</v>
      </c>
      <c r="Q142" s="17">
        <f t="shared" ca="1" si="28"/>
        <v>-298462.54101005429</v>
      </c>
      <c r="S142">
        <f>IF(A142&lt;='Dane do harmonogramu'!$D$7,'Roboczy harmonogram_1'!P142,0)</f>
        <v>0</v>
      </c>
      <c r="T142">
        <f>IF(A142&lt;='Dane do harmonogramu'!$D$7,'Roboczy harmonogram_1'!O142,0)</f>
        <v>0</v>
      </c>
      <c r="U142">
        <f>IF(A142&lt;='Dane do harmonogramu'!$D$7,$N$2,0)</f>
        <v>0</v>
      </c>
      <c r="V142" s="16" t="str">
        <f>IF(A141&lt;='Dane do harmonogramu'!$D$7,Q141*0.15%,"")</f>
        <v/>
      </c>
    </row>
    <row r="143" spans="1:22" x14ac:dyDescent="0.35">
      <c r="A143">
        <v>141</v>
      </c>
      <c r="B143" s="14">
        <f t="shared" ca="1" si="29"/>
        <v>50361</v>
      </c>
      <c r="C143" s="15">
        <f ca="1">(1+'Dane do harmonogramu'!$D$13*('Roboczy harmonogram_1'!B143-'Roboczy harmonogram_1'!B142)/365)</f>
        <v>1.0062</v>
      </c>
      <c r="D143" s="15">
        <f ca="1">(1+'Dane do harmonogramu'!$D$13*('Roboczy harmonogram_1'!B143-'Roboczy harmonogram_1'!B142)/366)</f>
        <v>1.0061830601092896</v>
      </c>
      <c r="E143" s="15">
        <f t="shared" ca="1" si="20"/>
        <v>0</v>
      </c>
      <c r="F143" s="15">
        <f t="shared" ca="1" si="21"/>
        <v>0</v>
      </c>
      <c r="G143">
        <f ca="1">IF(E143=1,(1+'Dane do harmonogramu'!$D$13*((('Roboczy harmonogram_1'!B143-DATE(YEAR(B143),1,1)+1)/365)+((DATE(YEAR(B142),12,31)-'Roboczy harmonogram_1'!B142)/366))),IF(F143=1,(1+'Dane do harmonogramu'!$D$13*((('Roboczy harmonogram_1'!B143-DATE(YEAR(B143),1,1)+1)/366)+((DATE(YEAR(B142),12,31)-'Roboczy harmonogram_1'!B142)/365))),0))</f>
        <v>0</v>
      </c>
      <c r="H143">
        <f t="shared" ca="1" si="22"/>
        <v>0</v>
      </c>
      <c r="I143">
        <f t="shared" ca="1" si="23"/>
        <v>1.0062</v>
      </c>
      <c r="J143">
        <f t="shared" ca="1" si="24"/>
        <v>1.0062</v>
      </c>
      <c r="K143">
        <f ca="1">PRODUCT($J$3:J143)</f>
        <v>2.3452962282968581</v>
      </c>
      <c r="L143">
        <f t="shared" ca="1" si="25"/>
        <v>0.42638536997358101</v>
      </c>
      <c r="M143">
        <f ca="1">SUM($L$3:L143)</f>
        <v>94.754410813423846</v>
      </c>
      <c r="O143">
        <f t="shared" ca="1" si="26"/>
        <v>-1850.4677542623249</v>
      </c>
      <c r="P143" s="16">
        <f t="shared" ca="1" si="27"/>
        <v>15929.518673715931</v>
      </c>
      <c r="Q143" s="17">
        <f t="shared" ca="1" si="28"/>
        <v>-314392.05968377023</v>
      </c>
      <c r="S143">
        <f>IF(A143&lt;='Dane do harmonogramu'!$D$7,'Roboczy harmonogram_1'!P143,0)</f>
        <v>0</v>
      </c>
      <c r="T143">
        <f>IF(A143&lt;='Dane do harmonogramu'!$D$7,'Roboczy harmonogram_1'!O143,0)</f>
        <v>0</v>
      </c>
      <c r="U143">
        <f>IF(A143&lt;='Dane do harmonogramu'!$D$7,$N$2,0)</f>
        <v>0</v>
      </c>
      <c r="V143" s="16" t="str">
        <f>IF(A142&lt;='Dane do harmonogramu'!$D$7,Q142*0.15%,"")</f>
        <v/>
      </c>
    </row>
    <row r="144" spans="1:22" x14ac:dyDescent="0.35">
      <c r="A144">
        <v>142</v>
      </c>
      <c r="B144" s="14">
        <f t="shared" ca="1" si="29"/>
        <v>50391</v>
      </c>
      <c r="C144" s="15">
        <f ca="1">(1+'Dane do harmonogramu'!$D$13*('Roboczy harmonogram_1'!B144-'Roboczy harmonogram_1'!B143)/365)</f>
        <v>1.006</v>
      </c>
      <c r="D144" s="15">
        <f ca="1">(1+'Dane do harmonogramu'!$D$13*('Roboczy harmonogram_1'!B144-'Roboczy harmonogram_1'!B143)/366)</f>
        <v>1.0059836065573771</v>
      </c>
      <c r="E144" s="15">
        <f t="shared" ca="1" si="20"/>
        <v>0</v>
      </c>
      <c r="F144" s="15">
        <f t="shared" ca="1" si="21"/>
        <v>0</v>
      </c>
      <c r="G144">
        <f ca="1">IF(E144=1,(1+'Dane do harmonogramu'!$D$13*((('Roboczy harmonogram_1'!B144-DATE(YEAR(B144),1,1)+1)/365)+((DATE(YEAR(B143),12,31)-'Roboczy harmonogram_1'!B143)/366))),IF(F144=1,(1+'Dane do harmonogramu'!$D$13*((('Roboczy harmonogram_1'!B144-DATE(YEAR(B144),1,1)+1)/366)+((DATE(YEAR(B143),12,31)-'Roboczy harmonogram_1'!B143)/365))),0))</f>
        <v>0</v>
      </c>
      <c r="H144">
        <f t="shared" ca="1" si="22"/>
        <v>0</v>
      </c>
      <c r="I144">
        <f t="shared" ca="1" si="23"/>
        <v>1.006</v>
      </c>
      <c r="J144">
        <f t="shared" ca="1" si="24"/>
        <v>1.006</v>
      </c>
      <c r="K144">
        <f ca="1">PRODUCT($J$3:J144)</f>
        <v>2.3593680056666395</v>
      </c>
      <c r="L144">
        <f t="shared" ca="1" si="25"/>
        <v>0.42384231607711825</v>
      </c>
      <c r="M144">
        <f ca="1">SUM($L$3:L144)</f>
        <v>95.178253129500959</v>
      </c>
      <c r="O144">
        <f t="shared" ca="1" si="26"/>
        <v>-1886.3523581026238</v>
      </c>
      <c r="P144" s="16">
        <f t="shared" ca="1" si="27"/>
        <v>15965.40327755623</v>
      </c>
      <c r="Q144" s="17">
        <f t="shared" ca="1" si="28"/>
        <v>-330357.46296132647</v>
      </c>
      <c r="S144">
        <f>IF(A144&lt;='Dane do harmonogramu'!$D$7,'Roboczy harmonogram_1'!P144,0)</f>
        <v>0</v>
      </c>
      <c r="T144">
        <f>IF(A144&lt;='Dane do harmonogramu'!$D$7,'Roboczy harmonogram_1'!O144,0)</f>
        <v>0</v>
      </c>
      <c r="U144">
        <f>IF(A144&lt;='Dane do harmonogramu'!$D$7,$N$2,0)</f>
        <v>0</v>
      </c>
      <c r="V144" s="16" t="str">
        <f>IF(A143&lt;='Dane do harmonogramu'!$D$7,Q143*0.15%,"")</f>
        <v/>
      </c>
    </row>
    <row r="145" spans="1:22" x14ac:dyDescent="0.35">
      <c r="A145">
        <v>143</v>
      </c>
      <c r="B145" s="14">
        <f t="shared" ca="1" si="29"/>
        <v>50422</v>
      </c>
      <c r="C145" s="15">
        <f ca="1">(1+'Dane do harmonogramu'!$D$13*('Roboczy harmonogram_1'!B145-'Roboczy harmonogram_1'!B144)/365)</f>
        <v>1.0062</v>
      </c>
      <c r="D145" s="15">
        <f ca="1">(1+'Dane do harmonogramu'!$D$13*('Roboczy harmonogram_1'!B145-'Roboczy harmonogram_1'!B144)/366)</f>
        <v>1.0061830601092896</v>
      </c>
      <c r="E145" s="15">
        <f t="shared" ca="1" si="20"/>
        <v>0</v>
      </c>
      <c r="F145" s="15">
        <f t="shared" ca="1" si="21"/>
        <v>0</v>
      </c>
      <c r="G145">
        <f ca="1">IF(E145=1,(1+'Dane do harmonogramu'!$D$13*((('Roboczy harmonogram_1'!B145-DATE(YEAR(B145),1,1)+1)/365)+((DATE(YEAR(B144),12,31)-'Roboczy harmonogram_1'!B144)/366))),IF(F145=1,(1+'Dane do harmonogramu'!$D$13*((('Roboczy harmonogram_1'!B145-DATE(YEAR(B145),1,1)+1)/366)+((DATE(YEAR(B144),12,31)-'Roboczy harmonogram_1'!B144)/365))),0))</f>
        <v>0</v>
      </c>
      <c r="H145">
        <f t="shared" ca="1" si="22"/>
        <v>0</v>
      </c>
      <c r="I145">
        <f t="shared" ca="1" si="23"/>
        <v>1.0062</v>
      </c>
      <c r="J145">
        <f t="shared" ca="1" si="24"/>
        <v>1.0062</v>
      </c>
      <c r="K145">
        <f ca="1">PRODUCT($J$3:J145)</f>
        <v>2.3739960873017725</v>
      </c>
      <c r="L145">
        <f t="shared" ca="1" si="25"/>
        <v>0.42123068582500328</v>
      </c>
      <c r="M145">
        <f ca="1">SUM($L$3:L145)</f>
        <v>95.599483815325968</v>
      </c>
      <c r="O145">
        <f t="shared" ca="1" si="26"/>
        <v>-2048.2162703602226</v>
      </c>
      <c r="P145" s="16">
        <f t="shared" ca="1" si="27"/>
        <v>16127.267189813829</v>
      </c>
      <c r="Q145" s="17">
        <f t="shared" ca="1" si="28"/>
        <v>-346484.73015114031</v>
      </c>
      <c r="S145">
        <f>IF(A145&lt;='Dane do harmonogramu'!$D$7,'Roboczy harmonogram_1'!P145,0)</f>
        <v>0</v>
      </c>
      <c r="T145">
        <f>IF(A145&lt;='Dane do harmonogramu'!$D$7,'Roboczy harmonogram_1'!O145,0)</f>
        <v>0</v>
      </c>
      <c r="U145">
        <f>IF(A145&lt;='Dane do harmonogramu'!$D$7,$N$2,0)</f>
        <v>0</v>
      </c>
      <c r="V145" s="16" t="str">
        <f>IF(A144&lt;='Dane do harmonogramu'!$D$7,Q144*0.15%,"")</f>
        <v/>
      </c>
    </row>
    <row r="146" spans="1:22" x14ac:dyDescent="0.35">
      <c r="A146">
        <v>144</v>
      </c>
      <c r="B146" s="14">
        <f t="shared" ca="1" si="29"/>
        <v>50453</v>
      </c>
      <c r="C146" s="15">
        <f ca="1">(1+'Dane do harmonogramu'!$D$13*('Roboczy harmonogram_1'!B146-'Roboczy harmonogram_1'!B145)/365)</f>
        <v>1.0062</v>
      </c>
      <c r="D146" s="15">
        <f ca="1">(1+'Dane do harmonogramu'!$D$13*('Roboczy harmonogram_1'!B146-'Roboczy harmonogram_1'!B145)/366)</f>
        <v>1.0061830601092896</v>
      </c>
      <c r="E146" s="15">
        <f t="shared" ca="1" si="20"/>
        <v>0</v>
      </c>
      <c r="F146" s="15">
        <f t="shared" ca="1" si="21"/>
        <v>0</v>
      </c>
      <c r="G146">
        <f ca="1">IF(E146=1,(1+'Dane do harmonogramu'!$D$13*((('Roboczy harmonogram_1'!B146-DATE(YEAR(B146),1,1)+1)/365)+((DATE(YEAR(B145),12,31)-'Roboczy harmonogram_1'!B145)/366))),IF(F146=1,(1+'Dane do harmonogramu'!$D$13*((('Roboczy harmonogram_1'!B146-DATE(YEAR(B146),1,1)+1)/366)+((DATE(YEAR(B145),12,31)-'Roboczy harmonogram_1'!B145)/365))),0))</f>
        <v>0</v>
      </c>
      <c r="H146">
        <f t="shared" ca="1" si="22"/>
        <v>0</v>
      </c>
      <c r="I146">
        <f t="shared" ca="1" si="23"/>
        <v>1.0062</v>
      </c>
      <c r="J146">
        <f t="shared" ca="1" si="24"/>
        <v>1.0062</v>
      </c>
      <c r="K146">
        <f ca="1">PRODUCT($J$3:J146)</f>
        <v>2.3887148630430435</v>
      </c>
      <c r="L146">
        <f t="shared" ca="1" si="25"/>
        <v>0.41863514790797385</v>
      </c>
      <c r="M146">
        <f ca="1">SUM($L$3:L146)</f>
        <v>96.018118963233945</v>
      </c>
      <c r="O146">
        <f t="shared" ca="1" si="26"/>
        <v>-2148.2053269370808</v>
      </c>
      <c r="P146" s="16">
        <f t="shared" ca="1" si="27"/>
        <v>16227.256246390687</v>
      </c>
      <c r="Q146" s="17">
        <f t="shared" ca="1" si="28"/>
        <v>-362711.986397531</v>
      </c>
      <c r="S146">
        <f>IF(A146&lt;='Dane do harmonogramu'!$D$7,'Roboczy harmonogram_1'!P146,0)</f>
        <v>0</v>
      </c>
      <c r="T146">
        <f>IF(A146&lt;='Dane do harmonogramu'!$D$7,'Roboczy harmonogram_1'!O146,0)</f>
        <v>0</v>
      </c>
      <c r="U146">
        <f>IF(A146&lt;='Dane do harmonogramu'!$D$7,$N$2,0)</f>
        <v>0</v>
      </c>
      <c r="V146" s="16" t="str">
        <f>IF(A145&lt;='Dane do harmonogramu'!$D$7,Q145*0.15%,"")</f>
        <v/>
      </c>
    </row>
    <row r="147" spans="1:22" x14ac:dyDescent="0.35">
      <c r="A147">
        <v>145</v>
      </c>
      <c r="B147" s="14">
        <f t="shared" ca="1" si="29"/>
        <v>50481</v>
      </c>
      <c r="C147" s="15">
        <f ca="1">(1+'Dane do harmonogramu'!$D$13*('Roboczy harmonogram_1'!B147-'Roboczy harmonogram_1'!B146)/365)</f>
        <v>1.0056</v>
      </c>
      <c r="D147" s="15">
        <f ca="1">(1+'Dane do harmonogramu'!$D$13*('Roboczy harmonogram_1'!B147-'Roboczy harmonogram_1'!B146)/366)</f>
        <v>1.005584699453552</v>
      </c>
      <c r="E147" s="15">
        <f t="shared" ca="1" si="20"/>
        <v>0</v>
      </c>
      <c r="F147" s="15">
        <f t="shared" ca="1" si="21"/>
        <v>0</v>
      </c>
      <c r="G147">
        <f ca="1">IF(E147=1,(1+'Dane do harmonogramu'!$D$13*((('Roboczy harmonogram_1'!B147-DATE(YEAR(B147),1,1)+1)/365)+((DATE(YEAR(B146),12,31)-'Roboczy harmonogram_1'!B146)/366))),IF(F147=1,(1+'Dane do harmonogramu'!$D$13*((('Roboczy harmonogram_1'!B147-DATE(YEAR(B147),1,1)+1)/366)+((DATE(YEAR(B146),12,31)-'Roboczy harmonogram_1'!B146)/365))),0))</f>
        <v>0</v>
      </c>
      <c r="H147">
        <f t="shared" ca="1" si="22"/>
        <v>0</v>
      </c>
      <c r="I147">
        <f t="shared" ca="1" si="23"/>
        <v>1.0056</v>
      </c>
      <c r="J147">
        <f t="shared" ca="1" si="24"/>
        <v>1.0056</v>
      </c>
      <c r="K147">
        <f ca="1">PRODUCT($J$3:J147)</f>
        <v>2.4020916662760845</v>
      </c>
      <c r="L147">
        <f t="shared" ca="1" si="25"/>
        <v>0.4163038463683113</v>
      </c>
      <c r="M147">
        <f ca="1">SUM($L$3:L147)</f>
        <v>96.434422809602253</v>
      </c>
      <c r="O147">
        <f t="shared" ca="1" si="26"/>
        <v>-2031.1871238261811</v>
      </c>
      <c r="P147" s="16">
        <f t="shared" ca="1" si="27"/>
        <v>16110.238043279787</v>
      </c>
      <c r="Q147" s="17">
        <f t="shared" ca="1" si="28"/>
        <v>-378822.22444081079</v>
      </c>
      <c r="S147">
        <f>IF(A147&lt;='Dane do harmonogramu'!$D$7,'Roboczy harmonogram_1'!P147,0)</f>
        <v>0</v>
      </c>
      <c r="T147">
        <f>IF(A147&lt;='Dane do harmonogramu'!$D$7,'Roboczy harmonogram_1'!O147,0)</f>
        <v>0</v>
      </c>
      <c r="U147">
        <f>IF(A147&lt;='Dane do harmonogramu'!$D$7,$N$2,0)</f>
        <v>0</v>
      </c>
      <c r="V147" s="16" t="str">
        <f>IF(A146&lt;='Dane do harmonogramu'!$D$7,Q146*0.15%,"")</f>
        <v/>
      </c>
    </row>
    <row r="148" spans="1:22" x14ac:dyDescent="0.35">
      <c r="A148">
        <v>146</v>
      </c>
      <c r="B148" s="14">
        <f t="shared" ca="1" si="29"/>
        <v>50512</v>
      </c>
      <c r="C148" s="15">
        <f ca="1">(1+'Dane do harmonogramu'!$D$13*('Roboczy harmonogram_1'!B148-'Roboczy harmonogram_1'!B147)/365)</f>
        <v>1.0062</v>
      </c>
      <c r="D148" s="15">
        <f ca="1">(1+'Dane do harmonogramu'!$D$13*('Roboczy harmonogram_1'!B148-'Roboczy harmonogram_1'!B147)/366)</f>
        <v>1.0061830601092896</v>
      </c>
      <c r="E148" s="15">
        <f t="shared" ca="1" si="20"/>
        <v>0</v>
      </c>
      <c r="F148" s="15">
        <f t="shared" ca="1" si="21"/>
        <v>0</v>
      </c>
      <c r="G148">
        <f ca="1">IF(E148=1,(1+'Dane do harmonogramu'!$D$13*((('Roboczy harmonogram_1'!B148-DATE(YEAR(B148),1,1)+1)/365)+((DATE(YEAR(B147),12,31)-'Roboczy harmonogram_1'!B147)/366))),IF(F148=1,(1+'Dane do harmonogramu'!$D$13*((('Roboczy harmonogram_1'!B148-DATE(YEAR(B148),1,1)+1)/366)+((DATE(YEAR(B147),12,31)-'Roboczy harmonogram_1'!B147)/365))),0))</f>
        <v>0</v>
      </c>
      <c r="H148">
        <f t="shared" ca="1" si="22"/>
        <v>0</v>
      </c>
      <c r="I148">
        <f t="shared" ca="1" si="23"/>
        <v>1.0062</v>
      </c>
      <c r="J148">
        <f t="shared" ca="1" si="24"/>
        <v>1.0062</v>
      </c>
      <c r="K148">
        <f ca="1">PRODUCT($J$3:J148)</f>
        <v>2.4169846346069961</v>
      </c>
      <c r="L148">
        <f t="shared" ca="1" si="25"/>
        <v>0.41373866663517328</v>
      </c>
      <c r="M148">
        <f ca="1">SUM($L$3:L148)</f>
        <v>96.848161476237422</v>
      </c>
      <c r="O148">
        <f t="shared" ca="1" si="26"/>
        <v>-2348.6977915330208</v>
      </c>
      <c r="P148" s="16">
        <f t="shared" ca="1" si="27"/>
        <v>16427.748710986627</v>
      </c>
      <c r="Q148" s="17">
        <f t="shared" ca="1" si="28"/>
        <v>-395249.97315179743</v>
      </c>
      <c r="S148">
        <f>IF(A148&lt;='Dane do harmonogramu'!$D$7,'Roboczy harmonogram_1'!P148,0)</f>
        <v>0</v>
      </c>
      <c r="T148">
        <f>IF(A148&lt;='Dane do harmonogramu'!$D$7,'Roboczy harmonogram_1'!O148,0)</f>
        <v>0</v>
      </c>
      <c r="U148">
        <f>IF(A148&lt;='Dane do harmonogramu'!$D$7,$N$2,0)</f>
        <v>0</v>
      </c>
      <c r="V148" s="16" t="str">
        <f>IF(A147&lt;='Dane do harmonogramu'!$D$7,Q147*0.15%,"")</f>
        <v/>
      </c>
    </row>
    <row r="149" spans="1:22" x14ac:dyDescent="0.35">
      <c r="A149">
        <v>147</v>
      </c>
      <c r="B149" s="14">
        <f t="shared" ca="1" si="29"/>
        <v>50542</v>
      </c>
      <c r="C149" s="15">
        <f ca="1">(1+'Dane do harmonogramu'!$D$13*('Roboczy harmonogram_1'!B149-'Roboczy harmonogram_1'!B148)/365)</f>
        <v>1.006</v>
      </c>
      <c r="D149" s="15">
        <f ca="1">(1+'Dane do harmonogramu'!$D$13*('Roboczy harmonogram_1'!B149-'Roboczy harmonogram_1'!B148)/366)</f>
        <v>1.0059836065573771</v>
      </c>
      <c r="E149" s="15">
        <f t="shared" ca="1" si="20"/>
        <v>0</v>
      </c>
      <c r="F149" s="15">
        <f t="shared" ca="1" si="21"/>
        <v>0</v>
      </c>
      <c r="G149">
        <f ca="1">IF(E149=1,(1+'Dane do harmonogramu'!$D$13*((('Roboczy harmonogram_1'!B149-DATE(YEAR(B149),1,1)+1)/365)+((DATE(YEAR(B148),12,31)-'Roboczy harmonogram_1'!B148)/366))),IF(F149=1,(1+'Dane do harmonogramu'!$D$13*((('Roboczy harmonogram_1'!B149-DATE(YEAR(B149),1,1)+1)/366)+((DATE(YEAR(B148),12,31)-'Roboczy harmonogram_1'!B148)/365))),0))</f>
        <v>0</v>
      </c>
      <c r="H149">
        <f t="shared" ca="1" si="22"/>
        <v>0</v>
      </c>
      <c r="I149">
        <f t="shared" ca="1" si="23"/>
        <v>1.006</v>
      </c>
      <c r="J149">
        <f t="shared" ca="1" si="24"/>
        <v>1.006</v>
      </c>
      <c r="K149">
        <f ca="1">PRODUCT($J$3:J149)</f>
        <v>2.4314865424146381</v>
      </c>
      <c r="L149">
        <f t="shared" ca="1" si="25"/>
        <v>0.41127104039281637</v>
      </c>
      <c r="M149">
        <f ca="1">SUM($L$3:L149)</f>
        <v>97.259432516630241</v>
      </c>
      <c r="O149">
        <f t="shared" ca="1" si="26"/>
        <v>-2371.4998389107641</v>
      </c>
      <c r="P149" s="16">
        <f t="shared" ca="1" si="27"/>
        <v>16450.55075836437</v>
      </c>
      <c r="Q149" s="17">
        <f t="shared" ca="1" si="28"/>
        <v>-411700.52391016181</v>
      </c>
      <c r="S149">
        <f>IF(A149&lt;='Dane do harmonogramu'!$D$7,'Roboczy harmonogram_1'!P149,0)</f>
        <v>0</v>
      </c>
      <c r="T149">
        <f>IF(A149&lt;='Dane do harmonogramu'!$D$7,'Roboczy harmonogram_1'!O149,0)</f>
        <v>0</v>
      </c>
      <c r="U149">
        <f>IF(A149&lt;='Dane do harmonogramu'!$D$7,$N$2,0)</f>
        <v>0</v>
      </c>
      <c r="V149" s="16" t="str">
        <f>IF(A148&lt;='Dane do harmonogramu'!$D$7,Q148*0.15%,"")</f>
        <v/>
      </c>
    </row>
    <row r="150" spans="1:22" x14ac:dyDescent="0.35">
      <c r="A150">
        <v>148</v>
      </c>
      <c r="B150" s="14">
        <f t="shared" ca="1" si="29"/>
        <v>50573</v>
      </c>
      <c r="C150" s="15">
        <f ca="1">(1+'Dane do harmonogramu'!$D$13*('Roboczy harmonogram_1'!B150-'Roboczy harmonogram_1'!B149)/365)</f>
        <v>1.0062</v>
      </c>
      <c r="D150" s="15">
        <f ca="1">(1+'Dane do harmonogramu'!$D$13*('Roboczy harmonogram_1'!B150-'Roboczy harmonogram_1'!B149)/366)</f>
        <v>1.0061830601092896</v>
      </c>
      <c r="E150" s="15">
        <f t="shared" ca="1" si="20"/>
        <v>0</v>
      </c>
      <c r="F150" s="15">
        <f t="shared" ca="1" si="21"/>
        <v>0</v>
      </c>
      <c r="G150">
        <f ca="1">IF(E150=1,(1+'Dane do harmonogramu'!$D$13*((('Roboczy harmonogram_1'!B150-DATE(YEAR(B150),1,1)+1)/365)+((DATE(YEAR(B149),12,31)-'Roboczy harmonogram_1'!B149)/366))),IF(F150=1,(1+'Dane do harmonogramu'!$D$13*((('Roboczy harmonogram_1'!B150-DATE(YEAR(B150),1,1)+1)/366)+((DATE(YEAR(B149),12,31)-'Roboczy harmonogram_1'!B149)/365))),0))</f>
        <v>0</v>
      </c>
      <c r="H150">
        <f t="shared" ca="1" si="22"/>
        <v>0</v>
      </c>
      <c r="I150">
        <f t="shared" ca="1" si="23"/>
        <v>1.0062</v>
      </c>
      <c r="J150">
        <f t="shared" ca="1" si="24"/>
        <v>1.0062</v>
      </c>
      <c r="K150">
        <f ca="1">PRODUCT($J$3:J150)</f>
        <v>2.4465617589776087</v>
      </c>
      <c r="L150">
        <f t="shared" ca="1" si="25"/>
        <v>0.40873687178773244</v>
      </c>
      <c r="M150">
        <f ca="1">SUM($L$3:L150)</f>
        <v>97.668169388417979</v>
      </c>
      <c r="O150">
        <f t="shared" ca="1" si="26"/>
        <v>-2552.5432482429896</v>
      </c>
      <c r="P150" s="16">
        <f t="shared" ca="1" si="27"/>
        <v>16631.594167696596</v>
      </c>
      <c r="Q150" s="17">
        <f t="shared" ca="1" si="28"/>
        <v>-428332.11807785841</v>
      </c>
      <c r="S150">
        <f>IF(A150&lt;='Dane do harmonogramu'!$D$7,'Roboczy harmonogram_1'!P150,0)</f>
        <v>0</v>
      </c>
      <c r="T150">
        <f>IF(A150&lt;='Dane do harmonogramu'!$D$7,'Roboczy harmonogram_1'!O150,0)</f>
        <v>0</v>
      </c>
      <c r="U150">
        <f>IF(A150&lt;='Dane do harmonogramu'!$D$7,$N$2,0)</f>
        <v>0</v>
      </c>
      <c r="V150" s="16" t="str">
        <f>IF(A149&lt;='Dane do harmonogramu'!$D$7,Q149*0.15%,"")</f>
        <v/>
      </c>
    </row>
    <row r="151" spans="1:22" x14ac:dyDescent="0.35">
      <c r="A151">
        <v>149</v>
      </c>
      <c r="B151" s="14">
        <f t="shared" ca="1" si="29"/>
        <v>50603</v>
      </c>
      <c r="C151" s="15">
        <f ca="1">(1+'Dane do harmonogramu'!$D$13*('Roboczy harmonogram_1'!B151-'Roboczy harmonogram_1'!B150)/365)</f>
        <v>1.006</v>
      </c>
      <c r="D151" s="15">
        <f ca="1">(1+'Dane do harmonogramu'!$D$13*('Roboczy harmonogram_1'!B151-'Roboczy harmonogram_1'!B150)/366)</f>
        <v>1.0059836065573771</v>
      </c>
      <c r="E151" s="15">
        <f t="shared" ca="1" si="20"/>
        <v>0</v>
      </c>
      <c r="F151" s="15">
        <f t="shared" ca="1" si="21"/>
        <v>0</v>
      </c>
      <c r="G151">
        <f ca="1">IF(E151=1,(1+'Dane do harmonogramu'!$D$13*((('Roboczy harmonogram_1'!B151-DATE(YEAR(B151),1,1)+1)/365)+((DATE(YEAR(B150),12,31)-'Roboczy harmonogram_1'!B150)/366))),IF(F151=1,(1+'Dane do harmonogramu'!$D$13*((('Roboczy harmonogram_1'!B151-DATE(YEAR(B151),1,1)+1)/366)+((DATE(YEAR(B150),12,31)-'Roboczy harmonogram_1'!B150)/365))),0))</f>
        <v>0</v>
      </c>
      <c r="H151">
        <f t="shared" ca="1" si="22"/>
        <v>0</v>
      </c>
      <c r="I151">
        <f t="shared" ca="1" si="23"/>
        <v>1.006</v>
      </c>
      <c r="J151">
        <f t="shared" ca="1" si="24"/>
        <v>1.006</v>
      </c>
      <c r="K151">
        <f ca="1">PRODUCT($J$3:J151)</f>
        <v>2.4612411295314742</v>
      </c>
      <c r="L151">
        <f t="shared" ca="1" si="25"/>
        <v>0.40629907732378973</v>
      </c>
      <c r="M151">
        <f ca="1">SUM($L$3:L151)</f>
        <v>98.074468465741774</v>
      </c>
      <c r="O151">
        <f t="shared" ca="1" si="26"/>
        <v>-2569.9927084671799</v>
      </c>
      <c r="P151" s="16">
        <f t="shared" ca="1" si="27"/>
        <v>16649.043627920786</v>
      </c>
      <c r="Q151" s="17">
        <f t="shared" ca="1" si="28"/>
        <v>-444981.1617057792</v>
      </c>
      <c r="S151">
        <f>IF(A151&lt;='Dane do harmonogramu'!$D$7,'Roboczy harmonogram_1'!P151,0)</f>
        <v>0</v>
      </c>
      <c r="T151">
        <f>IF(A151&lt;='Dane do harmonogramu'!$D$7,'Roboczy harmonogram_1'!O151,0)</f>
        <v>0</v>
      </c>
      <c r="U151">
        <f>IF(A151&lt;='Dane do harmonogramu'!$D$7,$N$2,0)</f>
        <v>0</v>
      </c>
      <c r="V151" s="16" t="str">
        <f>IF(A150&lt;='Dane do harmonogramu'!$D$7,Q150*0.15%,"")</f>
        <v/>
      </c>
    </row>
    <row r="152" spans="1:22" x14ac:dyDescent="0.35">
      <c r="A152">
        <v>150</v>
      </c>
      <c r="B152" s="14">
        <f t="shared" ca="1" si="29"/>
        <v>50634</v>
      </c>
      <c r="C152" s="15">
        <f ca="1">(1+'Dane do harmonogramu'!$D$13*('Roboczy harmonogram_1'!B152-'Roboczy harmonogram_1'!B151)/365)</f>
        <v>1.0062</v>
      </c>
      <c r="D152" s="15">
        <f ca="1">(1+'Dane do harmonogramu'!$D$13*('Roboczy harmonogram_1'!B152-'Roboczy harmonogram_1'!B151)/366)</f>
        <v>1.0061830601092896</v>
      </c>
      <c r="E152" s="15">
        <f t="shared" ca="1" si="20"/>
        <v>0</v>
      </c>
      <c r="F152" s="15">
        <f t="shared" ca="1" si="21"/>
        <v>0</v>
      </c>
      <c r="G152">
        <f ca="1">IF(E152=1,(1+'Dane do harmonogramu'!$D$13*((('Roboczy harmonogram_1'!B152-DATE(YEAR(B152),1,1)+1)/365)+((DATE(YEAR(B151),12,31)-'Roboczy harmonogram_1'!B151)/366))),IF(F152=1,(1+'Dane do harmonogramu'!$D$13*((('Roboczy harmonogram_1'!B152-DATE(YEAR(B152),1,1)+1)/366)+((DATE(YEAR(B151),12,31)-'Roboczy harmonogram_1'!B151)/365))),0))</f>
        <v>0</v>
      </c>
      <c r="H152">
        <f t="shared" ca="1" si="22"/>
        <v>0</v>
      </c>
      <c r="I152">
        <f t="shared" ca="1" si="23"/>
        <v>1.0062</v>
      </c>
      <c r="J152">
        <f t="shared" ca="1" si="24"/>
        <v>1.0062</v>
      </c>
      <c r="K152">
        <f ca="1">PRODUCT($J$3:J152)</f>
        <v>2.4765008245345692</v>
      </c>
      <c r="L152">
        <f t="shared" ca="1" si="25"/>
        <v>0.40379554494512993</v>
      </c>
      <c r="M152">
        <f ca="1">SUM($L$3:L152)</f>
        <v>98.4782640106869</v>
      </c>
      <c r="O152">
        <f t="shared" ca="1" si="26"/>
        <v>-2758.8832025758456</v>
      </c>
      <c r="P152" s="16">
        <f t="shared" ca="1" si="27"/>
        <v>16837.934122029452</v>
      </c>
      <c r="Q152" s="17">
        <f t="shared" ca="1" si="28"/>
        <v>-461819.09582780866</v>
      </c>
      <c r="S152">
        <f>IF(A152&lt;='Dane do harmonogramu'!$D$7,'Roboczy harmonogram_1'!P152,0)</f>
        <v>0</v>
      </c>
      <c r="T152">
        <f>IF(A152&lt;='Dane do harmonogramu'!$D$7,'Roboczy harmonogram_1'!O152,0)</f>
        <v>0</v>
      </c>
      <c r="U152">
        <f>IF(A152&lt;='Dane do harmonogramu'!$D$7,$N$2,0)</f>
        <v>0</v>
      </c>
      <c r="V152" s="16" t="str">
        <f>IF(A151&lt;='Dane do harmonogramu'!$D$7,Q151*0.15%,"")</f>
        <v/>
      </c>
    </row>
    <row r="153" spans="1:22" x14ac:dyDescent="0.35">
      <c r="A153">
        <v>151</v>
      </c>
      <c r="B153" s="14">
        <f t="shared" ca="1" si="29"/>
        <v>50665</v>
      </c>
      <c r="C153" s="15">
        <f ca="1">(1+'Dane do harmonogramu'!$D$13*('Roboczy harmonogram_1'!B153-'Roboczy harmonogram_1'!B152)/365)</f>
        <v>1.0062</v>
      </c>
      <c r="D153" s="15">
        <f ca="1">(1+'Dane do harmonogramu'!$D$13*('Roboczy harmonogram_1'!B153-'Roboczy harmonogram_1'!B152)/366)</f>
        <v>1.0061830601092896</v>
      </c>
      <c r="E153" s="15">
        <f t="shared" ca="1" si="20"/>
        <v>0</v>
      </c>
      <c r="F153" s="15">
        <f t="shared" ca="1" si="21"/>
        <v>0</v>
      </c>
      <c r="G153">
        <f ca="1">IF(E153=1,(1+'Dane do harmonogramu'!$D$13*((('Roboczy harmonogram_1'!B153-DATE(YEAR(B153),1,1)+1)/365)+((DATE(YEAR(B152),12,31)-'Roboczy harmonogram_1'!B152)/366))),IF(F153=1,(1+'Dane do harmonogramu'!$D$13*((('Roboczy harmonogram_1'!B153-DATE(YEAR(B153),1,1)+1)/366)+((DATE(YEAR(B152),12,31)-'Roboczy harmonogram_1'!B152)/365))),0))</f>
        <v>0</v>
      </c>
      <c r="H153">
        <f t="shared" ca="1" si="22"/>
        <v>0</v>
      </c>
      <c r="I153">
        <f t="shared" ca="1" si="23"/>
        <v>1.0062</v>
      </c>
      <c r="J153">
        <f t="shared" ca="1" si="24"/>
        <v>1.0062</v>
      </c>
      <c r="K153">
        <f ca="1">PRODUCT($J$3:J153)</f>
        <v>2.4918551296466833</v>
      </c>
      <c r="L153">
        <f t="shared" ca="1" si="25"/>
        <v>0.40130743882441861</v>
      </c>
      <c r="M153">
        <f ca="1">SUM($L$3:L153)</f>
        <v>98.879571449511317</v>
      </c>
      <c r="O153">
        <f t="shared" ca="1" si="26"/>
        <v>-2863.2783941323869</v>
      </c>
      <c r="P153" s="16">
        <f t="shared" ca="1" si="27"/>
        <v>16942.329313585993</v>
      </c>
      <c r="Q153" s="17">
        <f t="shared" ca="1" si="28"/>
        <v>-478761.42514139466</v>
      </c>
      <c r="S153">
        <f>IF(A153&lt;='Dane do harmonogramu'!$D$7,'Roboczy harmonogram_1'!P153,0)</f>
        <v>0</v>
      </c>
      <c r="T153">
        <f>IF(A153&lt;='Dane do harmonogramu'!$D$7,'Roboczy harmonogram_1'!O153,0)</f>
        <v>0</v>
      </c>
      <c r="U153">
        <f>IF(A153&lt;='Dane do harmonogramu'!$D$7,$N$2,0)</f>
        <v>0</v>
      </c>
      <c r="V153" s="16" t="str">
        <f>IF(A152&lt;='Dane do harmonogramu'!$D$7,Q152*0.15%,"")</f>
        <v/>
      </c>
    </row>
    <row r="154" spans="1:22" x14ac:dyDescent="0.35">
      <c r="A154">
        <v>152</v>
      </c>
      <c r="B154" s="14">
        <f t="shared" ca="1" si="29"/>
        <v>50695</v>
      </c>
      <c r="C154" s="15">
        <f ca="1">(1+'Dane do harmonogramu'!$D$13*('Roboczy harmonogram_1'!B154-'Roboczy harmonogram_1'!B153)/365)</f>
        <v>1.006</v>
      </c>
      <c r="D154" s="15">
        <f ca="1">(1+'Dane do harmonogramu'!$D$13*('Roboczy harmonogram_1'!B154-'Roboczy harmonogram_1'!B153)/366)</f>
        <v>1.0059836065573771</v>
      </c>
      <c r="E154" s="15">
        <f t="shared" ca="1" si="20"/>
        <v>0</v>
      </c>
      <c r="F154" s="15">
        <f t="shared" ca="1" si="21"/>
        <v>0</v>
      </c>
      <c r="G154">
        <f ca="1">IF(E154=1,(1+'Dane do harmonogramu'!$D$13*((('Roboczy harmonogram_1'!B154-DATE(YEAR(B154),1,1)+1)/365)+((DATE(YEAR(B153),12,31)-'Roboczy harmonogram_1'!B153)/366))),IF(F154=1,(1+'Dane do harmonogramu'!$D$13*((('Roboczy harmonogram_1'!B154-DATE(YEAR(B154),1,1)+1)/366)+((DATE(YEAR(B153),12,31)-'Roboczy harmonogram_1'!B153)/365))),0))</f>
        <v>0</v>
      </c>
      <c r="H154">
        <f t="shared" ca="1" si="22"/>
        <v>0</v>
      </c>
      <c r="I154">
        <f t="shared" ca="1" si="23"/>
        <v>1.006</v>
      </c>
      <c r="J154">
        <f t="shared" ca="1" si="24"/>
        <v>1.006</v>
      </c>
      <c r="K154">
        <f ca="1">PRODUCT($J$3:J154)</f>
        <v>2.5068062604245633</v>
      </c>
      <c r="L154">
        <f t="shared" ca="1" si="25"/>
        <v>0.39891395509385547</v>
      </c>
      <c r="M154">
        <f ca="1">SUM($L$3:L154)</f>
        <v>99.278485404605178</v>
      </c>
      <c r="O154">
        <f t="shared" ca="1" si="26"/>
        <v>-2872.5685508483439</v>
      </c>
      <c r="P154" s="16">
        <f t="shared" ca="1" si="27"/>
        <v>16951.61947030195</v>
      </c>
      <c r="Q154" s="17">
        <f t="shared" ca="1" si="28"/>
        <v>-495713.04461169662</v>
      </c>
      <c r="S154">
        <f>IF(A154&lt;='Dane do harmonogramu'!$D$7,'Roboczy harmonogram_1'!P154,0)</f>
        <v>0</v>
      </c>
      <c r="T154">
        <f>IF(A154&lt;='Dane do harmonogramu'!$D$7,'Roboczy harmonogram_1'!O154,0)</f>
        <v>0</v>
      </c>
      <c r="U154">
        <f>IF(A154&lt;='Dane do harmonogramu'!$D$7,$N$2,0)</f>
        <v>0</v>
      </c>
      <c r="V154" s="16" t="str">
        <f>IF(A153&lt;='Dane do harmonogramu'!$D$7,Q153*0.15%,"")</f>
        <v/>
      </c>
    </row>
    <row r="155" spans="1:22" x14ac:dyDescent="0.35">
      <c r="A155">
        <v>153</v>
      </c>
      <c r="B155" s="14">
        <f t="shared" ca="1" si="29"/>
        <v>50726</v>
      </c>
      <c r="C155" s="15">
        <f ca="1">(1+'Dane do harmonogramu'!$D$13*('Roboczy harmonogram_1'!B155-'Roboczy harmonogram_1'!B154)/365)</f>
        <v>1.0062</v>
      </c>
      <c r="D155" s="15">
        <f ca="1">(1+'Dane do harmonogramu'!$D$13*('Roboczy harmonogram_1'!B155-'Roboczy harmonogram_1'!B154)/366)</f>
        <v>1.0061830601092896</v>
      </c>
      <c r="E155" s="15">
        <f t="shared" ca="1" si="20"/>
        <v>0</v>
      </c>
      <c r="F155" s="15">
        <f t="shared" ca="1" si="21"/>
        <v>0</v>
      </c>
      <c r="G155">
        <f ca="1">IF(E155=1,(1+'Dane do harmonogramu'!$D$13*((('Roboczy harmonogram_1'!B155-DATE(YEAR(B155),1,1)+1)/365)+((DATE(YEAR(B154),12,31)-'Roboczy harmonogram_1'!B154)/366))),IF(F155=1,(1+'Dane do harmonogramu'!$D$13*((('Roboczy harmonogram_1'!B155-DATE(YEAR(B155),1,1)+1)/366)+((DATE(YEAR(B154),12,31)-'Roboczy harmonogram_1'!B154)/365))),0))</f>
        <v>0</v>
      </c>
      <c r="H155">
        <f t="shared" ca="1" si="22"/>
        <v>0</v>
      </c>
      <c r="I155">
        <f t="shared" ca="1" si="23"/>
        <v>1.0062</v>
      </c>
      <c r="J155">
        <f t="shared" ca="1" si="24"/>
        <v>1.0062</v>
      </c>
      <c r="K155">
        <f ca="1">PRODUCT($J$3:J155)</f>
        <v>2.5223484592391956</v>
      </c>
      <c r="L155">
        <f t="shared" ca="1" si="25"/>
        <v>0.3964559283381589</v>
      </c>
      <c r="M155">
        <f ca="1">SUM($L$3:L155)</f>
        <v>99.674941332943334</v>
      </c>
      <c r="O155">
        <f t="shared" ca="1" si="26"/>
        <v>-3073.4208765925141</v>
      </c>
      <c r="P155" s="16">
        <f t="shared" ca="1" si="27"/>
        <v>17152.47179604612</v>
      </c>
      <c r="Q155" s="17">
        <f t="shared" ca="1" si="28"/>
        <v>-512865.51640774275</v>
      </c>
      <c r="S155">
        <f>IF(A155&lt;='Dane do harmonogramu'!$D$7,'Roboczy harmonogram_1'!P155,0)</f>
        <v>0</v>
      </c>
      <c r="T155">
        <f>IF(A155&lt;='Dane do harmonogramu'!$D$7,'Roboczy harmonogram_1'!O155,0)</f>
        <v>0</v>
      </c>
      <c r="U155">
        <f>IF(A155&lt;='Dane do harmonogramu'!$D$7,$N$2,0)</f>
        <v>0</v>
      </c>
      <c r="V155" s="16" t="str">
        <f>IF(A154&lt;='Dane do harmonogramu'!$D$7,Q154*0.15%,"")</f>
        <v/>
      </c>
    </row>
    <row r="156" spans="1:22" x14ac:dyDescent="0.35">
      <c r="A156">
        <v>154</v>
      </c>
      <c r="B156" s="14">
        <f t="shared" ca="1" si="29"/>
        <v>50756</v>
      </c>
      <c r="C156" s="15">
        <f ca="1">(1+'Dane do harmonogramu'!$D$13*('Roboczy harmonogram_1'!B156-'Roboczy harmonogram_1'!B155)/365)</f>
        <v>1.006</v>
      </c>
      <c r="D156" s="15">
        <f ca="1">(1+'Dane do harmonogramu'!$D$13*('Roboczy harmonogram_1'!B156-'Roboczy harmonogram_1'!B155)/366)</f>
        <v>1.0059836065573771</v>
      </c>
      <c r="E156" s="15">
        <f t="shared" ca="1" si="20"/>
        <v>0</v>
      </c>
      <c r="F156" s="15">
        <f t="shared" ca="1" si="21"/>
        <v>0</v>
      </c>
      <c r="G156">
        <f ca="1">IF(E156=1,(1+'Dane do harmonogramu'!$D$13*((('Roboczy harmonogram_1'!B156-DATE(YEAR(B156),1,1)+1)/365)+((DATE(YEAR(B155),12,31)-'Roboczy harmonogram_1'!B155)/366))),IF(F156=1,(1+'Dane do harmonogramu'!$D$13*((('Roboczy harmonogram_1'!B156-DATE(YEAR(B156),1,1)+1)/366)+((DATE(YEAR(B155),12,31)-'Roboczy harmonogram_1'!B155)/365))),0))</f>
        <v>0</v>
      </c>
      <c r="H156">
        <f t="shared" ca="1" si="22"/>
        <v>0</v>
      </c>
      <c r="I156">
        <f t="shared" ca="1" si="23"/>
        <v>1.006</v>
      </c>
      <c r="J156">
        <f t="shared" ca="1" si="24"/>
        <v>1.006</v>
      </c>
      <c r="K156">
        <f ca="1">PRODUCT($J$3:J156)</f>
        <v>2.537482549994631</v>
      </c>
      <c r="L156">
        <f t="shared" ca="1" si="25"/>
        <v>0.39409138005781197</v>
      </c>
      <c r="M156">
        <f ca="1">SUM($L$3:L156)</f>
        <v>100.06903271300115</v>
      </c>
      <c r="O156">
        <f t="shared" ca="1" si="26"/>
        <v>-3077.1930984464707</v>
      </c>
      <c r="P156" s="16">
        <f t="shared" ca="1" si="27"/>
        <v>17156.244017900077</v>
      </c>
      <c r="Q156" s="17">
        <f t="shared" ca="1" si="28"/>
        <v>-530021.76042564283</v>
      </c>
      <c r="S156">
        <f>IF(A156&lt;='Dane do harmonogramu'!$D$7,'Roboczy harmonogram_1'!P156,0)</f>
        <v>0</v>
      </c>
      <c r="T156">
        <f>IF(A156&lt;='Dane do harmonogramu'!$D$7,'Roboczy harmonogram_1'!O156,0)</f>
        <v>0</v>
      </c>
      <c r="U156">
        <f>IF(A156&lt;='Dane do harmonogramu'!$D$7,$N$2,0)</f>
        <v>0</v>
      </c>
      <c r="V156" s="16" t="str">
        <f>IF(A155&lt;='Dane do harmonogramu'!$D$7,Q155*0.15%,"")</f>
        <v/>
      </c>
    </row>
    <row r="157" spans="1:22" x14ac:dyDescent="0.35">
      <c r="A157">
        <v>155</v>
      </c>
      <c r="B157" s="14">
        <f t="shared" ca="1" si="29"/>
        <v>50787</v>
      </c>
      <c r="C157" s="15">
        <f ca="1">(1+'Dane do harmonogramu'!$D$13*('Roboczy harmonogram_1'!B157-'Roboczy harmonogram_1'!B156)/365)</f>
        <v>1.0062</v>
      </c>
      <c r="D157" s="15">
        <f ca="1">(1+'Dane do harmonogramu'!$D$13*('Roboczy harmonogram_1'!B157-'Roboczy harmonogram_1'!B156)/366)</f>
        <v>1.0061830601092896</v>
      </c>
      <c r="E157" s="15">
        <f t="shared" ca="1" si="20"/>
        <v>0</v>
      </c>
      <c r="F157" s="15">
        <f t="shared" ca="1" si="21"/>
        <v>0</v>
      </c>
      <c r="G157">
        <f ca="1">IF(E157=1,(1+'Dane do harmonogramu'!$D$13*((('Roboczy harmonogram_1'!B157-DATE(YEAR(B157),1,1)+1)/365)+((DATE(YEAR(B156),12,31)-'Roboczy harmonogram_1'!B156)/366))),IF(F157=1,(1+'Dane do harmonogramu'!$D$13*((('Roboczy harmonogram_1'!B157-DATE(YEAR(B157),1,1)+1)/366)+((DATE(YEAR(B156),12,31)-'Roboczy harmonogram_1'!B156)/365))),0))</f>
        <v>0</v>
      </c>
      <c r="H157">
        <f t="shared" ca="1" si="22"/>
        <v>0</v>
      </c>
      <c r="I157">
        <f t="shared" ca="1" si="23"/>
        <v>1.0062</v>
      </c>
      <c r="J157">
        <f t="shared" ca="1" si="24"/>
        <v>1.0062</v>
      </c>
      <c r="K157">
        <f ca="1">PRODUCT($J$3:J157)</f>
        <v>2.5532149418045975</v>
      </c>
      <c r="L157">
        <f t="shared" ca="1" si="25"/>
        <v>0.39166306902982706</v>
      </c>
      <c r="M157">
        <f ca="1">SUM($L$3:L157)</f>
        <v>100.46069578203098</v>
      </c>
      <c r="O157">
        <f t="shared" ca="1" si="26"/>
        <v>-3286.1349146389402</v>
      </c>
      <c r="P157" s="16">
        <f t="shared" ca="1" si="27"/>
        <v>17365.185834092546</v>
      </c>
      <c r="Q157" s="17">
        <f t="shared" ca="1" si="28"/>
        <v>-547386.94625973538</v>
      </c>
      <c r="S157">
        <f>IF(A157&lt;='Dane do harmonogramu'!$D$7,'Roboczy harmonogram_1'!P157,0)</f>
        <v>0</v>
      </c>
      <c r="T157">
        <f>IF(A157&lt;='Dane do harmonogramu'!$D$7,'Roboczy harmonogram_1'!O157,0)</f>
        <v>0</v>
      </c>
      <c r="U157">
        <f>IF(A157&lt;='Dane do harmonogramu'!$D$7,$N$2,0)</f>
        <v>0</v>
      </c>
      <c r="V157" s="16" t="str">
        <f>IF(A156&lt;='Dane do harmonogramu'!$D$7,Q156*0.15%,"")</f>
        <v/>
      </c>
    </row>
    <row r="158" spans="1:22" x14ac:dyDescent="0.35">
      <c r="A158">
        <v>156</v>
      </c>
      <c r="B158" s="14">
        <f t="shared" ca="1" si="29"/>
        <v>50818</v>
      </c>
      <c r="C158" s="15">
        <f ca="1">(1+'Dane do harmonogramu'!$D$13*('Roboczy harmonogram_1'!B158-'Roboczy harmonogram_1'!B157)/365)</f>
        <v>1.0062</v>
      </c>
      <c r="D158" s="15">
        <f ca="1">(1+'Dane do harmonogramu'!$D$13*('Roboczy harmonogram_1'!B158-'Roboczy harmonogram_1'!B157)/366)</f>
        <v>1.0061830601092896</v>
      </c>
      <c r="E158" s="15">
        <f t="shared" ca="1" si="20"/>
        <v>0</v>
      </c>
      <c r="F158" s="15">
        <f t="shared" ca="1" si="21"/>
        <v>0</v>
      </c>
      <c r="G158">
        <f ca="1">IF(E158=1,(1+'Dane do harmonogramu'!$D$13*((('Roboczy harmonogram_1'!B158-DATE(YEAR(B158),1,1)+1)/365)+((DATE(YEAR(B157),12,31)-'Roboczy harmonogram_1'!B157)/366))),IF(F158=1,(1+'Dane do harmonogramu'!$D$13*((('Roboczy harmonogram_1'!B158-DATE(YEAR(B158),1,1)+1)/366)+((DATE(YEAR(B157),12,31)-'Roboczy harmonogram_1'!B157)/365))),0))</f>
        <v>0</v>
      </c>
      <c r="H158">
        <f t="shared" ca="1" si="22"/>
        <v>0</v>
      </c>
      <c r="I158">
        <f t="shared" ca="1" si="23"/>
        <v>1.0062</v>
      </c>
      <c r="J158">
        <f t="shared" ca="1" si="24"/>
        <v>1.0062</v>
      </c>
      <c r="K158">
        <f ca="1">PRODUCT($J$3:J158)</f>
        <v>2.5690448744437862</v>
      </c>
      <c r="L158">
        <f t="shared" ca="1" si="25"/>
        <v>0.3892497207611082</v>
      </c>
      <c r="M158">
        <f ca="1">SUM($L$3:L158)</f>
        <v>100.8499455027921</v>
      </c>
      <c r="O158">
        <f t="shared" ca="1" si="26"/>
        <v>-3393.799066810403</v>
      </c>
      <c r="P158" s="16">
        <f t="shared" ca="1" si="27"/>
        <v>17472.849986264009</v>
      </c>
      <c r="Q158" s="17">
        <f t="shared" ca="1" si="28"/>
        <v>-564859.7962459994</v>
      </c>
      <c r="S158">
        <f>IF(A158&lt;='Dane do harmonogramu'!$D$7,'Roboczy harmonogram_1'!P158,0)</f>
        <v>0</v>
      </c>
      <c r="T158">
        <f>IF(A158&lt;='Dane do harmonogramu'!$D$7,'Roboczy harmonogram_1'!O158,0)</f>
        <v>0</v>
      </c>
      <c r="U158">
        <f>IF(A158&lt;='Dane do harmonogramu'!$D$7,$N$2,0)</f>
        <v>0</v>
      </c>
      <c r="V158" s="16" t="str">
        <f>IF(A157&lt;='Dane do harmonogramu'!$D$7,Q157*0.15%,"")</f>
        <v/>
      </c>
    </row>
    <row r="159" spans="1:22" x14ac:dyDescent="0.35">
      <c r="A159">
        <v>157</v>
      </c>
      <c r="B159" s="14">
        <f t="shared" ca="1" si="29"/>
        <v>50846</v>
      </c>
      <c r="C159" s="15">
        <f ca="1">(1+'Dane do harmonogramu'!$D$13*('Roboczy harmonogram_1'!B159-'Roboczy harmonogram_1'!B158)/365)</f>
        <v>1.0056</v>
      </c>
      <c r="D159" s="15">
        <f ca="1">(1+'Dane do harmonogramu'!$D$13*('Roboczy harmonogram_1'!B159-'Roboczy harmonogram_1'!B158)/366)</f>
        <v>1.005584699453552</v>
      </c>
      <c r="E159" s="15">
        <f t="shared" ca="1" si="20"/>
        <v>0</v>
      </c>
      <c r="F159" s="15">
        <f t="shared" ca="1" si="21"/>
        <v>0</v>
      </c>
      <c r="G159">
        <f ca="1">IF(E159=1,(1+'Dane do harmonogramu'!$D$13*((('Roboczy harmonogram_1'!B159-DATE(YEAR(B159),1,1)+1)/365)+((DATE(YEAR(B158),12,31)-'Roboczy harmonogram_1'!B158)/366))),IF(F159=1,(1+'Dane do harmonogramu'!$D$13*((('Roboczy harmonogram_1'!B159-DATE(YEAR(B159),1,1)+1)/366)+((DATE(YEAR(B158),12,31)-'Roboczy harmonogram_1'!B158)/365))),0))</f>
        <v>0</v>
      </c>
      <c r="H159">
        <f t="shared" ca="1" si="22"/>
        <v>0</v>
      </c>
      <c r="I159">
        <f t="shared" ca="1" si="23"/>
        <v>1.0056</v>
      </c>
      <c r="J159">
        <f t="shared" ca="1" si="24"/>
        <v>1.0056</v>
      </c>
      <c r="K159">
        <f ca="1">PRODUCT($J$3:J159)</f>
        <v>2.5834315257406715</v>
      </c>
      <c r="L159">
        <f t="shared" ca="1" si="25"/>
        <v>0.38708206121828576</v>
      </c>
      <c r="M159">
        <f ca="1">SUM($L$3:L159)</f>
        <v>101.23702756401038</v>
      </c>
      <c r="O159">
        <f t="shared" ca="1" si="26"/>
        <v>-3163.2148589775898</v>
      </c>
      <c r="P159" s="16">
        <f t="shared" ca="1" si="27"/>
        <v>17242.265778431196</v>
      </c>
      <c r="Q159" s="17">
        <f t="shared" ca="1" si="28"/>
        <v>-582102.0620244306</v>
      </c>
      <c r="S159">
        <f>IF(A159&lt;='Dane do harmonogramu'!$D$7,'Roboczy harmonogram_1'!P159,0)</f>
        <v>0</v>
      </c>
      <c r="T159">
        <f>IF(A159&lt;='Dane do harmonogramu'!$D$7,'Roboczy harmonogram_1'!O159,0)</f>
        <v>0</v>
      </c>
      <c r="U159">
        <f>IF(A159&lt;='Dane do harmonogramu'!$D$7,$N$2,0)</f>
        <v>0</v>
      </c>
      <c r="V159" s="16" t="str">
        <f>IF(A158&lt;='Dane do harmonogramu'!$D$7,Q158*0.15%,"")</f>
        <v/>
      </c>
    </row>
    <row r="160" spans="1:22" x14ac:dyDescent="0.35">
      <c r="A160">
        <v>158</v>
      </c>
      <c r="B160" s="14">
        <f t="shared" ca="1" si="29"/>
        <v>50877</v>
      </c>
      <c r="C160" s="15">
        <f ca="1">(1+'Dane do harmonogramu'!$D$13*('Roboczy harmonogram_1'!B160-'Roboczy harmonogram_1'!B159)/365)</f>
        <v>1.0062</v>
      </c>
      <c r="D160" s="15">
        <f ca="1">(1+'Dane do harmonogramu'!$D$13*('Roboczy harmonogram_1'!B160-'Roboczy harmonogram_1'!B159)/366)</f>
        <v>1.0061830601092896</v>
      </c>
      <c r="E160" s="15">
        <f t="shared" ca="1" si="20"/>
        <v>0</v>
      </c>
      <c r="F160" s="15">
        <f t="shared" ca="1" si="21"/>
        <v>0</v>
      </c>
      <c r="G160">
        <f ca="1">IF(E160=1,(1+'Dane do harmonogramu'!$D$13*((('Roboczy harmonogram_1'!B160-DATE(YEAR(B160),1,1)+1)/365)+((DATE(YEAR(B159),12,31)-'Roboczy harmonogram_1'!B159)/366))),IF(F160=1,(1+'Dane do harmonogramu'!$D$13*((('Roboczy harmonogram_1'!B160-DATE(YEAR(B160),1,1)+1)/366)+((DATE(YEAR(B159),12,31)-'Roboczy harmonogram_1'!B159)/365))),0))</f>
        <v>0</v>
      </c>
      <c r="H160">
        <f t="shared" ca="1" si="22"/>
        <v>0</v>
      </c>
      <c r="I160">
        <f t="shared" ca="1" si="23"/>
        <v>1.0062</v>
      </c>
      <c r="J160">
        <f t="shared" ca="1" si="24"/>
        <v>1.0062</v>
      </c>
      <c r="K160">
        <f ca="1">PRODUCT($J$3:J160)</f>
        <v>2.5994488012002637</v>
      </c>
      <c r="L160">
        <f t="shared" ca="1" si="25"/>
        <v>0.38469694018911327</v>
      </c>
      <c r="M160">
        <f ca="1">SUM($L$3:L160)</f>
        <v>101.62172450419949</v>
      </c>
      <c r="O160">
        <f t="shared" ca="1" si="26"/>
        <v>-3609.0327845514985</v>
      </c>
      <c r="P160" s="16">
        <f t="shared" ca="1" si="27"/>
        <v>17688.083704005105</v>
      </c>
      <c r="Q160" s="17">
        <f t="shared" ca="1" si="28"/>
        <v>-599790.14572843572</v>
      </c>
      <c r="S160">
        <f>IF(A160&lt;='Dane do harmonogramu'!$D$7,'Roboczy harmonogram_1'!P160,0)</f>
        <v>0</v>
      </c>
      <c r="T160">
        <f>IF(A160&lt;='Dane do harmonogramu'!$D$7,'Roboczy harmonogram_1'!O160,0)</f>
        <v>0</v>
      </c>
      <c r="U160">
        <f>IF(A160&lt;='Dane do harmonogramu'!$D$7,$N$2,0)</f>
        <v>0</v>
      </c>
      <c r="V160" s="16" t="str">
        <f>IF(A159&lt;='Dane do harmonogramu'!$D$7,Q159*0.15%,"")</f>
        <v/>
      </c>
    </row>
    <row r="161" spans="1:22" x14ac:dyDescent="0.35">
      <c r="A161">
        <v>159</v>
      </c>
      <c r="B161" s="14">
        <f t="shared" ca="1" si="29"/>
        <v>50907</v>
      </c>
      <c r="C161" s="15">
        <f ca="1">(1+'Dane do harmonogramu'!$D$13*('Roboczy harmonogram_1'!B161-'Roboczy harmonogram_1'!B160)/365)</f>
        <v>1.006</v>
      </c>
      <c r="D161" s="15">
        <f ca="1">(1+'Dane do harmonogramu'!$D$13*('Roboczy harmonogram_1'!B161-'Roboczy harmonogram_1'!B160)/366)</f>
        <v>1.0059836065573771</v>
      </c>
      <c r="E161" s="15">
        <f t="shared" ca="1" si="20"/>
        <v>0</v>
      </c>
      <c r="F161" s="15">
        <f t="shared" ca="1" si="21"/>
        <v>0</v>
      </c>
      <c r="G161">
        <f ca="1">IF(E161=1,(1+'Dane do harmonogramu'!$D$13*((('Roboczy harmonogram_1'!B161-DATE(YEAR(B161),1,1)+1)/365)+((DATE(YEAR(B160),12,31)-'Roboczy harmonogram_1'!B160)/366))),IF(F161=1,(1+'Dane do harmonogramu'!$D$13*((('Roboczy harmonogram_1'!B161-DATE(YEAR(B161),1,1)+1)/366)+((DATE(YEAR(B160),12,31)-'Roboczy harmonogram_1'!B160)/365))),0))</f>
        <v>0</v>
      </c>
      <c r="H161">
        <f t="shared" ca="1" si="22"/>
        <v>0</v>
      </c>
      <c r="I161">
        <f t="shared" ca="1" si="23"/>
        <v>1.006</v>
      </c>
      <c r="J161">
        <f t="shared" ca="1" si="24"/>
        <v>1.006</v>
      </c>
      <c r="K161">
        <f ca="1">PRODUCT($J$3:J161)</f>
        <v>2.6150454940074654</v>
      </c>
      <c r="L161">
        <f t="shared" ca="1" si="25"/>
        <v>0.38240252503887995</v>
      </c>
      <c r="M161">
        <f ca="1">SUM($L$3:L161)</f>
        <v>102.00412702923838</v>
      </c>
      <c r="O161">
        <f t="shared" ca="1" si="26"/>
        <v>-3598.7408743705601</v>
      </c>
      <c r="P161" s="16">
        <f t="shared" ca="1" si="27"/>
        <v>17677.791793824166</v>
      </c>
      <c r="Q161" s="17">
        <f t="shared" ca="1" si="28"/>
        <v>-617467.93752225989</v>
      </c>
      <c r="S161">
        <f>IF(A161&lt;='Dane do harmonogramu'!$D$7,'Roboczy harmonogram_1'!P161,0)</f>
        <v>0</v>
      </c>
      <c r="T161">
        <f>IF(A161&lt;='Dane do harmonogramu'!$D$7,'Roboczy harmonogram_1'!O161,0)</f>
        <v>0</v>
      </c>
      <c r="U161">
        <f>IF(A161&lt;='Dane do harmonogramu'!$D$7,$N$2,0)</f>
        <v>0</v>
      </c>
      <c r="V161" s="16" t="str">
        <f>IF(A160&lt;='Dane do harmonogramu'!$D$7,Q160*0.15%,"")</f>
        <v/>
      </c>
    </row>
    <row r="162" spans="1:22" x14ac:dyDescent="0.35">
      <c r="A162">
        <v>160</v>
      </c>
      <c r="B162" s="14">
        <f t="shared" ca="1" si="29"/>
        <v>50938</v>
      </c>
      <c r="C162" s="15">
        <f ca="1">(1+'Dane do harmonogramu'!$D$13*('Roboczy harmonogram_1'!B162-'Roboczy harmonogram_1'!B161)/365)</f>
        <v>1.0062</v>
      </c>
      <c r="D162" s="15">
        <f ca="1">(1+'Dane do harmonogramu'!$D$13*('Roboczy harmonogram_1'!B162-'Roboczy harmonogram_1'!B161)/366)</f>
        <v>1.0061830601092896</v>
      </c>
      <c r="E162" s="15">
        <f t="shared" ca="1" si="20"/>
        <v>0</v>
      </c>
      <c r="F162" s="15">
        <f t="shared" ca="1" si="21"/>
        <v>0</v>
      </c>
      <c r="G162">
        <f ca="1">IF(E162=1,(1+'Dane do harmonogramu'!$D$13*((('Roboczy harmonogram_1'!B162-DATE(YEAR(B162),1,1)+1)/365)+((DATE(YEAR(B161),12,31)-'Roboczy harmonogram_1'!B161)/366))),IF(F162=1,(1+'Dane do harmonogramu'!$D$13*((('Roboczy harmonogram_1'!B162-DATE(YEAR(B162),1,1)+1)/366)+((DATE(YEAR(B161),12,31)-'Roboczy harmonogram_1'!B161)/365))),0))</f>
        <v>0</v>
      </c>
      <c r="H162">
        <f t="shared" ca="1" si="22"/>
        <v>0</v>
      </c>
      <c r="I162">
        <f t="shared" ca="1" si="23"/>
        <v>1.0062</v>
      </c>
      <c r="J162">
        <f t="shared" ca="1" si="24"/>
        <v>1.0062</v>
      </c>
      <c r="K162">
        <f ca="1">PRODUCT($J$3:J162)</f>
        <v>2.6312587760703119</v>
      </c>
      <c r="L162">
        <f t="shared" ca="1" si="25"/>
        <v>0.38004623836104146</v>
      </c>
      <c r="M162">
        <f ca="1">SUM($L$3:L162)</f>
        <v>102.38417326759942</v>
      </c>
      <c r="O162">
        <f t="shared" ca="1" si="26"/>
        <v>-3828.3012126380345</v>
      </c>
      <c r="P162" s="16">
        <f t="shared" ca="1" si="27"/>
        <v>17907.352132091641</v>
      </c>
      <c r="Q162" s="17">
        <f t="shared" ca="1" si="28"/>
        <v>-635375.28965435154</v>
      </c>
      <c r="S162">
        <f>IF(A162&lt;='Dane do harmonogramu'!$D$7,'Roboczy harmonogram_1'!P162,0)</f>
        <v>0</v>
      </c>
      <c r="T162">
        <f>IF(A162&lt;='Dane do harmonogramu'!$D$7,'Roboczy harmonogram_1'!O162,0)</f>
        <v>0</v>
      </c>
      <c r="U162">
        <f>IF(A162&lt;='Dane do harmonogramu'!$D$7,$N$2,0)</f>
        <v>0</v>
      </c>
      <c r="V162" s="16" t="str">
        <f>IF(A161&lt;='Dane do harmonogramu'!$D$7,Q161*0.15%,"")</f>
        <v/>
      </c>
    </row>
    <row r="163" spans="1:22" x14ac:dyDescent="0.35">
      <c r="A163">
        <v>161</v>
      </c>
      <c r="B163" s="14">
        <f t="shared" ca="1" si="29"/>
        <v>50968</v>
      </c>
      <c r="C163" s="15">
        <f ca="1">(1+'Dane do harmonogramu'!$D$13*('Roboczy harmonogram_1'!B163-'Roboczy harmonogram_1'!B162)/365)</f>
        <v>1.006</v>
      </c>
      <c r="D163" s="15">
        <f ca="1">(1+'Dane do harmonogramu'!$D$13*('Roboczy harmonogram_1'!B163-'Roboczy harmonogram_1'!B162)/366)</f>
        <v>1.0059836065573771</v>
      </c>
      <c r="E163" s="15">
        <f t="shared" ca="1" si="20"/>
        <v>0</v>
      </c>
      <c r="F163" s="15">
        <f t="shared" ca="1" si="21"/>
        <v>0</v>
      </c>
      <c r="G163">
        <f ca="1">IF(E163=1,(1+'Dane do harmonogramu'!$D$13*((('Roboczy harmonogram_1'!B163-DATE(YEAR(B163),1,1)+1)/365)+((DATE(YEAR(B162),12,31)-'Roboczy harmonogram_1'!B162)/366))),IF(F163=1,(1+'Dane do harmonogramu'!$D$13*((('Roboczy harmonogram_1'!B163-DATE(YEAR(B163),1,1)+1)/366)+((DATE(YEAR(B162),12,31)-'Roboczy harmonogram_1'!B162)/365))),0))</f>
        <v>0</v>
      </c>
      <c r="H163">
        <f t="shared" ca="1" si="22"/>
        <v>0</v>
      </c>
      <c r="I163">
        <f t="shared" ca="1" si="23"/>
        <v>1.006</v>
      </c>
      <c r="J163">
        <f t="shared" ca="1" si="24"/>
        <v>1.006</v>
      </c>
      <c r="K163">
        <f ca="1">PRODUCT($J$3:J163)</f>
        <v>2.6470463287267338</v>
      </c>
      <c r="L163">
        <f t="shared" ca="1" si="25"/>
        <v>0.37777956099507104</v>
      </c>
      <c r="M163">
        <f ca="1">SUM($L$3:L163)</f>
        <v>102.76195282859449</v>
      </c>
      <c r="O163">
        <f t="shared" ca="1" si="26"/>
        <v>-3812.2517379261553</v>
      </c>
      <c r="P163" s="16">
        <f t="shared" ca="1" si="27"/>
        <v>17891.302657379762</v>
      </c>
      <c r="Q163" s="17">
        <f t="shared" ca="1" si="28"/>
        <v>-653266.59231173131</v>
      </c>
      <c r="S163">
        <f>IF(A163&lt;='Dane do harmonogramu'!$D$7,'Roboczy harmonogram_1'!P163,0)</f>
        <v>0</v>
      </c>
      <c r="T163">
        <f>IF(A163&lt;='Dane do harmonogramu'!$D$7,'Roboczy harmonogram_1'!O163,0)</f>
        <v>0</v>
      </c>
      <c r="U163">
        <f>IF(A163&lt;='Dane do harmonogramu'!$D$7,$N$2,0)</f>
        <v>0</v>
      </c>
      <c r="V163" s="16" t="str">
        <f>IF(A162&lt;='Dane do harmonogramu'!$D$7,Q162*0.15%,"")</f>
        <v/>
      </c>
    </row>
    <row r="164" spans="1:22" x14ac:dyDescent="0.35">
      <c r="A164">
        <v>162</v>
      </c>
      <c r="B164" s="14">
        <f t="shared" ca="1" si="29"/>
        <v>50999</v>
      </c>
      <c r="C164" s="15">
        <f ca="1">(1+'Dane do harmonogramu'!$D$13*('Roboczy harmonogram_1'!B164-'Roboczy harmonogram_1'!B163)/365)</f>
        <v>1.0062</v>
      </c>
      <c r="D164" s="15">
        <f ca="1">(1+'Dane do harmonogramu'!$D$13*('Roboczy harmonogram_1'!B164-'Roboczy harmonogram_1'!B163)/366)</f>
        <v>1.0061830601092896</v>
      </c>
      <c r="E164" s="15">
        <f t="shared" ca="1" si="20"/>
        <v>0</v>
      </c>
      <c r="F164" s="15">
        <f t="shared" ca="1" si="21"/>
        <v>0</v>
      </c>
      <c r="G164">
        <f ca="1">IF(E164=1,(1+'Dane do harmonogramu'!$D$13*((('Roboczy harmonogram_1'!B164-DATE(YEAR(B164),1,1)+1)/365)+((DATE(YEAR(B163),12,31)-'Roboczy harmonogram_1'!B163)/366))),IF(F164=1,(1+'Dane do harmonogramu'!$D$13*((('Roboczy harmonogram_1'!B164-DATE(YEAR(B164),1,1)+1)/366)+((DATE(YEAR(B163),12,31)-'Roboczy harmonogram_1'!B163)/365))),0))</f>
        <v>0</v>
      </c>
      <c r="H164">
        <f t="shared" ca="1" si="22"/>
        <v>0</v>
      </c>
      <c r="I164">
        <f t="shared" ca="1" si="23"/>
        <v>1.0062</v>
      </c>
      <c r="J164">
        <f t="shared" ca="1" si="24"/>
        <v>1.0062</v>
      </c>
      <c r="K164">
        <f ca="1">PRODUCT($J$3:J164)</f>
        <v>2.6634580159648396</v>
      </c>
      <c r="L164">
        <f t="shared" ca="1" si="25"/>
        <v>0.37545176008255915</v>
      </c>
      <c r="M164">
        <f ca="1">SUM($L$3:L164)</f>
        <v>103.13740458867704</v>
      </c>
      <c r="O164">
        <f t="shared" ca="1" si="26"/>
        <v>-4050.2528723326977</v>
      </c>
      <c r="P164" s="16">
        <f t="shared" ca="1" si="27"/>
        <v>18129.303791786304</v>
      </c>
      <c r="Q164" s="17">
        <f t="shared" ca="1" si="28"/>
        <v>-671395.89610351762</v>
      </c>
      <c r="S164">
        <f>IF(A164&lt;='Dane do harmonogramu'!$D$7,'Roboczy harmonogram_1'!P164,0)</f>
        <v>0</v>
      </c>
      <c r="T164">
        <f>IF(A164&lt;='Dane do harmonogramu'!$D$7,'Roboczy harmonogram_1'!O164,0)</f>
        <v>0</v>
      </c>
      <c r="U164">
        <f>IF(A164&lt;='Dane do harmonogramu'!$D$7,$N$2,0)</f>
        <v>0</v>
      </c>
      <c r="V164" s="16" t="str">
        <f>IF(A163&lt;='Dane do harmonogramu'!$D$7,Q163*0.15%,"")</f>
        <v/>
      </c>
    </row>
    <row r="165" spans="1:22" x14ac:dyDescent="0.35">
      <c r="A165">
        <v>163</v>
      </c>
      <c r="B165" s="14">
        <f t="shared" ca="1" si="29"/>
        <v>51030</v>
      </c>
      <c r="C165" s="15">
        <f ca="1">(1+'Dane do harmonogramu'!$D$13*('Roboczy harmonogram_1'!B165-'Roboczy harmonogram_1'!B164)/365)</f>
        <v>1.0062</v>
      </c>
      <c r="D165" s="15">
        <f ca="1">(1+'Dane do harmonogramu'!$D$13*('Roboczy harmonogram_1'!B165-'Roboczy harmonogram_1'!B164)/366)</f>
        <v>1.0061830601092896</v>
      </c>
      <c r="E165" s="15">
        <f t="shared" ca="1" si="20"/>
        <v>0</v>
      </c>
      <c r="F165" s="15">
        <f t="shared" ca="1" si="21"/>
        <v>0</v>
      </c>
      <c r="G165">
        <f ca="1">IF(E165=1,(1+'Dane do harmonogramu'!$D$13*((('Roboczy harmonogram_1'!B165-DATE(YEAR(B165),1,1)+1)/365)+((DATE(YEAR(B164),12,31)-'Roboczy harmonogram_1'!B164)/366))),IF(F165=1,(1+'Dane do harmonogramu'!$D$13*((('Roboczy harmonogram_1'!B165-DATE(YEAR(B165),1,1)+1)/366)+((DATE(YEAR(B164),12,31)-'Roboczy harmonogram_1'!B164)/365))),0))</f>
        <v>0</v>
      </c>
      <c r="H165">
        <f t="shared" ca="1" si="22"/>
        <v>0</v>
      </c>
      <c r="I165">
        <f t="shared" ca="1" si="23"/>
        <v>1.0062</v>
      </c>
      <c r="J165">
        <f t="shared" ca="1" si="24"/>
        <v>1.0062</v>
      </c>
      <c r="K165">
        <f ca="1">PRODUCT($J$3:J165)</f>
        <v>2.6799714556638214</v>
      </c>
      <c r="L165">
        <f t="shared" ca="1" si="25"/>
        <v>0.37313830260639952</v>
      </c>
      <c r="M165">
        <f ca="1">SUM($L$3:L165)</f>
        <v>103.51054289128345</v>
      </c>
      <c r="O165">
        <f t="shared" ca="1" si="26"/>
        <v>-4162.6545558418147</v>
      </c>
      <c r="P165" s="16">
        <f t="shared" ca="1" si="27"/>
        <v>18241.705475295421</v>
      </c>
      <c r="Q165" s="17">
        <f t="shared" ca="1" si="28"/>
        <v>-689637.60157881305</v>
      </c>
      <c r="S165">
        <f>IF(A165&lt;='Dane do harmonogramu'!$D$7,'Roboczy harmonogram_1'!P165,0)</f>
        <v>0</v>
      </c>
      <c r="T165">
        <f>IF(A165&lt;='Dane do harmonogramu'!$D$7,'Roboczy harmonogram_1'!O165,0)</f>
        <v>0</v>
      </c>
      <c r="U165">
        <f>IF(A165&lt;='Dane do harmonogramu'!$D$7,$N$2,0)</f>
        <v>0</v>
      </c>
      <c r="V165" s="16" t="str">
        <f>IF(A164&lt;='Dane do harmonogramu'!$D$7,Q164*0.15%,"")</f>
        <v/>
      </c>
    </row>
    <row r="166" spans="1:22" x14ac:dyDescent="0.35">
      <c r="A166">
        <v>164</v>
      </c>
      <c r="B166" s="14">
        <f t="shared" ca="1" si="29"/>
        <v>51060</v>
      </c>
      <c r="C166" s="15">
        <f ca="1">(1+'Dane do harmonogramu'!$D$13*('Roboczy harmonogram_1'!B166-'Roboczy harmonogram_1'!B165)/365)</f>
        <v>1.006</v>
      </c>
      <c r="D166" s="15">
        <f ca="1">(1+'Dane do harmonogramu'!$D$13*('Roboczy harmonogram_1'!B166-'Roboczy harmonogram_1'!B165)/366)</f>
        <v>1.0059836065573771</v>
      </c>
      <c r="E166" s="15">
        <f t="shared" ca="1" si="20"/>
        <v>0</v>
      </c>
      <c r="F166" s="15">
        <f t="shared" ca="1" si="21"/>
        <v>0</v>
      </c>
      <c r="G166">
        <f ca="1">IF(E166=1,(1+'Dane do harmonogramu'!$D$13*((('Roboczy harmonogram_1'!B166-DATE(YEAR(B166),1,1)+1)/365)+((DATE(YEAR(B165),12,31)-'Roboczy harmonogram_1'!B165)/366))),IF(F166=1,(1+'Dane do harmonogramu'!$D$13*((('Roboczy harmonogram_1'!B166-DATE(YEAR(B166),1,1)+1)/366)+((DATE(YEAR(B165),12,31)-'Roboczy harmonogram_1'!B165)/365))),0))</f>
        <v>0</v>
      </c>
      <c r="H166">
        <f t="shared" ca="1" si="22"/>
        <v>0</v>
      </c>
      <c r="I166">
        <f t="shared" ca="1" si="23"/>
        <v>1.006</v>
      </c>
      <c r="J166">
        <f t="shared" ca="1" si="24"/>
        <v>1.006</v>
      </c>
      <c r="K166">
        <f ca="1">PRODUCT($J$3:J166)</f>
        <v>2.6960512843978042</v>
      </c>
      <c r="L166">
        <f t="shared" ca="1" si="25"/>
        <v>0.37091282565248462</v>
      </c>
      <c r="M166">
        <f ca="1">SUM($L$3:L166)</f>
        <v>103.88145571693593</v>
      </c>
      <c r="O166">
        <f t="shared" ca="1" si="26"/>
        <v>-4137.8256094729295</v>
      </c>
      <c r="P166" s="16">
        <f t="shared" ca="1" si="27"/>
        <v>18216.876528926536</v>
      </c>
      <c r="Q166" s="17">
        <f t="shared" ca="1" si="28"/>
        <v>-707854.47810773959</v>
      </c>
      <c r="S166">
        <f>IF(A166&lt;='Dane do harmonogramu'!$D$7,'Roboczy harmonogram_1'!P166,0)</f>
        <v>0</v>
      </c>
      <c r="T166">
        <f>IF(A166&lt;='Dane do harmonogramu'!$D$7,'Roboczy harmonogram_1'!O166,0)</f>
        <v>0</v>
      </c>
      <c r="U166">
        <f>IF(A166&lt;='Dane do harmonogramu'!$D$7,$N$2,0)</f>
        <v>0</v>
      </c>
      <c r="V166" s="16" t="str">
        <f>IF(A165&lt;='Dane do harmonogramu'!$D$7,Q165*0.15%,"")</f>
        <v/>
      </c>
    </row>
    <row r="167" spans="1:22" x14ac:dyDescent="0.35">
      <c r="A167">
        <v>165</v>
      </c>
      <c r="B167" s="14">
        <f t="shared" ca="1" si="29"/>
        <v>51091</v>
      </c>
      <c r="C167" s="15">
        <f ca="1">(1+'Dane do harmonogramu'!$D$13*('Roboczy harmonogram_1'!B167-'Roboczy harmonogram_1'!B166)/365)</f>
        <v>1.0062</v>
      </c>
      <c r="D167" s="15">
        <f ca="1">(1+'Dane do harmonogramu'!$D$13*('Roboczy harmonogram_1'!B167-'Roboczy harmonogram_1'!B166)/366)</f>
        <v>1.0061830601092896</v>
      </c>
      <c r="E167" s="15">
        <f t="shared" ca="1" si="20"/>
        <v>0</v>
      </c>
      <c r="F167" s="15">
        <f t="shared" ca="1" si="21"/>
        <v>0</v>
      </c>
      <c r="G167">
        <f ca="1">IF(E167=1,(1+'Dane do harmonogramu'!$D$13*((('Roboczy harmonogram_1'!B167-DATE(YEAR(B167),1,1)+1)/365)+((DATE(YEAR(B166),12,31)-'Roboczy harmonogram_1'!B166)/366))),IF(F167=1,(1+'Dane do harmonogramu'!$D$13*((('Roboczy harmonogram_1'!B167-DATE(YEAR(B167),1,1)+1)/366)+((DATE(YEAR(B166),12,31)-'Roboczy harmonogram_1'!B166)/365))),0))</f>
        <v>0</v>
      </c>
      <c r="H167">
        <f t="shared" ca="1" si="22"/>
        <v>0</v>
      </c>
      <c r="I167">
        <f t="shared" ca="1" si="23"/>
        <v>1.0062</v>
      </c>
      <c r="J167">
        <f t="shared" ca="1" si="24"/>
        <v>1.0062</v>
      </c>
      <c r="K167">
        <f ca="1">PRODUCT($J$3:J167)</f>
        <v>2.7127668023610707</v>
      </c>
      <c r="L167">
        <f t="shared" ca="1" si="25"/>
        <v>0.3686273361682415</v>
      </c>
      <c r="M167">
        <f ca="1">SUM($L$3:L167)</f>
        <v>104.25008305310418</v>
      </c>
      <c r="O167">
        <f t="shared" ca="1" si="26"/>
        <v>-4388.6977642680285</v>
      </c>
      <c r="P167" s="16">
        <f t="shared" ca="1" si="27"/>
        <v>18467.748683721635</v>
      </c>
      <c r="Q167" s="17">
        <f t="shared" ca="1" si="28"/>
        <v>-726322.22679146123</v>
      </c>
      <c r="S167">
        <f>IF(A167&lt;='Dane do harmonogramu'!$D$7,'Roboczy harmonogram_1'!P167,0)</f>
        <v>0</v>
      </c>
      <c r="T167">
        <f>IF(A167&lt;='Dane do harmonogramu'!$D$7,'Roboczy harmonogram_1'!O167,0)</f>
        <v>0</v>
      </c>
      <c r="U167">
        <f>IF(A167&lt;='Dane do harmonogramu'!$D$7,$N$2,0)</f>
        <v>0</v>
      </c>
      <c r="V167" s="16" t="str">
        <f>IF(A166&lt;='Dane do harmonogramu'!$D$7,Q166*0.15%,"")</f>
        <v/>
      </c>
    </row>
    <row r="168" spans="1:22" x14ac:dyDescent="0.35">
      <c r="A168">
        <v>166</v>
      </c>
      <c r="B168" s="14">
        <f t="shared" ca="1" si="29"/>
        <v>51121</v>
      </c>
      <c r="C168" s="15">
        <f ca="1">(1+'Dane do harmonogramu'!$D$13*('Roboczy harmonogram_1'!B168-'Roboczy harmonogram_1'!B167)/365)</f>
        <v>1.006</v>
      </c>
      <c r="D168" s="15">
        <f ca="1">(1+'Dane do harmonogramu'!$D$13*('Roboczy harmonogram_1'!B168-'Roboczy harmonogram_1'!B167)/366)</f>
        <v>1.0059836065573771</v>
      </c>
      <c r="E168" s="15">
        <f t="shared" ca="1" si="20"/>
        <v>0</v>
      </c>
      <c r="F168" s="15">
        <f t="shared" ca="1" si="21"/>
        <v>0</v>
      </c>
      <c r="G168">
        <f ca="1">IF(E168=1,(1+'Dane do harmonogramu'!$D$13*((('Roboczy harmonogram_1'!B168-DATE(YEAR(B168),1,1)+1)/365)+((DATE(YEAR(B167),12,31)-'Roboczy harmonogram_1'!B167)/366))),IF(F168=1,(1+'Dane do harmonogramu'!$D$13*((('Roboczy harmonogram_1'!B168-DATE(YEAR(B168),1,1)+1)/366)+((DATE(YEAR(B167),12,31)-'Roboczy harmonogram_1'!B167)/365))),0))</f>
        <v>0</v>
      </c>
      <c r="H168">
        <f t="shared" ca="1" si="22"/>
        <v>0</v>
      </c>
      <c r="I168">
        <f t="shared" ca="1" si="23"/>
        <v>1.006</v>
      </c>
      <c r="J168">
        <f t="shared" ca="1" si="24"/>
        <v>1.006</v>
      </c>
      <c r="K168">
        <f ca="1">PRODUCT($J$3:J168)</f>
        <v>2.7290434031752371</v>
      </c>
      <c r="L168">
        <f t="shared" ca="1" si="25"/>
        <v>0.36642876358672122</v>
      </c>
      <c r="M168">
        <f ca="1">SUM($L$3:L168)</f>
        <v>104.6165118166909</v>
      </c>
      <c r="O168">
        <f t="shared" ca="1" si="26"/>
        <v>-4357.9333607488079</v>
      </c>
      <c r="P168" s="16">
        <f t="shared" ca="1" si="27"/>
        <v>18436.984280202414</v>
      </c>
      <c r="Q168" s="17">
        <f t="shared" ca="1" si="28"/>
        <v>-744759.21107166365</v>
      </c>
      <c r="S168">
        <f>IF(A168&lt;='Dane do harmonogramu'!$D$7,'Roboczy harmonogram_1'!P168,0)</f>
        <v>0</v>
      </c>
      <c r="T168">
        <f>IF(A168&lt;='Dane do harmonogramu'!$D$7,'Roboczy harmonogram_1'!O168,0)</f>
        <v>0</v>
      </c>
      <c r="U168">
        <f>IF(A168&lt;='Dane do harmonogramu'!$D$7,$N$2,0)</f>
        <v>0</v>
      </c>
      <c r="V168" s="16" t="str">
        <f>IF(A167&lt;='Dane do harmonogramu'!$D$7,Q167*0.15%,"")</f>
        <v/>
      </c>
    </row>
    <row r="169" spans="1:22" x14ac:dyDescent="0.35">
      <c r="A169">
        <v>167</v>
      </c>
      <c r="B169" s="14">
        <f t="shared" ca="1" si="29"/>
        <v>51152</v>
      </c>
      <c r="C169" s="15">
        <f ca="1">(1+'Dane do harmonogramu'!$D$13*('Roboczy harmonogram_1'!B169-'Roboczy harmonogram_1'!B168)/365)</f>
        <v>1.0062</v>
      </c>
      <c r="D169" s="15">
        <f ca="1">(1+'Dane do harmonogramu'!$D$13*('Roboczy harmonogram_1'!B169-'Roboczy harmonogram_1'!B168)/366)</f>
        <v>1.0061830601092896</v>
      </c>
      <c r="E169" s="15">
        <f t="shared" ca="1" si="20"/>
        <v>0</v>
      </c>
      <c r="F169" s="15">
        <f t="shared" ca="1" si="21"/>
        <v>1</v>
      </c>
      <c r="G169">
        <f ca="1">IF(E169=1,(1+'Dane do harmonogramu'!$D$13*((('Roboczy harmonogram_1'!B169-DATE(YEAR(B169),1,1)+1)/365)+((DATE(YEAR(B168),12,31)-'Roboczy harmonogram_1'!B168)/366))),IF(F169=1,(1+'Dane do harmonogramu'!$D$13*((('Roboczy harmonogram_1'!B169-DATE(YEAR(B169),1,1)+1)/366)+((DATE(YEAR(B168),12,31)-'Roboczy harmonogram_1'!B168)/365))),0))</f>
        <v>1.0061907103825136</v>
      </c>
      <c r="H169">
        <f t="shared" ca="1" si="22"/>
        <v>1</v>
      </c>
      <c r="I169">
        <f t="shared" ca="1" si="23"/>
        <v>1.0061830601092896</v>
      </c>
      <c r="J169">
        <f t="shared" ca="1" si="24"/>
        <v>1.0061907103825136</v>
      </c>
      <c r="K169">
        <f ca="1">PRODUCT($J$3:J169)</f>
        <v>2.7459381205056044</v>
      </c>
      <c r="L169">
        <f t="shared" ca="1" si="25"/>
        <v>0.36417426617606075</v>
      </c>
      <c r="M169">
        <f ca="1">SUM($L$3:L169)</f>
        <v>104.98068608286697</v>
      </c>
      <c r="O169">
        <f t="shared" ca="1" si="26"/>
        <v>-4610.5885804540012</v>
      </c>
      <c r="P169" s="16">
        <f t="shared" ca="1" si="27"/>
        <v>18689.639499907607</v>
      </c>
      <c r="Q169" s="17">
        <f t="shared" ca="1" si="28"/>
        <v>-763448.85057157127</v>
      </c>
      <c r="S169">
        <f>IF(A169&lt;='Dane do harmonogramu'!$D$7,'Roboczy harmonogram_1'!P169,0)</f>
        <v>0</v>
      </c>
      <c r="T169">
        <f>IF(A169&lt;='Dane do harmonogramu'!$D$7,'Roboczy harmonogram_1'!O169,0)</f>
        <v>0</v>
      </c>
      <c r="U169">
        <f>IF(A169&lt;='Dane do harmonogramu'!$D$7,$N$2,0)</f>
        <v>0</v>
      </c>
      <c r="V169" s="16" t="str">
        <f>IF(A168&lt;='Dane do harmonogramu'!$D$7,Q168*0.15%,"")</f>
        <v/>
      </c>
    </row>
    <row r="170" spans="1:22" x14ac:dyDescent="0.35">
      <c r="A170">
        <v>168</v>
      </c>
      <c r="B170" s="14">
        <f t="shared" ca="1" si="29"/>
        <v>51183</v>
      </c>
      <c r="C170" s="15">
        <f ca="1">(1+'Dane do harmonogramu'!$D$13*('Roboczy harmonogram_1'!B170-'Roboczy harmonogram_1'!B169)/365)</f>
        <v>1.0062</v>
      </c>
      <c r="D170" s="15">
        <f ca="1">(1+'Dane do harmonogramu'!$D$13*('Roboczy harmonogram_1'!B170-'Roboczy harmonogram_1'!B169)/366)</f>
        <v>1.0061830601092896</v>
      </c>
      <c r="E170" s="15">
        <f t="shared" ca="1" si="20"/>
        <v>0</v>
      </c>
      <c r="F170" s="15">
        <f t="shared" ca="1" si="21"/>
        <v>0</v>
      </c>
      <c r="G170">
        <f ca="1">IF(E170=1,(1+'Dane do harmonogramu'!$D$13*((('Roboczy harmonogram_1'!B170-DATE(YEAR(B170),1,1)+1)/365)+((DATE(YEAR(B169),12,31)-'Roboczy harmonogram_1'!B169)/366))),IF(F170=1,(1+'Dane do harmonogramu'!$D$13*((('Roboczy harmonogram_1'!B170-DATE(YEAR(B170),1,1)+1)/366)+((DATE(YEAR(B169),12,31)-'Roboczy harmonogram_1'!B169)/365))),0))</f>
        <v>0</v>
      </c>
      <c r="H170">
        <f t="shared" ca="1" si="22"/>
        <v>1</v>
      </c>
      <c r="I170">
        <f t="shared" ca="1" si="23"/>
        <v>1.0061830601092896</v>
      </c>
      <c r="J170">
        <f t="shared" ca="1" si="24"/>
        <v>1.0061830601092896</v>
      </c>
      <c r="K170">
        <f ca="1">PRODUCT($J$3:J170)</f>
        <v>2.7629164209610804</v>
      </c>
      <c r="L170">
        <f t="shared" ca="1" si="25"/>
        <v>0.36193639171037612</v>
      </c>
      <c r="M170">
        <f ca="1">SUM($L$3:L170)</f>
        <v>105.34262247457734</v>
      </c>
      <c r="O170">
        <f t="shared" ca="1" si="26"/>
        <v>-4720.4501334520755</v>
      </c>
      <c r="P170" s="16">
        <f t="shared" ca="1" si="27"/>
        <v>18799.501052905682</v>
      </c>
      <c r="Q170" s="17">
        <f t="shared" ca="1" si="28"/>
        <v>-782248.35162447696</v>
      </c>
      <c r="S170">
        <f>IF(A170&lt;='Dane do harmonogramu'!$D$7,'Roboczy harmonogram_1'!P170,0)</f>
        <v>0</v>
      </c>
      <c r="T170">
        <f>IF(A170&lt;='Dane do harmonogramu'!$D$7,'Roboczy harmonogram_1'!O170,0)</f>
        <v>0</v>
      </c>
      <c r="U170">
        <f>IF(A170&lt;='Dane do harmonogramu'!$D$7,$N$2,0)</f>
        <v>0</v>
      </c>
      <c r="V170" s="16" t="str">
        <f>IF(A169&lt;='Dane do harmonogramu'!$D$7,Q169*0.15%,"")</f>
        <v/>
      </c>
    </row>
    <row r="171" spans="1:22" x14ac:dyDescent="0.35">
      <c r="A171">
        <v>169</v>
      </c>
      <c r="B171" s="14">
        <f t="shared" ca="1" si="29"/>
        <v>51212</v>
      </c>
      <c r="C171" s="15">
        <f ca="1">(1+'Dane do harmonogramu'!$D$13*('Roboczy harmonogram_1'!B171-'Roboczy harmonogram_1'!B170)/365)</f>
        <v>1.0058</v>
      </c>
      <c r="D171" s="15">
        <f ca="1">(1+'Dane do harmonogramu'!$D$13*('Roboczy harmonogram_1'!B171-'Roboczy harmonogram_1'!B170)/366)</f>
        <v>1.0057841530054645</v>
      </c>
      <c r="E171" s="15">
        <f t="shared" ca="1" si="20"/>
        <v>0</v>
      </c>
      <c r="F171" s="15">
        <f t="shared" ca="1" si="21"/>
        <v>0</v>
      </c>
      <c r="G171">
        <f ca="1">IF(E171=1,(1+'Dane do harmonogramu'!$D$13*((('Roboczy harmonogram_1'!B171-DATE(YEAR(B171),1,1)+1)/365)+((DATE(YEAR(B170),12,31)-'Roboczy harmonogram_1'!B170)/366))),IF(F171=1,(1+'Dane do harmonogramu'!$D$13*((('Roboczy harmonogram_1'!B171-DATE(YEAR(B171),1,1)+1)/366)+((DATE(YEAR(B170),12,31)-'Roboczy harmonogram_1'!B170)/365))),0))</f>
        <v>0</v>
      </c>
      <c r="H171">
        <f t="shared" ca="1" si="22"/>
        <v>1</v>
      </c>
      <c r="I171">
        <f t="shared" ca="1" si="23"/>
        <v>1.0057841530054645</v>
      </c>
      <c r="J171">
        <f t="shared" ca="1" si="24"/>
        <v>1.0057841530054645</v>
      </c>
      <c r="K171">
        <f ca="1">PRODUCT($J$3:J171)</f>
        <v>2.7788975522812298</v>
      </c>
      <c r="L171">
        <f t="shared" ca="1" si="25"/>
        <v>0.35985493570250121</v>
      </c>
      <c r="M171">
        <f ca="1">SUM($L$3:L171)</f>
        <v>105.70247741027984</v>
      </c>
      <c r="O171">
        <f t="shared" ca="1" si="26"/>
        <v>-4524.6441540684318</v>
      </c>
      <c r="P171" s="16">
        <f t="shared" ca="1" si="27"/>
        <v>18603.695073522038</v>
      </c>
      <c r="Q171" s="17">
        <f t="shared" ca="1" si="28"/>
        <v>-800852.046697999</v>
      </c>
      <c r="S171">
        <f>IF(A171&lt;='Dane do harmonogramu'!$D$7,'Roboczy harmonogram_1'!P171,0)</f>
        <v>0</v>
      </c>
      <c r="T171">
        <f>IF(A171&lt;='Dane do harmonogramu'!$D$7,'Roboczy harmonogram_1'!O171,0)</f>
        <v>0</v>
      </c>
      <c r="U171">
        <f>IF(A171&lt;='Dane do harmonogramu'!$D$7,$N$2,0)</f>
        <v>0</v>
      </c>
      <c r="V171" s="16" t="str">
        <f>IF(A170&lt;='Dane do harmonogramu'!$D$7,Q170*0.15%,"")</f>
        <v/>
      </c>
    </row>
    <row r="172" spans="1:22" x14ac:dyDescent="0.35">
      <c r="A172">
        <v>170</v>
      </c>
      <c r="B172" s="14">
        <f t="shared" ca="1" si="29"/>
        <v>51243</v>
      </c>
      <c r="C172" s="15">
        <f ca="1">(1+'Dane do harmonogramu'!$D$13*('Roboczy harmonogram_1'!B172-'Roboczy harmonogram_1'!B171)/365)</f>
        <v>1.0062</v>
      </c>
      <c r="D172" s="15">
        <f ca="1">(1+'Dane do harmonogramu'!$D$13*('Roboczy harmonogram_1'!B172-'Roboczy harmonogram_1'!B171)/366)</f>
        <v>1.0061830601092896</v>
      </c>
      <c r="E172" s="15">
        <f t="shared" ca="1" si="20"/>
        <v>0</v>
      </c>
      <c r="F172" s="15">
        <f t="shared" ca="1" si="21"/>
        <v>0</v>
      </c>
      <c r="G172">
        <f ca="1">IF(E172=1,(1+'Dane do harmonogramu'!$D$13*((('Roboczy harmonogram_1'!B172-DATE(YEAR(B172),1,1)+1)/365)+((DATE(YEAR(B171),12,31)-'Roboczy harmonogram_1'!B171)/366))),IF(F172=1,(1+'Dane do harmonogramu'!$D$13*((('Roboczy harmonogram_1'!B172-DATE(YEAR(B172),1,1)+1)/366)+((DATE(YEAR(B171),12,31)-'Roboczy harmonogram_1'!B171)/365))),0))</f>
        <v>0</v>
      </c>
      <c r="H172">
        <f t="shared" ca="1" si="22"/>
        <v>1</v>
      </c>
      <c r="I172">
        <f t="shared" ca="1" si="23"/>
        <v>1.0061830601092896</v>
      </c>
      <c r="J172">
        <f t="shared" ca="1" si="24"/>
        <v>1.0061830601092896</v>
      </c>
      <c r="K172">
        <f ca="1">PRODUCT($J$3:J172)</f>
        <v>2.7960796428845422</v>
      </c>
      <c r="L172">
        <f t="shared" ca="1" si="25"/>
        <v>0.3576436038024875</v>
      </c>
      <c r="M172">
        <f ca="1">SUM($L$3:L172)</f>
        <v>106.06012101408233</v>
      </c>
      <c r="O172">
        <f t="shared" ca="1" si="26"/>
        <v>-4951.7163433813257</v>
      </c>
      <c r="P172" s="16">
        <f t="shared" ca="1" si="27"/>
        <v>19030.767262834932</v>
      </c>
      <c r="Q172" s="17">
        <f t="shared" ca="1" si="28"/>
        <v>-819882.81396083394</v>
      </c>
      <c r="S172">
        <f>IF(A172&lt;='Dane do harmonogramu'!$D$7,'Roboczy harmonogram_1'!P172,0)</f>
        <v>0</v>
      </c>
      <c r="T172">
        <f>IF(A172&lt;='Dane do harmonogramu'!$D$7,'Roboczy harmonogram_1'!O172,0)</f>
        <v>0</v>
      </c>
      <c r="U172">
        <f>IF(A172&lt;='Dane do harmonogramu'!$D$7,$N$2,0)</f>
        <v>0</v>
      </c>
      <c r="V172" s="16" t="str">
        <f>IF(A171&lt;='Dane do harmonogramu'!$D$7,Q171*0.15%,"")</f>
        <v/>
      </c>
    </row>
    <row r="173" spans="1:22" x14ac:dyDescent="0.35">
      <c r="A173">
        <v>171</v>
      </c>
      <c r="B173" s="14">
        <f t="shared" ca="1" si="29"/>
        <v>51273</v>
      </c>
      <c r="C173" s="15">
        <f ca="1">(1+'Dane do harmonogramu'!$D$13*('Roboczy harmonogram_1'!B173-'Roboczy harmonogram_1'!B172)/365)</f>
        <v>1.006</v>
      </c>
      <c r="D173" s="15">
        <f ca="1">(1+'Dane do harmonogramu'!$D$13*('Roboczy harmonogram_1'!B173-'Roboczy harmonogram_1'!B172)/366)</f>
        <v>1.0059836065573771</v>
      </c>
      <c r="E173" s="15">
        <f t="shared" ca="1" si="20"/>
        <v>0</v>
      </c>
      <c r="F173" s="15">
        <f t="shared" ca="1" si="21"/>
        <v>0</v>
      </c>
      <c r="G173">
        <f ca="1">IF(E173=1,(1+'Dane do harmonogramu'!$D$13*((('Roboczy harmonogram_1'!B173-DATE(YEAR(B173),1,1)+1)/365)+((DATE(YEAR(B172),12,31)-'Roboczy harmonogram_1'!B172)/366))),IF(F173=1,(1+'Dane do harmonogramu'!$D$13*((('Roboczy harmonogram_1'!B173-DATE(YEAR(B173),1,1)+1)/366)+((DATE(YEAR(B172),12,31)-'Roboczy harmonogram_1'!B172)/365))),0))</f>
        <v>0</v>
      </c>
      <c r="H173">
        <f t="shared" ca="1" si="22"/>
        <v>1</v>
      </c>
      <c r="I173">
        <f t="shared" ca="1" si="23"/>
        <v>1.0059836065573771</v>
      </c>
      <c r="J173">
        <f t="shared" ca="1" si="24"/>
        <v>1.0059836065573771</v>
      </c>
      <c r="K173">
        <f ca="1">PRODUCT($J$3:J173)</f>
        <v>2.8128102833706548</v>
      </c>
      <c r="L173">
        <f t="shared" ca="1" si="25"/>
        <v>0.35551633393549642</v>
      </c>
      <c r="M173">
        <f ca="1">SUM($L$3:L173)</f>
        <v>106.41563734801782</v>
      </c>
      <c r="O173">
        <f t="shared" ca="1" si="26"/>
        <v>-4905.8561818967573</v>
      </c>
      <c r="P173" s="16">
        <f t="shared" ca="1" si="27"/>
        <v>18984.907101350364</v>
      </c>
      <c r="Q173" s="17">
        <f t="shared" ca="1" si="28"/>
        <v>-838867.72106218431</v>
      </c>
      <c r="S173">
        <f>IF(A173&lt;='Dane do harmonogramu'!$D$7,'Roboczy harmonogram_1'!P173,0)</f>
        <v>0</v>
      </c>
      <c r="T173">
        <f>IF(A173&lt;='Dane do harmonogramu'!$D$7,'Roboczy harmonogram_1'!O173,0)</f>
        <v>0</v>
      </c>
      <c r="U173">
        <f>IF(A173&lt;='Dane do harmonogramu'!$D$7,$N$2,0)</f>
        <v>0</v>
      </c>
      <c r="V173" s="16" t="str">
        <f>IF(A172&lt;='Dane do harmonogramu'!$D$7,Q172*0.15%,"")</f>
        <v/>
      </c>
    </row>
    <row r="174" spans="1:22" x14ac:dyDescent="0.35">
      <c r="A174">
        <v>172</v>
      </c>
      <c r="B174" s="14">
        <f t="shared" ca="1" si="29"/>
        <v>51304</v>
      </c>
      <c r="C174" s="15">
        <f ca="1">(1+'Dane do harmonogramu'!$D$13*('Roboczy harmonogram_1'!B174-'Roboczy harmonogram_1'!B173)/365)</f>
        <v>1.0062</v>
      </c>
      <c r="D174" s="15">
        <f ca="1">(1+'Dane do harmonogramu'!$D$13*('Roboczy harmonogram_1'!B174-'Roboczy harmonogram_1'!B173)/366)</f>
        <v>1.0061830601092896</v>
      </c>
      <c r="E174" s="15">
        <f t="shared" ca="1" si="20"/>
        <v>0</v>
      </c>
      <c r="F174" s="15">
        <f t="shared" ca="1" si="21"/>
        <v>0</v>
      </c>
      <c r="G174">
        <f ca="1">IF(E174=1,(1+'Dane do harmonogramu'!$D$13*((('Roboczy harmonogram_1'!B174-DATE(YEAR(B174),1,1)+1)/365)+((DATE(YEAR(B173),12,31)-'Roboczy harmonogram_1'!B173)/366))),IF(F174=1,(1+'Dane do harmonogramu'!$D$13*((('Roboczy harmonogram_1'!B174-DATE(YEAR(B174),1,1)+1)/366)+((DATE(YEAR(B173),12,31)-'Roboczy harmonogram_1'!B173)/365))),0))</f>
        <v>0</v>
      </c>
      <c r="H174">
        <f t="shared" ca="1" si="22"/>
        <v>1</v>
      </c>
      <c r="I174">
        <f t="shared" ca="1" si="23"/>
        <v>1.0061830601092896</v>
      </c>
      <c r="J174">
        <f t="shared" ca="1" si="24"/>
        <v>1.0061830601092896</v>
      </c>
      <c r="K174">
        <f ca="1">PRODUCT($J$3:J174)</f>
        <v>2.8302020584287635</v>
      </c>
      <c r="L174">
        <f t="shared" ca="1" si="25"/>
        <v>0.35333166302450064</v>
      </c>
      <c r="M174">
        <f ca="1">SUM($L$3:L174)</f>
        <v>106.76896901104233</v>
      </c>
      <c r="O174">
        <f t="shared" ca="1" si="26"/>
        <v>-5186.7695430702297</v>
      </c>
      <c r="P174" s="16">
        <f t="shared" ca="1" si="27"/>
        <v>19265.820462523836</v>
      </c>
      <c r="Q174" s="17">
        <f t="shared" ca="1" si="28"/>
        <v>-858133.54152470815</v>
      </c>
      <c r="S174">
        <f>IF(A174&lt;='Dane do harmonogramu'!$D$7,'Roboczy harmonogram_1'!P174,0)</f>
        <v>0</v>
      </c>
      <c r="T174">
        <f>IF(A174&lt;='Dane do harmonogramu'!$D$7,'Roboczy harmonogram_1'!O174,0)</f>
        <v>0</v>
      </c>
      <c r="U174">
        <f>IF(A174&lt;='Dane do harmonogramu'!$D$7,$N$2,0)</f>
        <v>0</v>
      </c>
      <c r="V174" s="16" t="str">
        <f>IF(A173&lt;='Dane do harmonogramu'!$D$7,Q173*0.15%,"")</f>
        <v/>
      </c>
    </row>
    <row r="175" spans="1:22" x14ac:dyDescent="0.35">
      <c r="A175">
        <v>173</v>
      </c>
      <c r="B175" s="14">
        <f t="shared" ca="1" si="29"/>
        <v>51334</v>
      </c>
      <c r="C175" s="15">
        <f ca="1">(1+'Dane do harmonogramu'!$D$13*('Roboczy harmonogram_1'!B175-'Roboczy harmonogram_1'!B174)/365)</f>
        <v>1.006</v>
      </c>
      <c r="D175" s="15">
        <f ca="1">(1+'Dane do harmonogramu'!$D$13*('Roboczy harmonogram_1'!B175-'Roboczy harmonogram_1'!B174)/366)</f>
        <v>1.0059836065573771</v>
      </c>
      <c r="E175" s="15">
        <f t="shared" ca="1" si="20"/>
        <v>0</v>
      </c>
      <c r="F175" s="15">
        <f t="shared" ca="1" si="21"/>
        <v>0</v>
      </c>
      <c r="G175">
        <f ca="1">IF(E175=1,(1+'Dane do harmonogramu'!$D$13*((('Roboczy harmonogram_1'!B175-DATE(YEAR(B175),1,1)+1)/365)+((DATE(YEAR(B174),12,31)-'Roboczy harmonogram_1'!B174)/366))),IF(F175=1,(1+'Dane do harmonogramu'!$D$13*((('Roboczy harmonogram_1'!B175-DATE(YEAR(B175),1,1)+1)/366)+((DATE(YEAR(B174),12,31)-'Roboczy harmonogram_1'!B174)/365))),0))</f>
        <v>0</v>
      </c>
      <c r="H175">
        <f t="shared" ca="1" si="22"/>
        <v>1</v>
      </c>
      <c r="I175">
        <f t="shared" ca="1" si="23"/>
        <v>1.0059836065573771</v>
      </c>
      <c r="J175">
        <f t="shared" ca="1" si="24"/>
        <v>1.0059836065573771</v>
      </c>
      <c r="K175">
        <f ca="1">PRODUCT($J$3:J175)</f>
        <v>2.84713687402428</v>
      </c>
      <c r="L175">
        <f t="shared" ca="1" si="25"/>
        <v>0.35123004065011881</v>
      </c>
      <c r="M175">
        <f ca="1">SUM($L$3:L175)</f>
        <v>107.12019905169245</v>
      </c>
      <c r="O175">
        <f t="shared" ca="1" si="26"/>
        <v>-5134.7334861723939</v>
      </c>
      <c r="P175" s="16">
        <f t="shared" ca="1" si="27"/>
        <v>19213.784405626</v>
      </c>
      <c r="Q175" s="17">
        <f t="shared" ca="1" si="28"/>
        <v>-877347.32593033416</v>
      </c>
      <c r="S175">
        <f>IF(A175&lt;='Dane do harmonogramu'!$D$7,'Roboczy harmonogram_1'!P175,0)</f>
        <v>0</v>
      </c>
      <c r="T175">
        <f>IF(A175&lt;='Dane do harmonogramu'!$D$7,'Roboczy harmonogram_1'!O175,0)</f>
        <v>0</v>
      </c>
      <c r="U175">
        <f>IF(A175&lt;='Dane do harmonogramu'!$D$7,$N$2,0)</f>
        <v>0</v>
      </c>
      <c r="V175" s="16" t="str">
        <f>IF(A174&lt;='Dane do harmonogramu'!$D$7,Q174*0.15%,"")</f>
        <v/>
      </c>
    </row>
    <row r="176" spans="1:22" x14ac:dyDescent="0.35">
      <c r="A176">
        <v>174</v>
      </c>
      <c r="B176" s="14">
        <f t="shared" ca="1" si="29"/>
        <v>51365</v>
      </c>
      <c r="C176" s="15">
        <f ca="1">(1+'Dane do harmonogramu'!$D$13*('Roboczy harmonogram_1'!B176-'Roboczy harmonogram_1'!B175)/365)</f>
        <v>1.0062</v>
      </c>
      <c r="D176" s="15">
        <f ca="1">(1+'Dane do harmonogramu'!$D$13*('Roboczy harmonogram_1'!B176-'Roboczy harmonogram_1'!B175)/366)</f>
        <v>1.0061830601092896</v>
      </c>
      <c r="E176" s="15">
        <f t="shared" ca="1" si="20"/>
        <v>0</v>
      </c>
      <c r="F176" s="15">
        <f t="shared" ca="1" si="21"/>
        <v>0</v>
      </c>
      <c r="G176">
        <f ca="1">IF(E176=1,(1+'Dane do harmonogramu'!$D$13*((('Roboczy harmonogram_1'!B176-DATE(YEAR(B176),1,1)+1)/365)+((DATE(YEAR(B175),12,31)-'Roboczy harmonogram_1'!B175)/366))),IF(F176=1,(1+'Dane do harmonogramu'!$D$13*((('Roboczy harmonogram_1'!B176-DATE(YEAR(B176),1,1)+1)/366)+((DATE(YEAR(B175),12,31)-'Roboczy harmonogram_1'!B175)/365))),0))</f>
        <v>0</v>
      </c>
      <c r="H176">
        <f t="shared" ca="1" si="22"/>
        <v>1</v>
      </c>
      <c r="I176">
        <f t="shared" ca="1" si="23"/>
        <v>1.0061830601092896</v>
      </c>
      <c r="J176">
        <f t="shared" ca="1" si="24"/>
        <v>1.0061830601092896</v>
      </c>
      <c r="K176">
        <f ca="1">PRODUCT($J$3:J176)</f>
        <v>2.8647408924557469</v>
      </c>
      <c r="L176">
        <f t="shared" ca="1" si="25"/>
        <v>0.34907170928913162</v>
      </c>
      <c r="M176">
        <f ca="1">SUM($L$3:L176)</f>
        <v>107.46927076098159</v>
      </c>
      <c r="O176">
        <f t="shared" ca="1" si="26"/>
        <v>-5424.6912529517431</v>
      </c>
      <c r="P176" s="16">
        <f t="shared" ca="1" si="27"/>
        <v>19503.742172405349</v>
      </c>
      <c r="Q176" s="17">
        <f t="shared" ca="1" si="28"/>
        <v>-896851.06810273952</v>
      </c>
      <c r="S176">
        <f>IF(A176&lt;='Dane do harmonogramu'!$D$7,'Roboczy harmonogram_1'!P176,0)</f>
        <v>0</v>
      </c>
      <c r="T176">
        <f>IF(A176&lt;='Dane do harmonogramu'!$D$7,'Roboczy harmonogram_1'!O176,0)</f>
        <v>0</v>
      </c>
      <c r="U176">
        <f>IF(A176&lt;='Dane do harmonogramu'!$D$7,$N$2,0)</f>
        <v>0</v>
      </c>
      <c r="V176" s="16" t="str">
        <f>IF(A175&lt;='Dane do harmonogramu'!$D$7,Q175*0.15%,"")</f>
        <v/>
      </c>
    </row>
    <row r="177" spans="1:22" x14ac:dyDescent="0.35">
      <c r="A177">
        <v>175</v>
      </c>
      <c r="B177" s="14">
        <f t="shared" ca="1" si="29"/>
        <v>51396</v>
      </c>
      <c r="C177" s="15">
        <f ca="1">(1+'Dane do harmonogramu'!$D$13*('Roboczy harmonogram_1'!B177-'Roboczy harmonogram_1'!B176)/365)</f>
        <v>1.0062</v>
      </c>
      <c r="D177" s="15">
        <f ca="1">(1+'Dane do harmonogramu'!$D$13*('Roboczy harmonogram_1'!B177-'Roboczy harmonogram_1'!B176)/366)</f>
        <v>1.0061830601092896</v>
      </c>
      <c r="E177" s="15">
        <f t="shared" ca="1" si="20"/>
        <v>0</v>
      </c>
      <c r="F177" s="15">
        <f t="shared" ca="1" si="21"/>
        <v>0</v>
      </c>
      <c r="G177">
        <f ca="1">IF(E177=1,(1+'Dane do harmonogramu'!$D$13*((('Roboczy harmonogram_1'!B177-DATE(YEAR(B177),1,1)+1)/365)+((DATE(YEAR(B176),12,31)-'Roboczy harmonogram_1'!B176)/366))),IF(F177=1,(1+'Dane do harmonogramu'!$D$13*((('Roboczy harmonogram_1'!B177-DATE(YEAR(B177),1,1)+1)/366)+((DATE(YEAR(B176),12,31)-'Roboczy harmonogram_1'!B176)/365))),0))</f>
        <v>0</v>
      </c>
      <c r="H177">
        <f t="shared" ca="1" si="22"/>
        <v>1</v>
      </c>
      <c r="I177">
        <f t="shared" ca="1" si="23"/>
        <v>1.0061830601092896</v>
      </c>
      <c r="J177">
        <f t="shared" ca="1" si="24"/>
        <v>1.0061830601092896</v>
      </c>
      <c r="K177">
        <f ca="1">PRODUCT($J$3:J177)</f>
        <v>2.8824537575913407</v>
      </c>
      <c r="L177">
        <f t="shared" ca="1" si="25"/>
        <v>0.34692664101422677</v>
      </c>
      <c r="M177">
        <f ca="1">SUM($L$3:L177)</f>
        <v>107.81619740199581</v>
      </c>
      <c r="O177">
        <f t="shared" ca="1" si="26"/>
        <v>-5545.2840631598374</v>
      </c>
      <c r="P177" s="16">
        <f t="shared" ca="1" si="27"/>
        <v>19624.334982613444</v>
      </c>
      <c r="Q177" s="17">
        <f t="shared" ca="1" si="28"/>
        <v>-916475.40308535297</v>
      </c>
      <c r="S177">
        <f>IF(A177&lt;='Dane do harmonogramu'!$D$7,'Roboczy harmonogram_1'!P177,0)</f>
        <v>0</v>
      </c>
      <c r="T177">
        <f>IF(A177&lt;='Dane do harmonogramu'!$D$7,'Roboczy harmonogram_1'!O177,0)</f>
        <v>0</v>
      </c>
      <c r="U177">
        <f>IF(A177&lt;='Dane do harmonogramu'!$D$7,$N$2,0)</f>
        <v>0</v>
      </c>
      <c r="V177" s="16" t="str">
        <f>IF(A176&lt;='Dane do harmonogramu'!$D$7,Q176*0.15%,"")</f>
        <v/>
      </c>
    </row>
    <row r="178" spans="1:22" x14ac:dyDescent="0.35">
      <c r="A178">
        <v>176</v>
      </c>
      <c r="B178" s="14">
        <f t="shared" ca="1" si="29"/>
        <v>51426</v>
      </c>
      <c r="C178" s="15">
        <f ca="1">(1+'Dane do harmonogramu'!$D$13*('Roboczy harmonogram_1'!B178-'Roboczy harmonogram_1'!B177)/365)</f>
        <v>1.006</v>
      </c>
      <c r="D178" s="15">
        <f ca="1">(1+'Dane do harmonogramu'!$D$13*('Roboczy harmonogram_1'!B178-'Roboczy harmonogram_1'!B177)/366)</f>
        <v>1.0059836065573771</v>
      </c>
      <c r="E178" s="15">
        <f t="shared" ca="1" si="20"/>
        <v>0</v>
      </c>
      <c r="F178" s="15">
        <f t="shared" ca="1" si="21"/>
        <v>0</v>
      </c>
      <c r="G178">
        <f ca="1">IF(E178=1,(1+'Dane do harmonogramu'!$D$13*((('Roboczy harmonogram_1'!B178-DATE(YEAR(B178),1,1)+1)/365)+((DATE(YEAR(B177),12,31)-'Roboczy harmonogram_1'!B177)/366))),IF(F178=1,(1+'Dane do harmonogramu'!$D$13*((('Roboczy harmonogram_1'!B178-DATE(YEAR(B178),1,1)+1)/366)+((DATE(YEAR(B177),12,31)-'Roboczy harmonogram_1'!B177)/365))),0))</f>
        <v>0</v>
      </c>
      <c r="H178">
        <f t="shared" ca="1" si="22"/>
        <v>1</v>
      </c>
      <c r="I178">
        <f t="shared" ca="1" si="23"/>
        <v>1.0059836065573771</v>
      </c>
      <c r="J178">
        <f t="shared" ca="1" si="24"/>
        <v>1.0059836065573771</v>
      </c>
      <c r="K178">
        <f ca="1">PRODUCT($J$3:J178)</f>
        <v>2.8997012267966005</v>
      </c>
      <c r="L178">
        <f t="shared" ca="1" si="25"/>
        <v>0.34486311581305029</v>
      </c>
      <c r="M178">
        <f ca="1">SUM($L$3:L178)</f>
        <v>108.16106051780886</v>
      </c>
      <c r="O178">
        <f t="shared" ca="1" si="26"/>
        <v>-5483.8282315762481</v>
      </c>
      <c r="P178" s="16">
        <f t="shared" ca="1" si="27"/>
        <v>19562.879151029854</v>
      </c>
      <c r="Q178" s="17">
        <f t="shared" ca="1" si="28"/>
        <v>-936038.28223638283</v>
      </c>
      <c r="S178">
        <f>IF(A178&lt;='Dane do harmonogramu'!$D$7,'Roboczy harmonogram_1'!P178,0)</f>
        <v>0</v>
      </c>
      <c r="T178">
        <f>IF(A178&lt;='Dane do harmonogramu'!$D$7,'Roboczy harmonogram_1'!O178,0)</f>
        <v>0</v>
      </c>
      <c r="U178">
        <f>IF(A178&lt;='Dane do harmonogramu'!$D$7,$N$2,0)</f>
        <v>0</v>
      </c>
      <c r="V178" s="16" t="str">
        <f>IF(A177&lt;='Dane do harmonogramu'!$D$7,Q177*0.15%,"")</f>
        <v/>
      </c>
    </row>
    <row r="179" spans="1:22" x14ac:dyDescent="0.35">
      <c r="A179">
        <v>177</v>
      </c>
      <c r="B179" s="14">
        <f t="shared" ca="1" si="29"/>
        <v>51457</v>
      </c>
      <c r="C179" s="15">
        <f ca="1">(1+'Dane do harmonogramu'!$D$13*('Roboczy harmonogram_1'!B179-'Roboczy harmonogram_1'!B178)/365)</f>
        <v>1.0062</v>
      </c>
      <c r="D179" s="15">
        <f ca="1">(1+'Dane do harmonogramu'!$D$13*('Roboczy harmonogram_1'!B179-'Roboczy harmonogram_1'!B178)/366)</f>
        <v>1.0061830601092896</v>
      </c>
      <c r="E179" s="15">
        <f t="shared" ca="1" si="20"/>
        <v>0</v>
      </c>
      <c r="F179" s="15">
        <f t="shared" ca="1" si="21"/>
        <v>0</v>
      </c>
      <c r="G179">
        <f ca="1">IF(E179=1,(1+'Dane do harmonogramu'!$D$13*((('Roboczy harmonogram_1'!B179-DATE(YEAR(B179),1,1)+1)/365)+((DATE(YEAR(B178),12,31)-'Roboczy harmonogram_1'!B178)/366))),IF(F179=1,(1+'Dane do harmonogramu'!$D$13*((('Roboczy harmonogram_1'!B179-DATE(YEAR(B179),1,1)+1)/366)+((DATE(YEAR(B178),12,31)-'Roboczy harmonogram_1'!B178)/365))),0))</f>
        <v>0</v>
      </c>
      <c r="H179">
        <f t="shared" ca="1" si="22"/>
        <v>1</v>
      </c>
      <c r="I179">
        <f t="shared" ca="1" si="23"/>
        <v>1.0061830601092896</v>
      </c>
      <c r="J179">
        <f t="shared" ca="1" si="24"/>
        <v>1.0061830601092896</v>
      </c>
      <c r="K179">
        <f ca="1">PRODUCT($J$3:J179)</f>
        <v>2.9176302537808647</v>
      </c>
      <c r="L179">
        <f t="shared" ca="1" si="25"/>
        <v>0.34274390961779055</v>
      </c>
      <c r="M179">
        <f ca="1">SUM($L$3:L179)</f>
        <v>108.50380442742666</v>
      </c>
      <c r="O179">
        <f t="shared" ca="1" si="26"/>
        <v>-5787.5809636637568</v>
      </c>
      <c r="P179" s="16">
        <f t="shared" ca="1" si="27"/>
        <v>19866.631883117363</v>
      </c>
      <c r="Q179" s="17">
        <f t="shared" ca="1" si="28"/>
        <v>-955904.9141195002</v>
      </c>
      <c r="S179">
        <f>IF(A179&lt;='Dane do harmonogramu'!$D$7,'Roboczy harmonogram_1'!P179,0)</f>
        <v>0</v>
      </c>
      <c r="T179">
        <f>IF(A179&lt;='Dane do harmonogramu'!$D$7,'Roboczy harmonogram_1'!O179,0)</f>
        <v>0</v>
      </c>
      <c r="U179">
        <f>IF(A179&lt;='Dane do harmonogramu'!$D$7,$N$2,0)</f>
        <v>0</v>
      </c>
      <c r="V179" s="16" t="str">
        <f>IF(A178&lt;='Dane do harmonogramu'!$D$7,Q178*0.15%,"")</f>
        <v/>
      </c>
    </row>
    <row r="180" spans="1:22" x14ac:dyDescent="0.35">
      <c r="A180">
        <v>178</v>
      </c>
      <c r="B180" s="14">
        <f t="shared" ca="1" si="29"/>
        <v>51487</v>
      </c>
      <c r="C180" s="15">
        <f ca="1">(1+'Dane do harmonogramu'!$D$13*('Roboczy harmonogram_1'!B180-'Roboczy harmonogram_1'!B179)/365)</f>
        <v>1.006</v>
      </c>
      <c r="D180" s="15">
        <f ca="1">(1+'Dane do harmonogramu'!$D$13*('Roboczy harmonogram_1'!B180-'Roboczy harmonogram_1'!B179)/366)</f>
        <v>1.0059836065573771</v>
      </c>
      <c r="E180" s="15">
        <f t="shared" ca="1" si="20"/>
        <v>0</v>
      </c>
      <c r="F180" s="15">
        <f t="shared" ca="1" si="21"/>
        <v>0</v>
      </c>
      <c r="G180">
        <f ca="1">IF(E180=1,(1+'Dane do harmonogramu'!$D$13*((('Roboczy harmonogram_1'!B180-DATE(YEAR(B180),1,1)+1)/365)+((DATE(YEAR(B179),12,31)-'Roboczy harmonogram_1'!B179)/366))),IF(F180=1,(1+'Dane do harmonogramu'!$D$13*((('Roboczy harmonogram_1'!B180-DATE(YEAR(B180),1,1)+1)/366)+((DATE(YEAR(B179),12,31)-'Roboczy harmonogram_1'!B179)/365))),0))</f>
        <v>0</v>
      </c>
      <c r="H180">
        <f t="shared" ca="1" si="22"/>
        <v>1</v>
      </c>
      <c r="I180">
        <f t="shared" ca="1" si="23"/>
        <v>1.0059836065573771</v>
      </c>
      <c r="J180">
        <f t="shared" ca="1" si="24"/>
        <v>1.0059836065573771</v>
      </c>
      <c r="K180">
        <f ca="1">PRODUCT($J$3:J180)</f>
        <v>2.9350882052993894</v>
      </c>
      <c r="L180">
        <f t="shared" ca="1" si="25"/>
        <v>0.34070526336975843</v>
      </c>
      <c r="M180">
        <f ca="1">SUM($L$3:L180)</f>
        <v>108.84450969079641</v>
      </c>
      <c r="O180">
        <f t="shared" ca="1" si="26"/>
        <v>-5719.7589123543585</v>
      </c>
      <c r="P180" s="16">
        <f t="shared" ca="1" si="27"/>
        <v>19798.809831807965</v>
      </c>
      <c r="Q180" s="17">
        <f t="shared" ca="1" si="28"/>
        <v>-975703.72395130817</v>
      </c>
      <c r="S180">
        <f>IF(A180&lt;='Dane do harmonogramu'!$D$7,'Roboczy harmonogram_1'!P180,0)</f>
        <v>0</v>
      </c>
      <c r="T180">
        <f>IF(A180&lt;='Dane do harmonogramu'!$D$7,'Roboczy harmonogram_1'!O180,0)</f>
        <v>0</v>
      </c>
      <c r="U180">
        <f>IF(A180&lt;='Dane do harmonogramu'!$D$7,$N$2,0)</f>
        <v>0</v>
      </c>
      <c r="V180" s="16" t="str">
        <f>IF(A179&lt;='Dane do harmonogramu'!$D$7,Q179*0.15%,"")</f>
        <v/>
      </c>
    </row>
    <row r="181" spans="1:22" x14ac:dyDescent="0.35">
      <c r="A181">
        <v>179</v>
      </c>
      <c r="B181" s="14">
        <f t="shared" ca="1" si="29"/>
        <v>51518</v>
      </c>
      <c r="C181" s="15">
        <f ca="1">(1+'Dane do harmonogramu'!$D$13*('Roboczy harmonogram_1'!B181-'Roboczy harmonogram_1'!B180)/365)</f>
        <v>1.0062</v>
      </c>
      <c r="D181" s="15">
        <f ca="1">(1+'Dane do harmonogramu'!$D$13*('Roboczy harmonogram_1'!B181-'Roboczy harmonogram_1'!B180)/366)</f>
        <v>1.0061830601092896</v>
      </c>
      <c r="E181" s="15">
        <f t="shared" ca="1" si="20"/>
        <v>1</v>
      </c>
      <c r="F181" s="15">
        <f t="shared" ca="1" si="21"/>
        <v>0</v>
      </c>
      <c r="G181">
        <f ca="1">IF(E181=1,(1+'Dane do harmonogramu'!$D$13*((('Roboczy harmonogram_1'!B181-DATE(YEAR(B181),1,1)+1)/365)+((DATE(YEAR(B180),12,31)-'Roboczy harmonogram_1'!B180)/366))),IF(F181=1,(1+'Dane do harmonogramu'!$D$13*((('Roboczy harmonogram_1'!B181-DATE(YEAR(B181),1,1)+1)/366)+((DATE(YEAR(B180),12,31)-'Roboczy harmonogram_1'!B180)/365))),0))</f>
        <v>1.006192349726776</v>
      </c>
      <c r="H181">
        <f t="shared" ca="1" si="22"/>
        <v>0</v>
      </c>
      <c r="I181">
        <f t="shared" ca="1" si="23"/>
        <v>1.0062</v>
      </c>
      <c r="J181">
        <f t="shared" ca="1" si="24"/>
        <v>1.006192349726776</v>
      </c>
      <c r="K181">
        <f ca="1">PRODUCT($J$3:J181)</f>
        <v>2.9532632979455382</v>
      </c>
      <c r="L181">
        <f t="shared" ca="1" si="25"/>
        <v>0.33860848123350812</v>
      </c>
      <c r="M181">
        <f ca="1">SUM($L$3:L181)</f>
        <v>109.18311817202992</v>
      </c>
      <c r="O181">
        <f t="shared" ca="1" si="26"/>
        <v>-6041.8986884241458</v>
      </c>
      <c r="P181" s="16">
        <f t="shared" ca="1" si="27"/>
        <v>20120.949607877752</v>
      </c>
      <c r="Q181" s="17">
        <f t="shared" ca="1" si="28"/>
        <v>-995824.67355918593</v>
      </c>
      <c r="S181">
        <f>IF(A181&lt;='Dane do harmonogramu'!$D$7,'Roboczy harmonogram_1'!P181,0)</f>
        <v>0</v>
      </c>
      <c r="T181">
        <f>IF(A181&lt;='Dane do harmonogramu'!$D$7,'Roboczy harmonogram_1'!O181,0)</f>
        <v>0</v>
      </c>
      <c r="U181">
        <f>IF(A181&lt;='Dane do harmonogramu'!$D$7,$N$2,0)</f>
        <v>0</v>
      </c>
      <c r="V181" s="16" t="str">
        <f>IF(A180&lt;='Dane do harmonogramu'!$D$7,Q180*0.15%,"")</f>
        <v/>
      </c>
    </row>
    <row r="182" spans="1:22" x14ac:dyDescent="0.35">
      <c r="A182">
        <v>180</v>
      </c>
      <c r="B182" s="14">
        <f t="shared" ca="1" si="29"/>
        <v>51549</v>
      </c>
      <c r="C182" s="15">
        <f ca="1">(1+'Dane do harmonogramu'!$D$13*('Roboczy harmonogram_1'!B182-'Roboczy harmonogram_1'!B181)/365)</f>
        <v>1.0062</v>
      </c>
      <c r="D182" s="15">
        <f ca="1">(1+'Dane do harmonogramu'!$D$13*('Roboczy harmonogram_1'!B182-'Roboczy harmonogram_1'!B181)/366)</f>
        <v>1.0061830601092896</v>
      </c>
      <c r="E182" s="15">
        <f t="shared" ca="1" si="20"/>
        <v>0</v>
      </c>
      <c r="F182" s="15">
        <f t="shared" ca="1" si="21"/>
        <v>0</v>
      </c>
      <c r="G182">
        <f ca="1">IF(E182=1,(1+'Dane do harmonogramu'!$D$13*((('Roboczy harmonogram_1'!B182-DATE(YEAR(B182),1,1)+1)/365)+((DATE(YEAR(B181),12,31)-'Roboczy harmonogram_1'!B181)/366))),IF(F182=1,(1+'Dane do harmonogramu'!$D$13*((('Roboczy harmonogram_1'!B182-DATE(YEAR(B182),1,1)+1)/366)+((DATE(YEAR(B181),12,31)-'Roboczy harmonogram_1'!B181)/365))),0))</f>
        <v>0</v>
      </c>
      <c r="H182">
        <f t="shared" ca="1" si="22"/>
        <v>0</v>
      </c>
      <c r="I182">
        <f t="shared" ca="1" si="23"/>
        <v>1.0062</v>
      </c>
      <c r="J182">
        <f t="shared" ca="1" si="24"/>
        <v>1.0062</v>
      </c>
      <c r="K182">
        <f ca="1">PRODUCT($J$3:J182)</f>
        <v>2.9715735303928006</v>
      </c>
      <c r="L182">
        <f t="shared" ca="1" si="25"/>
        <v>0.3365220445572531</v>
      </c>
      <c r="M182">
        <f ca="1">SUM($L$3:L182)</f>
        <v>109.51964021658718</v>
      </c>
      <c r="O182">
        <f t="shared" ca="1" si="26"/>
        <v>-6174.1129760668846</v>
      </c>
      <c r="P182" s="16">
        <f t="shared" ca="1" si="27"/>
        <v>20253.163895520491</v>
      </c>
      <c r="Q182" s="17">
        <f t="shared" ca="1" si="28"/>
        <v>-1016077.8374547064</v>
      </c>
      <c r="S182">
        <f>IF(A182&lt;='Dane do harmonogramu'!$D$7,'Roboczy harmonogram_1'!P182,0)</f>
        <v>0</v>
      </c>
      <c r="T182">
        <f>IF(A182&lt;='Dane do harmonogramu'!$D$7,'Roboczy harmonogram_1'!O182,0)</f>
        <v>0</v>
      </c>
      <c r="U182">
        <f>IF(A182&lt;='Dane do harmonogramu'!$D$7,$N$2,0)</f>
        <v>0</v>
      </c>
      <c r="V182" s="16" t="str">
        <f>IF(A181&lt;='Dane do harmonogramu'!$D$7,Q181*0.15%,"")</f>
        <v/>
      </c>
    </row>
  </sheetData>
  <pageMargins left="0.7" right="0.7" top="0.75" bottom="0.75" header="0.3" footer="0.3"/>
  <pageSetup paperSize="9" orientation="portrait" horizontalDpi="30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12"/>
  <dimension ref="A1:V182"/>
  <sheetViews>
    <sheetView topLeftCell="K1" workbookViewId="0">
      <pane ySplit="1" topLeftCell="A2" activePane="bottomLeft" state="frozen"/>
      <selection pane="bottomLeft" activeCell="R3" sqref="R3"/>
    </sheetView>
  </sheetViews>
  <sheetFormatPr defaultRowHeight="14.5" x14ac:dyDescent="0.35"/>
  <cols>
    <col min="1" max="1" width="4" bestFit="1" customWidth="1"/>
    <col min="2" max="2" width="16.1796875" customWidth="1"/>
    <col min="3" max="3" width="16.1796875" style="15" customWidth="1"/>
    <col min="4" max="11" width="16.1796875" customWidth="1"/>
    <col min="12" max="12" width="17.453125" customWidth="1"/>
    <col min="13" max="13" width="12.1796875" customWidth="1"/>
    <col min="14" max="14" width="10.1796875" bestFit="1" customWidth="1"/>
    <col min="15" max="15" width="15.1796875" customWidth="1"/>
    <col min="16" max="16" width="16.81640625" customWidth="1"/>
    <col min="17" max="17" width="16.1796875" customWidth="1"/>
    <col min="19" max="19" width="15.81640625" customWidth="1"/>
    <col min="20" max="20" width="14.81640625" customWidth="1"/>
    <col min="21" max="21" width="14.54296875" customWidth="1"/>
    <col min="22" max="22" width="17.1796875" style="16" customWidth="1"/>
  </cols>
  <sheetData>
    <row r="1" spans="1:22" x14ac:dyDescent="0.35">
      <c r="A1" s="1" t="s">
        <v>6</v>
      </c>
      <c r="B1" s="2"/>
      <c r="C1" s="3" t="s">
        <v>7</v>
      </c>
      <c r="D1" s="2" t="s">
        <v>8</v>
      </c>
      <c r="E1" s="2" t="s">
        <v>9</v>
      </c>
      <c r="F1" s="2" t="s">
        <v>10</v>
      </c>
      <c r="G1" s="2" t="s">
        <v>11</v>
      </c>
      <c r="H1" s="2" t="s">
        <v>12</v>
      </c>
      <c r="I1" s="2" t="s">
        <v>13</v>
      </c>
      <c r="J1" s="2" t="s">
        <v>14</v>
      </c>
      <c r="K1" s="2" t="s">
        <v>15</v>
      </c>
      <c r="L1" s="4" t="s">
        <v>16</v>
      </c>
      <c r="M1" s="5" t="s">
        <v>17</v>
      </c>
      <c r="N1" s="4" t="s">
        <v>18</v>
      </c>
      <c r="O1" s="6" t="s">
        <v>19</v>
      </c>
      <c r="P1" s="7" t="s">
        <v>20</v>
      </c>
      <c r="Q1" s="7" t="s">
        <v>21</v>
      </c>
      <c r="S1" s="7" t="s">
        <v>27</v>
      </c>
      <c r="T1" s="7" t="s">
        <v>28</v>
      </c>
      <c r="U1" s="7" t="s">
        <v>29</v>
      </c>
      <c r="V1" s="7" t="s">
        <v>125</v>
      </c>
    </row>
    <row r="2" spans="1:22" x14ac:dyDescent="0.35">
      <c r="A2" s="8">
        <v>0</v>
      </c>
      <c r="B2" s="19">
        <f ca="1">'Dane do harmonogramu'!E14</f>
        <v>46083</v>
      </c>
      <c r="C2" s="10"/>
      <c r="D2" s="9"/>
      <c r="E2" s="9"/>
      <c r="F2" s="9"/>
      <c r="G2" s="11"/>
      <c r="H2" s="11"/>
      <c r="I2" s="11"/>
      <c r="J2" s="11"/>
      <c r="K2" s="11"/>
      <c r="L2" s="7"/>
      <c r="M2" s="12"/>
      <c r="N2" s="13">
        <f ca="1">WarThirdKw/VLOOKUP('Dane do harmonogramu'!E7,'Roboczy harmonogram_2'!$A$1:$O$182,13,1)</f>
        <v>4900.8327604026426</v>
      </c>
      <c r="O2" s="7"/>
    </row>
    <row r="3" spans="1:22" x14ac:dyDescent="0.35">
      <c r="A3">
        <v>1</v>
      </c>
      <c r="B3" s="20">
        <f ca="1">'Dane do harmonogramu'!E15</f>
        <v>46098</v>
      </c>
      <c r="C3" s="15">
        <f ca="1">(1+'Dane do harmonogramu'!$E$13*('Roboczy harmonogram_2'!B3-'Roboczy harmonogram_2'!B2)/365)</f>
        <v>1.0034109589041096</v>
      </c>
      <c r="D3" s="15">
        <f ca="1">(1+'Dane do harmonogramu'!$E$13*('Roboczy harmonogram_2'!B3-'Roboczy harmonogram_2'!B2)/366)</f>
        <v>1.0034016393442622</v>
      </c>
      <c r="E3" s="15">
        <f ca="1">IF(AND(MOD(YEAR(B2),4)=0,MOD(YEAR(B3),4)&lt;&gt;0),1,0)</f>
        <v>0</v>
      </c>
      <c r="F3" s="15">
        <f ca="1">IF(AND(MOD(YEAR(B3),4)=0,MOD(YEAR(B2),4)&lt;&gt;0),1,0)</f>
        <v>0</v>
      </c>
      <c r="G3">
        <f ca="1">IF(E3=1,(1+'Dane do harmonogramu'!$E$13*((('Roboczy harmonogram_2'!B3-DATE(YEAR(B3),1,1)+1)/365)+((DATE(YEAR(B2),12,31)-'Roboczy harmonogram_2'!B2)/366))),IF(F3=1,(1+'Dane do harmonogramu'!$E$13*((('Roboczy harmonogram_2'!B3-DATE(YEAR(B3),1,1)+1)/366)+((DATE(YEAR(B2),12,31)-'Roboczy harmonogram_2'!B2)/365))),0))</f>
        <v>0</v>
      </c>
      <c r="H3">
        <f ca="1">IF(MOD(YEAR(B3),4)=0,1,0)</f>
        <v>0</v>
      </c>
      <c r="I3">
        <f ca="1">IF(H3=0,C3,IF(H3=1,D3,"blad"))</f>
        <v>1.0034109589041096</v>
      </c>
      <c r="J3">
        <f ca="1">IF(OR(E3=1,F3=1),G3,I3)</f>
        <v>1.0034109589041096</v>
      </c>
      <c r="K3">
        <f ca="1">J3</f>
        <v>1.0034109589041096</v>
      </c>
      <c r="L3">
        <f ca="1">1/K3</f>
        <v>0.99660063618615957</v>
      </c>
      <c r="O3">
        <f ca="1">(WarThirdKw*J3)-WarThirdKw</f>
        <v>1364.38356164383</v>
      </c>
      <c r="P3" s="16">
        <f ca="1">$N$2-O3</f>
        <v>3536.4491987588126</v>
      </c>
      <c r="Q3" s="17">
        <f ca="1">WarThirdKw-P3</f>
        <v>396463.55080124119</v>
      </c>
      <c r="S3">
        <f ca="1">IF(A3&lt;='Dane do harmonogramu'!$E$7,'Roboczy harmonogram_2'!P3,0)</f>
        <v>3536.4491987588126</v>
      </c>
      <c r="T3">
        <f ca="1">IF(A3&lt;='Dane do harmonogramu'!$E$7,'Roboczy harmonogram_2'!O3,0)</f>
        <v>1364.38356164383</v>
      </c>
      <c r="U3">
        <f ca="1">IF(A3&lt;='Dane do harmonogramu'!$E$7,$N$2,0)</f>
        <v>4900.8327604026426</v>
      </c>
      <c r="V3" s="16">
        <f>IF(A3&lt;='Dane do harmonogramu'!$E$7,WarThirdKw*0.15%,"")</f>
        <v>600</v>
      </c>
    </row>
    <row r="4" spans="1:22" x14ac:dyDescent="0.35">
      <c r="A4">
        <v>2</v>
      </c>
      <c r="B4" s="14">
        <f ca="1">DATE(YEAR((B3)),MONTH((B3))+1,IF(AND(DAY(B3)&gt;28,MONTH((B3))+1=2),IF(MOD(YEAR(B3),4)=0,29,28),DAY(B3)))</f>
        <v>46129</v>
      </c>
      <c r="C4" s="15">
        <f ca="1">(1+'Dane do harmonogramu'!$E$13*('Roboczy harmonogram_2'!B4-'Roboczy harmonogram_2'!B3)/365)</f>
        <v>1.0070493150684932</v>
      </c>
      <c r="D4" s="15">
        <f ca="1">(1+'Dane do harmonogramu'!$E$13*('Roboczy harmonogram_2'!B4-'Roboczy harmonogram_2'!B3)/366)</f>
        <v>1.0070300546448088</v>
      </c>
      <c r="E4" s="15">
        <f t="shared" ref="E4:E67" ca="1" si="0">IF(AND(MOD(YEAR(B3),4)=0,MOD(YEAR(B4),4)&lt;&gt;0),1,0)</f>
        <v>0</v>
      </c>
      <c r="F4" s="15">
        <f t="shared" ref="F4:F67" ca="1" si="1">IF(AND(MOD(YEAR(B4),4)=0,MOD(YEAR(B3),4)&lt;&gt;0),1,0)</f>
        <v>0</v>
      </c>
      <c r="G4">
        <f ca="1">IF(E4=1,(1+'Dane do harmonogramu'!$E$13*((('Roboczy harmonogram_2'!B4-DATE(YEAR(B4),1,1)+1)/365)+((DATE(YEAR(B3),12,31)-'Roboczy harmonogram_2'!B3)/366))),IF(F4=1,(1+'Dane do harmonogramu'!$E$13*((('Roboczy harmonogram_2'!B4-DATE(YEAR(B4),1,1)+1)/366)+((DATE(YEAR(B3),12,31)-'Roboczy harmonogram_2'!B3)/365))),0))</f>
        <v>0</v>
      </c>
      <c r="H4">
        <f t="shared" ref="H4:H67" ca="1" si="2">IF(MOD(YEAR(B4),4)=0,1,0)</f>
        <v>0</v>
      </c>
      <c r="I4">
        <f t="shared" ref="I4:I67" ca="1" si="3">IF(H4=0,C4,IF(H4=1,D4,"blad"))</f>
        <v>1.0070493150684932</v>
      </c>
      <c r="J4">
        <f t="shared" ref="J4:J67" ca="1" si="4">IF(OR(E4=1,F4=1),G4,I4)</f>
        <v>1.0070493150684932</v>
      </c>
      <c r="K4">
        <f ca="1">PRODUCT($J$3:J4)</f>
        <v>1.0104843188966035</v>
      </c>
      <c r="L4">
        <f t="shared" ref="L4:L67" ca="1" si="5">1/K4</f>
        <v>0.98962446155715522</v>
      </c>
      <c r="M4">
        <f ca="1">L3+L4</f>
        <v>1.9862250977433149</v>
      </c>
      <c r="O4">
        <f ca="1">(Q3*J4)-Q3</f>
        <v>2794.7964827715186</v>
      </c>
      <c r="P4" s="16">
        <f ca="1">$N$2-O4</f>
        <v>2106.036277631124</v>
      </c>
      <c r="Q4" s="17">
        <f ca="1">Q3-P4</f>
        <v>394357.51452361007</v>
      </c>
      <c r="S4">
        <f ca="1">IF(A4&lt;='Dane do harmonogramu'!$E$7,'Roboczy harmonogram_2'!P4,0)</f>
        <v>2106.036277631124</v>
      </c>
      <c r="T4">
        <f ca="1">IF(A4&lt;='Dane do harmonogramu'!$E$7,'Roboczy harmonogram_2'!O4,0)</f>
        <v>2794.7964827715186</v>
      </c>
      <c r="U4">
        <f ca="1">IF(A4&lt;='Dane do harmonogramu'!$E$7,$N$2,0)</f>
        <v>4900.8327604026426</v>
      </c>
      <c r="V4" s="16">
        <f ca="1">IF(A3&lt;='Dane do harmonogramu'!$E$7,Q3*0.15%,"")</f>
        <v>594.6953262018618</v>
      </c>
    </row>
    <row r="5" spans="1:22" x14ac:dyDescent="0.35">
      <c r="A5">
        <v>3</v>
      </c>
      <c r="B5" s="14">
        <f ca="1">DATE(YEAR((B4)),MONTH((B4))+1,IF(AND(DAY(B4)&gt;28,MONTH((B4))+1=2),IF(MOD(YEAR(B4),4)=0,29,28),IF(AND(OR(DAY(B4)=28,DAY(B4)=29),MONTH((B4))=2),DAY(B3),DAY(B4))))</f>
        <v>46159</v>
      </c>
      <c r="C5" s="15">
        <f ca="1">(1+'Dane do harmonogramu'!$E$13*('Roboczy harmonogram_2'!B5-'Roboczy harmonogram_2'!B4)/365)</f>
        <v>1.0068219178082192</v>
      </c>
      <c r="D5" s="15">
        <f ca="1">(1+'Dane do harmonogramu'!$E$13*('Roboczy harmonogram_2'!B5-'Roboczy harmonogram_2'!B4)/366)</f>
        <v>1.0068032786885246</v>
      </c>
      <c r="E5" s="15">
        <f t="shared" ca="1" si="0"/>
        <v>0</v>
      </c>
      <c r="F5" s="15">
        <f t="shared" ca="1" si="1"/>
        <v>0</v>
      </c>
      <c r="G5">
        <f ca="1">IF(E5=1,(1+'Dane do harmonogramu'!$E$13*((('Roboczy harmonogram_2'!B5-DATE(YEAR(B5),1,1)+1)/365)+((DATE(YEAR(B4),12,31)-'Roboczy harmonogram_2'!B4)/366))),IF(F5=1,(1+'Dane do harmonogramu'!$E$13*((('Roboczy harmonogram_2'!B5-DATE(YEAR(B5),1,1)+1)/366)+((DATE(YEAR(B4),12,31)-'Roboczy harmonogram_2'!B4)/365))),0))</f>
        <v>0</v>
      </c>
      <c r="H5">
        <f t="shared" ca="1" si="2"/>
        <v>0</v>
      </c>
      <c r="I5">
        <f t="shared" ca="1" si="3"/>
        <v>1.0068219178082192</v>
      </c>
      <c r="J5">
        <f t="shared" ca="1" si="4"/>
        <v>1.0068219178082192</v>
      </c>
      <c r="K5">
        <f ca="1">PRODUCT($J$3:J5)</f>
        <v>1.0173777598666105</v>
      </c>
      <c r="L5">
        <f t="shared" ca="1" si="5"/>
        <v>0.98291906845998978</v>
      </c>
      <c r="M5">
        <f ca="1">SUM($L$3:L5)</f>
        <v>2.9691441662033045</v>
      </c>
      <c r="O5">
        <f t="shared" ref="O5:O68" ca="1" si="6">(Q4*J5)-Q4</f>
        <v>2690.2745511336834</v>
      </c>
      <c r="P5" s="16">
        <f t="shared" ref="P5:P68" ca="1" si="7">$N$2-O5</f>
        <v>2210.5582092689592</v>
      </c>
      <c r="Q5" s="17">
        <f t="shared" ref="Q5:Q68" ca="1" si="8">Q4-P5</f>
        <v>392146.95631434111</v>
      </c>
      <c r="S5">
        <f ca="1">IF(A5&lt;='Dane do harmonogramu'!$E$7,'Roboczy harmonogram_2'!P5,0)</f>
        <v>2210.5582092689592</v>
      </c>
      <c r="T5">
        <f ca="1">IF(A5&lt;='Dane do harmonogramu'!$E$7,'Roboczy harmonogram_2'!O5,0)</f>
        <v>2690.2745511336834</v>
      </c>
      <c r="U5">
        <f ca="1">IF(A5&lt;='Dane do harmonogramu'!$E$7,$N$2,0)</f>
        <v>4900.8327604026426</v>
      </c>
      <c r="V5" s="16">
        <f ca="1">IF(A4&lt;='Dane do harmonogramu'!$E$7,Q4*0.15%,"")</f>
        <v>591.53627178541512</v>
      </c>
    </row>
    <row r="6" spans="1:22" x14ac:dyDescent="0.35">
      <c r="A6">
        <v>4</v>
      </c>
      <c r="B6" s="14">
        <f t="shared" ref="B6:B69" ca="1" si="9">DATE(YEAR((B5)),MONTH((B5))+1,IF(AND(DAY(B5)&gt;28,MONTH((B5))+1=2),IF(MOD(YEAR(B5),4)=0,29,28),IF(AND(OR(DAY(B5)=28,DAY(B5)=29),MONTH((B5))=2),DAY(B4),DAY(B5))))</f>
        <v>46190</v>
      </c>
      <c r="C6" s="15">
        <f ca="1">(1+'Dane do harmonogramu'!$E$13*('Roboczy harmonogram_2'!B6-'Roboczy harmonogram_2'!B5)/365)</f>
        <v>1.0070493150684932</v>
      </c>
      <c r="D6" s="15">
        <f ca="1">(1+'Dane do harmonogramu'!$E$13*('Roboczy harmonogram_2'!B6-'Roboczy harmonogram_2'!B5)/366)</f>
        <v>1.0070300546448088</v>
      </c>
      <c r="E6" s="15">
        <f t="shared" ca="1" si="0"/>
        <v>0</v>
      </c>
      <c r="F6" s="15">
        <f t="shared" ca="1" si="1"/>
        <v>0</v>
      </c>
      <c r="G6">
        <f ca="1">IF(E6=1,(1+'Dane do harmonogramu'!$E$13*((('Roboczy harmonogram_2'!B6-DATE(YEAR(B6),1,1)+1)/365)+((DATE(YEAR(B5),12,31)-'Roboczy harmonogram_2'!B5)/366))),IF(F6=1,(1+'Dane do harmonogramu'!$E$13*((('Roboczy harmonogram_2'!B6-DATE(YEAR(B6),1,1)+1)/366)+((DATE(YEAR(B5),12,31)-'Roboczy harmonogram_2'!B5)/365))),0))</f>
        <v>0</v>
      </c>
      <c r="H6">
        <f t="shared" ca="1" si="2"/>
        <v>0</v>
      </c>
      <c r="I6">
        <f t="shared" ca="1" si="3"/>
        <v>1.0070493150684932</v>
      </c>
      <c r="J6">
        <f t="shared" ca="1" si="4"/>
        <v>1.0070493150684932</v>
      </c>
      <c r="K6">
        <f ca="1">PRODUCT($J$3:J6)</f>
        <v>1.024549576239588</v>
      </c>
      <c r="L6">
        <f t="shared" ca="1" si="5"/>
        <v>0.9760386643956338</v>
      </c>
      <c r="M6">
        <f ca="1">SUM($L$3:L6)</f>
        <v>3.945182830598938</v>
      </c>
      <c r="O6">
        <f t="shared" ca="1" si="6"/>
        <v>2764.3674482104252</v>
      </c>
      <c r="P6" s="16">
        <f t="shared" ca="1" si="7"/>
        <v>2136.4653121922174</v>
      </c>
      <c r="Q6" s="17">
        <f t="shared" ca="1" si="8"/>
        <v>390010.49100214889</v>
      </c>
      <c r="S6">
        <f ca="1">IF(A6&lt;='Dane do harmonogramu'!$E$7,'Roboczy harmonogram_2'!P6,0)</f>
        <v>2136.4653121922174</v>
      </c>
      <c r="T6">
        <f ca="1">IF(A6&lt;='Dane do harmonogramu'!$E$7,'Roboczy harmonogram_2'!O6,0)</f>
        <v>2764.3674482104252</v>
      </c>
      <c r="U6">
        <f ca="1">IF(A6&lt;='Dane do harmonogramu'!$E$7,$N$2,0)</f>
        <v>4900.8327604026426</v>
      </c>
      <c r="V6" s="16">
        <f ca="1">IF(A5&lt;='Dane do harmonogramu'!$E$7,Q5*0.15%,"")</f>
        <v>588.22043447151168</v>
      </c>
    </row>
    <row r="7" spans="1:22" x14ac:dyDescent="0.35">
      <c r="A7">
        <v>5</v>
      </c>
      <c r="B7" s="14">
        <f t="shared" ca="1" si="9"/>
        <v>46220</v>
      </c>
      <c r="C7" s="15">
        <f ca="1">(1+'Dane do harmonogramu'!$E$13*('Roboczy harmonogram_2'!B7-'Roboczy harmonogram_2'!B6)/365)</f>
        <v>1.0068219178082192</v>
      </c>
      <c r="D7" s="15">
        <f ca="1">(1+'Dane do harmonogramu'!$E$13*('Roboczy harmonogram_2'!B7-'Roboczy harmonogram_2'!B6)/366)</f>
        <v>1.0068032786885246</v>
      </c>
      <c r="E7" s="15">
        <f t="shared" ca="1" si="0"/>
        <v>0</v>
      </c>
      <c r="F7" s="15">
        <f t="shared" ca="1" si="1"/>
        <v>0</v>
      </c>
      <c r="G7">
        <f ca="1">IF(E7=1,(1+'Dane do harmonogramu'!$E$13*((('Roboczy harmonogram_2'!B7-DATE(YEAR(B7),1,1)+1)/365)+((DATE(YEAR(B6),12,31)-'Roboczy harmonogram_2'!B6)/366))),IF(F7=1,(1+'Dane do harmonogramu'!$E$13*((('Roboczy harmonogram_2'!B7-DATE(YEAR(B7),1,1)+1)/366)+((DATE(YEAR(B6),12,31)-'Roboczy harmonogram_2'!B6)/365))),0))</f>
        <v>0</v>
      </c>
      <c r="H7">
        <f t="shared" ca="1" si="2"/>
        <v>0</v>
      </c>
      <c r="I7">
        <f t="shared" ca="1" si="3"/>
        <v>1.0068219178082192</v>
      </c>
      <c r="J7">
        <f t="shared" ca="1" si="4"/>
        <v>1.0068219178082192</v>
      </c>
      <c r="K7">
        <f ca="1">PRODUCT($J$3:J7)</f>
        <v>1.0315389692391401</v>
      </c>
      <c r="L7">
        <f t="shared" ca="1" si="5"/>
        <v>0.96942532451061625</v>
      </c>
      <c r="M7">
        <f ca="1">SUM($L$3:L7)</f>
        <v>4.914608155109554</v>
      </c>
      <c r="O7">
        <f t="shared" ca="1" si="6"/>
        <v>2660.6195139598567</v>
      </c>
      <c r="P7" s="16">
        <f t="shared" ca="1" si="7"/>
        <v>2240.2132464427859</v>
      </c>
      <c r="Q7" s="17">
        <f t="shared" ca="1" si="8"/>
        <v>387770.27775570611</v>
      </c>
      <c r="S7">
        <f ca="1">IF(A7&lt;='Dane do harmonogramu'!$E$7,'Roboczy harmonogram_2'!P7,0)</f>
        <v>2240.2132464427859</v>
      </c>
      <c r="T7">
        <f ca="1">IF(A7&lt;='Dane do harmonogramu'!$E$7,'Roboczy harmonogram_2'!O7,0)</f>
        <v>2660.6195139598567</v>
      </c>
      <c r="U7">
        <f ca="1">IF(A7&lt;='Dane do harmonogramu'!$E$7,$N$2,0)</f>
        <v>4900.8327604026426</v>
      </c>
      <c r="V7" s="16">
        <f ca="1">IF(A6&lt;='Dane do harmonogramu'!$E$7,Q6*0.15%,"")</f>
        <v>585.01573650322337</v>
      </c>
    </row>
    <row r="8" spans="1:22" x14ac:dyDescent="0.35">
      <c r="A8">
        <v>6</v>
      </c>
      <c r="B8" s="14">
        <f t="shared" ca="1" si="9"/>
        <v>46251</v>
      </c>
      <c r="C8" s="15">
        <f ca="1">(1+'Dane do harmonogramu'!$E$13*('Roboczy harmonogram_2'!B8-'Roboczy harmonogram_2'!B7)/365)</f>
        <v>1.0070493150684932</v>
      </c>
      <c r="D8" s="15">
        <f ca="1">(1+'Dane do harmonogramu'!$E$13*('Roboczy harmonogram_2'!B8-'Roboczy harmonogram_2'!B7)/366)</f>
        <v>1.0070300546448088</v>
      </c>
      <c r="E8" s="15">
        <f t="shared" ca="1" si="0"/>
        <v>0</v>
      </c>
      <c r="F8" s="15">
        <f t="shared" ca="1" si="1"/>
        <v>0</v>
      </c>
      <c r="G8">
        <f ca="1">IF(E8=1,(1+'Dane do harmonogramu'!$E$13*((('Roboczy harmonogram_2'!B8-DATE(YEAR(B8),1,1)+1)/365)+((DATE(YEAR(B7),12,31)-'Roboczy harmonogram_2'!B7)/366))),IF(F8=1,(1+'Dane do harmonogramu'!$E$13*((('Roboczy harmonogram_2'!B8-DATE(YEAR(B8),1,1)+1)/366)+((DATE(YEAR(B7),12,31)-'Roboczy harmonogram_2'!B7)/365))),0))</f>
        <v>0</v>
      </c>
      <c r="H8">
        <f t="shared" ca="1" si="2"/>
        <v>0</v>
      </c>
      <c r="I8">
        <f t="shared" ca="1" si="3"/>
        <v>1.0070493150684932</v>
      </c>
      <c r="J8">
        <f t="shared" ca="1" si="4"/>
        <v>1.0070493150684932</v>
      </c>
      <c r="K8">
        <f ca="1">PRODUCT($J$3:J8)</f>
        <v>1.0388106124387355</v>
      </c>
      <c r="L8">
        <f t="shared" ca="1" si="5"/>
        <v>0.96263937625009155</v>
      </c>
      <c r="M8">
        <f ca="1">SUM($L$3:L8)</f>
        <v>5.8772475313596457</v>
      </c>
      <c r="O8">
        <f t="shared" ca="1" si="6"/>
        <v>2733.5148620971013</v>
      </c>
      <c r="P8" s="16">
        <f t="shared" ca="1" si="7"/>
        <v>2167.3178983055413</v>
      </c>
      <c r="Q8" s="17">
        <f t="shared" ca="1" si="8"/>
        <v>385602.95985740056</v>
      </c>
      <c r="S8">
        <f ca="1">IF(A8&lt;='Dane do harmonogramu'!$E$7,'Roboczy harmonogram_2'!P8,0)</f>
        <v>2167.3178983055413</v>
      </c>
      <c r="T8">
        <f ca="1">IF(A8&lt;='Dane do harmonogramu'!$E$7,'Roboczy harmonogram_2'!O8,0)</f>
        <v>2733.5148620971013</v>
      </c>
      <c r="U8">
        <f ca="1">IF(A8&lt;='Dane do harmonogramu'!$E$7,$N$2,0)</f>
        <v>4900.8327604026426</v>
      </c>
      <c r="V8" s="16">
        <f ca="1">IF(A7&lt;='Dane do harmonogramu'!$E$7,Q7*0.15%,"")</f>
        <v>581.65541663355918</v>
      </c>
    </row>
    <row r="9" spans="1:22" x14ac:dyDescent="0.35">
      <c r="A9">
        <v>7</v>
      </c>
      <c r="B9" s="14">
        <f t="shared" ca="1" si="9"/>
        <v>46282</v>
      </c>
      <c r="C9" s="15">
        <f ca="1">(1+'Dane do harmonogramu'!$E$13*('Roboczy harmonogram_2'!B9-'Roboczy harmonogram_2'!B8)/365)</f>
        <v>1.0070493150684932</v>
      </c>
      <c r="D9" s="15">
        <f ca="1">(1+'Dane do harmonogramu'!$E$13*('Roboczy harmonogram_2'!B9-'Roboczy harmonogram_2'!B8)/366)</f>
        <v>1.0070300546448088</v>
      </c>
      <c r="E9" s="15">
        <f t="shared" ca="1" si="0"/>
        <v>0</v>
      </c>
      <c r="F9" s="15">
        <f t="shared" ca="1" si="1"/>
        <v>0</v>
      </c>
      <c r="G9">
        <f ca="1">IF(E9=1,(1+'Dane do harmonogramu'!$E$13*((('Roboczy harmonogram_2'!B9-DATE(YEAR(B9),1,1)+1)/365)+((DATE(YEAR(B8),12,31)-'Roboczy harmonogram_2'!B8)/366))),IF(F9=1,(1+'Dane do harmonogramu'!$E$13*((('Roboczy harmonogram_2'!B9-DATE(YEAR(B9),1,1)+1)/366)+((DATE(YEAR(B8),12,31)-'Roboczy harmonogram_2'!B8)/365))),0))</f>
        <v>0</v>
      </c>
      <c r="H9">
        <f t="shared" ca="1" si="2"/>
        <v>0</v>
      </c>
      <c r="I9">
        <f t="shared" ca="1" si="3"/>
        <v>1.0070493150684932</v>
      </c>
      <c r="J9">
        <f t="shared" ca="1" si="4"/>
        <v>1.0070493150684932</v>
      </c>
      <c r="K9">
        <f ca="1">PRODUCT($J$3:J9)</f>
        <v>1.0461335157423104</v>
      </c>
      <c r="L9">
        <f t="shared" ca="1" si="5"/>
        <v>0.95590092942431426</v>
      </c>
      <c r="M9">
        <f ca="1">SUM($L$3:L9)</f>
        <v>6.8331484607839599</v>
      </c>
      <c r="O9">
        <f t="shared" ca="1" si="6"/>
        <v>2718.2367553783115</v>
      </c>
      <c r="P9" s="16">
        <f t="shared" ca="1" si="7"/>
        <v>2182.5960050243311</v>
      </c>
      <c r="Q9" s="17">
        <f t="shared" ca="1" si="8"/>
        <v>383420.36385237623</v>
      </c>
      <c r="S9">
        <f ca="1">IF(A9&lt;='Dane do harmonogramu'!$E$7,'Roboczy harmonogram_2'!P9,0)</f>
        <v>2182.5960050243311</v>
      </c>
      <c r="T9">
        <f ca="1">IF(A9&lt;='Dane do harmonogramu'!$E$7,'Roboczy harmonogram_2'!O9,0)</f>
        <v>2718.2367553783115</v>
      </c>
      <c r="U9">
        <f ca="1">IF(A9&lt;='Dane do harmonogramu'!$E$7,$N$2,0)</f>
        <v>4900.8327604026426</v>
      </c>
      <c r="V9" s="16">
        <f ca="1">IF(A8&lt;='Dane do harmonogramu'!$E$7,Q8*0.15%,"")</f>
        <v>578.40443978610085</v>
      </c>
    </row>
    <row r="10" spans="1:22" x14ac:dyDescent="0.35">
      <c r="A10">
        <v>8</v>
      </c>
      <c r="B10" s="14">
        <f t="shared" ca="1" si="9"/>
        <v>46312</v>
      </c>
      <c r="C10" s="15">
        <f ca="1">(1+'Dane do harmonogramu'!$E$13*('Roboczy harmonogram_2'!B10-'Roboczy harmonogram_2'!B9)/365)</f>
        <v>1.0068219178082192</v>
      </c>
      <c r="D10" s="15">
        <f ca="1">(1+'Dane do harmonogramu'!$E$13*('Roboczy harmonogram_2'!B10-'Roboczy harmonogram_2'!B9)/366)</f>
        <v>1.0068032786885246</v>
      </c>
      <c r="E10" s="15">
        <f t="shared" ca="1" si="0"/>
        <v>0</v>
      </c>
      <c r="F10" s="15">
        <f t="shared" ca="1" si="1"/>
        <v>0</v>
      </c>
      <c r="G10">
        <f ca="1">IF(E10=1,(1+'Dane do harmonogramu'!$E$13*((('Roboczy harmonogram_2'!B10-DATE(YEAR(B10),1,1)+1)/365)+((DATE(YEAR(B9),12,31)-'Roboczy harmonogram_2'!B9)/366))),IF(F10=1,(1+'Dane do harmonogramu'!$E$13*((('Roboczy harmonogram_2'!B10-DATE(YEAR(B10),1,1)+1)/366)+((DATE(YEAR(B9),12,31)-'Roboczy harmonogram_2'!B9)/365))),0))</f>
        <v>0</v>
      </c>
      <c r="H10">
        <f t="shared" ca="1" si="2"/>
        <v>0</v>
      </c>
      <c r="I10">
        <f t="shared" ca="1" si="3"/>
        <v>1.0068219178082192</v>
      </c>
      <c r="J10">
        <f t="shared" ca="1" si="4"/>
        <v>1.0068219178082192</v>
      </c>
      <c r="K10">
        <f ca="1">PRODUCT($J$3:J10)</f>
        <v>1.0532701526031278</v>
      </c>
      <c r="L10">
        <f t="shared" ca="1" si="5"/>
        <v>0.94942403668092923</v>
      </c>
      <c r="M10">
        <f ca="1">SUM($L$3:L10)</f>
        <v>7.7825724974648889</v>
      </c>
      <c r="O10">
        <f t="shared" ca="1" si="6"/>
        <v>2615.6622081983951</v>
      </c>
      <c r="P10" s="16">
        <f t="shared" ca="1" si="7"/>
        <v>2285.1705522042475</v>
      </c>
      <c r="Q10" s="17">
        <f t="shared" ca="1" si="8"/>
        <v>381135.19330017199</v>
      </c>
      <c r="S10">
        <f ca="1">IF(A10&lt;='Dane do harmonogramu'!$E$7,'Roboczy harmonogram_2'!P10,0)</f>
        <v>2285.1705522042475</v>
      </c>
      <c r="T10">
        <f ca="1">IF(A10&lt;='Dane do harmonogramu'!$E$7,'Roboczy harmonogram_2'!O10,0)</f>
        <v>2615.6622081983951</v>
      </c>
      <c r="U10">
        <f ca="1">IF(A10&lt;='Dane do harmonogramu'!$E$7,$N$2,0)</f>
        <v>4900.8327604026426</v>
      </c>
      <c r="V10" s="16">
        <f ca="1">IF(A9&lt;='Dane do harmonogramu'!$E$7,Q9*0.15%,"")</f>
        <v>575.1305457785644</v>
      </c>
    </row>
    <row r="11" spans="1:22" x14ac:dyDescent="0.35">
      <c r="A11">
        <v>9</v>
      </c>
      <c r="B11" s="14">
        <f t="shared" ca="1" si="9"/>
        <v>46343</v>
      </c>
      <c r="C11" s="15">
        <f ca="1">(1+'Dane do harmonogramu'!$E$13*('Roboczy harmonogram_2'!B11-'Roboczy harmonogram_2'!B10)/365)</f>
        <v>1.0070493150684932</v>
      </c>
      <c r="D11" s="15">
        <f ca="1">(1+'Dane do harmonogramu'!$E$13*('Roboczy harmonogram_2'!B11-'Roboczy harmonogram_2'!B10)/366)</f>
        <v>1.0070300546448088</v>
      </c>
      <c r="E11" s="15">
        <f t="shared" ca="1" si="0"/>
        <v>0</v>
      </c>
      <c r="F11" s="15">
        <f t="shared" ca="1" si="1"/>
        <v>0</v>
      </c>
      <c r="G11">
        <f ca="1">IF(E11=1,(1+'Dane do harmonogramu'!$E$13*((('Roboczy harmonogram_2'!B11-DATE(YEAR(B11),1,1)+1)/365)+((DATE(YEAR(B10),12,31)-'Roboczy harmonogram_2'!B10)/366))),IF(F11=1,(1+'Dane do harmonogramu'!$E$13*((('Roboczy harmonogram_2'!B11-DATE(YEAR(B11),1,1)+1)/366)+((DATE(YEAR(B10),12,31)-'Roboczy harmonogram_2'!B10)/365))),0))</f>
        <v>0</v>
      </c>
      <c r="H11">
        <f t="shared" ca="1" si="2"/>
        <v>0</v>
      </c>
      <c r="I11">
        <f t="shared" ca="1" si="3"/>
        <v>1.0070493150684932</v>
      </c>
      <c r="J11">
        <f t="shared" ca="1" si="4"/>
        <v>1.0070493150684932</v>
      </c>
      <c r="K11">
        <f ca="1">PRODUCT($J$3:J11)</f>
        <v>1.0606949857610672</v>
      </c>
      <c r="L11">
        <f t="shared" ca="1" si="5"/>
        <v>0.94277809683665326</v>
      </c>
      <c r="M11">
        <f ca="1">SUM($L$3:L11)</f>
        <v>8.7253505943015419</v>
      </c>
      <c r="O11">
        <f t="shared" ca="1" si="6"/>
        <v>2686.7420612639398</v>
      </c>
      <c r="P11" s="16">
        <f t="shared" ca="1" si="7"/>
        <v>2214.0906991387028</v>
      </c>
      <c r="Q11" s="17">
        <f t="shared" ca="1" si="8"/>
        <v>378921.10260103329</v>
      </c>
      <c r="S11">
        <f ca="1">IF(A11&lt;='Dane do harmonogramu'!$E$7,'Roboczy harmonogram_2'!P11,0)</f>
        <v>2214.0906991387028</v>
      </c>
      <c r="T11">
        <f ca="1">IF(A11&lt;='Dane do harmonogramu'!$E$7,'Roboczy harmonogram_2'!O11,0)</f>
        <v>2686.7420612639398</v>
      </c>
      <c r="U11">
        <f ca="1">IF(A11&lt;='Dane do harmonogramu'!$E$7,$N$2,0)</f>
        <v>4900.8327604026426</v>
      </c>
      <c r="V11" s="16">
        <f ca="1">IF(A10&lt;='Dane do harmonogramu'!$E$7,Q10*0.15%,"")</f>
        <v>571.70278995025797</v>
      </c>
    </row>
    <row r="12" spans="1:22" x14ac:dyDescent="0.35">
      <c r="A12">
        <v>10</v>
      </c>
      <c r="B12" s="14">
        <f t="shared" ca="1" si="9"/>
        <v>46373</v>
      </c>
      <c r="C12" s="15">
        <f ca="1">(1+'Dane do harmonogramu'!$E$13*('Roboczy harmonogram_2'!B12-'Roboczy harmonogram_2'!B11)/365)</f>
        <v>1.0068219178082192</v>
      </c>
      <c r="D12" s="15">
        <f ca="1">(1+'Dane do harmonogramu'!$E$13*('Roboczy harmonogram_2'!B12-'Roboczy harmonogram_2'!B11)/366)</f>
        <v>1.0068032786885246</v>
      </c>
      <c r="E12" s="15">
        <f t="shared" ca="1" si="0"/>
        <v>0</v>
      </c>
      <c r="F12" s="15">
        <f t="shared" ca="1" si="1"/>
        <v>0</v>
      </c>
      <c r="G12">
        <f ca="1">IF(E12=1,(1+'Dane do harmonogramu'!$E$13*((('Roboczy harmonogram_2'!B12-DATE(YEAR(B12),1,1)+1)/365)+((DATE(YEAR(B11),12,31)-'Roboczy harmonogram_2'!B11)/366))),IF(F12=1,(1+'Dane do harmonogramu'!$E$13*((('Roboczy harmonogram_2'!B12-DATE(YEAR(B12),1,1)+1)/366)+((DATE(YEAR(B11),12,31)-'Roboczy harmonogram_2'!B11)/365))),0))</f>
        <v>0</v>
      </c>
      <c r="H12">
        <f t="shared" ca="1" si="2"/>
        <v>0</v>
      </c>
      <c r="I12">
        <f t="shared" ca="1" si="3"/>
        <v>1.0068219178082192</v>
      </c>
      <c r="J12">
        <f t="shared" ca="1" si="4"/>
        <v>1.0068219178082192</v>
      </c>
      <c r="K12">
        <f ca="1">PRODUCT($J$3:J12)</f>
        <v>1.0679309597735194</v>
      </c>
      <c r="L12">
        <f t="shared" ca="1" si="5"/>
        <v>0.93639012039886382</v>
      </c>
      <c r="M12">
        <f ca="1">SUM($L$3:L12)</f>
        <v>9.6617407147004055</v>
      </c>
      <c r="O12">
        <f t="shared" ca="1" si="6"/>
        <v>2584.9686177440453</v>
      </c>
      <c r="P12" s="16">
        <f t="shared" ca="1" si="7"/>
        <v>2315.8641426585973</v>
      </c>
      <c r="Q12" s="17">
        <f t="shared" ca="1" si="8"/>
        <v>376605.23845837469</v>
      </c>
      <c r="S12">
        <f ca="1">IF(A12&lt;='Dane do harmonogramu'!$E$7,'Roboczy harmonogram_2'!P12,0)</f>
        <v>2315.8641426585973</v>
      </c>
      <c r="T12">
        <f ca="1">IF(A12&lt;='Dane do harmonogramu'!$E$7,'Roboczy harmonogram_2'!O12,0)</f>
        <v>2584.9686177440453</v>
      </c>
      <c r="U12">
        <f ca="1">IF(A12&lt;='Dane do harmonogramu'!$E$7,$N$2,0)</f>
        <v>4900.8327604026426</v>
      </c>
      <c r="V12" s="16">
        <f ca="1">IF(A11&lt;='Dane do harmonogramu'!$E$7,Q11*0.15%,"")</f>
        <v>568.38165390154995</v>
      </c>
    </row>
    <row r="13" spans="1:22" x14ac:dyDescent="0.35">
      <c r="A13">
        <v>11</v>
      </c>
      <c r="B13" s="14">
        <f t="shared" ca="1" si="9"/>
        <v>46404</v>
      </c>
      <c r="C13" s="15">
        <f ca="1">(1+'Dane do harmonogramu'!$E$13*('Roboczy harmonogram_2'!B13-'Roboczy harmonogram_2'!B12)/365)</f>
        <v>1.0070493150684932</v>
      </c>
      <c r="D13" s="15">
        <f ca="1">(1+'Dane do harmonogramu'!$E$13*('Roboczy harmonogram_2'!B13-'Roboczy harmonogram_2'!B12)/366)</f>
        <v>1.0070300546448088</v>
      </c>
      <c r="E13" s="15">
        <f t="shared" ca="1" si="0"/>
        <v>0</v>
      </c>
      <c r="F13" s="15">
        <f t="shared" ca="1" si="1"/>
        <v>0</v>
      </c>
      <c r="G13">
        <f ca="1">IF(E13=1,(1+'Dane do harmonogramu'!$E$13*((('Roboczy harmonogram_2'!B13-DATE(YEAR(B13),1,1)+1)/365)+((DATE(YEAR(B12),12,31)-'Roboczy harmonogram_2'!B12)/366))),IF(F13=1,(1+'Dane do harmonogramu'!$E$13*((('Roboczy harmonogram_2'!B13-DATE(YEAR(B13),1,1)+1)/366)+((DATE(YEAR(B12),12,31)-'Roboczy harmonogram_2'!B12)/365))),0))</f>
        <v>0</v>
      </c>
      <c r="H13">
        <f t="shared" ca="1" si="2"/>
        <v>0</v>
      </c>
      <c r="I13">
        <f t="shared" ca="1" si="3"/>
        <v>1.0070493150684932</v>
      </c>
      <c r="J13">
        <f t="shared" ca="1" si="4"/>
        <v>1.0070493150684932</v>
      </c>
      <c r="K13">
        <f ca="1">PRODUCT($J$3:J13)</f>
        <v>1.0754591415803612</v>
      </c>
      <c r="L13">
        <f t="shared" ca="1" si="5"/>
        <v>0.92983541757850907</v>
      </c>
      <c r="M13">
        <f ca="1">SUM($L$3:L13)</f>
        <v>10.591576132278915</v>
      </c>
      <c r="O13">
        <f t="shared" ca="1" si="6"/>
        <v>2654.8089823380578</v>
      </c>
      <c r="P13" s="16">
        <f t="shared" ca="1" si="7"/>
        <v>2246.0237780645848</v>
      </c>
      <c r="Q13" s="17">
        <f t="shared" ca="1" si="8"/>
        <v>374359.21468031011</v>
      </c>
      <c r="S13">
        <f ca="1">IF(A13&lt;='Dane do harmonogramu'!$E$7,'Roboczy harmonogram_2'!P13,0)</f>
        <v>2246.0237780645848</v>
      </c>
      <c r="T13">
        <f ca="1">IF(A13&lt;='Dane do harmonogramu'!$E$7,'Roboczy harmonogram_2'!O13,0)</f>
        <v>2654.8089823380578</v>
      </c>
      <c r="U13">
        <f ca="1">IF(A13&lt;='Dane do harmonogramu'!$E$7,$N$2,0)</f>
        <v>4900.8327604026426</v>
      </c>
      <c r="V13" s="16">
        <f ca="1">IF(A12&lt;='Dane do harmonogramu'!$E$7,Q12*0.15%,"")</f>
        <v>564.907857687562</v>
      </c>
    </row>
    <row r="14" spans="1:22" x14ac:dyDescent="0.35">
      <c r="A14">
        <v>12</v>
      </c>
      <c r="B14" s="14">
        <f t="shared" ca="1" si="9"/>
        <v>46435</v>
      </c>
      <c r="C14" s="15">
        <f ca="1">(1+'Dane do harmonogramu'!$E$13*('Roboczy harmonogram_2'!B14-'Roboczy harmonogram_2'!B13)/365)</f>
        <v>1.0070493150684932</v>
      </c>
      <c r="D14" s="15">
        <f ca="1">(1+'Dane do harmonogramu'!$E$13*('Roboczy harmonogram_2'!B14-'Roboczy harmonogram_2'!B13)/366)</f>
        <v>1.0070300546448088</v>
      </c>
      <c r="E14" s="15">
        <f t="shared" ca="1" si="0"/>
        <v>0</v>
      </c>
      <c r="F14" s="15">
        <f t="shared" ca="1" si="1"/>
        <v>0</v>
      </c>
      <c r="G14">
        <f ca="1">IF(E14=1,(1+'Dane do harmonogramu'!$E$13*((('Roboczy harmonogram_2'!B14-DATE(YEAR(B14),1,1)+1)/365)+((DATE(YEAR(B13),12,31)-'Roboczy harmonogram_2'!B13)/366))),IF(F14=1,(1+'Dane do harmonogramu'!$E$13*((('Roboczy harmonogram_2'!B14-DATE(YEAR(B14),1,1)+1)/366)+((DATE(YEAR(B13),12,31)-'Roboczy harmonogram_2'!B13)/365))),0))</f>
        <v>0</v>
      </c>
      <c r="H14">
        <f t="shared" ca="1" si="2"/>
        <v>0</v>
      </c>
      <c r="I14">
        <f t="shared" ca="1" si="3"/>
        <v>1.0070493150684932</v>
      </c>
      <c r="J14">
        <f t="shared" ca="1" si="4"/>
        <v>1.0070493150684932</v>
      </c>
      <c r="K14">
        <f ca="1">PRODUCT($J$3:J14)</f>
        <v>1.0830403919126523</v>
      </c>
      <c r="L14">
        <f t="shared" ca="1" si="5"/>
        <v>0.92332659748174051</v>
      </c>
      <c r="M14">
        <f ca="1">SUM($L$3:L14)</f>
        <v>11.514902729760655</v>
      </c>
      <c r="O14">
        <f t="shared" ca="1" si="6"/>
        <v>2638.9760530751664</v>
      </c>
      <c r="P14" s="16">
        <f t="shared" ca="1" si="7"/>
        <v>2261.8567073274762</v>
      </c>
      <c r="Q14" s="17">
        <f t="shared" ca="1" si="8"/>
        <v>372097.35797298263</v>
      </c>
      <c r="S14">
        <f ca="1">IF(A14&lt;='Dane do harmonogramu'!$E$7,'Roboczy harmonogram_2'!P14,0)</f>
        <v>2261.8567073274762</v>
      </c>
      <c r="T14">
        <f ca="1">IF(A14&lt;='Dane do harmonogramu'!$E$7,'Roboczy harmonogram_2'!O14,0)</f>
        <v>2638.9760530751664</v>
      </c>
      <c r="U14">
        <f ca="1">IF(A14&lt;='Dane do harmonogramu'!$E$7,$N$2,0)</f>
        <v>4900.8327604026426</v>
      </c>
      <c r="V14" s="16">
        <f ca="1">IF(A13&lt;='Dane do harmonogramu'!$E$7,Q13*0.15%,"")</f>
        <v>561.5388220204652</v>
      </c>
    </row>
    <row r="15" spans="1:22" x14ac:dyDescent="0.35">
      <c r="A15">
        <v>13</v>
      </c>
      <c r="B15" s="14">
        <f t="shared" ca="1" si="9"/>
        <v>46463</v>
      </c>
      <c r="C15" s="15">
        <f ca="1">(1+'Dane do harmonogramu'!$E$13*('Roboczy harmonogram_2'!B15-'Roboczy harmonogram_2'!B14)/365)</f>
        <v>1.0063671232876712</v>
      </c>
      <c r="D15" s="15">
        <f ca="1">(1+'Dane do harmonogramu'!$E$13*('Roboczy harmonogram_2'!B15-'Roboczy harmonogram_2'!B14)/366)</f>
        <v>1.0063497267759562</v>
      </c>
      <c r="E15" s="15">
        <f t="shared" ca="1" si="0"/>
        <v>0</v>
      </c>
      <c r="F15" s="15">
        <f t="shared" ca="1" si="1"/>
        <v>0</v>
      </c>
      <c r="G15">
        <f ca="1">IF(E15=1,(1+'Dane do harmonogramu'!$E$13*((('Roboczy harmonogram_2'!B15-DATE(YEAR(B15),1,1)+1)/365)+((DATE(YEAR(B14),12,31)-'Roboczy harmonogram_2'!B14)/366))),IF(F15=1,(1+'Dane do harmonogramu'!$E$13*((('Roboczy harmonogram_2'!B15-DATE(YEAR(B15),1,1)+1)/366)+((DATE(YEAR(B14),12,31)-'Roboczy harmonogram_2'!B14)/365))),0))</f>
        <v>0</v>
      </c>
      <c r="H15">
        <f t="shared" ca="1" si="2"/>
        <v>0</v>
      </c>
      <c r="I15">
        <f t="shared" ca="1" si="3"/>
        <v>1.0063671232876712</v>
      </c>
      <c r="J15">
        <f t="shared" ca="1" si="4"/>
        <v>1.0063671232876712</v>
      </c>
      <c r="K15">
        <f ca="1">PRODUCT($J$3:J15)</f>
        <v>1.0899362436134878</v>
      </c>
      <c r="L15">
        <f t="shared" ca="1" si="5"/>
        <v>0.91748485827453508</v>
      </c>
      <c r="M15">
        <f ca="1">SUM($L$3:L15)</f>
        <v>12.432387588035191</v>
      </c>
      <c r="O15">
        <f t="shared" ca="1" si="6"/>
        <v>2369.1897532307194</v>
      </c>
      <c r="P15" s="16">
        <f t="shared" ca="1" si="7"/>
        <v>2531.6430071719233</v>
      </c>
      <c r="Q15" s="17">
        <f t="shared" ca="1" si="8"/>
        <v>369565.71496581071</v>
      </c>
      <c r="S15">
        <f ca="1">IF(A15&lt;='Dane do harmonogramu'!$E$7,'Roboczy harmonogram_2'!P15,0)</f>
        <v>2531.6430071719233</v>
      </c>
      <c r="T15">
        <f ca="1">IF(A15&lt;='Dane do harmonogramu'!$E$7,'Roboczy harmonogram_2'!O15,0)</f>
        <v>2369.1897532307194</v>
      </c>
      <c r="U15">
        <f ca="1">IF(A15&lt;='Dane do harmonogramu'!$E$7,$N$2,0)</f>
        <v>4900.8327604026426</v>
      </c>
      <c r="V15" s="16">
        <f ca="1">IF(A14&lt;='Dane do harmonogramu'!$E$7,Q14*0.15%,"")</f>
        <v>558.14603695947392</v>
      </c>
    </row>
    <row r="16" spans="1:22" x14ac:dyDescent="0.35">
      <c r="A16">
        <v>14</v>
      </c>
      <c r="B16" s="14">
        <f t="shared" ca="1" si="9"/>
        <v>46494</v>
      </c>
      <c r="C16" s="15">
        <f ca="1">(1+'Dane do harmonogramu'!$E$13*('Roboczy harmonogram_2'!B16-'Roboczy harmonogram_2'!B15)/365)</f>
        <v>1.0070493150684932</v>
      </c>
      <c r="D16" s="15">
        <f ca="1">(1+'Dane do harmonogramu'!$E$13*('Roboczy harmonogram_2'!B16-'Roboczy harmonogram_2'!B15)/366)</f>
        <v>1.0070300546448088</v>
      </c>
      <c r="E16" s="15">
        <f t="shared" ca="1" si="0"/>
        <v>0</v>
      </c>
      <c r="F16" s="15">
        <f t="shared" ca="1" si="1"/>
        <v>0</v>
      </c>
      <c r="G16">
        <f ca="1">IF(E16=1,(1+'Dane do harmonogramu'!$E$13*((('Roboczy harmonogram_2'!B16-DATE(YEAR(B16),1,1)+1)/365)+((DATE(YEAR(B15),12,31)-'Roboczy harmonogram_2'!B15)/366))),IF(F16=1,(1+'Dane do harmonogramu'!$E$13*((('Roboczy harmonogram_2'!B16-DATE(YEAR(B16),1,1)+1)/366)+((DATE(YEAR(B15),12,31)-'Roboczy harmonogram_2'!B15)/365))),0))</f>
        <v>0</v>
      </c>
      <c r="H16">
        <f t="shared" ca="1" si="2"/>
        <v>0</v>
      </c>
      <c r="I16">
        <f t="shared" ca="1" si="3"/>
        <v>1.0070493150684932</v>
      </c>
      <c r="J16">
        <f t="shared" ca="1" si="4"/>
        <v>1.0070493150684932</v>
      </c>
      <c r="K16">
        <f ca="1">PRODUCT($J$3:J16)</f>
        <v>1.0976195475992891</v>
      </c>
      <c r="L16">
        <f t="shared" ca="1" si="5"/>
        <v>0.91106249172329123</v>
      </c>
      <c r="M16">
        <f ca="1">SUM($L$3:L16)</f>
        <v>13.343450079758481</v>
      </c>
      <c r="O16">
        <f t="shared" ca="1" si="6"/>
        <v>2605.1851633069455</v>
      </c>
      <c r="P16" s="16">
        <f t="shared" ca="1" si="7"/>
        <v>2295.6475970956972</v>
      </c>
      <c r="Q16" s="17">
        <f t="shared" ca="1" si="8"/>
        <v>367270.06736871501</v>
      </c>
      <c r="S16">
        <f ca="1">IF(A16&lt;='Dane do harmonogramu'!$E$7,'Roboczy harmonogram_2'!P16,0)</f>
        <v>2295.6475970956972</v>
      </c>
      <c r="T16">
        <f ca="1">IF(A16&lt;='Dane do harmonogramu'!$E$7,'Roboczy harmonogram_2'!O16,0)</f>
        <v>2605.1851633069455</v>
      </c>
      <c r="U16">
        <f ca="1">IF(A16&lt;='Dane do harmonogramu'!$E$7,$N$2,0)</f>
        <v>4900.8327604026426</v>
      </c>
      <c r="V16" s="16">
        <f ca="1">IF(A15&lt;='Dane do harmonogramu'!$E$7,Q15*0.15%,"")</f>
        <v>554.34857244871603</v>
      </c>
    </row>
    <row r="17" spans="1:22" x14ac:dyDescent="0.35">
      <c r="A17">
        <v>15</v>
      </c>
      <c r="B17" s="14">
        <f t="shared" ca="1" si="9"/>
        <v>46524</v>
      </c>
      <c r="C17" s="15">
        <f ca="1">(1+'Dane do harmonogramu'!$E$13*('Roboczy harmonogram_2'!B17-'Roboczy harmonogram_2'!B16)/365)</f>
        <v>1.0068219178082192</v>
      </c>
      <c r="D17" s="15">
        <f ca="1">(1+'Dane do harmonogramu'!$E$13*('Roboczy harmonogram_2'!B17-'Roboczy harmonogram_2'!B16)/366)</f>
        <v>1.0068032786885246</v>
      </c>
      <c r="E17" s="15">
        <f t="shared" ca="1" si="0"/>
        <v>0</v>
      </c>
      <c r="F17" s="15">
        <f t="shared" ca="1" si="1"/>
        <v>0</v>
      </c>
      <c r="G17">
        <f ca="1">IF(E17=1,(1+'Dane do harmonogramu'!$E$13*((('Roboczy harmonogram_2'!B17-DATE(YEAR(B17),1,1)+1)/365)+((DATE(YEAR(B16),12,31)-'Roboczy harmonogram_2'!B16)/366))),IF(F17=1,(1+'Dane do harmonogramu'!$E$13*((('Roboczy harmonogram_2'!B17-DATE(YEAR(B17),1,1)+1)/366)+((DATE(YEAR(B16),12,31)-'Roboczy harmonogram_2'!B16)/365))),0))</f>
        <v>0</v>
      </c>
      <c r="H17">
        <f t="shared" ca="1" si="2"/>
        <v>0</v>
      </c>
      <c r="I17">
        <f t="shared" ca="1" si="3"/>
        <v>1.0068219178082192</v>
      </c>
      <c r="J17">
        <f t="shared" ca="1" si="4"/>
        <v>1.0068219178082192</v>
      </c>
      <c r="K17">
        <f ca="1">PRODUCT($J$3:J17)</f>
        <v>1.1051074179377063</v>
      </c>
      <c r="L17">
        <f t="shared" ca="1" si="5"/>
        <v>0.90488941053906569</v>
      </c>
      <c r="M17">
        <f ca="1">SUM($L$3:L17)</f>
        <v>14.248339490297546</v>
      </c>
      <c r="O17">
        <f t="shared" ca="1" si="6"/>
        <v>2505.4862130084657</v>
      </c>
      <c r="P17" s="16">
        <f t="shared" ca="1" si="7"/>
        <v>2395.3465473941769</v>
      </c>
      <c r="Q17" s="17">
        <f t="shared" ca="1" si="8"/>
        <v>364874.72082132084</v>
      </c>
      <c r="S17">
        <f ca="1">IF(A17&lt;='Dane do harmonogramu'!$E$7,'Roboczy harmonogram_2'!P17,0)</f>
        <v>2395.3465473941769</v>
      </c>
      <c r="T17">
        <f ca="1">IF(A17&lt;='Dane do harmonogramu'!$E$7,'Roboczy harmonogram_2'!O17,0)</f>
        <v>2505.4862130084657</v>
      </c>
      <c r="U17">
        <f ca="1">IF(A17&lt;='Dane do harmonogramu'!$E$7,$N$2,0)</f>
        <v>4900.8327604026426</v>
      </c>
      <c r="V17" s="16">
        <f ca="1">IF(A16&lt;='Dane do harmonogramu'!$E$7,Q16*0.15%,"")</f>
        <v>550.90510105307249</v>
      </c>
    </row>
    <row r="18" spans="1:22" x14ac:dyDescent="0.35">
      <c r="A18">
        <v>16</v>
      </c>
      <c r="B18" s="14">
        <f t="shared" ca="1" si="9"/>
        <v>46555</v>
      </c>
      <c r="C18" s="15">
        <f ca="1">(1+'Dane do harmonogramu'!$E$13*('Roboczy harmonogram_2'!B18-'Roboczy harmonogram_2'!B17)/365)</f>
        <v>1.0070493150684932</v>
      </c>
      <c r="D18" s="15">
        <f ca="1">(1+'Dane do harmonogramu'!$E$13*('Roboczy harmonogram_2'!B18-'Roboczy harmonogram_2'!B17)/366)</f>
        <v>1.0070300546448088</v>
      </c>
      <c r="E18" s="15">
        <f t="shared" ca="1" si="0"/>
        <v>0</v>
      </c>
      <c r="F18" s="15">
        <f t="shared" ca="1" si="1"/>
        <v>0</v>
      </c>
      <c r="G18">
        <f ca="1">IF(E18=1,(1+'Dane do harmonogramu'!$E$13*((('Roboczy harmonogram_2'!B18-DATE(YEAR(B18),1,1)+1)/365)+((DATE(YEAR(B17),12,31)-'Roboczy harmonogram_2'!B17)/366))),IF(F18=1,(1+'Dane do harmonogramu'!$E$13*((('Roboczy harmonogram_2'!B18-DATE(YEAR(B18),1,1)+1)/366)+((DATE(YEAR(B17),12,31)-'Roboczy harmonogram_2'!B17)/365))),0))</f>
        <v>0</v>
      </c>
      <c r="H18">
        <f t="shared" ca="1" si="2"/>
        <v>0</v>
      </c>
      <c r="I18">
        <f t="shared" ca="1" si="3"/>
        <v>1.0070493150684932</v>
      </c>
      <c r="J18">
        <f t="shared" ca="1" si="4"/>
        <v>1.0070493150684932</v>
      </c>
      <c r="K18">
        <f ca="1">PRODUCT($J$3:J18)</f>
        <v>1.1128976683112781</v>
      </c>
      <c r="L18">
        <f t="shared" ca="1" si="5"/>
        <v>0.89855521174503838</v>
      </c>
      <c r="M18">
        <f ca="1">SUM($L$3:L18)</f>
        <v>15.146894702042584</v>
      </c>
      <c r="O18">
        <f t="shared" ca="1" si="6"/>
        <v>2572.1168675979716</v>
      </c>
      <c r="P18" s="16">
        <f t="shared" ca="1" si="7"/>
        <v>2328.7158928046711</v>
      </c>
      <c r="Q18" s="17">
        <f t="shared" ca="1" si="8"/>
        <v>362546.00492851617</v>
      </c>
      <c r="S18">
        <f ca="1">IF(A18&lt;='Dane do harmonogramu'!$E$7,'Roboczy harmonogram_2'!P18,0)</f>
        <v>2328.7158928046711</v>
      </c>
      <c r="T18">
        <f ca="1">IF(A18&lt;='Dane do harmonogramu'!$E$7,'Roboczy harmonogram_2'!O18,0)</f>
        <v>2572.1168675979716</v>
      </c>
      <c r="U18">
        <f ca="1">IF(A18&lt;='Dane do harmonogramu'!$E$7,$N$2,0)</f>
        <v>4900.8327604026426</v>
      </c>
      <c r="V18" s="16">
        <f ca="1">IF(A17&lt;='Dane do harmonogramu'!$E$7,Q17*0.15%,"")</f>
        <v>547.31208123198121</v>
      </c>
    </row>
    <row r="19" spans="1:22" x14ac:dyDescent="0.35">
      <c r="A19">
        <v>17</v>
      </c>
      <c r="B19" s="14">
        <f t="shared" ca="1" si="9"/>
        <v>46585</v>
      </c>
      <c r="C19" s="15">
        <f ca="1">(1+'Dane do harmonogramu'!$E$13*('Roboczy harmonogram_2'!B19-'Roboczy harmonogram_2'!B18)/365)</f>
        <v>1.0068219178082192</v>
      </c>
      <c r="D19" s="15">
        <f ca="1">(1+'Dane do harmonogramu'!$E$13*('Roboczy harmonogram_2'!B19-'Roboczy harmonogram_2'!B18)/366)</f>
        <v>1.0068032786885246</v>
      </c>
      <c r="E19" s="15">
        <f t="shared" ca="1" si="0"/>
        <v>0</v>
      </c>
      <c r="F19" s="15">
        <f t="shared" ca="1" si="1"/>
        <v>0</v>
      </c>
      <c r="G19">
        <f ca="1">IF(E19=1,(1+'Dane do harmonogramu'!$E$13*((('Roboczy harmonogram_2'!B19-DATE(YEAR(B19),1,1)+1)/365)+((DATE(YEAR(B18),12,31)-'Roboczy harmonogram_2'!B18)/366))),IF(F19=1,(1+'Dane do harmonogramu'!$E$13*((('Roboczy harmonogram_2'!B19-DATE(YEAR(B19),1,1)+1)/366)+((DATE(YEAR(B18),12,31)-'Roboczy harmonogram_2'!B18)/365))),0))</f>
        <v>0</v>
      </c>
      <c r="H19">
        <f t="shared" ca="1" si="2"/>
        <v>0</v>
      </c>
      <c r="I19">
        <f t="shared" ca="1" si="3"/>
        <v>1.0068219178082192</v>
      </c>
      <c r="J19">
        <f t="shared" ca="1" si="4"/>
        <v>1.0068219178082192</v>
      </c>
      <c r="K19">
        <f ca="1">PRODUCT($J$3:J19)</f>
        <v>1.1204897647334564</v>
      </c>
      <c r="L19">
        <f t="shared" ca="1" si="5"/>
        <v>0.89246687606993125</v>
      </c>
      <c r="M19">
        <f ca="1">SUM($L$3:L19)</f>
        <v>16.039361578112516</v>
      </c>
      <c r="O19">
        <f t="shared" ca="1" si="6"/>
        <v>2473.2590473205782</v>
      </c>
      <c r="P19" s="16">
        <f t="shared" ca="1" si="7"/>
        <v>2427.5737130820644</v>
      </c>
      <c r="Q19" s="17">
        <f t="shared" ca="1" si="8"/>
        <v>360118.4312154341</v>
      </c>
      <c r="S19">
        <f ca="1">IF(A19&lt;='Dane do harmonogramu'!$E$7,'Roboczy harmonogram_2'!P19,0)</f>
        <v>2427.5737130820644</v>
      </c>
      <c r="T19">
        <f ca="1">IF(A19&lt;='Dane do harmonogramu'!$E$7,'Roboczy harmonogram_2'!O19,0)</f>
        <v>2473.2590473205782</v>
      </c>
      <c r="U19">
        <f ca="1">IF(A19&lt;='Dane do harmonogramu'!$E$7,$N$2,0)</f>
        <v>4900.8327604026426</v>
      </c>
      <c r="V19" s="16">
        <f ca="1">IF(A18&lt;='Dane do harmonogramu'!$E$7,Q18*0.15%,"")</f>
        <v>543.81900739277421</v>
      </c>
    </row>
    <row r="20" spans="1:22" x14ac:dyDescent="0.35">
      <c r="A20">
        <v>18</v>
      </c>
      <c r="B20" s="14">
        <f t="shared" ca="1" si="9"/>
        <v>46616</v>
      </c>
      <c r="C20" s="15">
        <f ca="1">(1+'Dane do harmonogramu'!$E$13*('Roboczy harmonogram_2'!B20-'Roboczy harmonogram_2'!B19)/365)</f>
        <v>1.0070493150684932</v>
      </c>
      <c r="D20" s="15">
        <f ca="1">(1+'Dane do harmonogramu'!$E$13*('Roboczy harmonogram_2'!B20-'Roboczy harmonogram_2'!B19)/366)</f>
        <v>1.0070300546448088</v>
      </c>
      <c r="E20" s="15">
        <f t="shared" ca="1" si="0"/>
        <v>0</v>
      </c>
      <c r="F20" s="15">
        <f t="shared" ca="1" si="1"/>
        <v>0</v>
      </c>
      <c r="G20">
        <f ca="1">IF(E20=1,(1+'Dane do harmonogramu'!$E$13*((('Roboczy harmonogram_2'!B20-DATE(YEAR(B20),1,1)+1)/365)+((DATE(YEAR(B19),12,31)-'Roboczy harmonogram_2'!B19)/366))),IF(F20=1,(1+'Dane do harmonogramu'!$E$13*((('Roboczy harmonogram_2'!B20-DATE(YEAR(B20),1,1)+1)/366)+((DATE(YEAR(B19),12,31)-'Roboczy harmonogram_2'!B19)/365))),0))</f>
        <v>0</v>
      </c>
      <c r="H20">
        <f t="shared" ca="1" si="2"/>
        <v>0</v>
      </c>
      <c r="I20">
        <f t="shared" ca="1" si="3"/>
        <v>1.0070493150684932</v>
      </c>
      <c r="J20">
        <f t="shared" ca="1" si="4"/>
        <v>1.0070493150684932</v>
      </c>
      <c r="K20">
        <f ca="1">PRODUCT($J$3:J20)</f>
        <v>1.1283884501160844</v>
      </c>
      <c r="L20">
        <f t="shared" ca="1" si="5"/>
        <v>0.88621963464543063</v>
      </c>
      <c r="M20">
        <f ca="1">SUM($L$3:L20)</f>
        <v>16.925581212757947</v>
      </c>
      <c r="O20">
        <f t="shared" ca="1" si="6"/>
        <v>2538.588283609075</v>
      </c>
      <c r="P20" s="16">
        <f t="shared" ca="1" si="7"/>
        <v>2362.2444767935676</v>
      </c>
      <c r="Q20" s="17">
        <f t="shared" ca="1" si="8"/>
        <v>357756.18673864054</v>
      </c>
      <c r="S20">
        <f ca="1">IF(A20&lt;='Dane do harmonogramu'!$E$7,'Roboczy harmonogram_2'!P20,0)</f>
        <v>2362.2444767935676</v>
      </c>
      <c r="T20">
        <f ca="1">IF(A20&lt;='Dane do harmonogramu'!$E$7,'Roboczy harmonogram_2'!O20,0)</f>
        <v>2538.588283609075</v>
      </c>
      <c r="U20">
        <f ca="1">IF(A20&lt;='Dane do harmonogramu'!$E$7,$N$2,0)</f>
        <v>4900.8327604026426</v>
      </c>
      <c r="V20" s="16">
        <f ca="1">IF(A19&lt;='Dane do harmonogramu'!$E$7,Q19*0.15%,"")</f>
        <v>540.17764682315112</v>
      </c>
    </row>
    <row r="21" spans="1:22" x14ac:dyDescent="0.35">
      <c r="A21">
        <v>19</v>
      </c>
      <c r="B21" s="14">
        <f t="shared" ca="1" si="9"/>
        <v>46647</v>
      </c>
      <c r="C21" s="15">
        <f ca="1">(1+'Dane do harmonogramu'!$E$13*('Roboczy harmonogram_2'!B21-'Roboczy harmonogram_2'!B20)/365)</f>
        <v>1.0070493150684932</v>
      </c>
      <c r="D21" s="15">
        <f ca="1">(1+'Dane do harmonogramu'!$E$13*('Roboczy harmonogram_2'!B21-'Roboczy harmonogram_2'!B20)/366)</f>
        <v>1.0070300546448088</v>
      </c>
      <c r="E21" s="15">
        <f t="shared" ca="1" si="0"/>
        <v>0</v>
      </c>
      <c r="F21" s="15">
        <f t="shared" ca="1" si="1"/>
        <v>0</v>
      </c>
      <c r="G21">
        <f ca="1">IF(E21=1,(1+'Dane do harmonogramu'!$E$13*((('Roboczy harmonogram_2'!B21-DATE(YEAR(B21),1,1)+1)/365)+((DATE(YEAR(B20),12,31)-'Roboczy harmonogram_2'!B20)/366))),IF(F21=1,(1+'Dane do harmonogramu'!$E$13*((('Roboczy harmonogram_2'!B21-DATE(YEAR(B21),1,1)+1)/366)+((DATE(YEAR(B20),12,31)-'Roboczy harmonogram_2'!B20)/365))),0))</f>
        <v>0</v>
      </c>
      <c r="H21">
        <f t="shared" ca="1" si="2"/>
        <v>0</v>
      </c>
      <c r="I21">
        <f t="shared" ca="1" si="3"/>
        <v>1.0070493150684932</v>
      </c>
      <c r="J21">
        <f t="shared" ca="1" si="4"/>
        <v>1.0070493150684932</v>
      </c>
      <c r="K21">
        <f ca="1">PRODUCT($J$3:J21)</f>
        <v>1.1363428158206013</v>
      </c>
      <c r="L21">
        <f t="shared" ca="1" si="5"/>
        <v>0.88001612372394655</v>
      </c>
      <c r="M21">
        <f ca="1">SUM($L$3:L21)</f>
        <v>17.805597336481895</v>
      </c>
      <c r="O21">
        <f t="shared" ca="1" si="6"/>
        <v>2521.9360780233401</v>
      </c>
      <c r="P21" s="16">
        <f t="shared" ca="1" si="7"/>
        <v>2378.8966823793025</v>
      </c>
      <c r="Q21" s="17">
        <f t="shared" ca="1" si="8"/>
        <v>355377.29005626123</v>
      </c>
      <c r="S21">
        <f ca="1">IF(A21&lt;='Dane do harmonogramu'!$E$7,'Roboczy harmonogram_2'!P21,0)</f>
        <v>2378.8966823793025</v>
      </c>
      <c r="T21">
        <f ca="1">IF(A21&lt;='Dane do harmonogramu'!$E$7,'Roboczy harmonogram_2'!O21,0)</f>
        <v>2521.9360780233401</v>
      </c>
      <c r="U21">
        <f ca="1">IF(A21&lt;='Dane do harmonogramu'!$E$7,$N$2,0)</f>
        <v>4900.8327604026426</v>
      </c>
      <c r="V21" s="16">
        <f ca="1">IF(A20&lt;='Dane do harmonogramu'!$E$7,Q20*0.15%,"")</f>
        <v>536.63428010796076</v>
      </c>
    </row>
    <row r="22" spans="1:22" x14ac:dyDescent="0.35">
      <c r="A22">
        <v>20</v>
      </c>
      <c r="B22" s="14">
        <f t="shared" ca="1" si="9"/>
        <v>46677</v>
      </c>
      <c r="C22" s="15">
        <f ca="1">(1+'Dane do harmonogramu'!$E$13*('Roboczy harmonogram_2'!B22-'Roboczy harmonogram_2'!B21)/365)</f>
        <v>1.0068219178082192</v>
      </c>
      <c r="D22" s="15">
        <f ca="1">(1+'Dane do harmonogramu'!$E$13*('Roboczy harmonogram_2'!B22-'Roboczy harmonogram_2'!B21)/366)</f>
        <v>1.0068032786885246</v>
      </c>
      <c r="E22" s="15">
        <f t="shared" ca="1" si="0"/>
        <v>0</v>
      </c>
      <c r="F22" s="15">
        <f t="shared" ca="1" si="1"/>
        <v>0</v>
      </c>
      <c r="G22">
        <f ca="1">IF(E22=1,(1+'Dane do harmonogramu'!$E$13*((('Roboczy harmonogram_2'!B22-DATE(YEAR(B22),1,1)+1)/365)+((DATE(YEAR(B21),12,31)-'Roboczy harmonogram_2'!B21)/366))),IF(F22=1,(1+'Dane do harmonogramu'!$E$13*((('Roboczy harmonogram_2'!B22-DATE(YEAR(B22),1,1)+1)/366)+((DATE(YEAR(B21),12,31)-'Roboczy harmonogram_2'!B21)/365))),0))</f>
        <v>0</v>
      </c>
      <c r="H22">
        <f t="shared" ca="1" si="2"/>
        <v>0</v>
      </c>
      <c r="I22">
        <f t="shared" ca="1" si="3"/>
        <v>1.0068219178082192</v>
      </c>
      <c r="J22">
        <f t="shared" ca="1" si="4"/>
        <v>1.0068219178082192</v>
      </c>
      <c r="K22">
        <f ca="1">PRODUCT($J$3:J22)</f>
        <v>1.1440948531120898</v>
      </c>
      <c r="L22">
        <f t="shared" ca="1" si="5"/>
        <v>0.8740534032470012</v>
      </c>
      <c r="M22">
        <f ca="1">SUM($L$3:L22)</f>
        <v>18.679650739728896</v>
      </c>
      <c r="O22">
        <f t="shared" ca="1" si="6"/>
        <v>2424.35466367146</v>
      </c>
      <c r="P22" s="16">
        <f t="shared" ca="1" si="7"/>
        <v>2476.4780967311826</v>
      </c>
      <c r="Q22" s="17">
        <f t="shared" ca="1" si="8"/>
        <v>352900.81195953005</v>
      </c>
      <c r="S22">
        <f ca="1">IF(A22&lt;='Dane do harmonogramu'!$E$7,'Roboczy harmonogram_2'!P22,0)</f>
        <v>2476.4780967311826</v>
      </c>
      <c r="T22">
        <f ca="1">IF(A22&lt;='Dane do harmonogramu'!$E$7,'Roboczy harmonogram_2'!O22,0)</f>
        <v>2424.35466367146</v>
      </c>
      <c r="U22">
        <f ca="1">IF(A22&lt;='Dane do harmonogramu'!$E$7,$N$2,0)</f>
        <v>4900.8327604026426</v>
      </c>
      <c r="V22" s="16">
        <f ca="1">IF(A21&lt;='Dane do harmonogramu'!$E$7,Q21*0.15%,"")</f>
        <v>533.06593508439187</v>
      </c>
    </row>
    <row r="23" spans="1:22" x14ac:dyDescent="0.35">
      <c r="A23">
        <v>21</v>
      </c>
      <c r="B23" s="14">
        <f t="shared" ca="1" si="9"/>
        <v>46708</v>
      </c>
      <c r="C23" s="15">
        <f ca="1">(1+'Dane do harmonogramu'!$E$13*('Roboczy harmonogram_2'!B23-'Roboczy harmonogram_2'!B22)/365)</f>
        <v>1.0070493150684932</v>
      </c>
      <c r="D23" s="15">
        <f ca="1">(1+'Dane do harmonogramu'!$E$13*('Roboczy harmonogram_2'!B23-'Roboczy harmonogram_2'!B22)/366)</f>
        <v>1.0070300546448088</v>
      </c>
      <c r="E23" s="15">
        <f t="shared" ca="1" si="0"/>
        <v>0</v>
      </c>
      <c r="F23" s="15">
        <f t="shared" ca="1" si="1"/>
        <v>0</v>
      </c>
      <c r="G23">
        <f ca="1">IF(E23=1,(1+'Dane do harmonogramu'!$E$13*((('Roboczy harmonogram_2'!B23-DATE(YEAR(B23),1,1)+1)/365)+((DATE(YEAR(B22),12,31)-'Roboczy harmonogram_2'!B22)/366))),IF(F23=1,(1+'Dane do harmonogramu'!$E$13*((('Roboczy harmonogram_2'!B23-DATE(YEAR(B23),1,1)+1)/366)+((DATE(YEAR(B22),12,31)-'Roboczy harmonogram_2'!B22)/365))),0))</f>
        <v>0</v>
      </c>
      <c r="H23">
        <f t="shared" ca="1" si="2"/>
        <v>0</v>
      </c>
      <c r="I23">
        <f t="shared" ca="1" si="3"/>
        <v>1.0070493150684932</v>
      </c>
      <c r="J23">
        <f t="shared" ca="1" si="4"/>
        <v>1.0070493150684932</v>
      </c>
      <c r="K23">
        <f ca="1">PRODUCT($J$3:J23)</f>
        <v>1.1521599381999184</v>
      </c>
      <c r="L23">
        <f t="shared" ca="1" si="5"/>
        <v>0.86793505558121897</v>
      </c>
      <c r="M23">
        <f ca="1">SUM($L$3:L23)</f>
        <v>19.547585795310116</v>
      </c>
      <c r="O23">
        <f t="shared" ca="1" si="6"/>
        <v>2487.7090114298044</v>
      </c>
      <c r="P23" s="16">
        <f t="shared" ca="1" si="7"/>
        <v>2413.1237489728383</v>
      </c>
      <c r="Q23" s="17">
        <f t="shared" ca="1" si="8"/>
        <v>350487.68821055721</v>
      </c>
      <c r="S23">
        <f ca="1">IF(A23&lt;='Dane do harmonogramu'!$E$7,'Roboczy harmonogram_2'!P23,0)</f>
        <v>2413.1237489728383</v>
      </c>
      <c r="T23">
        <f ca="1">IF(A23&lt;='Dane do harmonogramu'!$E$7,'Roboczy harmonogram_2'!O23,0)</f>
        <v>2487.7090114298044</v>
      </c>
      <c r="U23">
        <f ca="1">IF(A23&lt;='Dane do harmonogramu'!$E$7,$N$2,0)</f>
        <v>4900.8327604026426</v>
      </c>
      <c r="V23" s="16">
        <f ca="1">IF(A22&lt;='Dane do harmonogramu'!$E$7,Q22*0.15%,"")</f>
        <v>529.35121793929511</v>
      </c>
    </row>
    <row r="24" spans="1:22" x14ac:dyDescent="0.35">
      <c r="A24">
        <v>22</v>
      </c>
      <c r="B24" s="14">
        <f t="shared" ca="1" si="9"/>
        <v>46738</v>
      </c>
      <c r="C24" s="15">
        <f ca="1">(1+'Dane do harmonogramu'!$E$13*('Roboczy harmonogram_2'!B24-'Roboczy harmonogram_2'!B23)/365)</f>
        <v>1.0068219178082192</v>
      </c>
      <c r="D24" s="15">
        <f ca="1">(1+'Dane do harmonogramu'!$E$13*('Roboczy harmonogram_2'!B24-'Roboczy harmonogram_2'!B23)/366)</f>
        <v>1.0068032786885246</v>
      </c>
      <c r="E24" s="15">
        <f t="shared" ca="1" si="0"/>
        <v>0</v>
      </c>
      <c r="F24" s="15">
        <f t="shared" ca="1" si="1"/>
        <v>0</v>
      </c>
      <c r="G24">
        <f ca="1">IF(E24=1,(1+'Dane do harmonogramu'!$E$13*((('Roboczy harmonogram_2'!B24-DATE(YEAR(B24),1,1)+1)/365)+((DATE(YEAR(B23),12,31)-'Roboczy harmonogram_2'!B23)/366))),IF(F24=1,(1+'Dane do harmonogramu'!$E$13*((('Roboczy harmonogram_2'!B24-DATE(YEAR(B24),1,1)+1)/366)+((DATE(YEAR(B23),12,31)-'Roboczy harmonogram_2'!B23)/365))),0))</f>
        <v>0</v>
      </c>
      <c r="H24">
        <f t="shared" ca="1" si="2"/>
        <v>0</v>
      </c>
      <c r="I24">
        <f t="shared" ca="1" si="3"/>
        <v>1.0068219178082192</v>
      </c>
      <c r="J24">
        <f t="shared" ca="1" si="4"/>
        <v>1.0068219178082192</v>
      </c>
      <c r="K24">
        <f ca="1">PRODUCT($J$3:J24)</f>
        <v>1.1600198786002411</v>
      </c>
      <c r="L24">
        <f t="shared" ca="1" si="5"/>
        <v>0.86205419273216943</v>
      </c>
      <c r="M24">
        <f ca="1">SUM($L$3:L24)</f>
        <v>20.409639988042287</v>
      </c>
      <c r="O24">
        <f t="shared" ca="1" si="6"/>
        <v>2390.9982017651782</v>
      </c>
      <c r="P24" s="16">
        <f t="shared" ca="1" si="7"/>
        <v>2509.8345586374644</v>
      </c>
      <c r="Q24" s="17">
        <f t="shared" ca="1" si="8"/>
        <v>347977.85365191975</v>
      </c>
      <c r="S24">
        <f ca="1">IF(A24&lt;='Dane do harmonogramu'!$E$7,'Roboczy harmonogram_2'!P24,0)</f>
        <v>2509.8345586374644</v>
      </c>
      <c r="T24">
        <f ca="1">IF(A24&lt;='Dane do harmonogramu'!$E$7,'Roboczy harmonogram_2'!O24,0)</f>
        <v>2390.9982017651782</v>
      </c>
      <c r="U24">
        <f ca="1">IF(A24&lt;='Dane do harmonogramu'!$E$7,$N$2,0)</f>
        <v>4900.8327604026426</v>
      </c>
      <c r="V24" s="16">
        <f ca="1">IF(A23&lt;='Dane do harmonogramu'!$E$7,Q23*0.15%,"")</f>
        <v>525.73153231583581</v>
      </c>
    </row>
    <row r="25" spans="1:22" x14ac:dyDescent="0.35">
      <c r="A25">
        <v>23</v>
      </c>
      <c r="B25" s="14">
        <f t="shared" ca="1" si="9"/>
        <v>46769</v>
      </c>
      <c r="C25" s="15">
        <f ca="1">(1+'Dane do harmonogramu'!$E$13*('Roboczy harmonogram_2'!B25-'Roboczy harmonogram_2'!B24)/365)</f>
        <v>1.0070493150684932</v>
      </c>
      <c r="D25" s="15">
        <f ca="1">(1+'Dane do harmonogramu'!$E$13*('Roboczy harmonogram_2'!B25-'Roboczy harmonogram_2'!B24)/366)</f>
        <v>1.0070300546448088</v>
      </c>
      <c r="E25" s="15">
        <f t="shared" ca="1" si="0"/>
        <v>0</v>
      </c>
      <c r="F25" s="15">
        <f t="shared" ca="1" si="1"/>
        <v>1</v>
      </c>
      <c r="G25">
        <f ca="1">IF(E25=1,(1+'Dane do harmonogramu'!$E$13*((('Roboczy harmonogram_2'!B25-DATE(YEAR(B25),1,1)+1)/365)+((DATE(YEAR(B24),12,31)-'Roboczy harmonogram_2'!B24)/366))),IF(F25=1,(1+'Dane do harmonogramu'!$E$13*((('Roboczy harmonogram_2'!B25-DATE(YEAR(B25),1,1)+1)/366)+((DATE(YEAR(B24),12,31)-'Roboczy harmonogram_2'!B24)/365))),0))</f>
        <v>1.0070387529006661</v>
      </c>
      <c r="H25">
        <f t="shared" ca="1" si="2"/>
        <v>1</v>
      </c>
      <c r="I25">
        <f t="shared" ca="1" si="3"/>
        <v>1.0070300546448088</v>
      </c>
      <c r="J25">
        <f t="shared" ca="1" si="4"/>
        <v>1.0070387529006661</v>
      </c>
      <c r="K25">
        <f ca="1">PRODUCT($J$3:J25)</f>
        <v>1.168184971885569</v>
      </c>
      <c r="L25">
        <f t="shared" ca="1" si="5"/>
        <v>0.85602881741056691</v>
      </c>
      <c r="M25">
        <f ca="1">SUM($L$3:L25)</f>
        <v>21.265668805452854</v>
      </c>
      <c r="O25">
        <f t="shared" ca="1" si="6"/>
        <v>2449.3301267600036</v>
      </c>
      <c r="P25" s="16">
        <f t="shared" ca="1" si="7"/>
        <v>2451.502633642639</v>
      </c>
      <c r="Q25" s="17">
        <f t="shared" ca="1" si="8"/>
        <v>345526.35101827711</v>
      </c>
      <c r="S25">
        <f ca="1">IF(A25&lt;='Dane do harmonogramu'!$E$7,'Roboczy harmonogram_2'!P25,0)</f>
        <v>2451.502633642639</v>
      </c>
      <c r="T25">
        <f ca="1">IF(A25&lt;='Dane do harmonogramu'!$E$7,'Roboczy harmonogram_2'!O25,0)</f>
        <v>2449.3301267600036</v>
      </c>
      <c r="U25">
        <f ca="1">IF(A25&lt;='Dane do harmonogramu'!$E$7,$N$2,0)</f>
        <v>4900.8327604026426</v>
      </c>
      <c r="V25" s="16">
        <f ca="1">IF(A24&lt;='Dane do harmonogramu'!$E$7,Q24*0.15%,"")</f>
        <v>521.96678047787964</v>
      </c>
    </row>
    <row r="26" spans="1:22" x14ac:dyDescent="0.35">
      <c r="A26">
        <v>24</v>
      </c>
      <c r="B26" s="14">
        <f t="shared" ca="1" si="9"/>
        <v>46800</v>
      </c>
      <c r="C26" s="15">
        <f ca="1">(1+'Dane do harmonogramu'!$E$13*('Roboczy harmonogram_2'!B26-'Roboczy harmonogram_2'!B25)/365)</f>
        <v>1.0070493150684932</v>
      </c>
      <c r="D26" s="15">
        <f ca="1">(1+'Dane do harmonogramu'!$E$13*('Roboczy harmonogram_2'!B26-'Roboczy harmonogram_2'!B25)/366)</f>
        <v>1.0070300546448088</v>
      </c>
      <c r="E26" s="15">
        <f t="shared" ca="1" si="0"/>
        <v>0</v>
      </c>
      <c r="F26" s="15">
        <f t="shared" ca="1" si="1"/>
        <v>0</v>
      </c>
      <c r="G26">
        <f ca="1">IF(E26=1,(1+'Dane do harmonogramu'!$E$13*((('Roboczy harmonogram_2'!B26-DATE(YEAR(B26),1,1)+1)/365)+((DATE(YEAR(B25),12,31)-'Roboczy harmonogram_2'!B25)/366))),IF(F26=1,(1+'Dane do harmonogramu'!$E$13*((('Roboczy harmonogram_2'!B26-DATE(YEAR(B26),1,1)+1)/366)+((DATE(YEAR(B25),12,31)-'Roboczy harmonogram_2'!B25)/365))),0))</f>
        <v>0</v>
      </c>
      <c r="H26">
        <f t="shared" ca="1" si="2"/>
        <v>1</v>
      </c>
      <c r="I26">
        <f t="shared" ca="1" si="3"/>
        <v>1.0070300546448088</v>
      </c>
      <c r="J26">
        <f t="shared" ca="1" si="4"/>
        <v>1.0070300546448088</v>
      </c>
      <c r="K26">
        <f ca="1">PRODUCT($J$3:J26)</f>
        <v>1.176397376073169</v>
      </c>
      <c r="L26">
        <f t="shared" ca="1" si="5"/>
        <v>0.85005289907906301</v>
      </c>
      <c r="M26">
        <f ca="1">SUM($L$3:L26)</f>
        <v>22.115721704531918</v>
      </c>
      <c r="O26">
        <f t="shared" ca="1" si="6"/>
        <v>2429.0691288798698</v>
      </c>
      <c r="P26" s="16">
        <f t="shared" ca="1" si="7"/>
        <v>2471.7636315227728</v>
      </c>
      <c r="Q26" s="17">
        <f t="shared" ca="1" si="8"/>
        <v>343054.58738675434</v>
      </c>
      <c r="S26">
        <f ca="1">IF(A26&lt;='Dane do harmonogramu'!$E$7,'Roboczy harmonogram_2'!P26,0)</f>
        <v>2471.7636315227728</v>
      </c>
      <c r="T26">
        <f ca="1">IF(A26&lt;='Dane do harmonogramu'!$E$7,'Roboczy harmonogram_2'!O26,0)</f>
        <v>2429.0691288798698</v>
      </c>
      <c r="U26">
        <f ca="1">IF(A26&lt;='Dane do harmonogramu'!$E$7,$N$2,0)</f>
        <v>4900.8327604026426</v>
      </c>
      <c r="V26" s="16">
        <f ca="1">IF(A25&lt;='Dane do harmonogramu'!$E$7,Q25*0.15%,"")</f>
        <v>518.28952652741566</v>
      </c>
    </row>
    <row r="27" spans="1:22" x14ac:dyDescent="0.35">
      <c r="A27">
        <v>25</v>
      </c>
      <c r="B27" s="14">
        <f t="shared" ca="1" si="9"/>
        <v>46829</v>
      </c>
      <c r="C27" s="15">
        <f ca="1">(1+'Dane do harmonogramu'!$E$13*('Roboczy harmonogram_2'!B27-'Roboczy harmonogram_2'!B26)/365)</f>
        <v>1.0065945205479452</v>
      </c>
      <c r="D27" s="15">
        <f ca="1">(1+'Dane do harmonogramu'!$E$13*('Roboczy harmonogram_2'!B27-'Roboczy harmonogram_2'!B26)/366)</f>
        <v>1.0065765027322404</v>
      </c>
      <c r="E27" s="15">
        <f t="shared" ca="1" si="0"/>
        <v>0</v>
      </c>
      <c r="F27" s="15">
        <f t="shared" ca="1" si="1"/>
        <v>0</v>
      </c>
      <c r="G27">
        <f ca="1">IF(E27=1,(1+'Dane do harmonogramu'!$E$13*((('Roboczy harmonogram_2'!B27-DATE(YEAR(B27),1,1)+1)/365)+((DATE(YEAR(B26),12,31)-'Roboczy harmonogram_2'!B26)/366))),IF(F27=1,(1+'Dane do harmonogramu'!$E$13*((('Roboczy harmonogram_2'!B27-DATE(YEAR(B27),1,1)+1)/366)+((DATE(YEAR(B26),12,31)-'Roboczy harmonogram_2'!B26)/365))),0))</f>
        <v>0</v>
      </c>
      <c r="H27">
        <f t="shared" ca="1" si="2"/>
        <v>1</v>
      </c>
      <c r="I27">
        <f t="shared" ca="1" si="3"/>
        <v>1.0065765027322404</v>
      </c>
      <c r="J27">
        <f t="shared" ca="1" si="4"/>
        <v>1.0065765027322404</v>
      </c>
      <c r="K27">
        <f ca="1">PRODUCT($J$3:J27)</f>
        <v>1.1841339566311146</v>
      </c>
      <c r="L27">
        <f t="shared" ca="1" si="5"/>
        <v>0.84449904877740389</v>
      </c>
      <c r="M27">
        <f ca="1">SUM($L$3:L27)</f>
        <v>22.960220753309322</v>
      </c>
      <c r="O27">
        <f t="shared" ca="1" si="6"/>
        <v>2256.099431256589</v>
      </c>
      <c r="P27" s="16">
        <f t="shared" ca="1" si="7"/>
        <v>2644.7333291460536</v>
      </c>
      <c r="Q27" s="17">
        <f t="shared" ca="1" si="8"/>
        <v>340409.85405760829</v>
      </c>
      <c r="S27">
        <f ca="1">IF(A27&lt;='Dane do harmonogramu'!$E$7,'Roboczy harmonogram_2'!P27,0)</f>
        <v>2644.7333291460536</v>
      </c>
      <c r="T27">
        <f ca="1">IF(A27&lt;='Dane do harmonogramu'!$E$7,'Roboczy harmonogram_2'!O27,0)</f>
        <v>2256.099431256589</v>
      </c>
      <c r="U27">
        <f ca="1">IF(A27&lt;='Dane do harmonogramu'!$E$7,$N$2,0)</f>
        <v>4900.8327604026426</v>
      </c>
      <c r="V27" s="16">
        <f ca="1">IF(A26&lt;='Dane do harmonogramu'!$E$7,Q26*0.15%,"")</f>
        <v>514.58188108013155</v>
      </c>
    </row>
    <row r="28" spans="1:22" x14ac:dyDescent="0.35">
      <c r="A28">
        <v>26</v>
      </c>
      <c r="B28" s="14">
        <f t="shared" ca="1" si="9"/>
        <v>46860</v>
      </c>
      <c r="C28" s="15">
        <f ca="1">(1+'Dane do harmonogramu'!$E$13*('Roboczy harmonogram_2'!B28-'Roboczy harmonogram_2'!B27)/365)</f>
        <v>1.0070493150684932</v>
      </c>
      <c r="D28" s="15">
        <f ca="1">(1+'Dane do harmonogramu'!$E$13*('Roboczy harmonogram_2'!B28-'Roboczy harmonogram_2'!B27)/366)</f>
        <v>1.0070300546448088</v>
      </c>
      <c r="E28" s="15">
        <f t="shared" ca="1" si="0"/>
        <v>0</v>
      </c>
      <c r="F28" s="15">
        <f t="shared" ca="1" si="1"/>
        <v>0</v>
      </c>
      <c r="G28">
        <f ca="1">IF(E28=1,(1+'Dane do harmonogramu'!$E$13*((('Roboczy harmonogram_2'!B28-DATE(YEAR(B28),1,1)+1)/365)+((DATE(YEAR(B27),12,31)-'Roboczy harmonogram_2'!B27)/366))),IF(F28=1,(1+'Dane do harmonogramu'!$E$13*((('Roboczy harmonogram_2'!B28-DATE(YEAR(B28),1,1)+1)/366)+((DATE(YEAR(B27),12,31)-'Roboczy harmonogram_2'!B27)/365))),0))</f>
        <v>0</v>
      </c>
      <c r="H28">
        <f t="shared" ca="1" si="2"/>
        <v>1</v>
      </c>
      <c r="I28">
        <f t="shared" ca="1" si="3"/>
        <v>1.0070300546448088</v>
      </c>
      <c r="J28">
        <f t="shared" ca="1" si="4"/>
        <v>1.0070300546448088</v>
      </c>
      <c r="K28">
        <f ca="1">PRODUCT($J$3:J28)</f>
        <v>1.1924584830530049</v>
      </c>
      <c r="L28">
        <f t="shared" ca="1" si="5"/>
        <v>0.83860361950693574</v>
      </c>
      <c r="M28">
        <f ca="1">SUM($L$3:L28)</f>
        <v>23.798824372816259</v>
      </c>
      <c r="O28">
        <f t="shared" ca="1" si="6"/>
        <v>2393.099875656364</v>
      </c>
      <c r="P28" s="16">
        <f t="shared" ca="1" si="7"/>
        <v>2507.7328847462786</v>
      </c>
      <c r="Q28" s="17">
        <f t="shared" ca="1" si="8"/>
        <v>337902.12117286201</v>
      </c>
      <c r="S28">
        <f ca="1">IF(A28&lt;='Dane do harmonogramu'!$E$7,'Roboczy harmonogram_2'!P28,0)</f>
        <v>2507.7328847462786</v>
      </c>
      <c r="T28">
        <f ca="1">IF(A28&lt;='Dane do harmonogramu'!$E$7,'Roboczy harmonogram_2'!O28,0)</f>
        <v>2393.099875656364</v>
      </c>
      <c r="U28">
        <f ca="1">IF(A28&lt;='Dane do harmonogramu'!$E$7,$N$2,0)</f>
        <v>4900.8327604026426</v>
      </c>
      <c r="V28" s="16">
        <f ca="1">IF(A27&lt;='Dane do harmonogramu'!$E$7,Q27*0.15%,"")</f>
        <v>510.61478108641245</v>
      </c>
    </row>
    <row r="29" spans="1:22" x14ac:dyDescent="0.35">
      <c r="A29">
        <v>27</v>
      </c>
      <c r="B29" s="14">
        <f t="shared" ca="1" si="9"/>
        <v>46890</v>
      </c>
      <c r="C29" s="15">
        <f ca="1">(1+'Dane do harmonogramu'!$E$13*('Roboczy harmonogram_2'!B29-'Roboczy harmonogram_2'!B28)/365)</f>
        <v>1.0068219178082192</v>
      </c>
      <c r="D29" s="15">
        <f ca="1">(1+'Dane do harmonogramu'!$E$13*('Roboczy harmonogram_2'!B29-'Roboczy harmonogram_2'!B28)/366)</f>
        <v>1.0068032786885246</v>
      </c>
      <c r="E29" s="15">
        <f t="shared" ca="1" si="0"/>
        <v>0</v>
      </c>
      <c r="F29" s="15">
        <f t="shared" ca="1" si="1"/>
        <v>0</v>
      </c>
      <c r="G29">
        <f ca="1">IF(E29=1,(1+'Dane do harmonogramu'!$E$13*((('Roboczy harmonogram_2'!B29-DATE(YEAR(B29),1,1)+1)/365)+((DATE(YEAR(B28),12,31)-'Roboczy harmonogram_2'!B28)/366))),IF(F29=1,(1+'Dane do harmonogramu'!$E$13*((('Roboczy harmonogram_2'!B29-DATE(YEAR(B29),1,1)+1)/366)+((DATE(YEAR(B28),12,31)-'Roboczy harmonogram_2'!B28)/365))),0))</f>
        <v>0</v>
      </c>
      <c r="H29">
        <f t="shared" ca="1" si="2"/>
        <v>1</v>
      </c>
      <c r="I29">
        <f t="shared" ca="1" si="3"/>
        <v>1.0068032786885246</v>
      </c>
      <c r="J29">
        <f t="shared" ca="1" si="4"/>
        <v>1.0068032786885246</v>
      </c>
      <c r="K29">
        <f ca="1">PRODUCT($J$3:J29)</f>
        <v>1.2005711104377099</v>
      </c>
      <c r="L29">
        <f t="shared" ca="1" si="5"/>
        <v>0.83293691752703869</v>
      </c>
      <c r="M29">
        <f ca="1">SUM($L$3:L29)</f>
        <v>24.631761290343299</v>
      </c>
      <c r="O29">
        <f t="shared" ca="1" si="6"/>
        <v>2298.8422997826128</v>
      </c>
      <c r="P29" s="16">
        <f t="shared" ca="1" si="7"/>
        <v>2601.9904606200298</v>
      </c>
      <c r="Q29" s="17">
        <f t="shared" ca="1" si="8"/>
        <v>335300.13071224198</v>
      </c>
      <c r="S29">
        <f ca="1">IF(A29&lt;='Dane do harmonogramu'!$E$7,'Roboczy harmonogram_2'!P29,0)</f>
        <v>2601.9904606200298</v>
      </c>
      <c r="T29">
        <f ca="1">IF(A29&lt;='Dane do harmonogramu'!$E$7,'Roboczy harmonogram_2'!O29,0)</f>
        <v>2298.8422997826128</v>
      </c>
      <c r="U29">
        <f ca="1">IF(A29&lt;='Dane do harmonogramu'!$E$7,$N$2,0)</f>
        <v>4900.8327604026426</v>
      </c>
      <c r="V29" s="16">
        <f ca="1">IF(A28&lt;='Dane do harmonogramu'!$E$7,Q28*0.15%,"")</f>
        <v>506.85318175929302</v>
      </c>
    </row>
    <row r="30" spans="1:22" x14ac:dyDescent="0.35">
      <c r="A30">
        <v>28</v>
      </c>
      <c r="B30" s="14">
        <f t="shared" ca="1" si="9"/>
        <v>46921</v>
      </c>
      <c r="C30" s="15">
        <f ca="1">(1+'Dane do harmonogramu'!$E$13*('Roboczy harmonogram_2'!B30-'Roboczy harmonogram_2'!B29)/365)</f>
        <v>1.0070493150684932</v>
      </c>
      <c r="D30" s="15">
        <f ca="1">(1+'Dane do harmonogramu'!$E$13*('Roboczy harmonogram_2'!B30-'Roboczy harmonogram_2'!B29)/366)</f>
        <v>1.0070300546448088</v>
      </c>
      <c r="E30" s="15">
        <f t="shared" ca="1" si="0"/>
        <v>0</v>
      </c>
      <c r="F30" s="15">
        <f t="shared" ca="1" si="1"/>
        <v>0</v>
      </c>
      <c r="G30">
        <f ca="1">IF(E30=1,(1+'Dane do harmonogramu'!$E$13*((('Roboczy harmonogram_2'!B30-DATE(YEAR(B30),1,1)+1)/365)+((DATE(YEAR(B29),12,31)-'Roboczy harmonogram_2'!B29)/366))),IF(F30=1,(1+'Dane do harmonogramu'!$E$13*((('Roboczy harmonogram_2'!B30-DATE(YEAR(B30),1,1)+1)/366)+((DATE(YEAR(B29),12,31)-'Roboczy harmonogram_2'!B29)/365))),0))</f>
        <v>0</v>
      </c>
      <c r="H30">
        <f t="shared" ca="1" si="2"/>
        <v>1</v>
      </c>
      <c r="I30">
        <f t="shared" ca="1" si="3"/>
        <v>1.0070300546448088</v>
      </c>
      <c r="J30">
        <f t="shared" ca="1" si="4"/>
        <v>1.0070300546448088</v>
      </c>
      <c r="K30">
        <f ca="1">PRODUCT($J$3:J30)</f>
        <v>1.2090111909490657</v>
      </c>
      <c r="L30">
        <f t="shared" ca="1" si="5"/>
        <v>0.82712220324032459</v>
      </c>
      <c r="M30">
        <f ca="1">SUM($L$3:L30)</f>
        <v>25.458883493583624</v>
      </c>
      <c r="O30">
        <f t="shared" ca="1" si="6"/>
        <v>2357.1782413185574</v>
      </c>
      <c r="P30" s="16">
        <f t="shared" ca="1" si="7"/>
        <v>2543.6545190840852</v>
      </c>
      <c r="Q30" s="17">
        <f t="shared" ca="1" si="8"/>
        <v>332756.4761931579</v>
      </c>
      <c r="S30">
        <f ca="1">IF(A30&lt;='Dane do harmonogramu'!$E$7,'Roboczy harmonogram_2'!P30,0)</f>
        <v>2543.6545190840852</v>
      </c>
      <c r="T30">
        <f ca="1">IF(A30&lt;='Dane do harmonogramu'!$E$7,'Roboczy harmonogram_2'!O30,0)</f>
        <v>2357.1782413185574</v>
      </c>
      <c r="U30">
        <f ca="1">IF(A30&lt;='Dane do harmonogramu'!$E$7,$N$2,0)</f>
        <v>4900.8327604026426</v>
      </c>
      <c r="V30" s="16">
        <f ca="1">IF(A29&lt;='Dane do harmonogramu'!$E$7,Q29*0.15%,"")</f>
        <v>502.95019606836297</v>
      </c>
    </row>
    <row r="31" spans="1:22" x14ac:dyDescent="0.35">
      <c r="A31">
        <v>29</v>
      </c>
      <c r="B31" s="14">
        <f t="shared" ca="1" si="9"/>
        <v>46951</v>
      </c>
      <c r="C31" s="15">
        <f ca="1">(1+'Dane do harmonogramu'!$E$13*('Roboczy harmonogram_2'!B31-'Roboczy harmonogram_2'!B30)/365)</f>
        <v>1.0068219178082192</v>
      </c>
      <c r="D31" s="15">
        <f ca="1">(1+'Dane do harmonogramu'!$E$13*('Roboczy harmonogram_2'!B31-'Roboczy harmonogram_2'!B30)/366)</f>
        <v>1.0068032786885246</v>
      </c>
      <c r="E31" s="15">
        <f t="shared" ca="1" si="0"/>
        <v>0</v>
      </c>
      <c r="F31" s="15">
        <f t="shared" ca="1" si="1"/>
        <v>0</v>
      </c>
      <c r="G31">
        <f ca="1">IF(E31=1,(1+'Dane do harmonogramu'!$E$13*((('Roboczy harmonogram_2'!B31-DATE(YEAR(B31),1,1)+1)/365)+((DATE(YEAR(B30),12,31)-'Roboczy harmonogram_2'!B30)/366))),IF(F31=1,(1+'Dane do harmonogramu'!$E$13*((('Roboczy harmonogram_2'!B31-DATE(YEAR(B31),1,1)+1)/366)+((DATE(YEAR(B30),12,31)-'Roboczy harmonogram_2'!B30)/365))),0))</f>
        <v>0</v>
      </c>
      <c r="H31">
        <f t="shared" ca="1" si="2"/>
        <v>1</v>
      </c>
      <c r="I31">
        <f t="shared" ca="1" si="3"/>
        <v>1.0068032786885246</v>
      </c>
      <c r="J31">
        <f t="shared" ca="1" si="4"/>
        <v>1.0068032786885246</v>
      </c>
      <c r="K31">
        <f ca="1">PRODUCT($J$3:J31)</f>
        <v>1.2172364310186372</v>
      </c>
      <c r="L31">
        <f t="shared" ca="1" si="5"/>
        <v>0.82153308471317754</v>
      </c>
      <c r="M31">
        <f ca="1">SUM($L$3:L31)</f>
        <v>26.280416578296801</v>
      </c>
      <c r="O31">
        <f t="shared" ca="1" si="6"/>
        <v>2263.835042953433</v>
      </c>
      <c r="P31" s="16">
        <f t="shared" ca="1" si="7"/>
        <v>2636.9977174492096</v>
      </c>
      <c r="Q31" s="17">
        <f t="shared" ca="1" si="8"/>
        <v>330119.47847570869</v>
      </c>
      <c r="S31">
        <f ca="1">IF(A31&lt;='Dane do harmonogramu'!$E$7,'Roboczy harmonogram_2'!P31,0)</f>
        <v>2636.9977174492096</v>
      </c>
      <c r="T31">
        <f ca="1">IF(A31&lt;='Dane do harmonogramu'!$E$7,'Roboczy harmonogram_2'!O31,0)</f>
        <v>2263.835042953433</v>
      </c>
      <c r="U31">
        <f ca="1">IF(A31&lt;='Dane do harmonogramu'!$E$7,$N$2,0)</f>
        <v>4900.8327604026426</v>
      </c>
      <c r="V31" s="16">
        <f ca="1">IF(A30&lt;='Dane do harmonogramu'!$E$7,Q30*0.15%,"")</f>
        <v>499.13471428973685</v>
      </c>
    </row>
    <row r="32" spans="1:22" x14ac:dyDescent="0.35">
      <c r="A32">
        <v>30</v>
      </c>
      <c r="B32" s="14">
        <f t="shared" ca="1" si="9"/>
        <v>46982</v>
      </c>
      <c r="C32" s="15">
        <f ca="1">(1+'Dane do harmonogramu'!$E$13*('Roboczy harmonogram_2'!B32-'Roboczy harmonogram_2'!B31)/365)</f>
        <v>1.0070493150684932</v>
      </c>
      <c r="D32" s="15">
        <f ca="1">(1+'Dane do harmonogramu'!$E$13*('Roboczy harmonogram_2'!B32-'Roboczy harmonogram_2'!B31)/366)</f>
        <v>1.0070300546448088</v>
      </c>
      <c r="E32" s="15">
        <f t="shared" ca="1" si="0"/>
        <v>0</v>
      </c>
      <c r="F32" s="15">
        <f t="shared" ca="1" si="1"/>
        <v>0</v>
      </c>
      <c r="G32">
        <f ca="1">IF(E32=1,(1+'Dane do harmonogramu'!$E$13*((('Roboczy harmonogram_2'!B32-DATE(YEAR(B32),1,1)+1)/365)+((DATE(YEAR(B31),12,31)-'Roboczy harmonogram_2'!B31)/366))),IF(F32=1,(1+'Dane do harmonogramu'!$E$13*((('Roboczy harmonogram_2'!B32-DATE(YEAR(B32),1,1)+1)/366)+((DATE(YEAR(B31),12,31)-'Roboczy harmonogram_2'!B31)/365))),0))</f>
        <v>0</v>
      </c>
      <c r="H32">
        <f t="shared" ca="1" si="2"/>
        <v>1</v>
      </c>
      <c r="I32">
        <f t="shared" ca="1" si="3"/>
        <v>1.0070300546448088</v>
      </c>
      <c r="J32">
        <f t="shared" ca="1" si="4"/>
        <v>1.0070300546448088</v>
      </c>
      <c r="K32">
        <f ca="1">PRODUCT($J$3:J32)</f>
        <v>1.2257936696443503</v>
      </c>
      <c r="L32">
        <f t="shared" ca="1" si="5"/>
        <v>0.81579798033231665</v>
      </c>
      <c r="M32">
        <f ca="1">SUM($L$3:L32)</f>
        <v>27.096214558629118</v>
      </c>
      <c r="O32">
        <f t="shared" ca="1" si="6"/>
        <v>2320.7579729999998</v>
      </c>
      <c r="P32" s="16">
        <f t="shared" ca="1" si="7"/>
        <v>2580.0747874026429</v>
      </c>
      <c r="Q32" s="17">
        <f t="shared" ca="1" si="8"/>
        <v>327539.40368830605</v>
      </c>
      <c r="S32">
        <f ca="1">IF(A32&lt;='Dane do harmonogramu'!$E$7,'Roboczy harmonogram_2'!P32,0)</f>
        <v>2580.0747874026429</v>
      </c>
      <c r="T32">
        <f ca="1">IF(A32&lt;='Dane do harmonogramu'!$E$7,'Roboczy harmonogram_2'!O32,0)</f>
        <v>2320.7579729999998</v>
      </c>
      <c r="U32">
        <f ca="1">IF(A32&lt;='Dane do harmonogramu'!$E$7,$N$2,0)</f>
        <v>4900.8327604026426</v>
      </c>
      <c r="V32" s="16">
        <f ca="1">IF(A31&lt;='Dane do harmonogramu'!$E$7,Q31*0.15%,"")</f>
        <v>495.17921771356305</v>
      </c>
    </row>
    <row r="33" spans="1:22" x14ac:dyDescent="0.35">
      <c r="A33">
        <v>31</v>
      </c>
      <c r="B33" s="14">
        <f t="shared" ca="1" si="9"/>
        <v>47013</v>
      </c>
      <c r="C33" s="15">
        <f ca="1">(1+'Dane do harmonogramu'!$E$13*('Roboczy harmonogram_2'!B33-'Roboczy harmonogram_2'!B32)/365)</f>
        <v>1.0070493150684932</v>
      </c>
      <c r="D33" s="15">
        <f ca="1">(1+'Dane do harmonogramu'!$E$13*('Roboczy harmonogram_2'!B33-'Roboczy harmonogram_2'!B32)/366)</f>
        <v>1.0070300546448088</v>
      </c>
      <c r="E33" s="15">
        <f t="shared" ca="1" si="0"/>
        <v>0</v>
      </c>
      <c r="F33" s="15">
        <f t="shared" ca="1" si="1"/>
        <v>0</v>
      </c>
      <c r="G33">
        <f ca="1">IF(E33=1,(1+'Dane do harmonogramu'!$E$13*((('Roboczy harmonogram_2'!B33-DATE(YEAR(B33),1,1)+1)/365)+((DATE(YEAR(B32),12,31)-'Roboczy harmonogram_2'!B32)/366))),IF(F33=1,(1+'Dane do harmonogramu'!$E$13*((('Roboczy harmonogram_2'!B33-DATE(YEAR(B33),1,1)+1)/366)+((DATE(YEAR(B32),12,31)-'Roboczy harmonogram_2'!B32)/365))),0))</f>
        <v>0</v>
      </c>
      <c r="H33">
        <f t="shared" ca="1" si="2"/>
        <v>1</v>
      </c>
      <c r="I33">
        <f t="shared" ca="1" si="3"/>
        <v>1.0070300546448088</v>
      </c>
      <c r="J33">
        <f t="shared" ca="1" si="4"/>
        <v>1.0070300546448088</v>
      </c>
      <c r="K33">
        <f ca="1">PRODUCT($J$3:J33)</f>
        <v>1.2344110661252108</v>
      </c>
      <c r="L33">
        <f t="shared" ca="1" si="5"/>
        <v>0.81010291258889799</v>
      </c>
      <c r="M33">
        <f ca="1">SUM($L$3:L33)</f>
        <v>27.906317471218017</v>
      </c>
      <c r="O33">
        <f t="shared" ca="1" si="6"/>
        <v>2302.6199062568485</v>
      </c>
      <c r="P33" s="16">
        <f t="shared" ca="1" si="7"/>
        <v>2598.2128541457942</v>
      </c>
      <c r="Q33" s="17">
        <f t="shared" ca="1" si="8"/>
        <v>324941.19083416025</v>
      </c>
      <c r="S33">
        <f ca="1">IF(A33&lt;='Dane do harmonogramu'!$E$7,'Roboczy harmonogram_2'!P33,0)</f>
        <v>2598.2128541457942</v>
      </c>
      <c r="T33">
        <f ca="1">IF(A33&lt;='Dane do harmonogramu'!$E$7,'Roboczy harmonogram_2'!O33,0)</f>
        <v>2302.6199062568485</v>
      </c>
      <c r="U33">
        <f ca="1">IF(A33&lt;='Dane do harmonogramu'!$E$7,$N$2,0)</f>
        <v>4900.8327604026426</v>
      </c>
      <c r="V33" s="16">
        <f ca="1">IF(A32&lt;='Dane do harmonogramu'!$E$7,Q32*0.15%,"")</f>
        <v>491.30910553245906</v>
      </c>
    </row>
    <row r="34" spans="1:22" x14ac:dyDescent="0.35">
      <c r="A34">
        <v>32</v>
      </c>
      <c r="B34" s="14">
        <f t="shared" ca="1" si="9"/>
        <v>47043</v>
      </c>
      <c r="C34" s="15">
        <f ca="1">(1+'Dane do harmonogramu'!$E$13*('Roboczy harmonogram_2'!B34-'Roboczy harmonogram_2'!B33)/365)</f>
        <v>1.0068219178082192</v>
      </c>
      <c r="D34" s="15">
        <f ca="1">(1+'Dane do harmonogramu'!$E$13*('Roboczy harmonogram_2'!B34-'Roboczy harmonogram_2'!B33)/366)</f>
        <v>1.0068032786885246</v>
      </c>
      <c r="E34" s="15">
        <f t="shared" ca="1" si="0"/>
        <v>0</v>
      </c>
      <c r="F34" s="15">
        <f t="shared" ca="1" si="1"/>
        <v>0</v>
      </c>
      <c r="G34">
        <f ca="1">IF(E34=1,(1+'Dane do harmonogramu'!$E$13*((('Roboczy harmonogram_2'!B34-DATE(YEAR(B34),1,1)+1)/365)+((DATE(YEAR(B33),12,31)-'Roboczy harmonogram_2'!B33)/366))),IF(F34=1,(1+'Dane do harmonogramu'!$E$13*((('Roboczy harmonogram_2'!B34-DATE(YEAR(B34),1,1)+1)/366)+((DATE(YEAR(B33),12,31)-'Roboczy harmonogram_2'!B33)/365))),0))</f>
        <v>0</v>
      </c>
      <c r="H34">
        <f t="shared" ca="1" si="2"/>
        <v>1</v>
      </c>
      <c r="I34">
        <f t="shared" ca="1" si="3"/>
        <v>1.0068032786885246</v>
      </c>
      <c r="J34">
        <f t="shared" ca="1" si="4"/>
        <v>1.0068032786885246</v>
      </c>
      <c r="K34">
        <f ca="1">PRODUCT($J$3:J34)</f>
        <v>1.2428091086242594</v>
      </c>
      <c r="L34">
        <f t="shared" ca="1" si="5"/>
        <v>0.80462879863099857</v>
      </c>
      <c r="M34">
        <f ca="1">SUM($L$3:L34)</f>
        <v>28.710946269849014</v>
      </c>
      <c r="O34">
        <f t="shared" ca="1" si="6"/>
        <v>2210.6654786258587</v>
      </c>
      <c r="P34" s="16">
        <f t="shared" ca="1" si="7"/>
        <v>2690.167281776784</v>
      </c>
      <c r="Q34" s="17">
        <f t="shared" ca="1" si="8"/>
        <v>322251.02355238347</v>
      </c>
      <c r="S34">
        <f ca="1">IF(A34&lt;='Dane do harmonogramu'!$E$7,'Roboczy harmonogram_2'!P34,0)</f>
        <v>2690.167281776784</v>
      </c>
      <c r="T34">
        <f ca="1">IF(A34&lt;='Dane do harmonogramu'!$E$7,'Roboczy harmonogram_2'!O34,0)</f>
        <v>2210.6654786258587</v>
      </c>
      <c r="U34">
        <f ca="1">IF(A34&lt;='Dane do harmonogramu'!$E$7,$N$2,0)</f>
        <v>4900.8327604026426</v>
      </c>
      <c r="V34" s="16">
        <f ca="1">IF(A33&lt;='Dane do harmonogramu'!$E$7,Q33*0.15%,"")</f>
        <v>487.41178625124041</v>
      </c>
    </row>
    <row r="35" spans="1:22" x14ac:dyDescent="0.35">
      <c r="A35">
        <v>33</v>
      </c>
      <c r="B35" s="14">
        <f t="shared" ca="1" si="9"/>
        <v>47074</v>
      </c>
      <c r="C35" s="15">
        <f ca="1">(1+'Dane do harmonogramu'!$E$13*('Roboczy harmonogram_2'!B35-'Roboczy harmonogram_2'!B34)/365)</f>
        <v>1.0070493150684932</v>
      </c>
      <c r="D35" s="15">
        <f ca="1">(1+'Dane do harmonogramu'!$E$13*('Roboczy harmonogram_2'!B35-'Roboczy harmonogram_2'!B34)/366)</f>
        <v>1.0070300546448088</v>
      </c>
      <c r="E35" s="15">
        <f t="shared" ca="1" si="0"/>
        <v>0</v>
      </c>
      <c r="F35" s="15">
        <f t="shared" ca="1" si="1"/>
        <v>0</v>
      </c>
      <c r="G35">
        <f ca="1">IF(E35=1,(1+'Dane do harmonogramu'!$E$13*((('Roboczy harmonogram_2'!B35-DATE(YEAR(B35),1,1)+1)/365)+((DATE(YEAR(B34),12,31)-'Roboczy harmonogram_2'!B34)/366))),IF(F35=1,(1+'Dane do harmonogramu'!$E$13*((('Roboczy harmonogram_2'!B35-DATE(YEAR(B35),1,1)+1)/366)+((DATE(YEAR(B34),12,31)-'Roboczy harmonogram_2'!B34)/365))),0))</f>
        <v>0</v>
      </c>
      <c r="H35">
        <f t="shared" ca="1" si="2"/>
        <v>1</v>
      </c>
      <c r="I35">
        <f t="shared" ca="1" si="3"/>
        <v>1.0070300546448088</v>
      </c>
      <c r="J35">
        <f t="shared" ca="1" si="4"/>
        <v>1.0070300546448088</v>
      </c>
      <c r="K35">
        <f ca="1">PRODUCT($J$3:J35)</f>
        <v>1.251546124570954</v>
      </c>
      <c r="L35">
        <f t="shared" ca="1" si="5"/>
        <v>0.79901170269918154</v>
      </c>
      <c r="M35">
        <f ca="1">SUM($L$3:L35)</f>
        <v>29.509957972548197</v>
      </c>
      <c r="O35">
        <f t="shared" ca="1" si="6"/>
        <v>2265.4423049188335</v>
      </c>
      <c r="P35" s="16">
        <f t="shared" ca="1" si="7"/>
        <v>2635.3904554838091</v>
      </c>
      <c r="Q35" s="17">
        <f t="shared" ca="1" si="8"/>
        <v>319615.63309689966</v>
      </c>
      <c r="S35">
        <f ca="1">IF(A35&lt;='Dane do harmonogramu'!$E$7,'Roboczy harmonogram_2'!P35,0)</f>
        <v>2635.3904554838091</v>
      </c>
      <c r="T35">
        <f ca="1">IF(A35&lt;='Dane do harmonogramu'!$E$7,'Roboczy harmonogram_2'!O35,0)</f>
        <v>2265.4423049188335</v>
      </c>
      <c r="U35">
        <f ca="1">IF(A35&lt;='Dane do harmonogramu'!$E$7,$N$2,0)</f>
        <v>4900.8327604026426</v>
      </c>
      <c r="V35" s="16">
        <f ca="1">IF(A34&lt;='Dane do harmonogramu'!$E$7,Q34*0.15%,"")</f>
        <v>483.37653532857524</v>
      </c>
    </row>
    <row r="36" spans="1:22" x14ac:dyDescent="0.35">
      <c r="A36">
        <v>34</v>
      </c>
      <c r="B36" s="14">
        <f t="shared" ca="1" si="9"/>
        <v>47104</v>
      </c>
      <c r="C36" s="15">
        <f ca="1">(1+'Dane do harmonogramu'!$E$13*('Roboczy harmonogram_2'!B36-'Roboczy harmonogram_2'!B35)/365)</f>
        <v>1.0068219178082192</v>
      </c>
      <c r="D36" s="15">
        <f ca="1">(1+'Dane do harmonogramu'!$E$13*('Roboczy harmonogram_2'!B36-'Roboczy harmonogram_2'!B35)/366)</f>
        <v>1.0068032786885246</v>
      </c>
      <c r="E36" s="15">
        <f t="shared" ca="1" si="0"/>
        <v>0</v>
      </c>
      <c r="F36" s="15">
        <f t="shared" ca="1" si="1"/>
        <v>0</v>
      </c>
      <c r="G36">
        <f ca="1">IF(E36=1,(1+'Dane do harmonogramu'!$E$13*((('Roboczy harmonogram_2'!B36-DATE(YEAR(B36),1,1)+1)/365)+((DATE(YEAR(B35),12,31)-'Roboczy harmonogram_2'!B35)/366))),IF(F36=1,(1+'Dane do harmonogramu'!$E$13*((('Roboczy harmonogram_2'!B36-DATE(YEAR(B36),1,1)+1)/366)+((DATE(YEAR(B35),12,31)-'Roboczy harmonogram_2'!B35)/365))),0))</f>
        <v>0</v>
      </c>
      <c r="H36">
        <f t="shared" ca="1" si="2"/>
        <v>1</v>
      </c>
      <c r="I36">
        <f t="shared" ca="1" si="3"/>
        <v>1.0068032786885246</v>
      </c>
      <c r="J36">
        <f t="shared" ca="1" si="4"/>
        <v>1.0068032786885246</v>
      </c>
      <c r="K36">
        <f ca="1">PRODUCT($J$3:J36)</f>
        <v>1.2600607416479532</v>
      </c>
      <c r="L36">
        <f t="shared" ca="1" si="5"/>
        <v>0.79361253544980992</v>
      </c>
      <c r="M36">
        <f ca="1">SUM($L$3:L36)</f>
        <v>30.303570507998007</v>
      </c>
      <c r="O36">
        <f t="shared" ca="1" si="6"/>
        <v>2174.4342251674389</v>
      </c>
      <c r="P36" s="16">
        <f t="shared" ca="1" si="7"/>
        <v>2726.3985352352038</v>
      </c>
      <c r="Q36" s="17">
        <f t="shared" ca="1" si="8"/>
        <v>316889.23456166446</v>
      </c>
      <c r="S36">
        <f ca="1">IF(A36&lt;='Dane do harmonogramu'!$E$7,'Roboczy harmonogram_2'!P36,0)</f>
        <v>2726.3985352352038</v>
      </c>
      <c r="T36">
        <f ca="1">IF(A36&lt;='Dane do harmonogramu'!$E$7,'Roboczy harmonogram_2'!O36,0)</f>
        <v>2174.4342251674389</v>
      </c>
      <c r="U36">
        <f ca="1">IF(A36&lt;='Dane do harmonogramu'!$E$7,$N$2,0)</f>
        <v>4900.8327604026426</v>
      </c>
      <c r="V36" s="16">
        <f ca="1">IF(A35&lt;='Dane do harmonogramu'!$E$7,Q35*0.15%,"")</f>
        <v>479.42344964534948</v>
      </c>
    </row>
    <row r="37" spans="1:22" x14ac:dyDescent="0.35">
      <c r="A37">
        <v>35</v>
      </c>
      <c r="B37" s="14">
        <f t="shared" ca="1" si="9"/>
        <v>47135</v>
      </c>
      <c r="C37" s="15">
        <f ca="1">(1+'Dane do harmonogramu'!$E$13*('Roboczy harmonogram_2'!B37-'Roboczy harmonogram_2'!B36)/365)</f>
        <v>1.0070493150684932</v>
      </c>
      <c r="D37" s="15">
        <f ca="1">(1+'Dane do harmonogramu'!$E$13*('Roboczy harmonogram_2'!B37-'Roboczy harmonogram_2'!B36)/366)</f>
        <v>1.0070300546448088</v>
      </c>
      <c r="E37" s="15">
        <f t="shared" ca="1" si="0"/>
        <v>1</v>
      </c>
      <c r="F37" s="15">
        <f t="shared" ca="1" si="1"/>
        <v>0</v>
      </c>
      <c r="G37">
        <f ca="1">IF(E37=1,(1+'Dane do harmonogramu'!$E$13*((('Roboczy harmonogram_2'!B37-DATE(YEAR(B37),1,1)+1)/365)+((DATE(YEAR(B36),12,31)-'Roboczy harmonogram_2'!B36)/366))),IF(F37=1,(1+'Dane do harmonogramu'!$E$13*((('Roboczy harmonogram_2'!B37-DATE(YEAR(B37),1,1)+1)/366)+((DATE(YEAR(B36),12,31)-'Roboczy harmonogram_2'!B36)/365))),0))</f>
        <v>1.0070406168126356</v>
      </c>
      <c r="H37">
        <f t="shared" ca="1" si="2"/>
        <v>0</v>
      </c>
      <c r="I37">
        <f t="shared" ca="1" si="3"/>
        <v>1.0070493150684932</v>
      </c>
      <c r="J37">
        <f t="shared" ca="1" si="4"/>
        <v>1.0070406168126356</v>
      </c>
      <c r="K37">
        <f ca="1">PRODUCT($J$3:J37)</f>
        <v>1.2689323464905418</v>
      </c>
      <c r="L37">
        <f t="shared" ca="1" si="5"/>
        <v>0.78806407825104152</v>
      </c>
      <c r="M37">
        <f ca="1">SUM($L$3:L37)</f>
        <v>31.09163458624905</v>
      </c>
      <c r="O37">
        <f t="shared" ca="1" si="6"/>
        <v>2231.0956725980504</v>
      </c>
      <c r="P37" s="16">
        <f t="shared" ca="1" si="7"/>
        <v>2669.7370878045922</v>
      </c>
      <c r="Q37" s="17">
        <f t="shared" ca="1" si="8"/>
        <v>314219.49747385987</v>
      </c>
      <c r="S37">
        <f ca="1">IF(A37&lt;='Dane do harmonogramu'!$E$7,'Roboczy harmonogram_2'!P37,0)</f>
        <v>2669.7370878045922</v>
      </c>
      <c r="T37">
        <f ca="1">IF(A37&lt;='Dane do harmonogramu'!$E$7,'Roboczy harmonogram_2'!O37,0)</f>
        <v>2231.0956725980504</v>
      </c>
      <c r="U37">
        <f ca="1">IF(A37&lt;='Dane do harmonogramu'!$E$7,$N$2,0)</f>
        <v>4900.8327604026426</v>
      </c>
      <c r="V37" s="16">
        <f ca="1">IF(A36&lt;='Dane do harmonogramu'!$E$7,Q36*0.15%,"")</f>
        <v>475.3338518424967</v>
      </c>
    </row>
    <row r="38" spans="1:22" x14ac:dyDescent="0.35">
      <c r="A38">
        <v>36</v>
      </c>
      <c r="B38" s="14">
        <f t="shared" ca="1" si="9"/>
        <v>47166</v>
      </c>
      <c r="C38" s="15">
        <f ca="1">(1+'Dane do harmonogramu'!$E$13*('Roboczy harmonogram_2'!B38-'Roboczy harmonogram_2'!B37)/365)</f>
        <v>1.0070493150684932</v>
      </c>
      <c r="D38" s="15">
        <f ca="1">(1+'Dane do harmonogramu'!$E$13*('Roboczy harmonogram_2'!B38-'Roboczy harmonogram_2'!B37)/366)</f>
        <v>1.0070300546448088</v>
      </c>
      <c r="E38" s="15">
        <f t="shared" ca="1" si="0"/>
        <v>0</v>
      </c>
      <c r="F38" s="15">
        <f t="shared" ca="1" si="1"/>
        <v>0</v>
      </c>
      <c r="G38">
        <f ca="1">IF(E38=1,(1+'Dane do harmonogramu'!$E$13*((('Roboczy harmonogram_2'!B38-DATE(YEAR(B38),1,1)+1)/365)+((DATE(YEAR(B37),12,31)-'Roboczy harmonogram_2'!B37)/366))),IF(F38=1,(1+'Dane do harmonogramu'!$E$13*((('Roboczy harmonogram_2'!B38-DATE(YEAR(B38),1,1)+1)/366)+((DATE(YEAR(B37),12,31)-'Roboczy harmonogram_2'!B37)/365))),0))</f>
        <v>0</v>
      </c>
      <c r="H38">
        <f t="shared" ca="1" si="2"/>
        <v>0</v>
      </c>
      <c r="I38">
        <f t="shared" ca="1" si="3"/>
        <v>1.0070493150684932</v>
      </c>
      <c r="J38">
        <f t="shared" ca="1" si="4"/>
        <v>1.0070493150684932</v>
      </c>
      <c r="K38">
        <f ca="1">PRODUCT($J$3:J38)</f>
        <v>1.277877450401556</v>
      </c>
      <c r="L38">
        <f t="shared" ca="1" si="5"/>
        <v>0.78254765328691211</v>
      </c>
      <c r="M38">
        <f ca="1">SUM($L$3:L38)</f>
        <v>31.874182239535962</v>
      </c>
      <c r="O38">
        <f t="shared" ca="1" si="6"/>
        <v>2215.0322383568273</v>
      </c>
      <c r="P38" s="16">
        <f t="shared" ca="1" si="7"/>
        <v>2685.8005220458153</v>
      </c>
      <c r="Q38" s="17">
        <f t="shared" ca="1" si="8"/>
        <v>311533.69695181405</v>
      </c>
      <c r="S38">
        <f ca="1">IF(A38&lt;='Dane do harmonogramu'!$E$7,'Roboczy harmonogram_2'!P38,0)</f>
        <v>2685.8005220458153</v>
      </c>
      <c r="T38">
        <f ca="1">IF(A38&lt;='Dane do harmonogramu'!$E$7,'Roboczy harmonogram_2'!O38,0)</f>
        <v>2215.0322383568273</v>
      </c>
      <c r="U38">
        <f ca="1">IF(A38&lt;='Dane do harmonogramu'!$E$7,$N$2,0)</f>
        <v>4900.8327604026426</v>
      </c>
      <c r="V38" s="16">
        <f ca="1">IF(A37&lt;='Dane do harmonogramu'!$E$7,Q37*0.15%,"")</f>
        <v>471.32924621078979</v>
      </c>
    </row>
    <row r="39" spans="1:22" x14ac:dyDescent="0.35">
      <c r="A39">
        <v>37</v>
      </c>
      <c r="B39" s="14">
        <f t="shared" ca="1" si="9"/>
        <v>47194</v>
      </c>
      <c r="C39" s="15">
        <f ca="1">(1+'Dane do harmonogramu'!$E$13*('Roboczy harmonogram_2'!B39-'Roboczy harmonogram_2'!B38)/365)</f>
        <v>1.0063671232876712</v>
      </c>
      <c r="D39" s="15">
        <f ca="1">(1+'Dane do harmonogramu'!$E$13*('Roboczy harmonogram_2'!B39-'Roboczy harmonogram_2'!B38)/366)</f>
        <v>1.0063497267759562</v>
      </c>
      <c r="E39" s="15">
        <f t="shared" ca="1" si="0"/>
        <v>0</v>
      </c>
      <c r="F39" s="15">
        <f t="shared" ca="1" si="1"/>
        <v>0</v>
      </c>
      <c r="G39">
        <f ca="1">IF(E39=1,(1+'Dane do harmonogramu'!$E$13*((('Roboczy harmonogram_2'!B39-DATE(YEAR(B39),1,1)+1)/365)+((DATE(YEAR(B38),12,31)-'Roboczy harmonogram_2'!B38)/366))),IF(F39=1,(1+'Dane do harmonogramu'!$E$13*((('Roboczy harmonogram_2'!B39-DATE(YEAR(B39),1,1)+1)/366)+((DATE(YEAR(B38),12,31)-'Roboczy harmonogram_2'!B38)/365))),0))</f>
        <v>0</v>
      </c>
      <c r="H39">
        <f t="shared" ca="1" si="2"/>
        <v>0</v>
      </c>
      <c r="I39">
        <f t="shared" ca="1" si="3"/>
        <v>1.0063671232876712</v>
      </c>
      <c r="J39">
        <f t="shared" ca="1" si="4"/>
        <v>1.0063671232876712</v>
      </c>
      <c r="K39">
        <f ca="1">PRODUCT($J$3:J39)</f>
        <v>1.2860138536747976</v>
      </c>
      <c r="L39">
        <f t="shared" ca="1" si="5"/>
        <v>0.77759659986748186</v>
      </c>
      <c r="M39">
        <f ca="1">SUM($L$3:L39)</f>
        <v>32.651778839403441</v>
      </c>
      <c r="O39">
        <f t="shared" ca="1" si="6"/>
        <v>1983.5734567561885</v>
      </c>
      <c r="P39" s="16">
        <f t="shared" ca="1" si="7"/>
        <v>2917.2593036464541</v>
      </c>
      <c r="Q39" s="17">
        <f t="shared" ca="1" si="8"/>
        <v>308616.4376481676</v>
      </c>
      <c r="S39">
        <f ca="1">IF(A39&lt;='Dane do harmonogramu'!$E$7,'Roboczy harmonogram_2'!P39,0)</f>
        <v>2917.2593036464541</v>
      </c>
      <c r="T39">
        <f ca="1">IF(A39&lt;='Dane do harmonogramu'!$E$7,'Roboczy harmonogram_2'!O39,0)</f>
        <v>1983.5734567561885</v>
      </c>
      <c r="U39">
        <f ca="1">IF(A39&lt;='Dane do harmonogramu'!$E$7,$N$2,0)</f>
        <v>4900.8327604026426</v>
      </c>
      <c r="V39" s="16">
        <f ca="1">IF(A38&lt;='Dane do harmonogramu'!$E$7,Q38*0.15%,"")</f>
        <v>467.30054542772109</v>
      </c>
    </row>
    <row r="40" spans="1:22" x14ac:dyDescent="0.35">
      <c r="A40">
        <v>38</v>
      </c>
      <c r="B40" s="14">
        <f t="shared" ca="1" si="9"/>
        <v>47225</v>
      </c>
      <c r="C40" s="15">
        <f ca="1">(1+'Dane do harmonogramu'!$E$13*('Roboczy harmonogram_2'!B40-'Roboczy harmonogram_2'!B39)/365)</f>
        <v>1.0070493150684932</v>
      </c>
      <c r="D40" s="15">
        <f ca="1">(1+'Dane do harmonogramu'!$E$13*('Roboczy harmonogram_2'!B40-'Roboczy harmonogram_2'!B39)/366)</f>
        <v>1.0070300546448088</v>
      </c>
      <c r="E40" s="15">
        <f t="shared" ca="1" si="0"/>
        <v>0</v>
      </c>
      <c r="F40" s="15">
        <f t="shared" ca="1" si="1"/>
        <v>0</v>
      </c>
      <c r="G40">
        <f ca="1">IF(E40=1,(1+'Dane do harmonogramu'!$E$13*((('Roboczy harmonogram_2'!B40-DATE(YEAR(B40),1,1)+1)/365)+((DATE(YEAR(B39),12,31)-'Roboczy harmonogram_2'!B39)/366))),IF(F40=1,(1+'Dane do harmonogramu'!$E$13*((('Roboczy harmonogram_2'!B40-DATE(YEAR(B40),1,1)+1)/366)+((DATE(YEAR(B39),12,31)-'Roboczy harmonogram_2'!B39)/365))),0))</f>
        <v>0</v>
      </c>
      <c r="H40">
        <f t="shared" ca="1" si="2"/>
        <v>0</v>
      </c>
      <c r="I40">
        <f t="shared" ca="1" si="3"/>
        <v>1.0070493150684932</v>
      </c>
      <c r="J40">
        <f t="shared" ca="1" si="4"/>
        <v>1.0070493150684932</v>
      </c>
      <c r="K40">
        <f ca="1">PRODUCT($J$3:J40)</f>
        <v>1.2950793705117982</v>
      </c>
      <c r="L40">
        <f t="shared" ca="1" si="5"/>
        <v>0.7721534469387874</v>
      </c>
      <c r="M40">
        <f ca="1">SUM($L$3:L40)</f>
        <v>33.423932286342229</v>
      </c>
      <c r="O40">
        <f t="shared" ca="1" si="6"/>
        <v>2175.5345042978879</v>
      </c>
      <c r="P40" s="16">
        <f t="shared" ca="1" si="7"/>
        <v>2725.2982561047547</v>
      </c>
      <c r="Q40" s="17">
        <f t="shared" ca="1" si="8"/>
        <v>305891.13939206285</v>
      </c>
      <c r="S40">
        <f ca="1">IF(A40&lt;='Dane do harmonogramu'!$E$7,'Roboczy harmonogram_2'!P40,0)</f>
        <v>2725.2982561047547</v>
      </c>
      <c r="T40">
        <f ca="1">IF(A40&lt;='Dane do harmonogramu'!$E$7,'Roboczy harmonogram_2'!O40,0)</f>
        <v>2175.5345042978879</v>
      </c>
      <c r="U40">
        <f ca="1">IF(A40&lt;='Dane do harmonogramu'!$E$7,$N$2,0)</f>
        <v>4900.8327604026426</v>
      </c>
      <c r="V40" s="16">
        <f ca="1">IF(A39&lt;='Dane do harmonogramu'!$E$7,Q39*0.15%,"")</f>
        <v>462.9246564722514</v>
      </c>
    </row>
    <row r="41" spans="1:22" x14ac:dyDescent="0.35">
      <c r="A41">
        <v>39</v>
      </c>
      <c r="B41" s="14">
        <f t="shared" ca="1" si="9"/>
        <v>47255</v>
      </c>
      <c r="C41" s="15">
        <f ca="1">(1+'Dane do harmonogramu'!$E$13*('Roboczy harmonogram_2'!B41-'Roboczy harmonogram_2'!B40)/365)</f>
        <v>1.0068219178082192</v>
      </c>
      <c r="D41" s="15">
        <f ca="1">(1+'Dane do harmonogramu'!$E$13*('Roboczy harmonogram_2'!B41-'Roboczy harmonogram_2'!B40)/366)</f>
        <v>1.0068032786885246</v>
      </c>
      <c r="E41" s="15">
        <f t="shared" ca="1" si="0"/>
        <v>0</v>
      </c>
      <c r="F41" s="15">
        <f t="shared" ca="1" si="1"/>
        <v>0</v>
      </c>
      <c r="G41">
        <f ca="1">IF(E41=1,(1+'Dane do harmonogramu'!$E$13*((('Roboczy harmonogram_2'!B41-DATE(YEAR(B41),1,1)+1)/365)+((DATE(YEAR(B40),12,31)-'Roboczy harmonogram_2'!B40)/366))),IF(F41=1,(1+'Dane do harmonogramu'!$E$13*((('Roboczy harmonogram_2'!B41-DATE(YEAR(B41),1,1)+1)/366)+((DATE(YEAR(B40),12,31)-'Roboczy harmonogram_2'!B40)/365))),0))</f>
        <v>0</v>
      </c>
      <c r="H41">
        <f t="shared" ca="1" si="2"/>
        <v>0</v>
      </c>
      <c r="I41">
        <f t="shared" ca="1" si="3"/>
        <v>1.0068219178082192</v>
      </c>
      <c r="J41">
        <f t="shared" ca="1" si="4"/>
        <v>1.0068219178082192</v>
      </c>
      <c r="K41">
        <f ca="1">PRODUCT($J$3:J41)</f>
        <v>1.30391429553255</v>
      </c>
      <c r="L41">
        <f t="shared" ca="1" si="5"/>
        <v>0.76692157101596614</v>
      </c>
      <c r="M41">
        <f ca="1">SUM($L$3:L41)</f>
        <v>34.190853857358192</v>
      </c>
      <c r="O41">
        <f t="shared" ca="1" si="6"/>
        <v>2086.7642111951718</v>
      </c>
      <c r="P41" s="16">
        <f t="shared" ca="1" si="7"/>
        <v>2814.0685492074708</v>
      </c>
      <c r="Q41" s="17">
        <f t="shared" ca="1" si="8"/>
        <v>303077.07084285538</v>
      </c>
      <c r="S41">
        <f ca="1">IF(A41&lt;='Dane do harmonogramu'!$E$7,'Roboczy harmonogram_2'!P41,0)</f>
        <v>2814.0685492074708</v>
      </c>
      <c r="T41">
        <f ca="1">IF(A41&lt;='Dane do harmonogramu'!$E$7,'Roboczy harmonogram_2'!O41,0)</f>
        <v>2086.7642111951718</v>
      </c>
      <c r="U41">
        <f ca="1">IF(A41&lt;='Dane do harmonogramu'!$E$7,$N$2,0)</f>
        <v>4900.8327604026426</v>
      </c>
      <c r="V41" s="16">
        <f ca="1">IF(A40&lt;='Dane do harmonogramu'!$E$7,Q40*0.15%,"")</f>
        <v>458.83670908809427</v>
      </c>
    </row>
    <row r="42" spans="1:22" x14ac:dyDescent="0.35">
      <c r="A42">
        <v>40</v>
      </c>
      <c r="B42" s="14">
        <f t="shared" ca="1" si="9"/>
        <v>47286</v>
      </c>
      <c r="C42" s="15">
        <f ca="1">(1+'Dane do harmonogramu'!$E$13*('Roboczy harmonogram_2'!B42-'Roboczy harmonogram_2'!B41)/365)</f>
        <v>1.0070493150684932</v>
      </c>
      <c r="D42" s="15">
        <f ca="1">(1+'Dane do harmonogramu'!$E$13*('Roboczy harmonogram_2'!B42-'Roboczy harmonogram_2'!B41)/366)</f>
        <v>1.0070300546448088</v>
      </c>
      <c r="E42" s="15">
        <f t="shared" ca="1" si="0"/>
        <v>0</v>
      </c>
      <c r="F42" s="15">
        <f t="shared" ca="1" si="1"/>
        <v>0</v>
      </c>
      <c r="G42">
        <f ca="1">IF(E42=1,(1+'Dane do harmonogramu'!$E$13*((('Roboczy harmonogram_2'!B42-DATE(YEAR(B42),1,1)+1)/365)+((DATE(YEAR(B41),12,31)-'Roboczy harmonogram_2'!B41)/366))),IF(F42=1,(1+'Dane do harmonogramu'!$E$13*((('Roboczy harmonogram_2'!B42-DATE(YEAR(B42),1,1)+1)/366)+((DATE(YEAR(B41),12,31)-'Roboczy harmonogram_2'!B41)/365))),0))</f>
        <v>0</v>
      </c>
      <c r="H42">
        <f t="shared" ca="1" si="2"/>
        <v>0</v>
      </c>
      <c r="I42">
        <f t="shared" ca="1" si="3"/>
        <v>1.0070493150684932</v>
      </c>
      <c r="J42">
        <f t="shared" ca="1" si="4"/>
        <v>1.0070493150684932</v>
      </c>
      <c r="K42">
        <f ca="1">PRODUCT($J$3:J42)</f>
        <v>1.3131059982240711</v>
      </c>
      <c r="L42">
        <f t="shared" ca="1" si="5"/>
        <v>0.76155314296977106</v>
      </c>
      <c r="M42">
        <f ca="1">SUM($L$3:L42)</f>
        <v>34.952407000327966</v>
      </c>
      <c r="O42">
        <f t="shared" ca="1" si="6"/>
        <v>2136.4857624073047</v>
      </c>
      <c r="P42" s="16">
        <f t="shared" ca="1" si="7"/>
        <v>2764.3469979953379</v>
      </c>
      <c r="Q42" s="17">
        <f t="shared" ca="1" si="8"/>
        <v>300312.72384486004</v>
      </c>
      <c r="S42">
        <f ca="1">IF(A42&lt;='Dane do harmonogramu'!$E$7,'Roboczy harmonogram_2'!P42,0)</f>
        <v>2764.3469979953379</v>
      </c>
      <c r="T42">
        <f ca="1">IF(A42&lt;='Dane do harmonogramu'!$E$7,'Roboczy harmonogram_2'!O42,0)</f>
        <v>2136.4857624073047</v>
      </c>
      <c r="U42">
        <f ca="1">IF(A42&lt;='Dane do harmonogramu'!$E$7,$N$2,0)</f>
        <v>4900.8327604026426</v>
      </c>
      <c r="V42" s="16">
        <f ca="1">IF(A41&lt;='Dane do harmonogramu'!$E$7,Q41*0.15%,"")</f>
        <v>454.61560626428309</v>
      </c>
    </row>
    <row r="43" spans="1:22" x14ac:dyDescent="0.35">
      <c r="A43">
        <v>41</v>
      </c>
      <c r="B43" s="14">
        <f t="shared" ca="1" si="9"/>
        <v>47316</v>
      </c>
      <c r="C43" s="15">
        <f ca="1">(1+'Dane do harmonogramu'!$E$13*('Roboczy harmonogram_2'!B43-'Roboczy harmonogram_2'!B42)/365)</f>
        <v>1.0068219178082192</v>
      </c>
      <c r="D43" s="15">
        <f ca="1">(1+'Dane do harmonogramu'!$E$13*('Roboczy harmonogram_2'!B43-'Roboczy harmonogram_2'!B42)/366)</f>
        <v>1.0068032786885246</v>
      </c>
      <c r="E43" s="15">
        <f t="shared" ca="1" si="0"/>
        <v>0</v>
      </c>
      <c r="F43" s="15">
        <f t="shared" ca="1" si="1"/>
        <v>0</v>
      </c>
      <c r="G43">
        <f ca="1">IF(E43=1,(1+'Dane do harmonogramu'!$E$13*((('Roboczy harmonogram_2'!B43-DATE(YEAR(B43),1,1)+1)/365)+((DATE(YEAR(B42),12,31)-'Roboczy harmonogram_2'!B42)/366))),IF(F43=1,(1+'Dane do harmonogramu'!$E$13*((('Roboczy harmonogram_2'!B43-DATE(YEAR(B43),1,1)+1)/366)+((DATE(YEAR(B42),12,31)-'Roboczy harmonogram_2'!B42)/365))),0))</f>
        <v>0</v>
      </c>
      <c r="H43">
        <f t="shared" ca="1" si="2"/>
        <v>0</v>
      </c>
      <c r="I43">
        <f t="shared" ca="1" si="3"/>
        <v>1.0068219178082192</v>
      </c>
      <c r="J43">
        <f t="shared" ca="1" si="4"/>
        <v>1.0068219178082192</v>
      </c>
      <c r="K43">
        <f ca="1">PRODUCT($J$3:J43)</f>
        <v>1.3220638994174354</v>
      </c>
      <c r="L43">
        <f t="shared" ca="1" si="5"/>
        <v>0.7563930914690643</v>
      </c>
      <c r="M43">
        <f ca="1">SUM($L$3:L43)</f>
        <v>35.708800091797031</v>
      </c>
      <c r="O43">
        <f t="shared" ca="1" si="6"/>
        <v>2048.7087188320584</v>
      </c>
      <c r="P43" s="16">
        <f t="shared" ca="1" si="7"/>
        <v>2852.1240415705843</v>
      </c>
      <c r="Q43" s="17">
        <f t="shared" ca="1" si="8"/>
        <v>297460.59980328946</v>
      </c>
      <c r="S43">
        <f ca="1">IF(A43&lt;='Dane do harmonogramu'!$E$7,'Roboczy harmonogram_2'!P43,0)</f>
        <v>2852.1240415705843</v>
      </c>
      <c r="T43">
        <f ca="1">IF(A43&lt;='Dane do harmonogramu'!$E$7,'Roboczy harmonogram_2'!O43,0)</f>
        <v>2048.7087188320584</v>
      </c>
      <c r="U43">
        <f ca="1">IF(A43&lt;='Dane do harmonogramu'!$E$7,$N$2,0)</f>
        <v>4900.8327604026426</v>
      </c>
      <c r="V43" s="16">
        <f ca="1">IF(A42&lt;='Dane do harmonogramu'!$E$7,Q42*0.15%,"")</f>
        <v>450.4690857672901</v>
      </c>
    </row>
    <row r="44" spans="1:22" x14ac:dyDescent="0.35">
      <c r="A44">
        <v>42</v>
      </c>
      <c r="B44" s="14">
        <f t="shared" ca="1" si="9"/>
        <v>47347</v>
      </c>
      <c r="C44" s="15">
        <f ca="1">(1+'Dane do harmonogramu'!$E$13*('Roboczy harmonogram_2'!B44-'Roboczy harmonogram_2'!B43)/365)</f>
        <v>1.0070493150684932</v>
      </c>
      <c r="D44" s="15">
        <f ca="1">(1+'Dane do harmonogramu'!$E$13*('Roboczy harmonogram_2'!B44-'Roboczy harmonogram_2'!B43)/366)</f>
        <v>1.0070300546448088</v>
      </c>
      <c r="E44" s="15">
        <f t="shared" ca="1" si="0"/>
        <v>0</v>
      </c>
      <c r="F44" s="15">
        <f t="shared" ca="1" si="1"/>
        <v>0</v>
      </c>
      <c r="G44">
        <f ca="1">IF(E44=1,(1+'Dane do harmonogramu'!$E$13*((('Roboczy harmonogram_2'!B44-DATE(YEAR(B44),1,1)+1)/365)+((DATE(YEAR(B43),12,31)-'Roboczy harmonogram_2'!B43)/366))),IF(F44=1,(1+'Dane do harmonogramu'!$E$13*((('Roboczy harmonogram_2'!B44-DATE(YEAR(B44),1,1)+1)/366)+((DATE(YEAR(B43),12,31)-'Roboczy harmonogram_2'!B43)/365))),0))</f>
        <v>0</v>
      </c>
      <c r="H44">
        <f t="shared" ca="1" si="2"/>
        <v>0</v>
      </c>
      <c r="I44">
        <f t="shared" ca="1" si="3"/>
        <v>1.0070493150684932</v>
      </c>
      <c r="J44">
        <f t="shared" ca="1" si="4"/>
        <v>1.0070493150684932</v>
      </c>
      <c r="K44">
        <f ca="1">PRODUCT($J$3:J44)</f>
        <v>1.3313835443851096</v>
      </c>
      <c r="L44">
        <f t="shared" ca="1" si="5"/>
        <v>0.7510983624646218</v>
      </c>
      <c r="M44">
        <f ca="1">SUM($L$3:L44)</f>
        <v>36.459898454261655</v>
      </c>
      <c r="O44">
        <f t="shared" ca="1" si="6"/>
        <v>2096.8934884763439</v>
      </c>
      <c r="P44" s="16">
        <f t="shared" ca="1" si="7"/>
        <v>2803.9392719262987</v>
      </c>
      <c r="Q44" s="17">
        <f t="shared" ca="1" si="8"/>
        <v>294656.66053136316</v>
      </c>
      <c r="S44">
        <f ca="1">IF(A44&lt;='Dane do harmonogramu'!$E$7,'Roboczy harmonogram_2'!P44,0)</f>
        <v>2803.9392719262987</v>
      </c>
      <c r="T44">
        <f ca="1">IF(A44&lt;='Dane do harmonogramu'!$E$7,'Roboczy harmonogram_2'!O44,0)</f>
        <v>2096.8934884763439</v>
      </c>
      <c r="U44">
        <f ca="1">IF(A44&lt;='Dane do harmonogramu'!$E$7,$N$2,0)</f>
        <v>4900.8327604026426</v>
      </c>
      <c r="V44" s="16">
        <f ca="1">IF(A43&lt;='Dane do harmonogramu'!$E$7,Q43*0.15%,"")</f>
        <v>446.19089970493417</v>
      </c>
    </row>
    <row r="45" spans="1:22" x14ac:dyDescent="0.35">
      <c r="A45">
        <v>43</v>
      </c>
      <c r="B45" s="14">
        <f t="shared" ca="1" si="9"/>
        <v>47378</v>
      </c>
      <c r="C45" s="15">
        <f ca="1">(1+'Dane do harmonogramu'!$E$13*('Roboczy harmonogram_2'!B45-'Roboczy harmonogram_2'!B44)/365)</f>
        <v>1.0070493150684932</v>
      </c>
      <c r="D45" s="15">
        <f ca="1">(1+'Dane do harmonogramu'!$E$13*('Roboczy harmonogram_2'!B45-'Roboczy harmonogram_2'!B44)/366)</f>
        <v>1.0070300546448088</v>
      </c>
      <c r="E45" s="15">
        <f t="shared" ca="1" si="0"/>
        <v>0</v>
      </c>
      <c r="F45" s="15">
        <f t="shared" ca="1" si="1"/>
        <v>0</v>
      </c>
      <c r="G45">
        <f ca="1">IF(E45=1,(1+'Dane do harmonogramu'!$E$13*((('Roboczy harmonogram_2'!B45-DATE(YEAR(B45),1,1)+1)/365)+((DATE(YEAR(B44),12,31)-'Roboczy harmonogram_2'!B44)/366))),IF(F45=1,(1+'Dane do harmonogramu'!$E$13*((('Roboczy harmonogram_2'!B45-DATE(YEAR(B45),1,1)+1)/366)+((DATE(YEAR(B44),12,31)-'Roboczy harmonogram_2'!B44)/365))),0))</f>
        <v>0</v>
      </c>
      <c r="H45">
        <f t="shared" ca="1" si="2"/>
        <v>0</v>
      </c>
      <c r="I45">
        <f t="shared" ca="1" si="3"/>
        <v>1.0070493150684932</v>
      </c>
      <c r="J45">
        <f t="shared" ca="1" si="4"/>
        <v>1.0070493150684932</v>
      </c>
      <c r="K45">
        <f ca="1">PRODUCT($J$3:J45)</f>
        <v>1.3407688864664875</v>
      </c>
      <c r="L45">
        <f t="shared" ca="1" si="5"/>
        <v>0.74584069640476025</v>
      </c>
      <c r="M45">
        <f ca="1">SUM($L$3:L45)</f>
        <v>37.205739150666417</v>
      </c>
      <c r="O45">
        <f t="shared" ca="1" si="6"/>
        <v>2077.1276371155982</v>
      </c>
      <c r="P45" s="16">
        <f t="shared" ca="1" si="7"/>
        <v>2823.7051232870444</v>
      </c>
      <c r="Q45" s="17">
        <f t="shared" ca="1" si="8"/>
        <v>291832.95540807612</v>
      </c>
      <c r="S45">
        <f ca="1">IF(A45&lt;='Dane do harmonogramu'!$E$7,'Roboczy harmonogram_2'!P45,0)</f>
        <v>2823.7051232870444</v>
      </c>
      <c r="T45">
        <f ca="1">IF(A45&lt;='Dane do harmonogramu'!$E$7,'Roboczy harmonogram_2'!O45,0)</f>
        <v>2077.1276371155982</v>
      </c>
      <c r="U45">
        <f ca="1">IF(A45&lt;='Dane do harmonogramu'!$E$7,$N$2,0)</f>
        <v>4900.8327604026426</v>
      </c>
      <c r="V45" s="16">
        <f ca="1">IF(A44&lt;='Dane do harmonogramu'!$E$7,Q44*0.15%,"")</f>
        <v>441.98499079704476</v>
      </c>
    </row>
    <row r="46" spans="1:22" x14ac:dyDescent="0.35">
      <c r="A46">
        <v>44</v>
      </c>
      <c r="B46" s="14">
        <f t="shared" ca="1" si="9"/>
        <v>47408</v>
      </c>
      <c r="C46" s="15">
        <f ca="1">(1+'Dane do harmonogramu'!$E$13*('Roboczy harmonogram_2'!B46-'Roboczy harmonogram_2'!B45)/365)</f>
        <v>1.0068219178082192</v>
      </c>
      <c r="D46" s="15">
        <f ca="1">(1+'Dane do harmonogramu'!$E$13*('Roboczy harmonogram_2'!B46-'Roboczy harmonogram_2'!B45)/366)</f>
        <v>1.0068032786885246</v>
      </c>
      <c r="E46" s="15">
        <f t="shared" ca="1" si="0"/>
        <v>0</v>
      </c>
      <c r="F46" s="15">
        <f t="shared" ca="1" si="1"/>
        <v>0</v>
      </c>
      <c r="G46">
        <f ca="1">IF(E46=1,(1+'Dane do harmonogramu'!$E$13*((('Roboczy harmonogram_2'!B46-DATE(YEAR(B46),1,1)+1)/365)+((DATE(YEAR(B45),12,31)-'Roboczy harmonogram_2'!B45)/366))),IF(F46=1,(1+'Dane do harmonogramu'!$E$13*((('Roboczy harmonogram_2'!B46-DATE(YEAR(B46),1,1)+1)/366)+((DATE(YEAR(B45),12,31)-'Roboczy harmonogram_2'!B45)/365))),0))</f>
        <v>0</v>
      </c>
      <c r="H46">
        <f t="shared" ca="1" si="2"/>
        <v>0</v>
      </c>
      <c r="I46">
        <f t="shared" ca="1" si="3"/>
        <v>1.0068219178082192</v>
      </c>
      <c r="J46">
        <f t="shared" ca="1" si="4"/>
        <v>1.0068219178082192</v>
      </c>
      <c r="K46">
        <f ca="1">PRODUCT($J$3:J46)</f>
        <v>1.3499155016097795</v>
      </c>
      <c r="L46">
        <f t="shared" ca="1" si="5"/>
        <v>0.74078710764303113</v>
      </c>
      <c r="M46">
        <f ca="1">SUM($L$3:L46)</f>
        <v>37.946526258309447</v>
      </c>
      <c r="O46">
        <f t="shared" ca="1" si="6"/>
        <v>1990.8604355235584</v>
      </c>
      <c r="P46" s="16">
        <f t="shared" ca="1" si="7"/>
        <v>2909.9723248790842</v>
      </c>
      <c r="Q46" s="17">
        <f t="shared" ca="1" si="8"/>
        <v>288922.98308319703</v>
      </c>
      <c r="S46">
        <f ca="1">IF(A46&lt;='Dane do harmonogramu'!$E$7,'Roboczy harmonogram_2'!P46,0)</f>
        <v>2909.9723248790842</v>
      </c>
      <c r="T46">
        <f ca="1">IF(A46&lt;='Dane do harmonogramu'!$E$7,'Roboczy harmonogram_2'!O46,0)</f>
        <v>1990.8604355235584</v>
      </c>
      <c r="U46">
        <f ca="1">IF(A46&lt;='Dane do harmonogramu'!$E$7,$N$2,0)</f>
        <v>4900.8327604026426</v>
      </c>
      <c r="V46" s="16">
        <f ca="1">IF(A45&lt;='Dane do harmonogramu'!$E$7,Q45*0.15%,"")</f>
        <v>437.74943311211416</v>
      </c>
    </row>
    <row r="47" spans="1:22" x14ac:dyDescent="0.35">
      <c r="A47">
        <v>45</v>
      </c>
      <c r="B47" s="14">
        <f t="shared" ca="1" si="9"/>
        <v>47439</v>
      </c>
      <c r="C47" s="15">
        <f ca="1">(1+'Dane do harmonogramu'!$E$13*('Roboczy harmonogram_2'!B47-'Roboczy harmonogram_2'!B46)/365)</f>
        <v>1.0070493150684932</v>
      </c>
      <c r="D47" s="15">
        <f ca="1">(1+'Dane do harmonogramu'!$E$13*('Roboczy harmonogram_2'!B47-'Roboczy harmonogram_2'!B46)/366)</f>
        <v>1.0070300546448088</v>
      </c>
      <c r="E47" s="15">
        <f t="shared" ca="1" si="0"/>
        <v>0</v>
      </c>
      <c r="F47" s="15">
        <f t="shared" ca="1" si="1"/>
        <v>0</v>
      </c>
      <c r="G47">
        <f ca="1">IF(E47=1,(1+'Dane do harmonogramu'!$E$13*((('Roboczy harmonogram_2'!B47-DATE(YEAR(B47),1,1)+1)/365)+((DATE(YEAR(B46),12,31)-'Roboczy harmonogram_2'!B46)/366))),IF(F47=1,(1+'Dane do harmonogramu'!$E$13*((('Roboczy harmonogram_2'!B47-DATE(YEAR(B47),1,1)+1)/366)+((DATE(YEAR(B46),12,31)-'Roboczy harmonogram_2'!B46)/365))),0))</f>
        <v>0</v>
      </c>
      <c r="H47">
        <f t="shared" ca="1" si="2"/>
        <v>0</v>
      </c>
      <c r="I47">
        <f t="shared" ca="1" si="3"/>
        <v>1.0070493150684932</v>
      </c>
      <c r="J47">
        <f t="shared" ca="1" si="4"/>
        <v>1.0070493150684932</v>
      </c>
      <c r="K47">
        <f ca="1">PRODUCT($J$3:J47)</f>
        <v>1.3594314812964698</v>
      </c>
      <c r="L47">
        <f t="shared" ca="1" si="5"/>
        <v>0.73560162005834573</v>
      </c>
      <c r="M47">
        <f ca="1">SUM($L$3:L47)</f>
        <v>38.682127878367794</v>
      </c>
      <c r="O47">
        <f t="shared" ca="1" si="6"/>
        <v>2036.7091382824001</v>
      </c>
      <c r="P47" s="16">
        <f t="shared" ca="1" si="7"/>
        <v>2864.1236221202425</v>
      </c>
      <c r="Q47" s="17">
        <f t="shared" ca="1" si="8"/>
        <v>286058.85946107679</v>
      </c>
      <c r="S47">
        <f ca="1">IF(A47&lt;='Dane do harmonogramu'!$E$7,'Roboczy harmonogram_2'!P47,0)</f>
        <v>2864.1236221202425</v>
      </c>
      <c r="T47">
        <f ca="1">IF(A47&lt;='Dane do harmonogramu'!$E$7,'Roboczy harmonogram_2'!O47,0)</f>
        <v>2036.7091382824001</v>
      </c>
      <c r="U47">
        <f ca="1">IF(A47&lt;='Dane do harmonogramu'!$E$7,$N$2,0)</f>
        <v>4900.8327604026426</v>
      </c>
      <c r="V47" s="16">
        <f ca="1">IF(A46&lt;='Dane do harmonogramu'!$E$7,Q46*0.15%,"")</f>
        <v>433.38447462479553</v>
      </c>
    </row>
    <row r="48" spans="1:22" x14ac:dyDescent="0.35">
      <c r="A48">
        <v>46</v>
      </c>
      <c r="B48" s="14">
        <f t="shared" ca="1" si="9"/>
        <v>47469</v>
      </c>
      <c r="C48" s="15">
        <f ca="1">(1+'Dane do harmonogramu'!$E$13*('Roboczy harmonogram_2'!B48-'Roboczy harmonogram_2'!B47)/365)</f>
        <v>1.0068219178082192</v>
      </c>
      <c r="D48" s="15">
        <f ca="1">(1+'Dane do harmonogramu'!$E$13*('Roboczy harmonogram_2'!B48-'Roboczy harmonogram_2'!B47)/366)</f>
        <v>1.0068032786885246</v>
      </c>
      <c r="E48" s="15">
        <f t="shared" ca="1" si="0"/>
        <v>0</v>
      </c>
      <c r="F48" s="15">
        <f t="shared" ca="1" si="1"/>
        <v>0</v>
      </c>
      <c r="G48">
        <f ca="1">IF(E48=1,(1+'Dane do harmonogramu'!$E$13*((('Roboczy harmonogram_2'!B48-DATE(YEAR(B48),1,1)+1)/365)+((DATE(YEAR(B47),12,31)-'Roboczy harmonogram_2'!B47)/366))),IF(F48=1,(1+'Dane do harmonogramu'!$E$13*((('Roboczy harmonogram_2'!B48-DATE(YEAR(B48),1,1)+1)/366)+((DATE(YEAR(B47),12,31)-'Roboczy harmonogram_2'!B47)/365))),0))</f>
        <v>0</v>
      </c>
      <c r="H48">
        <f t="shared" ca="1" si="2"/>
        <v>0</v>
      </c>
      <c r="I48">
        <f t="shared" ca="1" si="3"/>
        <v>1.0068219178082192</v>
      </c>
      <c r="J48">
        <f t="shared" ca="1" si="4"/>
        <v>1.0068219178082192</v>
      </c>
      <c r="K48">
        <f ca="1">PRODUCT($J$3:J48)</f>
        <v>1.3687054111277801</v>
      </c>
      <c r="L48">
        <f t="shared" ca="1" si="5"/>
        <v>0.73061740815068765</v>
      </c>
      <c r="M48">
        <f ca="1">SUM($L$3:L48)</f>
        <v>39.412745286518479</v>
      </c>
      <c r="O48">
        <f t="shared" ca="1" si="6"/>
        <v>1951.4700275564101</v>
      </c>
      <c r="P48" s="16">
        <f t="shared" ca="1" si="7"/>
        <v>2949.3627328462326</v>
      </c>
      <c r="Q48" s="17">
        <f t="shared" ca="1" si="8"/>
        <v>283109.49672823056</v>
      </c>
      <c r="S48">
        <f ca="1">IF(A48&lt;='Dane do harmonogramu'!$E$7,'Roboczy harmonogram_2'!P48,0)</f>
        <v>2949.3627328462326</v>
      </c>
      <c r="T48">
        <f ca="1">IF(A48&lt;='Dane do harmonogramu'!$E$7,'Roboczy harmonogram_2'!O48,0)</f>
        <v>1951.4700275564101</v>
      </c>
      <c r="U48">
        <f ca="1">IF(A48&lt;='Dane do harmonogramu'!$E$7,$N$2,0)</f>
        <v>4900.8327604026426</v>
      </c>
      <c r="V48" s="16">
        <f ca="1">IF(A47&lt;='Dane do harmonogramu'!$E$7,Q47*0.15%,"")</f>
        <v>429.08828919161522</v>
      </c>
    </row>
    <row r="49" spans="1:22" x14ac:dyDescent="0.35">
      <c r="A49">
        <v>47</v>
      </c>
      <c r="B49" s="14">
        <f t="shared" ca="1" si="9"/>
        <v>47500</v>
      </c>
      <c r="C49" s="15">
        <f ca="1">(1+'Dane do harmonogramu'!$E$13*('Roboczy harmonogram_2'!B49-'Roboczy harmonogram_2'!B48)/365)</f>
        <v>1.0070493150684932</v>
      </c>
      <c r="D49" s="15">
        <f ca="1">(1+'Dane do harmonogramu'!$E$13*('Roboczy harmonogram_2'!B49-'Roboczy harmonogram_2'!B48)/366)</f>
        <v>1.0070300546448088</v>
      </c>
      <c r="E49" s="15">
        <f t="shared" ca="1" si="0"/>
        <v>0</v>
      </c>
      <c r="F49" s="15">
        <f t="shared" ca="1" si="1"/>
        <v>0</v>
      </c>
      <c r="G49">
        <f ca="1">IF(E49=1,(1+'Dane do harmonogramu'!$E$13*((('Roboczy harmonogram_2'!B49-DATE(YEAR(B49),1,1)+1)/365)+((DATE(YEAR(B48),12,31)-'Roboczy harmonogram_2'!B48)/366))),IF(F49=1,(1+'Dane do harmonogramu'!$E$13*((('Roboczy harmonogram_2'!B49-DATE(YEAR(B49),1,1)+1)/366)+((DATE(YEAR(B48),12,31)-'Roboczy harmonogram_2'!B48)/365))),0))</f>
        <v>0</v>
      </c>
      <c r="H49">
        <f t="shared" ca="1" si="2"/>
        <v>0</v>
      </c>
      <c r="I49">
        <f t="shared" ca="1" si="3"/>
        <v>1.0070493150684932</v>
      </c>
      <c r="J49">
        <f t="shared" ca="1" si="4"/>
        <v>1.0070493150684932</v>
      </c>
      <c r="K49">
        <f ca="1">PRODUCT($J$3:J49)</f>
        <v>1.3783538468067713</v>
      </c>
      <c r="L49">
        <f t="shared" ca="1" si="5"/>
        <v>0.72550310815811003</v>
      </c>
      <c r="M49">
        <f ca="1">SUM($L$3:L49)</f>
        <v>40.138248394676587</v>
      </c>
      <c r="O49">
        <f t="shared" ca="1" si="6"/>
        <v>1995.7280413198168</v>
      </c>
      <c r="P49" s="16">
        <f t="shared" ca="1" si="7"/>
        <v>2905.1047190828258</v>
      </c>
      <c r="Q49" s="17">
        <f t="shared" ca="1" si="8"/>
        <v>280204.39200914773</v>
      </c>
      <c r="S49">
        <f ca="1">IF(A49&lt;='Dane do harmonogramu'!$E$7,'Roboczy harmonogram_2'!P49,0)</f>
        <v>2905.1047190828258</v>
      </c>
      <c r="T49">
        <f ca="1">IF(A49&lt;='Dane do harmonogramu'!$E$7,'Roboczy harmonogram_2'!O49,0)</f>
        <v>1995.7280413198168</v>
      </c>
      <c r="U49">
        <f ca="1">IF(A49&lt;='Dane do harmonogramu'!$E$7,$N$2,0)</f>
        <v>4900.8327604026426</v>
      </c>
      <c r="V49" s="16">
        <f ca="1">IF(A48&lt;='Dane do harmonogramu'!$E$7,Q48*0.15%,"")</f>
        <v>424.66424509234582</v>
      </c>
    </row>
    <row r="50" spans="1:22" x14ac:dyDescent="0.35">
      <c r="A50">
        <v>48</v>
      </c>
      <c r="B50" s="14">
        <f t="shared" ca="1" si="9"/>
        <v>47531</v>
      </c>
      <c r="C50" s="15">
        <f ca="1">(1+'Dane do harmonogramu'!$E$13*('Roboczy harmonogram_2'!B50-'Roboczy harmonogram_2'!B49)/365)</f>
        <v>1.0070493150684932</v>
      </c>
      <c r="D50" s="15">
        <f ca="1">(1+'Dane do harmonogramu'!$E$13*('Roboczy harmonogram_2'!B50-'Roboczy harmonogram_2'!B49)/366)</f>
        <v>1.0070300546448088</v>
      </c>
      <c r="E50" s="15">
        <f t="shared" ca="1" si="0"/>
        <v>0</v>
      </c>
      <c r="F50" s="15">
        <f t="shared" ca="1" si="1"/>
        <v>0</v>
      </c>
      <c r="G50">
        <f ca="1">IF(E50=1,(1+'Dane do harmonogramu'!$E$13*((('Roboczy harmonogram_2'!B50-DATE(YEAR(B50),1,1)+1)/365)+((DATE(YEAR(B49),12,31)-'Roboczy harmonogram_2'!B49)/366))),IF(F50=1,(1+'Dane do harmonogramu'!$E$13*((('Roboczy harmonogram_2'!B50-DATE(YEAR(B50),1,1)+1)/366)+((DATE(YEAR(B49),12,31)-'Roboczy harmonogram_2'!B49)/365))),0))</f>
        <v>0</v>
      </c>
      <c r="H50">
        <f t="shared" ca="1" si="2"/>
        <v>0</v>
      </c>
      <c r="I50">
        <f t="shared" ca="1" si="3"/>
        <v>1.0070493150684932</v>
      </c>
      <c r="J50">
        <f t="shared" ca="1" si="4"/>
        <v>1.0070493150684932</v>
      </c>
      <c r="K50">
        <f ca="1">PRODUCT($J$3:J50)</f>
        <v>1.3880702973487817</v>
      </c>
      <c r="L50">
        <f t="shared" ca="1" si="5"/>
        <v>0.72042460811242981</v>
      </c>
      <c r="M50">
        <f ca="1">SUM($L$3:L50)</f>
        <v>40.858673002789018</v>
      </c>
      <c r="O50">
        <f t="shared" ca="1" si="6"/>
        <v>1975.2490428480669</v>
      </c>
      <c r="P50" s="16">
        <f t="shared" ca="1" si="7"/>
        <v>2925.5837175545757</v>
      </c>
      <c r="Q50" s="17">
        <f t="shared" ca="1" si="8"/>
        <v>277278.80829159316</v>
      </c>
      <c r="S50">
        <f ca="1">IF(A50&lt;='Dane do harmonogramu'!$E$7,'Roboczy harmonogram_2'!P50,0)</f>
        <v>2925.5837175545757</v>
      </c>
      <c r="T50">
        <f ca="1">IF(A50&lt;='Dane do harmonogramu'!$E$7,'Roboczy harmonogram_2'!O50,0)</f>
        <v>1975.2490428480669</v>
      </c>
      <c r="U50">
        <f ca="1">IF(A50&lt;='Dane do harmonogramu'!$E$7,$N$2,0)</f>
        <v>4900.8327604026426</v>
      </c>
      <c r="V50" s="16">
        <f ca="1">IF(A49&lt;='Dane do harmonogramu'!$E$7,Q49*0.15%,"")</f>
        <v>420.30658801372164</v>
      </c>
    </row>
    <row r="51" spans="1:22" x14ac:dyDescent="0.35">
      <c r="A51">
        <v>49</v>
      </c>
      <c r="B51" s="14">
        <f t="shared" ca="1" si="9"/>
        <v>47559</v>
      </c>
      <c r="C51" s="15">
        <f ca="1">(1+'Dane do harmonogramu'!$E$13*('Roboczy harmonogram_2'!B51-'Roboczy harmonogram_2'!B50)/365)</f>
        <v>1.0063671232876712</v>
      </c>
      <c r="D51" s="15">
        <f ca="1">(1+'Dane do harmonogramu'!$E$13*('Roboczy harmonogram_2'!B51-'Roboczy harmonogram_2'!B50)/366)</f>
        <v>1.0063497267759562</v>
      </c>
      <c r="E51" s="15">
        <f t="shared" ca="1" si="0"/>
        <v>0</v>
      </c>
      <c r="F51" s="15">
        <f t="shared" ca="1" si="1"/>
        <v>0</v>
      </c>
      <c r="G51">
        <f ca="1">IF(E51=1,(1+'Dane do harmonogramu'!$E$13*((('Roboczy harmonogram_2'!B51-DATE(YEAR(B51),1,1)+1)/365)+((DATE(YEAR(B50),12,31)-'Roboczy harmonogram_2'!B50)/366))),IF(F51=1,(1+'Dane do harmonogramu'!$E$13*((('Roboczy harmonogram_2'!B51-DATE(YEAR(B51),1,1)+1)/366)+((DATE(YEAR(B50),12,31)-'Roboczy harmonogram_2'!B50)/365))),0))</f>
        <v>0</v>
      </c>
      <c r="H51">
        <f t="shared" ca="1" si="2"/>
        <v>0</v>
      </c>
      <c r="I51">
        <f t="shared" ca="1" si="3"/>
        <v>1.0063671232876712</v>
      </c>
      <c r="J51">
        <f t="shared" ca="1" si="4"/>
        <v>1.0063671232876712</v>
      </c>
      <c r="K51">
        <f ca="1">PRODUCT($J$3:J51)</f>
        <v>1.3969083120639558</v>
      </c>
      <c r="L51">
        <f t="shared" ca="1" si="5"/>
        <v>0.71586659723033863</v>
      </c>
      <c r="M51">
        <f ca="1">SUM($L$3:L51)</f>
        <v>41.574539600019357</v>
      </c>
      <c r="O51">
        <f t="shared" ca="1" si="6"/>
        <v>1765.4683574511437</v>
      </c>
      <c r="P51" s="16">
        <f t="shared" ca="1" si="7"/>
        <v>3135.364402951499</v>
      </c>
      <c r="Q51" s="17">
        <f t="shared" ca="1" si="8"/>
        <v>274143.44388864166</v>
      </c>
      <c r="S51">
        <f ca="1">IF(A51&lt;='Dane do harmonogramu'!$E$7,'Roboczy harmonogram_2'!P51,0)</f>
        <v>3135.364402951499</v>
      </c>
      <c r="T51">
        <f ca="1">IF(A51&lt;='Dane do harmonogramu'!$E$7,'Roboczy harmonogram_2'!O51,0)</f>
        <v>1765.4683574511437</v>
      </c>
      <c r="U51">
        <f ca="1">IF(A51&lt;='Dane do harmonogramu'!$E$7,$N$2,0)</f>
        <v>4900.8327604026426</v>
      </c>
      <c r="V51" s="16">
        <f ca="1">IF(A50&lt;='Dane do harmonogramu'!$E$7,Q50*0.15%,"")</f>
        <v>415.91821243738974</v>
      </c>
    </row>
    <row r="52" spans="1:22" x14ac:dyDescent="0.35">
      <c r="A52">
        <v>50</v>
      </c>
      <c r="B52" s="14">
        <f t="shared" ca="1" si="9"/>
        <v>47590</v>
      </c>
      <c r="C52" s="15">
        <f ca="1">(1+'Dane do harmonogramu'!$E$13*('Roboczy harmonogram_2'!B52-'Roboczy harmonogram_2'!B51)/365)</f>
        <v>1.0070493150684932</v>
      </c>
      <c r="D52" s="15">
        <f ca="1">(1+'Dane do harmonogramu'!$E$13*('Roboczy harmonogram_2'!B52-'Roboczy harmonogram_2'!B51)/366)</f>
        <v>1.0070300546448088</v>
      </c>
      <c r="E52" s="15">
        <f t="shared" ca="1" si="0"/>
        <v>0</v>
      </c>
      <c r="F52" s="15">
        <f t="shared" ca="1" si="1"/>
        <v>0</v>
      </c>
      <c r="G52">
        <f ca="1">IF(E52=1,(1+'Dane do harmonogramu'!$E$13*((('Roboczy harmonogram_2'!B52-DATE(YEAR(B52),1,1)+1)/365)+((DATE(YEAR(B51),12,31)-'Roboczy harmonogram_2'!B51)/366))),IF(F52=1,(1+'Dane do harmonogramu'!$E$13*((('Roboczy harmonogram_2'!B52-DATE(YEAR(B52),1,1)+1)/366)+((DATE(YEAR(B51),12,31)-'Roboczy harmonogram_2'!B51)/365))),0))</f>
        <v>0</v>
      </c>
      <c r="H52">
        <f t="shared" ca="1" si="2"/>
        <v>0</v>
      </c>
      <c r="I52">
        <f t="shared" ca="1" si="3"/>
        <v>1.0070493150684932</v>
      </c>
      <c r="J52">
        <f t="shared" ca="1" si="4"/>
        <v>1.0070493150684932</v>
      </c>
      <c r="K52">
        <f ca="1">PRODUCT($J$3:J52)</f>
        <v>1.4067555588774916</v>
      </c>
      <c r="L52">
        <f t="shared" ca="1" si="5"/>
        <v>0.71085555247277032</v>
      </c>
      <c r="M52">
        <f ca="1">SUM($L$3:L52)</f>
        <v>42.285395152492129</v>
      </c>
      <c r="O52">
        <f t="shared" ca="1" si="6"/>
        <v>1932.5235099327983</v>
      </c>
      <c r="P52" s="16">
        <f t="shared" ca="1" si="7"/>
        <v>2968.3092504698443</v>
      </c>
      <c r="Q52" s="17">
        <f t="shared" ca="1" si="8"/>
        <v>271175.13463817182</v>
      </c>
      <c r="S52">
        <f ca="1">IF(A52&lt;='Dane do harmonogramu'!$E$7,'Roboczy harmonogram_2'!P52,0)</f>
        <v>2968.3092504698443</v>
      </c>
      <c r="T52">
        <f ca="1">IF(A52&lt;='Dane do harmonogramu'!$E$7,'Roboczy harmonogram_2'!O52,0)</f>
        <v>1932.5235099327983</v>
      </c>
      <c r="U52">
        <f ca="1">IF(A52&lt;='Dane do harmonogramu'!$E$7,$N$2,0)</f>
        <v>4900.8327604026426</v>
      </c>
      <c r="V52" s="16">
        <f ca="1">IF(A51&lt;='Dane do harmonogramu'!$E$7,Q51*0.15%,"")</f>
        <v>411.2151658329625</v>
      </c>
    </row>
    <row r="53" spans="1:22" x14ac:dyDescent="0.35">
      <c r="A53">
        <v>51</v>
      </c>
      <c r="B53" s="14">
        <f t="shared" ca="1" si="9"/>
        <v>47620</v>
      </c>
      <c r="C53" s="15">
        <f ca="1">(1+'Dane do harmonogramu'!$E$13*('Roboczy harmonogram_2'!B53-'Roboczy harmonogram_2'!B52)/365)</f>
        <v>1.0068219178082192</v>
      </c>
      <c r="D53" s="15">
        <f ca="1">(1+'Dane do harmonogramu'!$E$13*('Roboczy harmonogram_2'!B53-'Roboczy harmonogram_2'!B52)/366)</f>
        <v>1.0068032786885246</v>
      </c>
      <c r="E53" s="15">
        <f t="shared" ca="1" si="0"/>
        <v>0</v>
      </c>
      <c r="F53" s="15">
        <f t="shared" ca="1" si="1"/>
        <v>0</v>
      </c>
      <c r="G53">
        <f ca="1">IF(E53=1,(1+'Dane do harmonogramu'!$E$13*((('Roboczy harmonogram_2'!B53-DATE(YEAR(B53),1,1)+1)/365)+((DATE(YEAR(B52),12,31)-'Roboczy harmonogram_2'!B52)/366))),IF(F53=1,(1+'Dane do harmonogramu'!$E$13*((('Roboczy harmonogram_2'!B53-DATE(YEAR(B53),1,1)+1)/366)+((DATE(YEAR(B52),12,31)-'Roboczy harmonogram_2'!B52)/365))),0))</f>
        <v>0</v>
      </c>
      <c r="H53">
        <f t="shared" ca="1" si="2"/>
        <v>0</v>
      </c>
      <c r="I53">
        <f t="shared" ca="1" si="3"/>
        <v>1.0068219178082192</v>
      </c>
      <c r="J53">
        <f t="shared" ca="1" si="4"/>
        <v>1.0068219178082192</v>
      </c>
      <c r="K53">
        <f ca="1">PRODUCT($J$3:J53)</f>
        <v>1.4163523296764093</v>
      </c>
      <c r="L53">
        <f t="shared" ca="1" si="5"/>
        <v>0.70603901236104694</v>
      </c>
      <c r="M53">
        <f ca="1">SUM($L$3:L53)</f>
        <v>42.991434164853175</v>
      </c>
      <c r="O53">
        <f t="shared" ca="1" si="6"/>
        <v>1849.9344801343977</v>
      </c>
      <c r="P53" s="16">
        <f t="shared" ca="1" si="7"/>
        <v>3050.8982802682449</v>
      </c>
      <c r="Q53" s="17">
        <f t="shared" ca="1" si="8"/>
        <v>268124.23635790357</v>
      </c>
      <c r="S53">
        <f ca="1">IF(A53&lt;='Dane do harmonogramu'!$E$7,'Roboczy harmonogram_2'!P53,0)</f>
        <v>3050.8982802682449</v>
      </c>
      <c r="T53">
        <f ca="1">IF(A53&lt;='Dane do harmonogramu'!$E$7,'Roboczy harmonogram_2'!O53,0)</f>
        <v>1849.9344801343977</v>
      </c>
      <c r="U53">
        <f ca="1">IF(A53&lt;='Dane do harmonogramu'!$E$7,$N$2,0)</f>
        <v>4900.8327604026426</v>
      </c>
      <c r="V53" s="16">
        <f ca="1">IF(A52&lt;='Dane do harmonogramu'!$E$7,Q52*0.15%,"")</f>
        <v>406.76270195725772</v>
      </c>
    </row>
    <row r="54" spans="1:22" x14ac:dyDescent="0.35">
      <c r="A54">
        <v>52</v>
      </c>
      <c r="B54" s="14">
        <f t="shared" ca="1" si="9"/>
        <v>47651</v>
      </c>
      <c r="C54" s="15">
        <f ca="1">(1+'Dane do harmonogramu'!$E$13*('Roboczy harmonogram_2'!B54-'Roboczy harmonogram_2'!B53)/365)</f>
        <v>1.0070493150684932</v>
      </c>
      <c r="D54" s="15">
        <f ca="1">(1+'Dane do harmonogramu'!$E$13*('Roboczy harmonogram_2'!B54-'Roboczy harmonogram_2'!B53)/366)</f>
        <v>1.0070300546448088</v>
      </c>
      <c r="E54" s="15">
        <f t="shared" ca="1" si="0"/>
        <v>0</v>
      </c>
      <c r="F54" s="15">
        <f t="shared" ca="1" si="1"/>
        <v>0</v>
      </c>
      <c r="G54">
        <f ca="1">IF(E54=1,(1+'Dane do harmonogramu'!$E$13*((('Roboczy harmonogram_2'!B54-DATE(YEAR(B54),1,1)+1)/365)+((DATE(YEAR(B53),12,31)-'Roboczy harmonogram_2'!B53)/366))),IF(F54=1,(1+'Dane do harmonogramu'!$E$13*((('Roboczy harmonogram_2'!B54-DATE(YEAR(B54),1,1)+1)/366)+((DATE(YEAR(B53),12,31)-'Roboczy harmonogram_2'!B53)/365))),0))</f>
        <v>0</v>
      </c>
      <c r="H54">
        <f t="shared" ca="1" si="2"/>
        <v>0</v>
      </c>
      <c r="I54">
        <f t="shared" ca="1" si="3"/>
        <v>1.0070493150684932</v>
      </c>
      <c r="J54">
        <f t="shared" ca="1" si="4"/>
        <v>1.0070493150684932</v>
      </c>
      <c r="K54">
        <f ca="1">PRODUCT($J$3:J54)</f>
        <v>1.4263366434962927</v>
      </c>
      <c r="L54">
        <f t="shared" ca="1" si="5"/>
        <v>0.70109676040346303</v>
      </c>
      <c r="M54">
        <f ca="1">SUM($L$3:L54)</f>
        <v>43.692530925256641</v>
      </c>
      <c r="O54">
        <f t="shared" ca="1" si="6"/>
        <v>1890.0922195860185</v>
      </c>
      <c r="P54" s="16">
        <f t="shared" ca="1" si="7"/>
        <v>3010.7405408166242</v>
      </c>
      <c r="Q54" s="17">
        <f t="shared" ca="1" si="8"/>
        <v>265113.49581708695</v>
      </c>
      <c r="S54">
        <f ca="1">IF(A54&lt;='Dane do harmonogramu'!$E$7,'Roboczy harmonogram_2'!P54,0)</f>
        <v>3010.7405408166242</v>
      </c>
      <c r="T54">
        <f ca="1">IF(A54&lt;='Dane do harmonogramu'!$E$7,'Roboczy harmonogram_2'!O54,0)</f>
        <v>1890.0922195860185</v>
      </c>
      <c r="U54">
        <f ca="1">IF(A54&lt;='Dane do harmonogramu'!$E$7,$N$2,0)</f>
        <v>4900.8327604026426</v>
      </c>
      <c r="V54" s="16">
        <f ca="1">IF(A53&lt;='Dane do harmonogramu'!$E$7,Q53*0.15%,"")</f>
        <v>402.18635453685539</v>
      </c>
    </row>
    <row r="55" spans="1:22" x14ac:dyDescent="0.35">
      <c r="A55">
        <v>53</v>
      </c>
      <c r="B55" s="14">
        <f t="shared" ca="1" si="9"/>
        <v>47681</v>
      </c>
      <c r="C55" s="15">
        <f ca="1">(1+'Dane do harmonogramu'!$E$13*('Roboczy harmonogram_2'!B55-'Roboczy harmonogram_2'!B54)/365)</f>
        <v>1.0068219178082192</v>
      </c>
      <c r="D55" s="15">
        <f ca="1">(1+'Dane do harmonogramu'!$E$13*('Roboczy harmonogram_2'!B55-'Roboczy harmonogram_2'!B54)/366)</f>
        <v>1.0068032786885246</v>
      </c>
      <c r="E55" s="15">
        <f t="shared" ca="1" si="0"/>
        <v>0</v>
      </c>
      <c r="F55" s="15">
        <f t="shared" ca="1" si="1"/>
        <v>0</v>
      </c>
      <c r="G55">
        <f ca="1">IF(E55=1,(1+'Dane do harmonogramu'!$E$13*((('Roboczy harmonogram_2'!B55-DATE(YEAR(B55),1,1)+1)/365)+((DATE(YEAR(B54),12,31)-'Roboczy harmonogram_2'!B54)/366))),IF(F55=1,(1+'Dane do harmonogramu'!$E$13*((('Roboczy harmonogram_2'!B55-DATE(YEAR(B55),1,1)+1)/366)+((DATE(YEAR(B54),12,31)-'Roboczy harmonogram_2'!B54)/365))),0))</f>
        <v>0</v>
      </c>
      <c r="H55">
        <f t="shared" ca="1" si="2"/>
        <v>0</v>
      </c>
      <c r="I55">
        <f t="shared" ca="1" si="3"/>
        <v>1.0068219178082192</v>
      </c>
      <c r="J55">
        <f t="shared" ca="1" si="4"/>
        <v>1.0068219178082192</v>
      </c>
      <c r="K55">
        <f ca="1">PRODUCT($J$3:J55)</f>
        <v>1.4360669948450757</v>
      </c>
      <c r="L55">
        <f t="shared" ca="1" si="5"/>
        <v>0.69634634288623909</v>
      </c>
      <c r="M55">
        <f ca="1">SUM($L$3:L55)</f>
        <v>44.388877268142878</v>
      </c>
      <c r="O55">
        <f t="shared" ca="1" si="6"/>
        <v>1808.5824783138232</v>
      </c>
      <c r="P55" s="16">
        <f t="shared" ca="1" si="7"/>
        <v>3092.2502820888194</v>
      </c>
      <c r="Q55" s="17">
        <f t="shared" ca="1" si="8"/>
        <v>262021.24553499813</v>
      </c>
      <c r="S55">
        <f ca="1">IF(A55&lt;='Dane do harmonogramu'!$E$7,'Roboczy harmonogram_2'!P55,0)</f>
        <v>3092.2502820888194</v>
      </c>
      <c r="T55">
        <f ca="1">IF(A55&lt;='Dane do harmonogramu'!$E$7,'Roboczy harmonogram_2'!O55,0)</f>
        <v>1808.5824783138232</v>
      </c>
      <c r="U55">
        <f ca="1">IF(A55&lt;='Dane do harmonogramu'!$E$7,$N$2,0)</f>
        <v>4900.8327604026426</v>
      </c>
      <c r="V55" s="16">
        <f ca="1">IF(A54&lt;='Dane do harmonogramu'!$E$7,Q54*0.15%,"")</f>
        <v>397.67024372563043</v>
      </c>
    </row>
    <row r="56" spans="1:22" x14ac:dyDescent="0.35">
      <c r="A56">
        <v>54</v>
      </c>
      <c r="B56" s="14">
        <f t="shared" ca="1" si="9"/>
        <v>47712</v>
      </c>
      <c r="C56" s="15">
        <f ca="1">(1+'Dane do harmonogramu'!$E$13*('Roboczy harmonogram_2'!B56-'Roboczy harmonogram_2'!B55)/365)</f>
        <v>1.0070493150684932</v>
      </c>
      <c r="D56" s="15">
        <f ca="1">(1+'Dane do harmonogramu'!$E$13*('Roboczy harmonogram_2'!B56-'Roboczy harmonogram_2'!B55)/366)</f>
        <v>1.0070300546448088</v>
      </c>
      <c r="E56" s="15">
        <f t="shared" ca="1" si="0"/>
        <v>0</v>
      </c>
      <c r="F56" s="15">
        <f t="shared" ca="1" si="1"/>
        <v>0</v>
      </c>
      <c r="G56">
        <f ca="1">IF(E56=1,(1+'Dane do harmonogramu'!$E$13*((('Roboczy harmonogram_2'!B56-DATE(YEAR(B56),1,1)+1)/365)+((DATE(YEAR(B55),12,31)-'Roboczy harmonogram_2'!B55)/366))),IF(F56=1,(1+'Dane do harmonogramu'!$E$13*((('Roboczy harmonogram_2'!B56-DATE(YEAR(B56),1,1)+1)/366)+((DATE(YEAR(B55),12,31)-'Roboczy harmonogram_2'!B55)/365))),0))</f>
        <v>0</v>
      </c>
      <c r="H56">
        <f t="shared" ca="1" si="2"/>
        <v>0</v>
      </c>
      <c r="I56">
        <f t="shared" ca="1" si="3"/>
        <v>1.0070493150684932</v>
      </c>
      <c r="J56">
        <f t="shared" ca="1" si="4"/>
        <v>1.0070493150684932</v>
      </c>
      <c r="K56">
        <f ca="1">PRODUCT($J$3:J56)</f>
        <v>1.4461902835512028</v>
      </c>
      <c r="L56">
        <f t="shared" ca="1" si="5"/>
        <v>0.69147193932491569</v>
      </c>
      <c r="M56">
        <f ca="1">SUM($L$3:L56)</f>
        <v>45.080349207467791</v>
      </c>
      <c r="O56">
        <f t="shared" ca="1" si="6"/>
        <v>1847.0703144152067</v>
      </c>
      <c r="P56" s="16">
        <f t="shared" ca="1" si="7"/>
        <v>3053.762445987436</v>
      </c>
      <c r="Q56" s="17">
        <f t="shared" ca="1" si="8"/>
        <v>258967.4830890107</v>
      </c>
      <c r="S56">
        <f ca="1">IF(A56&lt;='Dane do harmonogramu'!$E$7,'Roboczy harmonogram_2'!P56,0)</f>
        <v>3053.762445987436</v>
      </c>
      <c r="T56">
        <f ca="1">IF(A56&lt;='Dane do harmonogramu'!$E$7,'Roboczy harmonogram_2'!O56,0)</f>
        <v>1847.0703144152067</v>
      </c>
      <c r="U56">
        <f ca="1">IF(A56&lt;='Dane do harmonogramu'!$E$7,$N$2,0)</f>
        <v>4900.8327604026426</v>
      </c>
      <c r="V56" s="16">
        <f ca="1">IF(A55&lt;='Dane do harmonogramu'!$E$7,Q55*0.15%,"")</f>
        <v>393.03186830249723</v>
      </c>
    </row>
    <row r="57" spans="1:22" x14ac:dyDescent="0.35">
      <c r="A57">
        <v>55</v>
      </c>
      <c r="B57" s="14">
        <f t="shared" ca="1" si="9"/>
        <v>47743</v>
      </c>
      <c r="C57" s="15">
        <f ca="1">(1+'Dane do harmonogramu'!$E$13*('Roboczy harmonogram_2'!B57-'Roboczy harmonogram_2'!B56)/365)</f>
        <v>1.0070493150684932</v>
      </c>
      <c r="D57" s="15">
        <f ca="1">(1+'Dane do harmonogramu'!$E$13*('Roboczy harmonogram_2'!B57-'Roboczy harmonogram_2'!B56)/366)</f>
        <v>1.0070300546448088</v>
      </c>
      <c r="E57" s="15">
        <f t="shared" ca="1" si="0"/>
        <v>0</v>
      </c>
      <c r="F57" s="15">
        <f t="shared" ca="1" si="1"/>
        <v>0</v>
      </c>
      <c r="G57">
        <f ca="1">IF(E57=1,(1+'Dane do harmonogramu'!$E$13*((('Roboczy harmonogram_2'!B57-DATE(YEAR(B57),1,1)+1)/365)+((DATE(YEAR(B56),12,31)-'Roboczy harmonogram_2'!B56)/366))),IF(F57=1,(1+'Dane do harmonogramu'!$E$13*((('Roboczy harmonogram_2'!B57-DATE(YEAR(B57),1,1)+1)/366)+((DATE(YEAR(B56),12,31)-'Roboczy harmonogram_2'!B56)/365))),0))</f>
        <v>0</v>
      </c>
      <c r="H57">
        <f t="shared" ca="1" si="2"/>
        <v>0</v>
      </c>
      <c r="I57">
        <f t="shared" ca="1" si="3"/>
        <v>1.0070493150684932</v>
      </c>
      <c r="J57">
        <f t="shared" ca="1" si="4"/>
        <v>1.0070493150684932</v>
      </c>
      <c r="K57">
        <f ca="1">PRODUCT($J$3:J57)</f>
        <v>1.4563849345089488</v>
      </c>
      <c r="L57">
        <f t="shared" ca="1" si="5"/>
        <v>0.68663165644265012</v>
      </c>
      <c r="M57">
        <f ca="1">SUM($L$3:L57)</f>
        <v>45.76698086391044</v>
      </c>
      <c r="O57">
        <f t="shared" ca="1" si="6"/>
        <v>1825.5433807891095</v>
      </c>
      <c r="P57" s="16">
        <f t="shared" ca="1" si="7"/>
        <v>3075.2893796135331</v>
      </c>
      <c r="Q57" s="17">
        <f t="shared" ca="1" si="8"/>
        <v>255892.19370939716</v>
      </c>
      <c r="S57">
        <f ca="1">IF(A57&lt;='Dane do harmonogramu'!$E$7,'Roboczy harmonogram_2'!P57,0)</f>
        <v>3075.2893796135331</v>
      </c>
      <c r="T57">
        <f ca="1">IF(A57&lt;='Dane do harmonogramu'!$E$7,'Roboczy harmonogram_2'!O57,0)</f>
        <v>1825.5433807891095</v>
      </c>
      <c r="U57">
        <f ca="1">IF(A57&lt;='Dane do harmonogramu'!$E$7,$N$2,0)</f>
        <v>4900.8327604026426</v>
      </c>
      <c r="V57" s="16">
        <f ca="1">IF(A56&lt;='Dane do harmonogramu'!$E$7,Q56*0.15%,"")</f>
        <v>388.45122463351606</v>
      </c>
    </row>
    <row r="58" spans="1:22" x14ac:dyDescent="0.35">
      <c r="A58">
        <v>56</v>
      </c>
      <c r="B58" s="14">
        <f t="shared" ca="1" si="9"/>
        <v>47773</v>
      </c>
      <c r="C58" s="15">
        <f ca="1">(1+'Dane do harmonogramu'!$E$13*('Roboczy harmonogram_2'!B58-'Roboczy harmonogram_2'!B57)/365)</f>
        <v>1.0068219178082192</v>
      </c>
      <c r="D58" s="15">
        <f ca="1">(1+'Dane do harmonogramu'!$E$13*('Roboczy harmonogram_2'!B58-'Roboczy harmonogram_2'!B57)/366)</f>
        <v>1.0068032786885246</v>
      </c>
      <c r="E58" s="15">
        <f t="shared" ca="1" si="0"/>
        <v>0</v>
      </c>
      <c r="F58" s="15">
        <f t="shared" ca="1" si="1"/>
        <v>0</v>
      </c>
      <c r="G58">
        <f ca="1">IF(E58=1,(1+'Dane do harmonogramu'!$E$13*((('Roboczy harmonogram_2'!B58-DATE(YEAR(B58),1,1)+1)/365)+((DATE(YEAR(B57),12,31)-'Roboczy harmonogram_2'!B57)/366))),IF(F58=1,(1+'Dane do harmonogramu'!$E$13*((('Roboczy harmonogram_2'!B58-DATE(YEAR(B58),1,1)+1)/366)+((DATE(YEAR(B57),12,31)-'Roboczy harmonogram_2'!B57)/365))),0))</f>
        <v>0</v>
      </c>
      <c r="H58">
        <f t="shared" ca="1" si="2"/>
        <v>0</v>
      </c>
      <c r="I58">
        <f t="shared" ca="1" si="3"/>
        <v>1.0068219178082192</v>
      </c>
      <c r="J58">
        <f t="shared" ca="1" si="4"/>
        <v>1.0068219178082192</v>
      </c>
      <c r="K58">
        <f ca="1">PRODUCT($J$3:J58)</f>
        <v>1.4663202728292974</v>
      </c>
      <c r="L58">
        <f t="shared" ca="1" si="5"/>
        <v>0.6819792500518852</v>
      </c>
      <c r="M58">
        <f ca="1">SUM($L$3:L58)</f>
        <v>46.448960113962329</v>
      </c>
      <c r="O58">
        <f t="shared" ca="1" si="6"/>
        <v>1745.675513250404</v>
      </c>
      <c r="P58" s="16">
        <f t="shared" ca="1" si="7"/>
        <v>3155.1572471522386</v>
      </c>
      <c r="Q58" s="17">
        <f t="shared" ca="1" si="8"/>
        <v>252737.03646224493</v>
      </c>
      <c r="S58">
        <f ca="1">IF(A58&lt;='Dane do harmonogramu'!$E$7,'Roboczy harmonogram_2'!P58,0)</f>
        <v>3155.1572471522386</v>
      </c>
      <c r="T58">
        <f ca="1">IF(A58&lt;='Dane do harmonogramu'!$E$7,'Roboczy harmonogram_2'!O58,0)</f>
        <v>1745.675513250404</v>
      </c>
      <c r="U58">
        <f ca="1">IF(A58&lt;='Dane do harmonogramu'!$E$7,$N$2,0)</f>
        <v>4900.8327604026426</v>
      </c>
      <c r="V58" s="16">
        <f ca="1">IF(A57&lt;='Dane do harmonogramu'!$E$7,Q57*0.15%,"")</f>
        <v>383.83829056409576</v>
      </c>
    </row>
    <row r="59" spans="1:22" x14ac:dyDescent="0.35">
      <c r="A59">
        <v>57</v>
      </c>
      <c r="B59" s="14">
        <f t="shared" ca="1" si="9"/>
        <v>47804</v>
      </c>
      <c r="C59" s="15">
        <f ca="1">(1+'Dane do harmonogramu'!$E$13*('Roboczy harmonogram_2'!B59-'Roboczy harmonogram_2'!B58)/365)</f>
        <v>1.0070493150684932</v>
      </c>
      <c r="D59" s="15">
        <f ca="1">(1+'Dane do harmonogramu'!$E$13*('Roboczy harmonogram_2'!B59-'Roboczy harmonogram_2'!B58)/366)</f>
        <v>1.0070300546448088</v>
      </c>
      <c r="E59" s="15">
        <f t="shared" ca="1" si="0"/>
        <v>0</v>
      </c>
      <c r="F59" s="15">
        <f t="shared" ca="1" si="1"/>
        <v>0</v>
      </c>
      <c r="G59">
        <f ca="1">IF(E59=1,(1+'Dane do harmonogramu'!$E$13*((('Roboczy harmonogram_2'!B59-DATE(YEAR(B59),1,1)+1)/365)+((DATE(YEAR(B58),12,31)-'Roboczy harmonogram_2'!B58)/366))),IF(F59=1,(1+'Dane do harmonogramu'!$E$13*((('Roboczy harmonogram_2'!B59-DATE(YEAR(B59),1,1)+1)/366)+((DATE(YEAR(B58),12,31)-'Roboczy harmonogram_2'!B58)/365))),0))</f>
        <v>0</v>
      </c>
      <c r="H59">
        <f t="shared" ca="1" si="2"/>
        <v>0</v>
      </c>
      <c r="I59">
        <f t="shared" ca="1" si="3"/>
        <v>1.0070493150684932</v>
      </c>
      <c r="J59">
        <f t="shared" ca="1" si="4"/>
        <v>1.0070493150684932</v>
      </c>
      <c r="K59">
        <f ca="1">PRODUCT($J$3:J59)</f>
        <v>1.47665682642379</v>
      </c>
      <c r="L59">
        <f t="shared" ca="1" si="5"/>
        <v>0.67720541571045234</v>
      </c>
      <c r="M59">
        <f ca="1">SUM($L$3:L59)</f>
        <v>47.126165529672782</v>
      </c>
      <c r="O59">
        <f t="shared" ca="1" si="6"/>
        <v>1781.6229994996102</v>
      </c>
      <c r="P59" s="16">
        <f t="shared" ca="1" si="7"/>
        <v>3119.2097609030325</v>
      </c>
      <c r="Q59" s="17">
        <f t="shared" ca="1" si="8"/>
        <v>249617.8267013419</v>
      </c>
      <c r="S59">
        <f ca="1">IF(A59&lt;='Dane do harmonogramu'!$E$7,'Roboczy harmonogram_2'!P59,0)</f>
        <v>3119.2097609030325</v>
      </c>
      <c r="T59">
        <f ca="1">IF(A59&lt;='Dane do harmonogramu'!$E$7,'Roboczy harmonogram_2'!O59,0)</f>
        <v>1781.6229994996102</v>
      </c>
      <c r="U59">
        <f ca="1">IF(A59&lt;='Dane do harmonogramu'!$E$7,$N$2,0)</f>
        <v>4900.8327604026426</v>
      </c>
      <c r="V59" s="16">
        <f ca="1">IF(A58&lt;='Dane do harmonogramu'!$E$7,Q58*0.15%,"")</f>
        <v>379.10555469336742</v>
      </c>
    </row>
    <row r="60" spans="1:22" x14ac:dyDescent="0.35">
      <c r="A60">
        <v>58</v>
      </c>
      <c r="B60" s="14">
        <f t="shared" ca="1" si="9"/>
        <v>47834</v>
      </c>
      <c r="C60" s="15">
        <f ca="1">(1+'Dane do harmonogramu'!$E$13*('Roboczy harmonogram_2'!B60-'Roboczy harmonogram_2'!B59)/365)</f>
        <v>1.0068219178082192</v>
      </c>
      <c r="D60" s="15">
        <f ca="1">(1+'Dane do harmonogramu'!$E$13*('Roboczy harmonogram_2'!B60-'Roboczy harmonogram_2'!B59)/366)</f>
        <v>1.0068032786885246</v>
      </c>
      <c r="E60" s="15">
        <f t="shared" ca="1" si="0"/>
        <v>0</v>
      </c>
      <c r="F60" s="15">
        <f t="shared" ca="1" si="1"/>
        <v>0</v>
      </c>
      <c r="G60">
        <f ca="1">IF(E60=1,(1+'Dane do harmonogramu'!$E$13*((('Roboczy harmonogram_2'!B60-DATE(YEAR(B60),1,1)+1)/365)+((DATE(YEAR(B59),12,31)-'Roboczy harmonogram_2'!B59)/366))),IF(F60=1,(1+'Dane do harmonogramu'!$E$13*((('Roboczy harmonogram_2'!B60-DATE(YEAR(B60),1,1)+1)/366)+((DATE(YEAR(B59),12,31)-'Roboczy harmonogram_2'!B59)/365))),0))</f>
        <v>0</v>
      </c>
      <c r="H60">
        <f t="shared" ca="1" si="2"/>
        <v>0</v>
      </c>
      <c r="I60">
        <f t="shared" ca="1" si="3"/>
        <v>1.0068219178082192</v>
      </c>
      <c r="J60">
        <f t="shared" ca="1" si="4"/>
        <v>1.0068219178082192</v>
      </c>
      <c r="K60">
        <f ca="1">PRODUCT($J$3:J60)</f>
        <v>1.4867304579245988</v>
      </c>
      <c r="L60">
        <f t="shared" ca="1" si="5"/>
        <v>0.67261687864789554</v>
      </c>
      <c r="M60">
        <f ca="1">SUM($L$3:L60)</f>
        <v>47.798782408320676</v>
      </c>
      <c r="O60">
        <f t="shared" ca="1" si="6"/>
        <v>1702.8722972228425</v>
      </c>
      <c r="P60" s="16">
        <f t="shared" ca="1" si="7"/>
        <v>3197.9604631798002</v>
      </c>
      <c r="Q60" s="17">
        <f t="shared" ca="1" si="8"/>
        <v>246419.8662381621</v>
      </c>
      <c r="S60">
        <f ca="1">IF(A60&lt;='Dane do harmonogramu'!$E$7,'Roboczy harmonogram_2'!P60,0)</f>
        <v>3197.9604631798002</v>
      </c>
      <c r="T60">
        <f ca="1">IF(A60&lt;='Dane do harmonogramu'!$E$7,'Roboczy harmonogram_2'!O60,0)</f>
        <v>1702.8722972228425</v>
      </c>
      <c r="U60">
        <f ca="1">IF(A60&lt;='Dane do harmonogramu'!$E$7,$N$2,0)</f>
        <v>4900.8327604026426</v>
      </c>
      <c r="V60" s="16">
        <f ca="1">IF(A59&lt;='Dane do harmonogramu'!$E$7,Q59*0.15%,"")</f>
        <v>374.42674005201286</v>
      </c>
    </row>
    <row r="61" spans="1:22" x14ac:dyDescent="0.35">
      <c r="A61">
        <v>59</v>
      </c>
      <c r="B61" s="14">
        <f t="shared" ca="1" si="9"/>
        <v>47865</v>
      </c>
      <c r="C61" s="15">
        <f ca="1">(1+'Dane do harmonogramu'!$E$13*('Roboczy harmonogram_2'!B61-'Roboczy harmonogram_2'!B60)/365)</f>
        <v>1.0070493150684932</v>
      </c>
      <c r="D61" s="15">
        <f ca="1">(1+'Dane do harmonogramu'!$E$13*('Roboczy harmonogram_2'!B61-'Roboczy harmonogram_2'!B60)/366)</f>
        <v>1.0070300546448088</v>
      </c>
      <c r="E61" s="15">
        <f t="shared" ca="1" si="0"/>
        <v>0</v>
      </c>
      <c r="F61" s="15">
        <f t="shared" ca="1" si="1"/>
        <v>0</v>
      </c>
      <c r="G61">
        <f ca="1">IF(E61=1,(1+'Dane do harmonogramu'!$E$13*((('Roboczy harmonogram_2'!B61-DATE(YEAR(B61),1,1)+1)/365)+((DATE(YEAR(B60),12,31)-'Roboczy harmonogram_2'!B60)/366))),IF(F61=1,(1+'Dane do harmonogramu'!$E$13*((('Roboczy harmonogram_2'!B61-DATE(YEAR(B61),1,1)+1)/366)+((DATE(YEAR(B60),12,31)-'Roboczy harmonogram_2'!B60)/365))),0))</f>
        <v>0</v>
      </c>
      <c r="H61">
        <f t="shared" ca="1" si="2"/>
        <v>0</v>
      </c>
      <c r="I61">
        <f t="shared" ca="1" si="3"/>
        <v>1.0070493150684932</v>
      </c>
      <c r="J61">
        <f t="shared" ca="1" si="4"/>
        <v>1.0070493150684932</v>
      </c>
      <c r="K61">
        <f ca="1">PRODUCT($J$3:J61)</f>
        <v>1.4972108893444345</v>
      </c>
      <c r="L61">
        <f t="shared" ca="1" si="5"/>
        <v>0.66790858062611191</v>
      </c>
      <c r="M61">
        <f ca="1">SUM($L$3:L61)</f>
        <v>48.466690988946787</v>
      </c>
      <c r="O61">
        <f t="shared" ca="1" si="6"/>
        <v>1737.0912762487424</v>
      </c>
      <c r="P61" s="16">
        <f t="shared" ca="1" si="7"/>
        <v>3163.7414841539003</v>
      </c>
      <c r="Q61" s="17">
        <f t="shared" ca="1" si="8"/>
        <v>243256.1247540082</v>
      </c>
      <c r="S61">
        <f ca="1">IF(A61&lt;='Dane do harmonogramu'!$E$7,'Roboczy harmonogram_2'!P61,0)</f>
        <v>3163.7414841539003</v>
      </c>
      <c r="T61">
        <f ca="1">IF(A61&lt;='Dane do harmonogramu'!$E$7,'Roboczy harmonogram_2'!O61,0)</f>
        <v>1737.0912762487424</v>
      </c>
      <c r="U61">
        <f ca="1">IF(A61&lt;='Dane do harmonogramu'!$E$7,$N$2,0)</f>
        <v>4900.8327604026426</v>
      </c>
      <c r="V61" s="16">
        <f ca="1">IF(A60&lt;='Dane do harmonogramu'!$E$7,Q60*0.15%,"")</f>
        <v>369.62979935724314</v>
      </c>
    </row>
    <row r="62" spans="1:22" x14ac:dyDescent="0.35">
      <c r="A62">
        <v>60</v>
      </c>
      <c r="B62" s="14">
        <f t="shared" ca="1" si="9"/>
        <v>47896</v>
      </c>
      <c r="C62" s="15">
        <f ca="1">(1+'Dane do harmonogramu'!$E$13*('Roboczy harmonogram_2'!B62-'Roboczy harmonogram_2'!B61)/365)</f>
        <v>1.0070493150684932</v>
      </c>
      <c r="D62" s="15">
        <f ca="1">(1+'Dane do harmonogramu'!$E$13*('Roboczy harmonogram_2'!B62-'Roboczy harmonogram_2'!B61)/366)</f>
        <v>1.0070300546448088</v>
      </c>
      <c r="E62" s="15">
        <f t="shared" ca="1" si="0"/>
        <v>0</v>
      </c>
      <c r="F62" s="15">
        <f t="shared" ca="1" si="1"/>
        <v>0</v>
      </c>
      <c r="G62">
        <f ca="1">IF(E62=1,(1+'Dane do harmonogramu'!$E$13*((('Roboczy harmonogram_2'!B62-DATE(YEAR(B62),1,1)+1)/365)+((DATE(YEAR(B61),12,31)-'Roboczy harmonogram_2'!B61)/366))),IF(F62=1,(1+'Dane do harmonogramu'!$E$13*((('Roboczy harmonogram_2'!B62-DATE(YEAR(B62),1,1)+1)/366)+((DATE(YEAR(B61),12,31)-'Roboczy harmonogram_2'!B61)/365))),0))</f>
        <v>0</v>
      </c>
      <c r="H62">
        <f t="shared" ca="1" si="2"/>
        <v>0</v>
      </c>
      <c r="I62">
        <f t="shared" ca="1" si="3"/>
        <v>1.0070493150684932</v>
      </c>
      <c r="J62">
        <f t="shared" ca="1" si="4"/>
        <v>1.0070493150684932</v>
      </c>
      <c r="K62">
        <f ca="1">PRODUCT($J$3:J62)</f>
        <v>1.5077652006274023</v>
      </c>
      <c r="L62">
        <f t="shared" ca="1" si="5"/>
        <v>0.66323324054958022</v>
      </c>
      <c r="M62">
        <f ca="1">SUM($L$3:L62)</f>
        <v>49.129924229496368</v>
      </c>
      <c r="O62">
        <f t="shared" ca="1" si="6"/>
        <v>1714.7890657316893</v>
      </c>
      <c r="P62" s="16">
        <f t="shared" ca="1" si="7"/>
        <v>3186.0436946709533</v>
      </c>
      <c r="Q62" s="17">
        <f t="shared" ca="1" si="8"/>
        <v>240070.08105933724</v>
      </c>
      <c r="S62">
        <f ca="1">IF(A62&lt;='Dane do harmonogramu'!$E$7,'Roboczy harmonogram_2'!P62,0)</f>
        <v>3186.0436946709533</v>
      </c>
      <c r="T62">
        <f ca="1">IF(A62&lt;='Dane do harmonogramu'!$E$7,'Roboczy harmonogram_2'!O62,0)</f>
        <v>1714.7890657316893</v>
      </c>
      <c r="U62">
        <f ca="1">IF(A62&lt;='Dane do harmonogramu'!$E$7,$N$2,0)</f>
        <v>4900.8327604026426</v>
      </c>
      <c r="V62" s="16">
        <f ca="1">IF(A61&lt;='Dane do harmonogramu'!$E$7,Q61*0.15%,"")</f>
        <v>364.88418713101231</v>
      </c>
    </row>
    <row r="63" spans="1:22" x14ac:dyDescent="0.35">
      <c r="A63">
        <v>61</v>
      </c>
      <c r="B63" s="14">
        <f t="shared" ca="1" si="9"/>
        <v>47924</v>
      </c>
      <c r="C63" s="15">
        <f ca="1">(1+'Dane do harmonogramu'!$E$13*('Roboczy harmonogram_2'!B63-'Roboczy harmonogram_2'!B62)/365)</f>
        <v>1.0063671232876712</v>
      </c>
      <c r="D63" s="15">
        <f ca="1">(1+'Dane do harmonogramu'!$E$13*('Roboczy harmonogram_2'!B63-'Roboczy harmonogram_2'!B62)/366)</f>
        <v>1.0063497267759562</v>
      </c>
      <c r="E63" s="15">
        <f t="shared" ca="1" si="0"/>
        <v>0</v>
      </c>
      <c r="F63" s="15">
        <f t="shared" ca="1" si="1"/>
        <v>0</v>
      </c>
      <c r="G63">
        <f ca="1">IF(E63=1,(1+'Dane do harmonogramu'!$E$13*((('Roboczy harmonogram_2'!B63-DATE(YEAR(B63),1,1)+1)/365)+((DATE(YEAR(B62),12,31)-'Roboczy harmonogram_2'!B62)/366))),IF(F63=1,(1+'Dane do harmonogramu'!$E$13*((('Roboczy harmonogram_2'!B63-DATE(YEAR(B63),1,1)+1)/366)+((DATE(YEAR(B62),12,31)-'Roboczy harmonogram_2'!B62)/365))),0))</f>
        <v>0</v>
      </c>
      <c r="H63">
        <f t="shared" ca="1" si="2"/>
        <v>0</v>
      </c>
      <c r="I63">
        <f t="shared" ca="1" si="3"/>
        <v>1.0063671232876712</v>
      </c>
      <c r="J63">
        <f t="shared" ca="1" si="4"/>
        <v>1.0063671232876712</v>
      </c>
      <c r="K63">
        <f ca="1">PRODUCT($J$3:J63)</f>
        <v>1.5173653275486572</v>
      </c>
      <c r="L63">
        <f t="shared" ca="1" si="5"/>
        <v>0.65903707027201275</v>
      </c>
      <c r="M63">
        <f ca="1">SUM($L$3:L63)</f>
        <v>49.788961299768381</v>
      </c>
      <c r="O63">
        <f t="shared" ca="1" si="6"/>
        <v>1528.5558037860319</v>
      </c>
      <c r="P63" s="16">
        <f t="shared" ca="1" si="7"/>
        <v>3372.2769566166107</v>
      </c>
      <c r="Q63" s="17">
        <f t="shared" ca="1" si="8"/>
        <v>236697.80410272063</v>
      </c>
      <c r="S63">
        <f ca="1">IF(A63&lt;='Dane do harmonogramu'!$E$7,'Roboczy harmonogram_2'!P63,0)</f>
        <v>3372.2769566166107</v>
      </c>
      <c r="T63">
        <f ca="1">IF(A63&lt;='Dane do harmonogramu'!$E$7,'Roboczy harmonogram_2'!O63,0)</f>
        <v>1528.5558037860319</v>
      </c>
      <c r="U63">
        <f ca="1">IF(A63&lt;='Dane do harmonogramu'!$E$7,$N$2,0)</f>
        <v>4900.8327604026426</v>
      </c>
      <c r="V63" s="16">
        <f ca="1">IF(A62&lt;='Dane do harmonogramu'!$E$7,Q62*0.15%,"")</f>
        <v>360.10512158900588</v>
      </c>
    </row>
    <row r="64" spans="1:22" x14ac:dyDescent="0.35">
      <c r="A64">
        <v>62</v>
      </c>
      <c r="B64" s="14">
        <f t="shared" ca="1" si="9"/>
        <v>47955</v>
      </c>
      <c r="C64" s="15">
        <f ca="1">(1+'Dane do harmonogramu'!$E$13*('Roboczy harmonogram_2'!B64-'Roboczy harmonogram_2'!B63)/365)</f>
        <v>1.0070493150684932</v>
      </c>
      <c r="D64" s="15">
        <f ca="1">(1+'Dane do harmonogramu'!$E$13*('Roboczy harmonogram_2'!B64-'Roboczy harmonogram_2'!B63)/366)</f>
        <v>1.0070300546448088</v>
      </c>
      <c r="E64" s="15">
        <f t="shared" ca="1" si="0"/>
        <v>0</v>
      </c>
      <c r="F64" s="15">
        <f t="shared" ca="1" si="1"/>
        <v>0</v>
      </c>
      <c r="G64">
        <f ca="1">IF(E64=1,(1+'Dane do harmonogramu'!$E$13*((('Roboczy harmonogram_2'!B64-DATE(YEAR(B64),1,1)+1)/365)+((DATE(YEAR(B63),12,31)-'Roboczy harmonogram_2'!B63)/366))),IF(F64=1,(1+'Dane do harmonogramu'!$E$13*((('Roboczy harmonogram_2'!B64-DATE(YEAR(B64),1,1)+1)/366)+((DATE(YEAR(B63),12,31)-'Roboczy harmonogram_2'!B63)/365))),0))</f>
        <v>0</v>
      </c>
      <c r="H64">
        <f t="shared" ca="1" si="2"/>
        <v>0</v>
      </c>
      <c r="I64">
        <f t="shared" ca="1" si="3"/>
        <v>1.0070493150684932</v>
      </c>
      <c r="J64">
        <f t="shared" ca="1" si="4"/>
        <v>1.0070493150684932</v>
      </c>
      <c r="K64">
        <f ca="1">PRODUCT($J$3:J64)</f>
        <v>1.5280617138165549</v>
      </c>
      <c r="L64">
        <f t="shared" ca="1" si="5"/>
        <v>0.65442383050247066</v>
      </c>
      <c r="M64">
        <f ca="1">SUM($L$3:L64)</f>
        <v>50.443385130270855</v>
      </c>
      <c r="O64">
        <f t="shared" ca="1" si="6"/>
        <v>1668.5573971405393</v>
      </c>
      <c r="P64" s="16">
        <f t="shared" ca="1" si="7"/>
        <v>3232.2753632621034</v>
      </c>
      <c r="Q64" s="17">
        <f t="shared" ca="1" si="8"/>
        <v>233465.52873945853</v>
      </c>
      <c r="S64">
        <f ca="1">IF(A64&lt;='Dane do harmonogramu'!$E$7,'Roboczy harmonogram_2'!P64,0)</f>
        <v>3232.2753632621034</v>
      </c>
      <c r="T64">
        <f ca="1">IF(A64&lt;='Dane do harmonogramu'!$E$7,'Roboczy harmonogram_2'!O64,0)</f>
        <v>1668.5573971405393</v>
      </c>
      <c r="U64">
        <f ca="1">IF(A64&lt;='Dane do harmonogramu'!$E$7,$N$2,0)</f>
        <v>4900.8327604026426</v>
      </c>
      <c r="V64" s="16">
        <f ca="1">IF(A63&lt;='Dane do harmonogramu'!$E$7,Q63*0.15%,"")</f>
        <v>355.04670615408094</v>
      </c>
    </row>
    <row r="65" spans="1:22" x14ac:dyDescent="0.35">
      <c r="A65">
        <v>63</v>
      </c>
      <c r="B65" s="14">
        <f t="shared" ca="1" si="9"/>
        <v>47985</v>
      </c>
      <c r="C65" s="15">
        <f ca="1">(1+'Dane do harmonogramu'!$E$13*('Roboczy harmonogram_2'!B65-'Roboczy harmonogram_2'!B64)/365)</f>
        <v>1.0068219178082192</v>
      </c>
      <c r="D65" s="15">
        <f ca="1">(1+'Dane do harmonogramu'!$E$13*('Roboczy harmonogram_2'!B65-'Roboczy harmonogram_2'!B64)/366)</f>
        <v>1.0068032786885246</v>
      </c>
      <c r="E65" s="15">
        <f t="shared" ca="1" si="0"/>
        <v>0</v>
      </c>
      <c r="F65" s="15">
        <f t="shared" ca="1" si="1"/>
        <v>0</v>
      </c>
      <c r="G65">
        <f ca="1">IF(E65=1,(1+'Dane do harmonogramu'!$E$13*((('Roboczy harmonogram_2'!B65-DATE(YEAR(B65),1,1)+1)/365)+((DATE(YEAR(B64),12,31)-'Roboczy harmonogram_2'!B64)/366))),IF(F65=1,(1+'Dane do harmonogramu'!$E$13*((('Roboczy harmonogram_2'!B65-DATE(YEAR(B65),1,1)+1)/366)+((DATE(YEAR(B64),12,31)-'Roboczy harmonogram_2'!B64)/365))),0))</f>
        <v>0</v>
      </c>
      <c r="H65">
        <f t="shared" ca="1" si="2"/>
        <v>0</v>
      </c>
      <c r="I65">
        <f t="shared" ca="1" si="3"/>
        <v>1.0068219178082192</v>
      </c>
      <c r="J65">
        <f t="shared" ca="1" si="4"/>
        <v>1.0068219178082192</v>
      </c>
      <c r="K65">
        <f ca="1">PRODUCT($J$3:J65)</f>
        <v>1.5384860252340979</v>
      </c>
      <c r="L65">
        <f t="shared" ca="1" si="5"/>
        <v>0.64998965450325674</v>
      </c>
      <c r="M65">
        <f ca="1">SUM($L$3:L65)</f>
        <v>51.093374784774113</v>
      </c>
      <c r="O65">
        <f t="shared" ca="1" si="6"/>
        <v>1592.6826481130265</v>
      </c>
      <c r="P65" s="16">
        <f t="shared" ca="1" si="7"/>
        <v>3308.1501122896161</v>
      </c>
      <c r="Q65" s="17">
        <f t="shared" ca="1" si="8"/>
        <v>230157.37862716892</v>
      </c>
      <c r="S65">
        <f ca="1">IF(A65&lt;='Dane do harmonogramu'!$E$7,'Roboczy harmonogram_2'!P65,0)</f>
        <v>3308.1501122896161</v>
      </c>
      <c r="T65">
        <f ca="1">IF(A65&lt;='Dane do harmonogramu'!$E$7,'Roboczy harmonogram_2'!O65,0)</f>
        <v>1592.6826481130265</v>
      </c>
      <c r="U65">
        <f ca="1">IF(A65&lt;='Dane do harmonogramu'!$E$7,$N$2,0)</f>
        <v>4900.8327604026426</v>
      </c>
      <c r="V65" s="16">
        <f ca="1">IF(A64&lt;='Dane do harmonogramu'!$E$7,Q64*0.15%,"")</f>
        <v>350.19829310918783</v>
      </c>
    </row>
    <row r="66" spans="1:22" x14ac:dyDescent="0.35">
      <c r="A66">
        <v>64</v>
      </c>
      <c r="B66" s="14">
        <f t="shared" ca="1" si="9"/>
        <v>48016</v>
      </c>
      <c r="C66" s="15">
        <f ca="1">(1+'Dane do harmonogramu'!$E$13*('Roboczy harmonogram_2'!B66-'Roboczy harmonogram_2'!B65)/365)</f>
        <v>1.0070493150684932</v>
      </c>
      <c r="D66" s="15">
        <f ca="1">(1+'Dane do harmonogramu'!$E$13*('Roboczy harmonogram_2'!B66-'Roboczy harmonogram_2'!B65)/366)</f>
        <v>1.0070300546448088</v>
      </c>
      <c r="E66" s="15">
        <f t="shared" ca="1" si="0"/>
        <v>0</v>
      </c>
      <c r="F66" s="15">
        <f t="shared" ca="1" si="1"/>
        <v>0</v>
      </c>
      <c r="G66">
        <f ca="1">IF(E66=1,(1+'Dane do harmonogramu'!$E$13*((('Roboczy harmonogram_2'!B66-DATE(YEAR(B66),1,1)+1)/365)+((DATE(YEAR(B65),12,31)-'Roboczy harmonogram_2'!B65)/366))),IF(F66=1,(1+'Dane do harmonogramu'!$E$13*((('Roboczy harmonogram_2'!B66-DATE(YEAR(B66),1,1)+1)/366)+((DATE(YEAR(B65),12,31)-'Roboczy harmonogram_2'!B65)/365))),0))</f>
        <v>0</v>
      </c>
      <c r="H66">
        <f t="shared" ca="1" si="2"/>
        <v>0</v>
      </c>
      <c r="I66">
        <f t="shared" ca="1" si="3"/>
        <v>1.0070493150684932</v>
      </c>
      <c r="J66">
        <f t="shared" ca="1" si="4"/>
        <v>1.0070493150684932</v>
      </c>
      <c r="K66">
        <f ca="1">PRODUCT($J$3:J66)</f>
        <v>1.5493312979544469</v>
      </c>
      <c r="L66">
        <f t="shared" ca="1" si="5"/>
        <v>0.64543974637334267</v>
      </c>
      <c r="M66">
        <f ca="1">SUM($L$3:L66)</f>
        <v>51.738814531147455</v>
      </c>
      <c r="O66">
        <f t="shared" ca="1" si="6"/>
        <v>1622.4518772813899</v>
      </c>
      <c r="P66" s="16">
        <f t="shared" ca="1" si="7"/>
        <v>3278.3808831212527</v>
      </c>
      <c r="Q66" s="17">
        <f t="shared" ca="1" si="8"/>
        <v>226878.99774404767</v>
      </c>
      <c r="S66">
        <f ca="1">IF(A66&lt;='Dane do harmonogramu'!$E$7,'Roboczy harmonogram_2'!P66,0)</f>
        <v>3278.3808831212527</v>
      </c>
      <c r="T66">
        <f ca="1">IF(A66&lt;='Dane do harmonogramu'!$E$7,'Roboczy harmonogram_2'!O66,0)</f>
        <v>1622.4518772813899</v>
      </c>
      <c r="U66">
        <f ca="1">IF(A66&lt;='Dane do harmonogramu'!$E$7,$N$2,0)</f>
        <v>4900.8327604026426</v>
      </c>
      <c r="V66" s="16">
        <f ca="1">IF(A65&lt;='Dane do harmonogramu'!$E$7,Q65*0.15%,"")</f>
        <v>345.2360679407534</v>
      </c>
    </row>
    <row r="67" spans="1:22" x14ac:dyDescent="0.35">
      <c r="A67">
        <v>65</v>
      </c>
      <c r="B67" s="14">
        <f t="shared" ca="1" si="9"/>
        <v>48046</v>
      </c>
      <c r="C67" s="15">
        <f ca="1">(1+'Dane do harmonogramu'!$E$13*('Roboczy harmonogram_2'!B67-'Roboczy harmonogram_2'!B66)/365)</f>
        <v>1.0068219178082192</v>
      </c>
      <c r="D67" s="15">
        <f ca="1">(1+'Dane do harmonogramu'!$E$13*('Roboczy harmonogram_2'!B67-'Roboczy harmonogram_2'!B66)/366)</f>
        <v>1.0068032786885246</v>
      </c>
      <c r="E67" s="15">
        <f t="shared" ca="1" si="0"/>
        <v>0</v>
      </c>
      <c r="F67" s="15">
        <f t="shared" ca="1" si="1"/>
        <v>0</v>
      </c>
      <c r="G67">
        <f ca="1">IF(E67=1,(1+'Dane do harmonogramu'!$E$13*((('Roboczy harmonogram_2'!B67-DATE(YEAR(B67),1,1)+1)/365)+((DATE(YEAR(B66),12,31)-'Roboczy harmonogram_2'!B66)/366))),IF(F67=1,(1+'Dane do harmonogramu'!$E$13*((('Roboczy harmonogram_2'!B67-DATE(YEAR(B67),1,1)+1)/366)+((DATE(YEAR(B66),12,31)-'Roboczy harmonogram_2'!B66)/365))),0))</f>
        <v>0</v>
      </c>
      <c r="H67">
        <f t="shared" ca="1" si="2"/>
        <v>0</v>
      </c>
      <c r="I67">
        <f t="shared" ca="1" si="3"/>
        <v>1.0068219178082192</v>
      </c>
      <c r="J67">
        <f t="shared" ca="1" si="4"/>
        <v>1.0068219178082192</v>
      </c>
      <c r="K67">
        <f ca="1">PRODUCT($J$3:J67)</f>
        <v>1.5599007087267938</v>
      </c>
      <c r="L67">
        <f t="shared" ca="1" si="5"/>
        <v>0.64106644378423916</v>
      </c>
      <c r="M67">
        <f ca="1">SUM($L$3:L67)</f>
        <v>52.379880974931694</v>
      </c>
      <c r="O67">
        <f t="shared" ca="1" si="6"/>
        <v>1547.7498750210216</v>
      </c>
      <c r="P67" s="16">
        <f t="shared" ca="1" si="7"/>
        <v>3353.0828853816211</v>
      </c>
      <c r="Q67" s="17">
        <f t="shared" ca="1" si="8"/>
        <v>223525.91485866604</v>
      </c>
      <c r="S67">
        <f ca="1">IF(A67&lt;='Dane do harmonogramu'!$E$7,'Roboczy harmonogram_2'!P67,0)</f>
        <v>3353.0828853816211</v>
      </c>
      <c r="T67">
        <f ca="1">IF(A67&lt;='Dane do harmonogramu'!$E$7,'Roboczy harmonogram_2'!O67,0)</f>
        <v>1547.7498750210216</v>
      </c>
      <c r="U67">
        <f ca="1">IF(A67&lt;='Dane do harmonogramu'!$E$7,$N$2,0)</f>
        <v>4900.8327604026426</v>
      </c>
      <c r="V67" s="16">
        <f ca="1">IF(A66&lt;='Dane do harmonogramu'!$E$7,Q66*0.15%,"")</f>
        <v>340.31849661607151</v>
      </c>
    </row>
    <row r="68" spans="1:22" x14ac:dyDescent="0.35">
      <c r="A68">
        <v>66</v>
      </c>
      <c r="B68" s="14">
        <f t="shared" ca="1" si="9"/>
        <v>48077</v>
      </c>
      <c r="C68" s="15">
        <f ca="1">(1+'Dane do harmonogramu'!$E$13*('Roboczy harmonogram_2'!B68-'Roboczy harmonogram_2'!B67)/365)</f>
        <v>1.0070493150684932</v>
      </c>
      <c r="D68" s="15">
        <f ca="1">(1+'Dane do harmonogramu'!$E$13*('Roboczy harmonogram_2'!B68-'Roboczy harmonogram_2'!B67)/366)</f>
        <v>1.0070300546448088</v>
      </c>
      <c r="E68" s="15">
        <f t="shared" ref="E68:E131" ca="1" si="10">IF(AND(MOD(YEAR(B67),4)=0,MOD(YEAR(B68),4)&lt;&gt;0),1,0)</f>
        <v>0</v>
      </c>
      <c r="F68" s="15">
        <f t="shared" ref="F68:F131" ca="1" si="11">IF(AND(MOD(YEAR(B68),4)=0,MOD(YEAR(B67),4)&lt;&gt;0),1,0)</f>
        <v>0</v>
      </c>
      <c r="G68">
        <f ca="1">IF(E68=1,(1+'Dane do harmonogramu'!$E$13*((('Roboczy harmonogram_2'!B68-DATE(YEAR(B68),1,1)+1)/365)+((DATE(YEAR(B67),12,31)-'Roboczy harmonogram_2'!B67)/366))),IF(F68=1,(1+'Dane do harmonogramu'!$E$13*((('Roboczy harmonogram_2'!B68-DATE(YEAR(B68),1,1)+1)/366)+((DATE(YEAR(B67),12,31)-'Roboczy harmonogram_2'!B67)/365))),0))</f>
        <v>0</v>
      </c>
      <c r="H68">
        <f t="shared" ref="H68:H131" ca="1" si="12">IF(MOD(YEAR(B68),4)=0,1,0)</f>
        <v>0</v>
      </c>
      <c r="I68">
        <f t="shared" ref="I68:I131" ca="1" si="13">IF(H68=0,C68,IF(H68=1,D68,"blad"))</f>
        <v>1.0070493150684932</v>
      </c>
      <c r="J68">
        <f t="shared" ref="J68:J131" ca="1" si="14">IF(OR(E68=1,F68=1),G68,I68)</f>
        <v>1.0070493150684932</v>
      </c>
      <c r="K68">
        <f ca="1">PRODUCT($J$3:J68)</f>
        <v>1.5708969402981747</v>
      </c>
      <c r="L68">
        <f t="shared" ref="L68:L131" ca="1" si="15">1/K68</f>
        <v>0.63657899786232208</v>
      </c>
      <c r="M68">
        <f ca="1">SUM($L$3:L68)</f>
        <v>53.016459972794017</v>
      </c>
      <c r="O68">
        <f t="shared" ca="1" si="6"/>
        <v>1575.7045998118992</v>
      </c>
      <c r="P68" s="16">
        <f t="shared" ca="1" si="7"/>
        <v>3325.1281605907434</v>
      </c>
      <c r="Q68" s="17">
        <f t="shared" ca="1" si="8"/>
        <v>220200.7866980753</v>
      </c>
      <c r="S68">
        <f ca="1">IF(A68&lt;='Dane do harmonogramu'!$E$7,'Roboczy harmonogram_2'!P68,0)</f>
        <v>3325.1281605907434</v>
      </c>
      <c r="T68">
        <f ca="1">IF(A68&lt;='Dane do harmonogramu'!$E$7,'Roboczy harmonogram_2'!O68,0)</f>
        <v>1575.7045998118992</v>
      </c>
      <c r="U68">
        <f ca="1">IF(A68&lt;='Dane do harmonogramu'!$E$7,$N$2,0)</f>
        <v>4900.8327604026426</v>
      </c>
      <c r="V68" s="16">
        <f ca="1">IF(A67&lt;='Dane do harmonogramu'!$E$7,Q67*0.15%,"")</f>
        <v>335.28887228799908</v>
      </c>
    </row>
    <row r="69" spans="1:22" x14ac:dyDescent="0.35">
      <c r="A69">
        <v>67</v>
      </c>
      <c r="B69" s="14">
        <f t="shared" ca="1" si="9"/>
        <v>48108</v>
      </c>
      <c r="C69" s="15">
        <f ca="1">(1+'Dane do harmonogramu'!$E$13*('Roboczy harmonogram_2'!B69-'Roboczy harmonogram_2'!B68)/365)</f>
        <v>1.0070493150684932</v>
      </c>
      <c r="D69" s="15">
        <f ca="1">(1+'Dane do harmonogramu'!$E$13*('Roboczy harmonogram_2'!B69-'Roboczy harmonogram_2'!B68)/366)</f>
        <v>1.0070300546448088</v>
      </c>
      <c r="E69" s="15">
        <f t="shared" ca="1" si="10"/>
        <v>0</v>
      </c>
      <c r="F69" s="15">
        <f t="shared" ca="1" si="11"/>
        <v>0</v>
      </c>
      <c r="G69">
        <f ca="1">IF(E69=1,(1+'Dane do harmonogramu'!$E$13*((('Roboczy harmonogram_2'!B69-DATE(YEAR(B69),1,1)+1)/365)+((DATE(YEAR(B68),12,31)-'Roboczy harmonogram_2'!B68)/366))),IF(F69=1,(1+'Dane do harmonogramu'!$E$13*((('Roboczy harmonogram_2'!B69-DATE(YEAR(B69),1,1)+1)/366)+((DATE(YEAR(B68),12,31)-'Roboczy harmonogram_2'!B68)/365))),0))</f>
        <v>0</v>
      </c>
      <c r="H69">
        <f t="shared" ca="1" si="12"/>
        <v>0</v>
      </c>
      <c r="I69">
        <f t="shared" ca="1" si="13"/>
        <v>1.0070493150684932</v>
      </c>
      <c r="J69">
        <f t="shared" ca="1" si="14"/>
        <v>1.0070493150684932</v>
      </c>
      <c r="K69">
        <f ca="1">PRODUCT($J$3:J69)</f>
        <v>1.5819706877704685</v>
      </c>
      <c r="L69">
        <f t="shared" ca="1" si="15"/>
        <v>0.63212296392756684</v>
      </c>
      <c r="M69">
        <f ca="1">SUM($L$3:L69)</f>
        <v>53.648582936721581</v>
      </c>
      <c r="O69">
        <f t="shared" ref="O69:O132" ca="1" si="16">(Q68*J69)-Q68</f>
        <v>1552.2647237647907</v>
      </c>
      <c r="P69" s="16">
        <f t="shared" ref="P69:P132" ca="1" si="17">$N$2-O69</f>
        <v>3348.5680366378519</v>
      </c>
      <c r="Q69" s="17">
        <f t="shared" ref="Q69:Q132" ca="1" si="18">Q68-P69</f>
        <v>216852.21866143745</v>
      </c>
      <c r="S69">
        <f ca="1">IF(A69&lt;='Dane do harmonogramu'!$E$7,'Roboczy harmonogram_2'!P69,0)</f>
        <v>3348.5680366378519</v>
      </c>
      <c r="T69">
        <f ca="1">IF(A69&lt;='Dane do harmonogramu'!$E$7,'Roboczy harmonogram_2'!O69,0)</f>
        <v>1552.2647237647907</v>
      </c>
      <c r="U69">
        <f ca="1">IF(A69&lt;='Dane do harmonogramu'!$E$7,$N$2,0)</f>
        <v>4900.8327604026426</v>
      </c>
      <c r="V69" s="16">
        <f ca="1">IF(A68&lt;='Dane do harmonogramu'!$E$7,Q68*0.15%,"")</f>
        <v>330.30118004711295</v>
      </c>
    </row>
    <row r="70" spans="1:22" x14ac:dyDescent="0.35">
      <c r="A70">
        <v>68</v>
      </c>
      <c r="B70" s="14">
        <f t="shared" ref="B70:B133" ca="1" si="19">DATE(YEAR((B69)),MONTH((B69))+1,IF(AND(DAY(B69)&gt;28,MONTH((B69))+1=2),IF(MOD(YEAR(B69),4)=0,29,28),IF(AND(OR(DAY(B69)=28,DAY(B69)=29),MONTH((B69))=2),DAY(B68),DAY(B69))))</f>
        <v>48138</v>
      </c>
      <c r="C70" s="15">
        <f ca="1">(1+'Dane do harmonogramu'!$E$13*('Roboczy harmonogram_2'!B70-'Roboczy harmonogram_2'!B69)/365)</f>
        <v>1.0068219178082192</v>
      </c>
      <c r="D70" s="15">
        <f ca="1">(1+'Dane do harmonogramu'!$E$13*('Roboczy harmonogram_2'!B70-'Roboczy harmonogram_2'!B69)/366)</f>
        <v>1.0068032786885246</v>
      </c>
      <c r="E70" s="15">
        <f t="shared" ca="1" si="10"/>
        <v>0</v>
      </c>
      <c r="F70" s="15">
        <f t="shared" ca="1" si="11"/>
        <v>0</v>
      </c>
      <c r="G70">
        <f ca="1">IF(E70=1,(1+'Dane do harmonogramu'!$E$13*((('Roboczy harmonogram_2'!B70-DATE(YEAR(B70),1,1)+1)/365)+((DATE(YEAR(B69),12,31)-'Roboczy harmonogram_2'!B69)/366))),IF(F70=1,(1+'Dane do harmonogramu'!$E$13*((('Roboczy harmonogram_2'!B70-DATE(YEAR(B70),1,1)+1)/366)+((DATE(YEAR(B69),12,31)-'Roboczy harmonogram_2'!B69)/365))),0))</f>
        <v>0</v>
      </c>
      <c r="H70">
        <f t="shared" ca="1" si="12"/>
        <v>0</v>
      </c>
      <c r="I70">
        <f t="shared" ca="1" si="13"/>
        <v>1.0068219178082192</v>
      </c>
      <c r="J70">
        <f t="shared" ca="1" si="14"/>
        <v>1.0068219178082192</v>
      </c>
      <c r="K70">
        <f ca="1">PRODUCT($J$3:J70)</f>
        <v>1.5927627617774505</v>
      </c>
      <c r="L70">
        <f t="shared" ca="1" si="15"/>
        <v>0.62783989178906074</v>
      </c>
      <c r="M70">
        <f ca="1">SUM($L$3:L70)</f>
        <v>54.27642282851064</v>
      </c>
      <c r="O70">
        <f t="shared" ca="1" si="16"/>
        <v>1479.3480122383044</v>
      </c>
      <c r="P70" s="16">
        <f t="shared" ca="1" si="17"/>
        <v>3421.4847481643383</v>
      </c>
      <c r="Q70" s="17">
        <f t="shared" ca="1" si="18"/>
        <v>213430.73391327311</v>
      </c>
      <c r="S70">
        <f ca="1">IF(A70&lt;='Dane do harmonogramu'!$E$7,'Roboczy harmonogram_2'!P70,0)</f>
        <v>3421.4847481643383</v>
      </c>
      <c r="T70">
        <f ca="1">IF(A70&lt;='Dane do harmonogramu'!$E$7,'Roboczy harmonogram_2'!O70,0)</f>
        <v>1479.3480122383044</v>
      </c>
      <c r="U70">
        <f ca="1">IF(A70&lt;='Dane do harmonogramu'!$E$7,$N$2,0)</f>
        <v>4900.8327604026426</v>
      </c>
      <c r="V70" s="16">
        <f ca="1">IF(A69&lt;='Dane do harmonogramu'!$E$7,Q69*0.15%,"")</f>
        <v>325.27832799215616</v>
      </c>
    </row>
    <row r="71" spans="1:22" x14ac:dyDescent="0.35">
      <c r="A71">
        <v>69</v>
      </c>
      <c r="B71" s="14">
        <f t="shared" ca="1" si="19"/>
        <v>48169</v>
      </c>
      <c r="C71" s="15">
        <f ca="1">(1+'Dane do harmonogramu'!$E$13*('Roboczy harmonogram_2'!B71-'Roboczy harmonogram_2'!B70)/365)</f>
        <v>1.0070493150684932</v>
      </c>
      <c r="D71" s="15">
        <f ca="1">(1+'Dane do harmonogramu'!$E$13*('Roboczy harmonogram_2'!B71-'Roboczy harmonogram_2'!B70)/366)</f>
        <v>1.0070300546448088</v>
      </c>
      <c r="E71" s="15">
        <f t="shared" ca="1" si="10"/>
        <v>0</v>
      </c>
      <c r="F71" s="15">
        <f t="shared" ca="1" si="11"/>
        <v>0</v>
      </c>
      <c r="G71">
        <f ca="1">IF(E71=1,(1+'Dane do harmonogramu'!$E$13*((('Roboczy harmonogram_2'!B71-DATE(YEAR(B71),1,1)+1)/365)+((DATE(YEAR(B70),12,31)-'Roboczy harmonogram_2'!B70)/366))),IF(F71=1,(1+'Dane do harmonogramu'!$E$13*((('Roboczy harmonogram_2'!B71-DATE(YEAR(B71),1,1)+1)/366)+((DATE(YEAR(B70),12,31)-'Roboczy harmonogram_2'!B70)/365))),0))</f>
        <v>0</v>
      </c>
      <c r="H71">
        <f t="shared" ca="1" si="12"/>
        <v>0</v>
      </c>
      <c r="I71">
        <f t="shared" ca="1" si="13"/>
        <v>1.0070493150684932</v>
      </c>
      <c r="J71">
        <f t="shared" ca="1" si="14"/>
        <v>1.0070493150684932</v>
      </c>
      <c r="K71">
        <f ca="1">PRODUCT($J$3:J71)</f>
        <v>1.6039906483145829</v>
      </c>
      <c r="L71">
        <f t="shared" ca="1" si="15"/>
        <v>0.62344503133529172</v>
      </c>
      <c r="M71">
        <f ca="1">SUM($L$3:L71)</f>
        <v>54.899867859845934</v>
      </c>
      <c r="O71">
        <f t="shared" ca="1" si="16"/>
        <v>1504.5404886543984</v>
      </c>
      <c r="P71" s="16">
        <f t="shared" ca="1" si="17"/>
        <v>3396.2922717482443</v>
      </c>
      <c r="Q71" s="17">
        <f t="shared" ca="1" si="18"/>
        <v>210034.44164152487</v>
      </c>
      <c r="S71">
        <f ca="1">IF(A71&lt;='Dane do harmonogramu'!$E$7,'Roboczy harmonogram_2'!P71,0)</f>
        <v>3396.2922717482443</v>
      </c>
      <c r="T71">
        <f ca="1">IF(A71&lt;='Dane do harmonogramu'!$E$7,'Roboczy harmonogram_2'!O71,0)</f>
        <v>1504.5404886543984</v>
      </c>
      <c r="U71">
        <f ca="1">IF(A71&lt;='Dane do harmonogramu'!$E$7,$N$2,0)</f>
        <v>4900.8327604026426</v>
      </c>
      <c r="V71" s="16">
        <f ca="1">IF(A70&lt;='Dane do harmonogramu'!$E$7,Q70*0.15%,"")</f>
        <v>320.14610086990967</v>
      </c>
    </row>
    <row r="72" spans="1:22" x14ac:dyDescent="0.35">
      <c r="A72">
        <v>70</v>
      </c>
      <c r="B72" s="14">
        <f t="shared" ca="1" si="19"/>
        <v>48199</v>
      </c>
      <c r="C72" s="15">
        <f ca="1">(1+'Dane do harmonogramu'!$E$13*('Roboczy harmonogram_2'!B72-'Roboczy harmonogram_2'!B71)/365)</f>
        <v>1.0068219178082192</v>
      </c>
      <c r="D72" s="15">
        <f ca="1">(1+'Dane do harmonogramu'!$E$13*('Roboczy harmonogram_2'!B72-'Roboczy harmonogram_2'!B71)/366)</f>
        <v>1.0068032786885246</v>
      </c>
      <c r="E72" s="15">
        <f t="shared" ca="1" si="10"/>
        <v>0</v>
      </c>
      <c r="F72" s="15">
        <f t="shared" ca="1" si="11"/>
        <v>0</v>
      </c>
      <c r="G72">
        <f ca="1">IF(E72=1,(1+'Dane do harmonogramu'!$E$13*((('Roboczy harmonogram_2'!B72-DATE(YEAR(B72),1,1)+1)/365)+((DATE(YEAR(B71),12,31)-'Roboczy harmonogram_2'!B71)/366))),IF(F72=1,(1+'Dane do harmonogramu'!$E$13*((('Roboczy harmonogram_2'!B72-DATE(YEAR(B72),1,1)+1)/366)+((DATE(YEAR(B71),12,31)-'Roboczy harmonogram_2'!B71)/365))),0))</f>
        <v>0</v>
      </c>
      <c r="H72">
        <f t="shared" ca="1" si="12"/>
        <v>0</v>
      </c>
      <c r="I72">
        <f t="shared" ca="1" si="13"/>
        <v>1.0068219178082192</v>
      </c>
      <c r="J72">
        <f t="shared" ca="1" si="14"/>
        <v>1.0068219178082192</v>
      </c>
      <c r="K72">
        <f ca="1">PRODUCT($J$3:J72)</f>
        <v>1.6149329406825372</v>
      </c>
      <c r="L72">
        <f t="shared" ca="1" si="15"/>
        <v>0.61922075821758815</v>
      </c>
      <c r="M72">
        <f ca="1">SUM($L$3:L72)</f>
        <v>55.51908861806352</v>
      </c>
      <c r="O72">
        <f t="shared" ca="1" si="16"/>
        <v>1432.8376977736771</v>
      </c>
      <c r="P72" s="16">
        <f t="shared" ca="1" si="17"/>
        <v>3467.9950626289656</v>
      </c>
      <c r="Q72" s="17">
        <f t="shared" ca="1" si="18"/>
        <v>206566.44657889591</v>
      </c>
      <c r="S72">
        <f ca="1">IF(A72&lt;='Dane do harmonogramu'!$E$7,'Roboczy harmonogram_2'!P72,0)</f>
        <v>3467.9950626289656</v>
      </c>
      <c r="T72">
        <f ca="1">IF(A72&lt;='Dane do harmonogramu'!$E$7,'Roboczy harmonogram_2'!O72,0)</f>
        <v>1432.8376977736771</v>
      </c>
      <c r="U72">
        <f ca="1">IF(A72&lt;='Dane do harmonogramu'!$E$7,$N$2,0)</f>
        <v>4900.8327604026426</v>
      </c>
      <c r="V72" s="16">
        <f ca="1">IF(A71&lt;='Dane do harmonogramu'!$E$7,Q71*0.15%,"")</f>
        <v>315.05166246228731</v>
      </c>
    </row>
    <row r="73" spans="1:22" x14ac:dyDescent="0.35">
      <c r="A73">
        <v>71</v>
      </c>
      <c r="B73" s="14">
        <f t="shared" ca="1" si="19"/>
        <v>48230</v>
      </c>
      <c r="C73" s="15">
        <f ca="1">(1+'Dane do harmonogramu'!$E$13*('Roboczy harmonogram_2'!B73-'Roboczy harmonogram_2'!B72)/365)</f>
        <v>1.0070493150684932</v>
      </c>
      <c r="D73" s="15">
        <f ca="1">(1+'Dane do harmonogramu'!$E$13*('Roboczy harmonogram_2'!B73-'Roboczy harmonogram_2'!B72)/366)</f>
        <v>1.0070300546448088</v>
      </c>
      <c r="E73" s="15">
        <f t="shared" ca="1" si="10"/>
        <v>0</v>
      </c>
      <c r="F73" s="15">
        <f t="shared" ca="1" si="11"/>
        <v>1</v>
      </c>
      <c r="G73">
        <f ca="1">IF(E73=1,(1+'Dane do harmonogramu'!$E$13*((('Roboczy harmonogram_2'!B73-DATE(YEAR(B73),1,1)+1)/365)+((DATE(YEAR(B72),12,31)-'Roboczy harmonogram_2'!B72)/366))),IF(F73=1,(1+'Dane do harmonogramu'!$E$13*((('Roboczy harmonogram_2'!B73-DATE(YEAR(B73),1,1)+1)/366)+((DATE(YEAR(B72),12,31)-'Roboczy harmonogram_2'!B72)/365))),0))</f>
        <v>1.0070387529006661</v>
      </c>
      <c r="H73">
        <f t="shared" ca="1" si="12"/>
        <v>1</v>
      </c>
      <c r="I73">
        <f t="shared" ca="1" si="13"/>
        <v>1.0070300546448088</v>
      </c>
      <c r="J73">
        <f t="shared" ca="1" si="14"/>
        <v>1.0070387529006661</v>
      </c>
      <c r="K73">
        <f ca="1">PRODUCT($J$3:J73)</f>
        <v>1.6263000546031476</v>
      </c>
      <c r="L73">
        <f t="shared" ca="1" si="15"/>
        <v>0.61489268057856739</v>
      </c>
      <c r="M73">
        <f ca="1">SUM($L$3:L73)</f>
        <v>56.133981298642091</v>
      </c>
      <c r="O73">
        <f t="shared" ca="1" si="16"/>
        <v>1453.9701750375098</v>
      </c>
      <c r="P73" s="16">
        <f t="shared" ca="1" si="17"/>
        <v>3446.8625853651329</v>
      </c>
      <c r="Q73" s="17">
        <f t="shared" ca="1" si="18"/>
        <v>203119.58399353077</v>
      </c>
      <c r="S73">
        <f ca="1">IF(A73&lt;='Dane do harmonogramu'!$E$7,'Roboczy harmonogram_2'!P73,0)</f>
        <v>3446.8625853651329</v>
      </c>
      <c r="T73">
        <f ca="1">IF(A73&lt;='Dane do harmonogramu'!$E$7,'Roboczy harmonogram_2'!O73,0)</f>
        <v>1453.9701750375098</v>
      </c>
      <c r="U73">
        <f ca="1">IF(A73&lt;='Dane do harmonogramu'!$E$7,$N$2,0)</f>
        <v>4900.8327604026426</v>
      </c>
      <c r="V73" s="16">
        <f ca="1">IF(A72&lt;='Dane do harmonogramu'!$E$7,Q72*0.15%,"")</f>
        <v>309.84966986834388</v>
      </c>
    </row>
    <row r="74" spans="1:22" x14ac:dyDescent="0.35">
      <c r="A74">
        <v>72</v>
      </c>
      <c r="B74" s="14">
        <f t="shared" ca="1" si="19"/>
        <v>48261</v>
      </c>
      <c r="C74" s="15">
        <f ca="1">(1+'Dane do harmonogramu'!$E$13*('Roboczy harmonogram_2'!B74-'Roboczy harmonogram_2'!B73)/365)</f>
        <v>1.0070493150684932</v>
      </c>
      <c r="D74" s="15">
        <f ca="1">(1+'Dane do harmonogramu'!$E$13*('Roboczy harmonogram_2'!B74-'Roboczy harmonogram_2'!B73)/366)</f>
        <v>1.0070300546448088</v>
      </c>
      <c r="E74" s="15">
        <f t="shared" ca="1" si="10"/>
        <v>0</v>
      </c>
      <c r="F74" s="15">
        <f t="shared" ca="1" si="11"/>
        <v>0</v>
      </c>
      <c r="G74">
        <f ca="1">IF(E74=1,(1+'Dane do harmonogramu'!$E$13*((('Roboczy harmonogram_2'!B74-DATE(YEAR(B74),1,1)+1)/365)+((DATE(YEAR(B73),12,31)-'Roboczy harmonogram_2'!B73)/366))),IF(F74=1,(1+'Dane do harmonogramu'!$E$13*((('Roboczy harmonogram_2'!B74-DATE(YEAR(B74),1,1)+1)/366)+((DATE(YEAR(B73),12,31)-'Roboczy harmonogram_2'!B73)/365))),0))</f>
        <v>0</v>
      </c>
      <c r="H74">
        <f t="shared" ca="1" si="12"/>
        <v>1</v>
      </c>
      <c r="I74">
        <f t="shared" ca="1" si="13"/>
        <v>1.0070300546448088</v>
      </c>
      <c r="J74">
        <f t="shared" ca="1" si="14"/>
        <v>1.0070300546448088</v>
      </c>
      <c r="K74">
        <f ca="1">PRODUCT($J$3:J74)</f>
        <v>1.6377330328558632</v>
      </c>
      <c r="L74">
        <f t="shared" ca="1" si="15"/>
        <v>0.61060012831041788</v>
      </c>
      <c r="M74">
        <f ca="1">SUM($L$3:L74)</f>
        <v>56.744581426952507</v>
      </c>
      <c r="O74">
        <f t="shared" ca="1" si="16"/>
        <v>1427.9417749053391</v>
      </c>
      <c r="P74" s="16">
        <f t="shared" ca="1" si="17"/>
        <v>3472.8909854973035</v>
      </c>
      <c r="Q74" s="17">
        <f t="shared" ca="1" si="18"/>
        <v>199646.69300803347</v>
      </c>
      <c r="S74">
        <f ca="1">IF(A74&lt;='Dane do harmonogramu'!$E$7,'Roboczy harmonogram_2'!P74,0)</f>
        <v>3472.8909854973035</v>
      </c>
      <c r="T74">
        <f ca="1">IF(A74&lt;='Dane do harmonogramu'!$E$7,'Roboczy harmonogram_2'!O74,0)</f>
        <v>1427.9417749053391</v>
      </c>
      <c r="U74">
        <f ca="1">IF(A74&lt;='Dane do harmonogramu'!$E$7,$N$2,0)</f>
        <v>4900.8327604026426</v>
      </c>
      <c r="V74" s="16">
        <f ca="1">IF(A73&lt;='Dane do harmonogramu'!$E$7,Q73*0.15%,"")</f>
        <v>304.67937599029619</v>
      </c>
    </row>
    <row r="75" spans="1:22" x14ac:dyDescent="0.35">
      <c r="A75">
        <v>73</v>
      </c>
      <c r="B75" s="14">
        <f t="shared" ca="1" si="19"/>
        <v>48290</v>
      </c>
      <c r="C75" s="15">
        <f ca="1">(1+'Dane do harmonogramu'!$E$13*('Roboczy harmonogram_2'!B75-'Roboczy harmonogram_2'!B74)/365)</f>
        <v>1.0065945205479452</v>
      </c>
      <c r="D75" s="15">
        <f ca="1">(1+'Dane do harmonogramu'!$E$13*('Roboczy harmonogram_2'!B75-'Roboczy harmonogram_2'!B74)/366)</f>
        <v>1.0065765027322404</v>
      </c>
      <c r="E75" s="15">
        <f t="shared" ca="1" si="10"/>
        <v>0</v>
      </c>
      <c r="F75" s="15">
        <f t="shared" ca="1" si="11"/>
        <v>0</v>
      </c>
      <c r="G75">
        <f ca="1">IF(E75=1,(1+'Dane do harmonogramu'!$E$13*((('Roboczy harmonogram_2'!B75-DATE(YEAR(B75),1,1)+1)/365)+((DATE(YEAR(B74),12,31)-'Roboczy harmonogram_2'!B74)/366))),IF(F75=1,(1+'Dane do harmonogramu'!$E$13*((('Roboczy harmonogram_2'!B75-DATE(YEAR(B75),1,1)+1)/366)+((DATE(YEAR(B74),12,31)-'Roboczy harmonogram_2'!B74)/365))),0))</f>
        <v>0</v>
      </c>
      <c r="H75">
        <f t="shared" ca="1" si="12"/>
        <v>1</v>
      </c>
      <c r="I75">
        <f t="shared" ca="1" si="13"/>
        <v>1.0065765027322404</v>
      </c>
      <c r="J75">
        <f t="shared" ca="1" si="14"/>
        <v>1.0065765027322404</v>
      </c>
      <c r="K75">
        <f ca="1">PRODUCT($J$3:J75)</f>
        <v>1.6485035886211201</v>
      </c>
      <c r="L75">
        <f t="shared" ca="1" si="15"/>
        <v>0.60661075104873952</v>
      </c>
      <c r="M75">
        <f ca="1">SUM($L$3:L75)</f>
        <v>57.351192178001249</v>
      </c>
      <c r="O75">
        <f t="shared" ca="1" si="16"/>
        <v>1312.9770220500941</v>
      </c>
      <c r="P75" s="16">
        <f t="shared" ca="1" si="17"/>
        <v>3587.8557383525485</v>
      </c>
      <c r="Q75" s="17">
        <f t="shared" ca="1" si="18"/>
        <v>196058.83726968092</v>
      </c>
      <c r="S75">
        <f ca="1">IF(A75&lt;='Dane do harmonogramu'!$E$7,'Roboczy harmonogram_2'!P75,0)</f>
        <v>3587.8557383525485</v>
      </c>
      <c r="T75">
        <f ca="1">IF(A75&lt;='Dane do harmonogramu'!$E$7,'Roboczy harmonogram_2'!O75,0)</f>
        <v>1312.9770220500941</v>
      </c>
      <c r="U75">
        <f ca="1">IF(A75&lt;='Dane do harmonogramu'!$E$7,$N$2,0)</f>
        <v>4900.8327604026426</v>
      </c>
      <c r="V75" s="16">
        <f ca="1">IF(A74&lt;='Dane do harmonogramu'!$E$7,Q74*0.15%,"")</f>
        <v>299.47003951205022</v>
      </c>
    </row>
    <row r="76" spans="1:22" x14ac:dyDescent="0.35">
      <c r="A76">
        <v>74</v>
      </c>
      <c r="B76" s="14">
        <f t="shared" ca="1" si="19"/>
        <v>48321</v>
      </c>
      <c r="C76" s="15">
        <f ca="1">(1+'Dane do harmonogramu'!$E$13*('Roboczy harmonogram_2'!B76-'Roboczy harmonogram_2'!B75)/365)</f>
        <v>1.0070493150684932</v>
      </c>
      <c r="D76" s="15">
        <f ca="1">(1+'Dane do harmonogramu'!$E$13*('Roboczy harmonogram_2'!B76-'Roboczy harmonogram_2'!B75)/366)</f>
        <v>1.0070300546448088</v>
      </c>
      <c r="E76" s="15">
        <f t="shared" ca="1" si="10"/>
        <v>0</v>
      </c>
      <c r="F76" s="15">
        <f t="shared" ca="1" si="11"/>
        <v>0</v>
      </c>
      <c r="G76">
        <f ca="1">IF(E76=1,(1+'Dane do harmonogramu'!$E$13*((('Roboczy harmonogram_2'!B76-DATE(YEAR(B76),1,1)+1)/365)+((DATE(YEAR(B75),12,31)-'Roboczy harmonogram_2'!B75)/366))),IF(F76=1,(1+'Dane do harmonogramu'!$E$13*((('Roboczy harmonogram_2'!B76-DATE(YEAR(B76),1,1)+1)/366)+((DATE(YEAR(B75),12,31)-'Roboczy harmonogram_2'!B75)/365))),0))</f>
        <v>0</v>
      </c>
      <c r="H76">
        <f t="shared" ca="1" si="12"/>
        <v>1</v>
      </c>
      <c r="I76">
        <f t="shared" ca="1" si="13"/>
        <v>1.0070300546448088</v>
      </c>
      <c r="J76">
        <f t="shared" ca="1" si="14"/>
        <v>1.0070300546448088</v>
      </c>
      <c r="K76">
        <f ca="1">PRODUCT($J$3:J76)</f>
        <v>1.6600926589312899</v>
      </c>
      <c r="L76">
        <f t="shared" ca="1" si="15"/>
        <v>0.60237601474833657</v>
      </c>
      <c r="M76">
        <f ca="1">SUM($L$3:L76)</f>
        <v>57.953568192749586</v>
      </c>
      <c r="O76">
        <f t="shared" ca="1" si="16"/>
        <v>1378.3043396035209</v>
      </c>
      <c r="P76" s="16">
        <f t="shared" ca="1" si="17"/>
        <v>3522.5284207991217</v>
      </c>
      <c r="Q76" s="17">
        <f t="shared" ca="1" si="18"/>
        <v>192536.3088488818</v>
      </c>
      <c r="S76">
        <f ca="1">IF(A76&lt;='Dane do harmonogramu'!$E$7,'Roboczy harmonogram_2'!P76,0)</f>
        <v>3522.5284207991217</v>
      </c>
      <c r="T76">
        <f ca="1">IF(A76&lt;='Dane do harmonogramu'!$E$7,'Roboczy harmonogram_2'!O76,0)</f>
        <v>1378.3043396035209</v>
      </c>
      <c r="U76">
        <f ca="1">IF(A76&lt;='Dane do harmonogramu'!$E$7,$N$2,0)</f>
        <v>4900.8327604026426</v>
      </c>
      <c r="V76" s="16">
        <f ca="1">IF(A75&lt;='Dane do harmonogramu'!$E$7,Q75*0.15%,"")</f>
        <v>294.08825590452142</v>
      </c>
    </row>
    <row r="77" spans="1:22" x14ac:dyDescent="0.35">
      <c r="A77">
        <v>75</v>
      </c>
      <c r="B77" s="14">
        <f t="shared" ca="1" si="19"/>
        <v>48351</v>
      </c>
      <c r="C77" s="15">
        <f ca="1">(1+'Dane do harmonogramu'!$E$13*('Roboczy harmonogram_2'!B77-'Roboczy harmonogram_2'!B76)/365)</f>
        <v>1.0068219178082192</v>
      </c>
      <c r="D77" s="15">
        <f ca="1">(1+'Dane do harmonogramu'!$E$13*('Roboczy harmonogram_2'!B77-'Roboczy harmonogram_2'!B76)/366)</f>
        <v>1.0068032786885246</v>
      </c>
      <c r="E77" s="15">
        <f t="shared" ca="1" si="10"/>
        <v>0</v>
      </c>
      <c r="F77" s="15">
        <f t="shared" ca="1" si="11"/>
        <v>0</v>
      </c>
      <c r="G77">
        <f ca="1">IF(E77=1,(1+'Dane do harmonogramu'!$E$13*((('Roboczy harmonogram_2'!B77-DATE(YEAR(B77),1,1)+1)/365)+((DATE(YEAR(B76),12,31)-'Roboczy harmonogram_2'!B76)/366))),IF(F77=1,(1+'Dane do harmonogramu'!$E$13*((('Roboczy harmonogram_2'!B77-DATE(YEAR(B77),1,1)+1)/366)+((DATE(YEAR(B76),12,31)-'Roboczy harmonogram_2'!B76)/365))),0))</f>
        <v>0</v>
      </c>
      <c r="H77">
        <f t="shared" ca="1" si="12"/>
        <v>1</v>
      </c>
      <c r="I77">
        <f t="shared" ca="1" si="13"/>
        <v>1.0068032786885246</v>
      </c>
      <c r="J77">
        <f t="shared" ca="1" si="14"/>
        <v>1.0068032786885246</v>
      </c>
      <c r="K77">
        <f ca="1">PRODUCT($J$3:J77)</f>
        <v>1.6713867319387732</v>
      </c>
      <c r="L77">
        <f t="shared" ca="1" si="15"/>
        <v>0.59830557517949257</v>
      </c>
      <c r="M77">
        <f ca="1">SUM($L$3:L77)</f>
        <v>58.551873767929081</v>
      </c>
      <c r="O77">
        <f t="shared" ca="1" si="16"/>
        <v>1309.8781667587755</v>
      </c>
      <c r="P77" s="16">
        <f t="shared" ca="1" si="17"/>
        <v>3590.9545936438672</v>
      </c>
      <c r="Q77" s="17">
        <f t="shared" ca="1" si="18"/>
        <v>188945.35425523794</v>
      </c>
      <c r="S77">
        <f ca="1">IF(A77&lt;='Dane do harmonogramu'!$E$7,'Roboczy harmonogram_2'!P77,0)</f>
        <v>3590.9545936438672</v>
      </c>
      <c r="T77">
        <f ca="1">IF(A77&lt;='Dane do harmonogramu'!$E$7,'Roboczy harmonogram_2'!O77,0)</f>
        <v>1309.8781667587755</v>
      </c>
      <c r="U77">
        <f ca="1">IF(A77&lt;='Dane do harmonogramu'!$E$7,$N$2,0)</f>
        <v>4900.8327604026426</v>
      </c>
      <c r="V77" s="16">
        <f ca="1">IF(A76&lt;='Dane do harmonogramu'!$E$7,Q76*0.15%,"")</f>
        <v>288.80446327332271</v>
      </c>
    </row>
    <row r="78" spans="1:22" x14ac:dyDescent="0.35">
      <c r="A78">
        <v>76</v>
      </c>
      <c r="B78" s="14">
        <f t="shared" ca="1" si="19"/>
        <v>48382</v>
      </c>
      <c r="C78" s="15">
        <f ca="1">(1+'Dane do harmonogramu'!$E$13*('Roboczy harmonogram_2'!B78-'Roboczy harmonogram_2'!B77)/365)</f>
        <v>1.0070493150684932</v>
      </c>
      <c r="D78" s="15">
        <f ca="1">(1+'Dane do harmonogramu'!$E$13*('Roboczy harmonogram_2'!B78-'Roboczy harmonogram_2'!B77)/366)</f>
        <v>1.0070300546448088</v>
      </c>
      <c r="E78" s="15">
        <f t="shared" ca="1" si="10"/>
        <v>0</v>
      </c>
      <c r="F78" s="15">
        <f t="shared" ca="1" si="11"/>
        <v>0</v>
      </c>
      <c r="G78">
        <f ca="1">IF(E78=1,(1+'Dane do harmonogramu'!$E$13*((('Roboczy harmonogram_2'!B78-DATE(YEAR(B78),1,1)+1)/365)+((DATE(YEAR(B77),12,31)-'Roboczy harmonogram_2'!B77)/366))),IF(F78=1,(1+'Dane do harmonogramu'!$E$13*((('Roboczy harmonogram_2'!B78-DATE(YEAR(B78),1,1)+1)/366)+((DATE(YEAR(B77),12,31)-'Roboczy harmonogram_2'!B77)/365))),0))</f>
        <v>0</v>
      </c>
      <c r="H78">
        <f t="shared" ca="1" si="12"/>
        <v>1</v>
      </c>
      <c r="I78">
        <f t="shared" ca="1" si="13"/>
        <v>1.0070300546448088</v>
      </c>
      <c r="J78">
        <f t="shared" ca="1" si="14"/>
        <v>1.0070300546448088</v>
      </c>
      <c r="K78">
        <f ca="1">PRODUCT($J$3:J78)</f>
        <v>1.6831366719969112</v>
      </c>
      <c r="L78">
        <f t="shared" ca="1" si="15"/>
        <v>0.59412881712901988</v>
      </c>
      <c r="M78">
        <f ca="1">SUM($L$3:L78)</f>
        <v>59.146002585058099</v>
      </c>
      <c r="O78">
        <f t="shared" ca="1" si="16"/>
        <v>1328.2961652970698</v>
      </c>
      <c r="P78" s="16">
        <f t="shared" ca="1" si="17"/>
        <v>3572.5365951055728</v>
      </c>
      <c r="Q78" s="17">
        <f t="shared" ca="1" si="18"/>
        <v>185372.81766013236</v>
      </c>
      <c r="S78">
        <f ca="1">IF(A78&lt;='Dane do harmonogramu'!$E$7,'Roboczy harmonogram_2'!P78,0)</f>
        <v>3572.5365951055728</v>
      </c>
      <c r="T78">
        <f ca="1">IF(A78&lt;='Dane do harmonogramu'!$E$7,'Roboczy harmonogram_2'!O78,0)</f>
        <v>1328.2961652970698</v>
      </c>
      <c r="U78">
        <f ca="1">IF(A78&lt;='Dane do harmonogramu'!$E$7,$N$2,0)</f>
        <v>4900.8327604026426</v>
      </c>
      <c r="V78" s="16">
        <f ca="1">IF(A77&lt;='Dane do harmonogramu'!$E$7,Q77*0.15%,"")</f>
        <v>283.4180313828569</v>
      </c>
    </row>
    <row r="79" spans="1:22" x14ac:dyDescent="0.35">
      <c r="A79">
        <v>77</v>
      </c>
      <c r="B79" s="14">
        <f t="shared" ca="1" si="19"/>
        <v>48412</v>
      </c>
      <c r="C79" s="15">
        <f ca="1">(1+'Dane do harmonogramu'!$E$13*('Roboczy harmonogram_2'!B79-'Roboczy harmonogram_2'!B78)/365)</f>
        <v>1.0068219178082192</v>
      </c>
      <c r="D79" s="15">
        <f ca="1">(1+'Dane do harmonogramu'!$E$13*('Roboczy harmonogram_2'!B79-'Roboczy harmonogram_2'!B78)/366)</f>
        <v>1.0068032786885246</v>
      </c>
      <c r="E79" s="15">
        <f t="shared" ca="1" si="10"/>
        <v>0</v>
      </c>
      <c r="F79" s="15">
        <f t="shared" ca="1" si="11"/>
        <v>0</v>
      </c>
      <c r="G79">
        <f ca="1">IF(E79=1,(1+'Dane do harmonogramu'!$E$13*((('Roboczy harmonogram_2'!B79-DATE(YEAR(B79),1,1)+1)/365)+((DATE(YEAR(B78),12,31)-'Roboczy harmonogram_2'!B78)/366))),IF(F79=1,(1+'Dane do harmonogramu'!$E$13*((('Roboczy harmonogram_2'!B79-DATE(YEAR(B79),1,1)+1)/366)+((DATE(YEAR(B78),12,31)-'Roboczy harmonogram_2'!B78)/365))),0))</f>
        <v>0</v>
      </c>
      <c r="H79">
        <f t="shared" ca="1" si="12"/>
        <v>1</v>
      </c>
      <c r="I79">
        <f t="shared" ca="1" si="13"/>
        <v>1.0068032786885246</v>
      </c>
      <c r="J79">
        <f t="shared" ca="1" si="14"/>
        <v>1.0068032786885246</v>
      </c>
      <c r="K79">
        <f ca="1">PRODUCT($J$3:J79)</f>
        <v>1.6945875198473821</v>
      </c>
      <c r="L79">
        <f t="shared" ca="1" si="15"/>
        <v>0.59011410640511619</v>
      </c>
      <c r="M79">
        <f ca="1">SUM($L$3:L79)</f>
        <v>59.736116691463216</v>
      </c>
      <c r="O79">
        <f t="shared" ca="1" si="16"/>
        <v>1261.1429398189357</v>
      </c>
      <c r="P79" s="16">
        <f t="shared" ca="1" si="17"/>
        <v>3639.6898205837069</v>
      </c>
      <c r="Q79" s="17">
        <f t="shared" ca="1" si="18"/>
        <v>181733.12783954866</v>
      </c>
      <c r="S79">
        <f ca="1">IF(A79&lt;='Dane do harmonogramu'!$E$7,'Roboczy harmonogram_2'!P79,0)</f>
        <v>3639.6898205837069</v>
      </c>
      <c r="T79">
        <f ca="1">IF(A79&lt;='Dane do harmonogramu'!$E$7,'Roboczy harmonogram_2'!O79,0)</f>
        <v>1261.1429398189357</v>
      </c>
      <c r="U79">
        <f ca="1">IF(A79&lt;='Dane do harmonogramu'!$E$7,$N$2,0)</f>
        <v>4900.8327604026426</v>
      </c>
      <c r="V79" s="16">
        <f ca="1">IF(A78&lt;='Dane do harmonogramu'!$E$7,Q78*0.15%,"")</f>
        <v>278.05922649019857</v>
      </c>
    </row>
    <row r="80" spans="1:22" x14ac:dyDescent="0.35">
      <c r="A80">
        <v>78</v>
      </c>
      <c r="B80" s="14">
        <f t="shared" ca="1" si="19"/>
        <v>48443</v>
      </c>
      <c r="C80" s="15">
        <f ca="1">(1+'Dane do harmonogramu'!$E$13*('Roboczy harmonogram_2'!B80-'Roboczy harmonogram_2'!B79)/365)</f>
        <v>1.0070493150684932</v>
      </c>
      <c r="D80" s="15">
        <f ca="1">(1+'Dane do harmonogramu'!$E$13*('Roboczy harmonogram_2'!B80-'Roboczy harmonogram_2'!B79)/366)</f>
        <v>1.0070300546448088</v>
      </c>
      <c r="E80" s="15">
        <f t="shared" ca="1" si="10"/>
        <v>0</v>
      </c>
      <c r="F80" s="15">
        <f t="shared" ca="1" si="11"/>
        <v>0</v>
      </c>
      <c r="G80">
        <f ca="1">IF(E80=1,(1+'Dane do harmonogramu'!$E$13*((('Roboczy harmonogram_2'!B80-DATE(YEAR(B80),1,1)+1)/365)+((DATE(YEAR(B79),12,31)-'Roboczy harmonogram_2'!B79)/366))),IF(F80=1,(1+'Dane do harmonogramu'!$E$13*((('Roboczy harmonogram_2'!B80-DATE(YEAR(B80),1,1)+1)/366)+((DATE(YEAR(B79),12,31)-'Roboczy harmonogram_2'!B79)/365))),0))</f>
        <v>0</v>
      </c>
      <c r="H80">
        <f t="shared" ca="1" si="12"/>
        <v>1</v>
      </c>
      <c r="I80">
        <f t="shared" ca="1" si="13"/>
        <v>1.0070300546448088</v>
      </c>
      <c r="J80">
        <f t="shared" ca="1" si="14"/>
        <v>1.0070300546448088</v>
      </c>
      <c r="K80">
        <f ca="1">PRODUCT($J$3:J80)</f>
        <v>1.7065005627123202</v>
      </c>
      <c r="L80">
        <f t="shared" ca="1" si="15"/>
        <v>0.58599453281784752</v>
      </c>
      <c r="M80">
        <f ca="1">SUM($L$3:L80)</f>
        <v>60.322111224281066</v>
      </c>
      <c r="O80">
        <f t="shared" ca="1" si="16"/>
        <v>1277.5938194840564</v>
      </c>
      <c r="P80" s="16">
        <f t="shared" ca="1" si="17"/>
        <v>3623.2389409185862</v>
      </c>
      <c r="Q80" s="17">
        <f t="shared" ca="1" si="18"/>
        <v>178109.88889863007</v>
      </c>
      <c r="S80">
        <f ca="1">IF(A80&lt;='Dane do harmonogramu'!$E$7,'Roboczy harmonogram_2'!P80,0)</f>
        <v>3623.2389409185862</v>
      </c>
      <c r="T80">
        <f ca="1">IF(A80&lt;='Dane do harmonogramu'!$E$7,'Roboczy harmonogram_2'!O80,0)</f>
        <v>1277.5938194840564</v>
      </c>
      <c r="U80">
        <f ca="1">IF(A80&lt;='Dane do harmonogramu'!$E$7,$N$2,0)</f>
        <v>4900.8327604026426</v>
      </c>
      <c r="V80" s="16">
        <f ca="1">IF(A79&lt;='Dane do harmonogramu'!$E$7,Q79*0.15%,"")</f>
        <v>272.59969175932298</v>
      </c>
    </row>
    <row r="81" spans="1:22" x14ac:dyDescent="0.35">
      <c r="A81">
        <v>79</v>
      </c>
      <c r="B81" s="14">
        <f t="shared" ca="1" si="19"/>
        <v>48474</v>
      </c>
      <c r="C81" s="15">
        <f ca="1">(1+'Dane do harmonogramu'!$E$13*('Roboczy harmonogram_2'!B81-'Roboczy harmonogram_2'!B80)/365)</f>
        <v>1.0070493150684932</v>
      </c>
      <c r="D81" s="15">
        <f ca="1">(1+'Dane do harmonogramu'!$E$13*('Roboczy harmonogram_2'!B81-'Roboczy harmonogram_2'!B80)/366)</f>
        <v>1.0070300546448088</v>
      </c>
      <c r="E81" s="15">
        <f t="shared" ca="1" si="10"/>
        <v>0</v>
      </c>
      <c r="F81" s="15">
        <f t="shared" ca="1" si="11"/>
        <v>0</v>
      </c>
      <c r="G81">
        <f ca="1">IF(E81=1,(1+'Dane do harmonogramu'!$E$13*((('Roboczy harmonogram_2'!B81-DATE(YEAR(B81),1,1)+1)/365)+((DATE(YEAR(B80),12,31)-'Roboczy harmonogram_2'!B80)/366))),IF(F81=1,(1+'Dane do harmonogramu'!$E$13*((('Roboczy harmonogram_2'!B81-DATE(YEAR(B81),1,1)+1)/366)+((DATE(YEAR(B80),12,31)-'Roboczy harmonogram_2'!B80)/365))),0))</f>
        <v>0</v>
      </c>
      <c r="H81">
        <f t="shared" ca="1" si="12"/>
        <v>1</v>
      </c>
      <c r="I81">
        <f t="shared" ca="1" si="13"/>
        <v>1.0070300546448088</v>
      </c>
      <c r="J81">
        <f t="shared" ca="1" si="14"/>
        <v>1.0070300546448088</v>
      </c>
      <c r="K81">
        <f ca="1">PRODUCT($J$3:J81)</f>
        <v>1.7184973549195848</v>
      </c>
      <c r="L81">
        <f t="shared" ca="1" si="15"/>
        <v>0.5819037178831119</v>
      </c>
      <c r="M81">
        <f ca="1">SUM($L$3:L81)</f>
        <v>60.904014942164181</v>
      </c>
      <c r="O81">
        <f t="shared" ca="1" si="16"/>
        <v>1252.122251738183</v>
      </c>
      <c r="P81" s="16">
        <f t="shared" ca="1" si="17"/>
        <v>3648.7105086644597</v>
      </c>
      <c r="Q81" s="17">
        <f t="shared" ca="1" si="18"/>
        <v>174461.17838996561</v>
      </c>
      <c r="S81">
        <f ca="1">IF(A81&lt;='Dane do harmonogramu'!$E$7,'Roboczy harmonogram_2'!P81,0)</f>
        <v>3648.7105086644597</v>
      </c>
      <c r="T81">
        <f ca="1">IF(A81&lt;='Dane do harmonogramu'!$E$7,'Roboczy harmonogram_2'!O81,0)</f>
        <v>1252.122251738183</v>
      </c>
      <c r="U81">
        <f ca="1">IF(A81&lt;='Dane do harmonogramu'!$E$7,$N$2,0)</f>
        <v>4900.8327604026426</v>
      </c>
      <c r="V81" s="16">
        <f ca="1">IF(A80&lt;='Dane do harmonogramu'!$E$7,Q80*0.15%,"")</f>
        <v>267.16483334794509</v>
      </c>
    </row>
    <row r="82" spans="1:22" x14ac:dyDescent="0.35">
      <c r="A82">
        <v>80</v>
      </c>
      <c r="B82" s="14">
        <f t="shared" ca="1" si="19"/>
        <v>48504</v>
      </c>
      <c r="C82" s="15">
        <f ca="1">(1+'Dane do harmonogramu'!$E$13*('Roboczy harmonogram_2'!B82-'Roboczy harmonogram_2'!B81)/365)</f>
        <v>1.0068219178082192</v>
      </c>
      <c r="D82" s="15">
        <f ca="1">(1+'Dane do harmonogramu'!$E$13*('Roboczy harmonogram_2'!B82-'Roboczy harmonogram_2'!B81)/366)</f>
        <v>1.0068032786885246</v>
      </c>
      <c r="E82" s="15">
        <f t="shared" ca="1" si="10"/>
        <v>0</v>
      </c>
      <c r="F82" s="15">
        <f t="shared" ca="1" si="11"/>
        <v>0</v>
      </c>
      <c r="G82">
        <f ca="1">IF(E82=1,(1+'Dane do harmonogramu'!$E$13*((('Roboczy harmonogram_2'!B82-DATE(YEAR(B82),1,1)+1)/365)+((DATE(YEAR(B81),12,31)-'Roboczy harmonogram_2'!B81)/366))),IF(F82=1,(1+'Dane do harmonogramu'!$E$13*((('Roboczy harmonogram_2'!B82-DATE(YEAR(B82),1,1)+1)/366)+((DATE(YEAR(B81),12,31)-'Roboczy harmonogram_2'!B81)/365))),0))</f>
        <v>0</v>
      </c>
      <c r="H82">
        <f t="shared" ca="1" si="12"/>
        <v>1</v>
      </c>
      <c r="I82">
        <f t="shared" ca="1" si="13"/>
        <v>1.0068032786885246</v>
      </c>
      <c r="J82">
        <f t="shared" ca="1" si="14"/>
        <v>1.0068032786885246</v>
      </c>
      <c r="K82">
        <f ca="1">PRODUCT($J$3:J82)</f>
        <v>1.730188771350595</v>
      </c>
      <c r="L82">
        <f t="shared" ca="1" si="15"/>
        <v>0.57797161590604618</v>
      </c>
      <c r="M82">
        <f ca="1">SUM($L$3:L82)</f>
        <v>61.481986558070226</v>
      </c>
      <c r="O82">
        <f t="shared" ca="1" si="16"/>
        <v>1186.9080169153458</v>
      </c>
      <c r="P82" s="16">
        <f t="shared" ca="1" si="17"/>
        <v>3713.9247434872968</v>
      </c>
      <c r="Q82" s="17">
        <f t="shared" ca="1" si="18"/>
        <v>170747.25364647832</v>
      </c>
      <c r="S82">
        <f ca="1">IF(A82&lt;='Dane do harmonogramu'!$E$7,'Roboczy harmonogram_2'!P82,0)</f>
        <v>3713.9247434872968</v>
      </c>
      <c r="T82">
        <f ca="1">IF(A82&lt;='Dane do harmonogramu'!$E$7,'Roboczy harmonogram_2'!O82,0)</f>
        <v>1186.9080169153458</v>
      </c>
      <c r="U82">
        <f ca="1">IF(A82&lt;='Dane do harmonogramu'!$E$7,$N$2,0)</f>
        <v>4900.8327604026426</v>
      </c>
      <c r="V82" s="16">
        <f ca="1">IF(A81&lt;='Dane do harmonogramu'!$E$7,Q81*0.15%,"")</f>
        <v>261.69176758494842</v>
      </c>
    </row>
    <row r="83" spans="1:22" x14ac:dyDescent="0.35">
      <c r="A83">
        <v>81</v>
      </c>
      <c r="B83" s="14">
        <f t="shared" ca="1" si="19"/>
        <v>48535</v>
      </c>
      <c r="C83" s="15">
        <f ca="1">(1+'Dane do harmonogramu'!$E$13*('Roboczy harmonogram_2'!B83-'Roboczy harmonogram_2'!B82)/365)</f>
        <v>1.0070493150684932</v>
      </c>
      <c r="D83" s="15">
        <f ca="1">(1+'Dane do harmonogramu'!$E$13*('Roboczy harmonogram_2'!B83-'Roboczy harmonogram_2'!B82)/366)</f>
        <v>1.0070300546448088</v>
      </c>
      <c r="E83" s="15">
        <f t="shared" ca="1" si="10"/>
        <v>0</v>
      </c>
      <c r="F83" s="15">
        <f t="shared" ca="1" si="11"/>
        <v>0</v>
      </c>
      <c r="G83">
        <f ca="1">IF(E83=1,(1+'Dane do harmonogramu'!$E$13*((('Roboczy harmonogram_2'!B83-DATE(YEAR(B83),1,1)+1)/365)+((DATE(YEAR(B82),12,31)-'Roboczy harmonogram_2'!B82)/366))),IF(F83=1,(1+'Dane do harmonogramu'!$E$13*((('Roboczy harmonogram_2'!B83-DATE(YEAR(B83),1,1)+1)/366)+((DATE(YEAR(B82),12,31)-'Roboczy harmonogram_2'!B82)/365))),0))</f>
        <v>0</v>
      </c>
      <c r="H83">
        <f t="shared" ca="1" si="12"/>
        <v>1</v>
      </c>
      <c r="I83">
        <f t="shared" ca="1" si="13"/>
        <v>1.0070300546448088</v>
      </c>
      <c r="J83">
        <f t="shared" ca="1" si="14"/>
        <v>1.0070300546448088</v>
      </c>
      <c r="K83">
        <f ca="1">PRODUCT($J$3:J83)</f>
        <v>1.7423520929590242</v>
      </c>
      <c r="L83">
        <f t="shared" ca="1" si="15"/>
        <v>0.57393680877767195</v>
      </c>
      <c r="M83">
        <f ca="1">SUM($L$3:L83)</f>
        <v>62.0559233668479</v>
      </c>
      <c r="O83">
        <f t="shared" ca="1" si="16"/>
        <v>1200.3625235857617</v>
      </c>
      <c r="P83" s="16">
        <f t="shared" ca="1" si="17"/>
        <v>3700.470236816881</v>
      </c>
      <c r="Q83" s="17">
        <f t="shared" ca="1" si="18"/>
        <v>167046.78340966144</v>
      </c>
      <c r="S83">
        <f ca="1">IF(A83&lt;='Dane do harmonogramu'!$E$7,'Roboczy harmonogram_2'!P83,0)</f>
        <v>3700.470236816881</v>
      </c>
      <c r="T83">
        <f ca="1">IF(A83&lt;='Dane do harmonogramu'!$E$7,'Roboczy harmonogram_2'!O83,0)</f>
        <v>1200.3625235857617</v>
      </c>
      <c r="U83">
        <f ca="1">IF(A83&lt;='Dane do harmonogramu'!$E$7,$N$2,0)</f>
        <v>4900.8327604026426</v>
      </c>
      <c r="V83" s="16">
        <f ca="1">IF(A82&lt;='Dane do harmonogramu'!$E$7,Q82*0.15%,"")</f>
        <v>256.12088046971746</v>
      </c>
    </row>
    <row r="84" spans="1:22" x14ac:dyDescent="0.35">
      <c r="A84">
        <v>82</v>
      </c>
      <c r="B84" s="14">
        <f t="shared" ca="1" si="19"/>
        <v>48565</v>
      </c>
      <c r="C84" s="15">
        <f ca="1">(1+'Dane do harmonogramu'!$E$13*('Roboczy harmonogram_2'!B84-'Roboczy harmonogram_2'!B83)/365)</f>
        <v>1.0068219178082192</v>
      </c>
      <c r="D84" s="15">
        <f ca="1">(1+'Dane do harmonogramu'!$E$13*('Roboczy harmonogram_2'!B84-'Roboczy harmonogram_2'!B83)/366)</f>
        <v>1.0068032786885246</v>
      </c>
      <c r="E84" s="15">
        <f t="shared" ca="1" si="10"/>
        <v>0</v>
      </c>
      <c r="F84" s="15">
        <f t="shared" ca="1" si="11"/>
        <v>0</v>
      </c>
      <c r="G84">
        <f ca="1">IF(E84=1,(1+'Dane do harmonogramu'!$E$13*((('Roboczy harmonogram_2'!B84-DATE(YEAR(B84),1,1)+1)/365)+((DATE(YEAR(B83),12,31)-'Roboczy harmonogram_2'!B83)/366))),IF(F84=1,(1+'Dane do harmonogramu'!$E$13*((('Roboczy harmonogram_2'!B84-DATE(YEAR(B84),1,1)+1)/366)+((DATE(YEAR(B83),12,31)-'Roboczy harmonogram_2'!B83)/365))),0))</f>
        <v>0</v>
      </c>
      <c r="H84">
        <f t="shared" ca="1" si="12"/>
        <v>1</v>
      </c>
      <c r="I84">
        <f t="shared" ca="1" si="13"/>
        <v>1.0068032786885246</v>
      </c>
      <c r="J84">
        <f t="shared" ca="1" si="14"/>
        <v>1.0068032786885246</v>
      </c>
      <c r="K84">
        <f ca="1">PRODUCT($J$3:J84)</f>
        <v>1.7542057998209586</v>
      </c>
      <c r="L84">
        <f t="shared" ca="1" si="15"/>
        <v>0.57005854165005276</v>
      </c>
      <c r="M84">
        <f ca="1">SUM($L$3:L84)</f>
        <v>62.625981908497955</v>
      </c>
      <c r="O84">
        <f t="shared" ca="1" si="16"/>
        <v>1136.4658215575328</v>
      </c>
      <c r="P84" s="16">
        <f t="shared" ca="1" si="17"/>
        <v>3764.3669388451099</v>
      </c>
      <c r="Q84" s="17">
        <f t="shared" ca="1" si="18"/>
        <v>163282.41647081633</v>
      </c>
      <c r="S84">
        <f ca="1">IF(A84&lt;='Dane do harmonogramu'!$E$7,'Roboczy harmonogram_2'!P84,0)</f>
        <v>3764.3669388451099</v>
      </c>
      <c r="T84">
        <f ca="1">IF(A84&lt;='Dane do harmonogramu'!$E$7,'Roboczy harmonogram_2'!O84,0)</f>
        <v>1136.4658215575328</v>
      </c>
      <c r="U84">
        <f ca="1">IF(A84&lt;='Dane do harmonogramu'!$E$7,$N$2,0)</f>
        <v>4900.8327604026426</v>
      </c>
      <c r="V84" s="16">
        <f ca="1">IF(A83&lt;='Dane do harmonogramu'!$E$7,Q83*0.15%,"")</f>
        <v>250.57017511449217</v>
      </c>
    </row>
    <row r="85" spans="1:22" x14ac:dyDescent="0.35">
      <c r="A85">
        <v>83</v>
      </c>
      <c r="B85" s="14">
        <f t="shared" ca="1" si="19"/>
        <v>48596</v>
      </c>
      <c r="C85" s="15">
        <f ca="1">(1+'Dane do harmonogramu'!$E$13*('Roboczy harmonogram_2'!B85-'Roboczy harmonogram_2'!B84)/365)</f>
        <v>1.0070493150684932</v>
      </c>
      <c r="D85" s="15">
        <f ca="1">(1+'Dane do harmonogramu'!$E$13*('Roboczy harmonogram_2'!B85-'Roboczy harmonogram_2'!B84)/366)</f>
        <v>1.0070300546448088</v>
      </c>
      <c r="E85" s="15">
        <f t="shared" ca="1" si="10"/>
        <v>1</v>
      </c>
      <c r="F85" s="15">
        <f t="shared" ca="1" si="11"/>
        <v>0</v>
      </c>
      <c r="G85">
        <f ca="1">IF(E85=1,(1+'Dane do harmonogramu'!$E$13*((('Roboczy harmonogram_2'!B85-DATE(YEAR(B85),1,1)+1)/365)+((DATE(YEAR(B84),12,31)-'Roboczy harmonogram_2'!B84)/366))),IF(F85=1,(1+'Dane do harmonogramu'!$E$13*((('Roboczy harmonogram_2'!B85-DATE(YEAR(B85),1,1)+1)/366)+((DATE(YEAR(B84),12,31)-'Roboczy harmonogram_2'!B84)/365))),0))</f>
        <v>1.0070406168126356</v>
      </c>
      <c r="H85">
        <f t="shared" ca="1" si="12"/>
        <v>0</v>
      </c>
      <c r="I85">
        <f t="shared" ca="1" si="13"/>
        <v>1.0070493150684932</v>
      </c>
      <c r="J85">
        <f t="shared" ca="1" si="14"/>
        <v>1.0070406168126356</v>
      </c>
      <c r="K85">
        <f ca="1">PRODUCT($J$3:J85)</f>
        <v>1.7665564906680009</v>
      </c>
      <c r="L85">
        <f t="shared" ca="1" si="15"/>
        <v>0.56607303829942213</v>
      </c>
      <c r="M85">
        <f ca="1">SUM($L$3:L85)</f>
        <v>63.192054946797377</v>
      </c>
      <c r="O85">
        <f t="shared" ca="1" si="16"/>
        <v>1149.6089266121853</v>
      </c>
      <c r="P85" s="16">
        <f t="shared" ca="1" si="17"/>
        <v>3751.2238337904573</v>
      </c>
      <c r="Q85" s="17">
        <f t="shared" ca="1" si="18"/>
        <v>159531.19263702587</v>
      </c>
      <c r="S85">
        <f ca="1">IF(A85&lt;='Dane do harmonogramu'!$E$7,'Roboczy harmonogram_2'!P85,0)</f>
        <v>3751.2238337904573</v>
      </c>
      <c r="T85">
        <f ca="1">IF(A85&lt;='Dane do harmonogramu'!$E$7,'Roboczy harmonogram_2'!O85,0)</f>
        <v>1149.6089266121853</v>
      </c>
      <c r="U85">
        <f ca="1">IF(A85&lt;='Dane do harmonogramu'!$E$7,$N$2,0)</f>
        <v>4900.8327604026426</v>
      </c>
      <c r="V85" s="16">
        <f ca="1">IF(A84&lt;='Dane do harmonogramu'!$E$7,Q84*0.15%,"")</f>
        <v>244.9236247062245</v>
      </c>
    </row>
    <row r="86" spans="1:22" x14ac:dyDescent="0.35">
      <c r="A86">
        <v>84</v>
      </c>
      <c r="B86" s="14">
        <f t="shared" ca="1" si="19"/>
        <v>48627</v>
      </c>
      <c r="C86" s="15">
        <f ca="1">(1+'Dane do harmonogramu'!$E$13*('Roboczy harmonogram_2'!B86-'Roboczy harmonogram_2'!B85)/365)</f>
        <v>1.0070493150684932</v>
      </c>
      <c r="D86" s="15">
        <f ca="1">(1+'Dane do harmonogramu'!$E$13*('Roboczy harmonogram_2'!B86-'Roboczy harmonogram_2'!B85)/366)</f>
        <v>1.0070300546448088</v>
      </c>
      <c r="E86" s="15">
        <f t="shared" ca="1" si="10"/>
        <v>0</v>
      </c>
      <c r="F86" s="15">
        <f t="shared" ca="1" si="11"/>
        <v>0</v>
      </c>
      <c r="G86">
        <f ca="1">IF(E86=1,(1+'Dane do harmonogramu'!$E$13*((('Roboczy harmonogram_2'!B86-DATE(YEAR(B86),1,1)+1)/365)+((DATE(YEAR(B85),12,31)-'Roboczy harmonogram_2'!B85)/366))),IF(F86=1,(1+'Dane do harmonogramu'!$E$13*((('Roboczy harmonogram_2'!B86-DATE(YEAR(B86),1,1)+1)/366)+((DATE(YEAR(B85),12,31)-'Roboczy harmonogram_2'!B85)/365))),0))</f>
        <v>0</v>
      </c>
      <c r="H86">
        <f t="shared" ca="1" si="12"/>
        <v>0</v>
      </c>
      <c r="I86">
        <f t="shared" ca="1" si="13"/>
        <v>1.0070493150684932</v>
      </c>
      <c r="J86">
        <f t="shared" ca="1" si="14"/>
        <v>1.0070493150684932</v>
      </c>
      <c r="K86">
        <f ca="1">PRODUCT($J$3:J86)</f>
        <v>1.7790095039570113</v>
      </c>
      <c r="L86">
        <f t="shared" ca="1" si="15"/>
        <v>0.56211054397164395</v>
      </c>
      <c r="M86">
        <f ca="1">SUM($L$3:L86)</f>
        <v>63.754165490769019</v>
      </c>
      <c r="O86">
        <f t="shared" ca="1" si="16"/>
        <v>1124.585640150879</v>
      </c>
      <c r="P86" s="16">
        <f t="shared" ca="1" si="17"/>
        <v>3776.2471202517636</v>
      </c>
      <c r="Q86" s="17">
        <f t="shared" ca="1" si="18"/>
        <v>155754.94551677411</v>
      </c>
      <c r="S86">
        <f ca="1">IF(A86&lt;='Dane do harmonogramu'!$E$7,'Roboczy harmonogram_2'!P86,0)</f>
        <v>3776.2471202517636</v>
      </c>
      <c r="T86">
        <f ca="1">IF(A86&lt;='Dane do harmonogramu'!$E$7,'Roboczy harmonogram_2'!O86,0)</f>
        <v>1124.585640150879</v>
      </c>
      <c r="U86">
        <f ca="1">IF(A86&lt;='Dane do harmonogramu'!$E$7,$N$2,0)</f>
        <v>4900.8327604026426</v>
      </c>
      <c r="V86" s="16">
        <f ca="1">IF(A85&lt;='Dane do harmonogramu'!$E$7,Q85*0.15%,"")</f>
        <v>239.2967889555388</v>
      </c>
    </row>
    <row r="87" spans="1:22" x14ac:dyDescent="0.35">
      <c r="A87">
        <v>85</v>
      </c>
      <c r="B87" s="14">
        <f t="shared" ca="1" si="19"/>
        <v>48655</v>
      </c>
      <c r="C87" s="15">
        <f ca="1">(1+'Dane do harmonogramu'!$E$13*('Roboczy harmonogram_2'!B87-'Roboczy harmonogram_2'!B86)/365)</f>
        <v>1.0063671232876712</v>
      </c>
      <c r="D87" s="15">
        <f ca="1">(1+'Dane do harmonogramu'!$E$13*('Roboczy harmonogram_2'!B87-'Roboczy harmonogram_2'!B86)/366)</f>
        <v>1.0063497267759562</v>
      </c>
      <c r="E87" s="15">
        <f t="shared" ca="1" si="10"/>
        <v>0</v>
      </c>
      <c r="F87" s="15">
        <f t="shared" ca="1" si="11"/>
        <v>0</v>
      </c>
      <c r="G87">
        <f ca="1">IF(E87=1,(1+'Dane do harmonogramu'!$E$13*((('Roboczy harmonogram_2'!B87-DATE(YEAR(B87),1,1)+1)/365)+((DATE(YEAR(B86),12,31)-'Roboczy harmonogram_2'!B86)/366))),IF(F87=1,(1+'Dane do harmonogramu'!$E$13*((('Roboczy harmonogram_2'!B87-DATE(YEAR(B87),1,1)+1)/366)+((DATE(YEAR(B86),12,31)-'Roboczy harmonogram_2'!B86)/365))),0))</f>
        <v>0</v>
      </c>
      <c r="H87">
        <f t="shared" ca="1" si="12"/>
        <v>0</v>
      </c>
      <c r="I87">
        <f t="shared" ca="1" si="13"/>
        <v>1.0063671232876712</v>
      </c>
      <c r="J87">
        <f t="shared" ca="1" si="14"/>
        <v>1.0063671232876712</v>
      </c>
      <c r="K87">
        <f ca="1">PRODUCT($J$3:J87)</f>
        <v>1.7903366767986444</v>
      </c>
      <c r="L87">
        <f t="shared" ca="1" si="15"/>
        <v>0.55855416076719744</v>
      </c>
      <c r="M87">
        <f ca="1">SUM($L$3:L87)</f>
        <v>64.312719651536213</v>
      </c>
      <c r="O87">
        <f t="shared" ca="1" si="16"/>
        <v>991.71094076981535</v>
      </c>
      <c r="P87" s="16">
        <f t="shared" ca="1" si="17"/>
        <v>3909.1218196328273</v>
      </c>
      <c r="Q87" s="17">
        <f t="shared" ca="1" si="18"/>
        <v>151845.82369714128</v>
      </c>
      <c r="S87">
        <f ca="1">IF(A87&lt;='Dane do harmonogramu'!$E$7,'Roboczy harmonogram_2'!P87,0)</f>
        <v>3909.1218196328273</v>
      </c>
      <c r="T87">
        <f ca="1">IF(A87&lt;='Dane do harmonogramu'!$E$7,'Roboczy harmonogram_2'!O87,0)</f>
        <v>991.71094076981535</v>
      </c>
      <c r="U87">
        <f ca="1">IF(A87&lt;='Dane do harmonogramu'!$E$7,$N$2,0)</f>
        <v>4900.8327604026426</v>
      </c>
      <c r="V87" s="16">
        <f ca="1">IF(A86&lt;='Dane do harmonogramu'!$E$7,Q86*0.15%,"")</f>
        <v>233.63241827516117</v>
      </c>
    </row>
    <row r="88" spans="1:22" x14ac:dyDescent="0.35">
      <c r="A88">
        <v>86</v>
      </c>
      <c r="B88" s="14">
        <f t="shared" ca="1" si="19"/>
        <v>48686</v>
      </c>
      <c r="C88" s="15">
        <f ca="1">(1+'Dane do harmonogramu'!$E$13*('Roboczy harmonogram_2'!B88-'Roboczy harmonogram_2'!B87)/365)</f>
        <v>1.0070493150684932</v>
      </c>
      <c r="D88" s="15">
        <f ca="1">(1+'Dane do harmonogramu'!$E$13*('Roboczy harmonogram_2'!B88-'Roboczy harmonogram_2'!B87)/366)</f>
        <v>1.0070300546448088</v>
      </c>
      <c r="E88" s="15">
        <f t="shared" ca="1" si="10"/>
        <v>0</v>
      </c>
      <c r="F88" s="15">
        <f t="shared" ca="1" si="11"/>
        <v>0</v>
      </c>
      <c r="G88">
        <f ca="1">IF(E88=1,(1+'Dane do harmonogramu'!$E$13*((('Roboczy harmonogram_2'!B88-DATE(YEAR(B88),1,1)+1)/365)+((DATE(YEAR(B87),12,31)-'Roboczy harmonogram_2'!B87)/366))),IF(F88=1,(1+'Dane do harmonogramu'!$E$13*((('Roboczy harmonogram_2'!B88-DATE(YEAR(B88),1,1)+1)/366)+((DATE(YEAR(B87),12,31)-'Roboczy harmonogram_2'!B87)/365))),0))</f>
        <v>0</v>
      </c>
      <c r="H88">
        <f t="shared" ca="1" si="12"/>
        <v>0</v>
      </c>
      <c r="I88">
        <f t="shared" ca="1" si="13"/>
        <v>1.0070493150684932</v>
      </c>
      <c r="J88">
        <f t="shared" ca="1" si="14"/>
        <v>1.0070493150684932</v>
      </c>
      <c r="K88">
        <f ca="1">PRODUCT($J$3:J88)</f>
        <v>1.8029573241120771</v>
      </c>
      <c r="L88">
        <f t="shared" ca="1" si="15"/>
        <v>0.55464429835713469</v>
      </c>
      <c r="M88">
        <f ca="1">SUM($L$3:L88)</f>
        <v>64.867363949893345</v>
      </c>
      <c r="O88">
        <f t="shared" ca="1" si="16"/>
        <v>1070.4090530760004</v>
      </c>
      <c r="P88" s="16">
        <f t="shared" ca="1" si="17"/>
        <v>3830.4237073266422</v>
      </c>
      <c r="Q88" s="17">
        <f t="shared" ca="1" si="18"/>
        <v>148015.39998981464</v>
      </c>
      <c r="S88">
        <f ca="1">IF(A88&lt;='Dane do harmonogramu'!$E$7,'Roboczy harmonogram_2'!P88,0)</f>
        <v>3830.4237073266422</v>
      </c>
      <c r="T88">
        <f ca="1">IF(A88&lt;='Dane do harmonogramu'!$E$7,'Roboczy harmonogram_2'!O88,0)</f>
        <v>1070.4090530760004</v>
      </c>
      <c r="U88">
        <f ca="1">IF(A88&lt;='Dane do harmonogramu'!$E$7,$N$2,0)</f>
        <v>4900.8327604026426</v>
      </c>
      <c r="V88" s="16">
        <f ca="1">IF(A87&lt;='Dane do harmonogramu'!$E$7,Q87*0.15%,"")</f>
        <v>227.76873554571193</v>
      </c>
    </row>
    <row r="89" spans="1:22" x14ac:dyDescent="0.35">
      <c r="A89">
        <v>87</v>
      </c>
      <c r="B89" s="14">
        <f t="shared" ca="1" si="19"/>
        <v>48716</v>
      </c>
      <c r="C89" s="15">
        <f ca="1">(1+'Dane do harmonogramu'!$E$13*('Roboczy harmonogram_2'!B89-'Roboczy harmonogram_2'!B88)/365)</f>
        <v>1.0068219178082192</v>
      </c>
      <c r="D89" s="15">
        <f ca="1">(1+'Dane do harmonogramu'!$E$13*('Roboczy harmonogram_2'!B89-'Roboczy harmonogram_2'!B88)/366)</f>
        <v>1.0068032786885246</v>
      </c>
      <c r="E89" s="15">
        <f t="shared" ca="1" si="10"/>
        <v>0</v>
      </c>
      <c r="F89" s="15">
        <f t="shared" ca="1" si="11"/>
        <v>0</v>
      </c>
      <c r="G89">
        <f ca="1">IF(E89=1,(1+'Dane do harmonogramu'!$E$13*((('Roboczy harmonogram_2'!B89-DATE(YEAR(B89),1,1)+1)/365)+((DATE(YEAR(B88),12,31)-'Roboczy harmonogram_2'!B88)/366))),IF(F89=1,(1+'Dane do harmonogramu'!$E$13*((('Roboczy harmonogram_2'!B89-DATE(YEAR(B89),1,1)+1)/366)+((DATE(YEAR(B88),12,31)-'Roboczy harmonogram_2'!B88)/365))),0))</f>
        <v>0</v>
      </c>
      <c r="H89">
        <f t="shared" ca="1" si="12"/>
        <v>0</v>
      </c>
      <c r="I89">
        <f t="shared" ca="1" si="13"/>
        <v>1.0068219178082192</v>
      </c>
      <c r="J89">
        <f t="shared" ca="1" si="14"/>
        <v>1.0068219178082192</v>
      </c>
      <c r="K89">
        <f ca="1">PRODUCT($J$3:J89)</f>
        <v>1.8152569507888965</v>
      </c>
      <c r="L89">
        <f t="shared" ca="1" si="15"/>
        <v>0.55088619799274574</v>
      </c>
      <c r="M89">
        <f ca="1">SUM($L$3:L89)</f>
        <v>65.418250147886084</v>
      </c>
      <c r="O89">
        <f t="shared" ca="1" si="16"/>
        <v>1009.7488930812106</v>
      </c>
      <c r="P89" s="16">
        <f t="shared" ca="1" si="17"/>
        <v>3891.0838673214321</v>
      </c>
      <c r="Q89" s="17">
        <f t="shared" ca="1" si="18"/>
        <v>144124.31612249321</v>
      </c>
      <c r="S89">
        <f ca="1">IF(A89&lt;='Dane do harmonogramu'!$E$7,'Roboczy harmonogram_2'!P89,0)</f>
        <v>3891.0838673214321</v>
      </c>
      <c r="T89">
        <f ca="1">IF(A89&lt;='Dane do harmonogramu'!$E$7,'Roboczy harmonogram_2'!O89,0)</f>
        <v>1009.7488930812106</v>
      </c>
      <c r="U89">
        <f ca="1">IF(A89&lt;='Dane do harmonogramu'!$E$7,$N$2,0)</f>
        <v>4900.8327604026426</v>
      </c>
      <c r="V89" s="16">
        <f ca="1">IF(A88&lt;='Dane do harmonogramu'!$E$7,Q88*0.15%,"")</f>
        <v>222.02309998472197</v>
      </c>
    </row>
    <row r="90" spans="1:22" x14ac:dyDescent="0.35">
      <c r="A90">
        <v>88</v>
      </c>
      <c r="B90" s="14">
        <f t="shared" ca="1" si="19"/>
        <v>48747</v>
      </c>
      <c r="C90" s="15">
        <f ca="1">(1+'Dane do harmonogramu'!$E$13*('Roboczy harmonogram_2'!B90-'Roboczy harmonogram_2'!B89)/365)</f>
        <v>1.0070493150684932</v>
      </c>
      <c r="D90" s="15">
        <f ca="1">(1+'Dane do harmonogramu'!$E$13*('Roboczy harmonogram_2'!B90-'Roboczy harmonogram_2'!B89)/366)</f>
        <v>1.0070300546448088</v>
      </c>
      <c r="E90" s="15">
        <f t="shared" ca="1" si="10"/>
        <v>0</v>
      </c>
      <c r="F90" s="15">
        <f t="shared" ca="1" si="11"/>
        <v>0</v>
      </c>
      <c r="G90">
        <f ca="1">IF(E90=1,(1+'Dane do harmonogramu'!$E$13*((('Roboczy harmonogram_2'!B90-DATE(YEAR(B90),1,1)+1)/365)+((DATE(YEAR(B89),12,31)-'Roboczy harmonogram_2'!B89)/366))),IF(F90=1,(1+'Dane do harmonogramu'!$E$13*((('Roboczy harmonogram_2'!B90-DATE(YEAR(B90),1,1)+1)/366)+((DATE(YEAR(B89),12,31)-'Roboczy harmonogram_2'!B89)/365))),0))</f>
        <v>0</v>
      </c>
      <c r="H90">
        <f t="shared" ca="1" si="12"/>
        <v>0</v>
      </c>
      <c r="I90">
        <f t="shared" ca="1" si="13"/>
        <v>1.0070493150684932</v>
      </c>
      <c r="J90">
        <f t="shared" ca="1" si="14"/>
        <v>1.0070493150684932</v>
      </c>
      <c r="K90">
        <f ca="1">PRODUCT($J$3:J90)</f>
        <v>1.8280532689652795</v>
      </c>
      <c r="L90">
        <f t="shared" ca="1" si="15"/>
        <v>0.5470300110926325</v>
      </c>
      <c r="M90">
        <f ca="1">SUM($L$3:L90)</f>
        <v>65.965280158978715</v>
      </c>
      <c r="O90">
        <f t="shared" ca="1" si="16"/>
        <v>1015.9777133785537</v>
      </c>
      <c r="P90" s="16">
        <f t="shared" ca="1" si="17"/>
        <v>3884.8550470240889</v>
      </c>
      <c r="Q90" s="17">
        <f t="shared" ca="1" si="18"/>
        <v>140239.46107546912</v>
      </c>
      <c r="S90">
        <f ca="1">IF(A90&lt;='Dane do harmonogramu'!$E$7,'Roboczy harmonogram_2'!P90,0)</f>
        <v>3884.8550470240889</v>
      </c>
      <c r="T90">
        <f ca="1">IF(A90&lt;='Dane do harmonogramu'!$E$7,'Roboczy harmonogram_2'!O90,0)</f>
        <v>1015.9777133785537</v>
      </c>
      <c r="U90">
        <f ca="1">IF(A90&lt;='Dane do harmonogramu'!$E$7,$N$2,0)</f>
        <v>4900.8327604026426</v>
      </c>
      <c r="V90" s="16">
        <f ca="1">IF(A89&lt;='Dane do harmonogramu'!$E$7,Q89*0.15%,"")</f>
        <v>216.18647418373982</v>
      </c>
    </row>
    <row r="91" spans="1:22" x14ac:dyDescent="0.35">
      <c r="A91">
        <v>89</v>
      </c>
      <c r="B91" s="14">
        <f t="shared" ca="1" si="19"/>
        <v>48777</v>
      </c>
      <c r="C91" s="15">
        <f ca="1">(1+'Dane do harmonogramu'!$E$13*('Roboczy harmonogram_2'!B91-'Roboczy harmonogram_2'!B90)/365)</f>
        <v>1.0068219178082192</v>
      </c>
      <c r="D91" s="15">
        <f ca="1">(1+'Dane do harmonogramu'!$E$13*('Roboczy harmonogram_2'!B91-'Roboczy harmonogram_2'!B90)/366)</f>
        <v>1.0068032786885246</v>
      </c>
      <c r="E91" s="15">
        <f t="shared" ca="1" si="10"/>
        <v>0</v>
      </c>
      <c r="F91" s="15">
        <f t="shared" ca="1" si="11"/>
        <v>0</v>
      </c>
      <c r="G91">
        <f ca="1">IF(E91=1,(1+'Dane do harmonogramu'!$E$13*((('Roboczy harmonogram_2'!B91-DATE(YEAR(B91),1,1)+1)/365)+((DATE(YEAR(B90),12,31)-'Roboczy harmonogram_2'!B90)/366))),IF(F91=1,(1+'Dane do harmonogramu'!$E$13*((('Roboczy harmonogram_2'!B91-DATE(YEAR(B91),1,1)+1)/366)+((DATE(YEAR(B90),12,31)-'Roboczy harmonogram_2'!B90)/365))),0))</f>
        <v>0</v>
      </c>
      <c r="H91">
        <f t="shared" ca="1" si="12"/>
        <v>0</v>
      </c>
      <c r="I91">
        <f t="shared" ca="1" si="13"/>
        <v>1.0068219178082192</v>
      </c>
      <c r="J91">
        <f t="shared" ca="1" si="14"/>
        <v>1.0068219178082192</v>
      </c>
      <c r="K91">
        <f ca="1">PRODUCT($J$3:J91)</f>
        <v>1.8405240981152071</v>
      </c>
      <c r="L91">
        <f t="shared" ca="1" si="15"/>
        <v>0.54332350281316732</v>
      </c>
      <c r="M91">
        <f ca="1">SUM($L$3:L91)</f>
        <v>66.508603661791881</v>
      </c>
      <c r="O91">
        <f t="shared" ca="1" si="16"/>
        <v>956.7020769258088</v>
      </c>
      <c r="P91" s="16">
        <f t="shared" ca="1" si="17"/>
        <v>3944.1306834768338</v>
      </c>
      <c r="Q91" s="17">
        <f t="shared" ca="1" si="18"/>
        <v>136295.33039199229</v>
      </c>
      <c r="S91">
        <f ca="1">IF(A91&lt;='Dane do harmonogramu'!$E$7,'Roboczy harmonogram_2'!P91,0)</f>
        <v>3944.1306834768338</v>
      </c>
      <c r="T91">
        <f ca="1">IF(A91&lt;='Dane do harmonogramu'!$E$7,'Roboczy harmonogram_2'!O91,0)</f>
        <v>956.7020769258088</v>
      </c>
      <c r="U91">
        <f ca="1">IF(A91&lt;='Dane do harmonogramu'!$E$7,$N$2,0)</f>
        <v>4900.8327604026426</v>
      </c>
      <c r="V91" s="16">
        <f ca="1">IF(A90&lt;='Dane do harmonogramu'!$E$7,Q90*0.15%,"")</f>
        <v>210.35919161320368</v>
      </c>
    </row>
    <row r="92" spans="1:22" x14ac:dyDescent="0.35">
      <c r="A92">
        <v>90</v>
      </c>
      <c r="B92" s="14">
        <f t="shared" ca="1" si="19"/>
        <v>48808</v>
      </c>
      <c r="C92" s="15">
        <f ca="1">(1+'Dane do harmonogramu'!$E$13*('Roboczy harmonogram_2'!B92-'Roboczy harmonogram_2'!B91)/365)</f>
        <v>1.0070493150684932</v>
      </c>
      <c r="D92" s="15">
        <f ca="1">(1+'Dane do harmonogramu'!$E$13*('Roboczy harmonogram_2'!B92-'Roboczy harmonogram_2'!B91)/366)</f>
        <v>1.0070300546448088</v>
      </c>
      <c r="E92" s="15">
        <f t="shared" ca="1" si="10"/>
        <v>0</v>
      </c>
      <c r="F92" s="15">
        <f t="shared" ca="1" si="11"/>
        <v>0</v>
      </c>
      <c r="G92">
        <f ca="1">IF(E92=1,(1+'Dane do harmonogramu'!$E$13*((('Roboczy harmonogram_2'!B92-DATE(YEAR(B92),1,1)+1)/365)+((DATE(YEAR(B91),12,31)-'Roboczy harmonogram_2'!B91)/366))),IF(F92=1,(1+'Dane do harmonogramu'!$E$13*((('Roboczy harmonogram_2'!B92-DATE(YEAR(B92),1,1)+1)/366)+((DATE(YEAR(B91),12,31)-'Roboczy harmonogram_2'!B91)/365))),0))</f>
        <v>0</v>
      </c>
      <c r="H92">
        <f t="shared" ca="1" si="12"/>
        <v>0</v>
      </c>
      <c r="I92">
        <f t="shared" ca="1" si="13"/>
        <v>1.0070493150684932</v>
      </c>
      <c r="J92">
        <f t="shared" ca="1" si="14"/>
        <v>1.0070493150684932</v>
      </c>
      <c r="K92">
        <f ca="1">PRODUCT($J$3:J92)</f>
        <v>1.8534985323739754</v>
      </c>
      <c r="L92">
        <f t="shared" ca="1" si="15"/>
        <v>0.53952025455298969</v>
      </c>
      <c r="M92">
        <f ca="1">SUM($L$3:L92)</f>
        <v>67.048123916344863</v>
      </c>
      <c r="O92">
        <f t="shared" ca="1" si="16"/>
        <v>960.78872629752732</v>
      </c>
      <c r="P92" s="16">
        <f t="shared" ca="1" si="17"/>
        <v>3940.0440341051153</v>
      </c>
      <c r="Q92" s="17">
        <f t="shared" ca="1" si="18"/>
        <v>132355.28635788718</v>
      </c>
      <c r="S92">
        <f ca="1">IF(A92&lt;='Dane do harmonogramu'!$E$7,'Roboczy harmonogram_2'!P92,0)</f>
        <v>3940.0440341051153</v>
      </c>
      <c r="T92">
        <f ca="1">IF(A92&lt;='Dane do harmonogramu'!$E$7,'Roboczy harmonogram_2'!O92,0)</f>
        <v>960.78872629752732</v>
      </c>
      <c r="U92">
        <f ca="1">IF(A92&lt;='Dane do harmonogramu'!$E$7,$N$2,0)</f>
        <v>4900.8327604026426</v>
      </c>
      <c r="V92" s="16">
        <f ca="1">IF(A91&lt;='Dane do harmonogramu'!$E$7,Q91*0.15%,"")</f>
        <v>204.44299558798843</v>
      </c>
    </row>
    <row r="93" spans="1:22" x14ac:dyDescent="0.35">
      <c r="A93">
        <v>91</v>
      </c>
      <c r="B93" s="14">
        <f t="shared" ca="1" si="19"/>
        <v>48839</v>
      </c>
      <c r="C93" s="15">
        <f ca="1">(1+'Dane do harmonogramu'!$E$13*('Roboczy harmonogram_2'!B93-'Roboczy harmonogram_2'!B92)/365)</f>
        <v>1.0070493150684932</v>
      </c>
      <c r="D93" s="15">
        <f ca="1">(1+'Dane do harmonogramu'!$E$13*('Roboczy harmonogram_2'!B93-'Roboczy harmonogram_2'!B92)/366)</f>
        <v>1.0070300546448088</v>
      </c>
      <c r="E93" s="15">
        <f t="shared" ca="1" si="10"/>
        <v>0</v>
      </c>
      <c r="F93" s="15">
        <f t="shared" ca="1" si="11"/>
        <v>0</v>
      </c>
      <c r="G93">
        <f ca="1">IF(E93=1,(1+'Dane do harmonogramu'!$E$13*((('Roboczy harmonogram_2'!B93-DATE(YEAR(B93),1,1)+1)/365)+((DATE(YEAR(B92),12,31)-'Roboczy harmonogram_2'!B92)/366))),IF(F93=1,(1+'Dane do harmonogramu'!$E$13*((('Roboczy harmonogram_2'!B93-DATE(YEAR(B93),1,1)+1)/366)+((DATE(YEAR(B92),12,31)-'Roboczy harmonogram_2'!B92)/365))),0))</f>
        <v>0</v>
      </c>
      <c r="H93">
        <f t="shared" ca="1" si="12"/>
        <v>0</v>
      </c>
      <c r="I93">
        <f t="shared" ca="1" si="13"/>
        <v>1.0070493150684932</v>
      </c>
      <c r="J93">
        <f t="shared" ca="1" si="14"/>
        <v>1.0070493150684932</v>
      </c>
      <c r="K93">
        <f ca="1">PRODUCT($J$3:J93)</f>
        <v>1.8665644275076692</v>
      </c>
      <c r="L93">
        <f t="shared" ca="1" si="15"/>
        <v>0.53574362891681715</v>
      </c>
      <c r="M93">
        <f ca="1">SUM($L$3:L93)</f>
        <v>67.583867545261683</v>
      </c>
      <c r="O93">
        <f t="shared" ca="1" si="16"/>
        <v>933.01411451736931</v>
      </c>
      <c r="P93" s="16">
        <f t="shared" ca="1" si="17"/>
        <v>3967.8186458852733</v>
      </c>
      <c r="Q93" s="17">
        <f t="shared" ca="1" si="18"/>
        <v>128387.4677120019</v>
      </c>
      <c r="S93">
        <f ca="1">IF(A93&lt;='Dane do harmonogramu'!$E$7,'Roboczy harmonogram_2'!P93,0)</f>
        <v>3967.8186458852733</v>
      </c>
      <c r="T93">
        <f ca="1">IF(A93&lt;='Dane do harmonogramu'!$E$7,'Roboczy harmonogram_2'!O93,0)</f>
        <v>933.01411451736931</v>
      </c>
      <c r="U93">
        <f ca="1">IF(A93&lt;='Dane do harmonogramu'!$E$7,$N$2,0)</f>
        <v>4900.8327604026426</v>
      </c>
      <c r="V93" s="16">
        <f ca="1">IF(A92&lt;='Dane do harmonogramu'!$E$7,Q92*0.15%,"")</f>
        <v>198.53292953683078</v>
      </c>
    </row>
    <row r="94" spans="1:22" x14ac:dyDescent="0.35">
      <c r="A94">
        <v>92</v>
      </c>
      <c r="B94" s="14">
        <f t="shared" ca="1" si="19"/>
        <v>48869</v>
      </c>
      <c r="C94" s="15">
        <f ca="1">(1+'Dane do harmonogramu'!$E$13*('Roboczy harmonogram_2'!B94-'Roboczy harmonogram_2'!B93)/365)</f>
        <v>1.0068219178082192</v>
      </c>
      <c r="D94" s="15">
        <f ca="1">(1+'Dane do harmonogramu'!$E$13*('Roboczy harmonogram_2'!B94-'Roboczy harmonogram_2'!B93)/366)</f>
        <v>1.0068032786885246</v>
      </c>
      <c r="E94" s="15">
        <f t="shared" ca="1" si="10"/>
        <v>0</v>
      </c>
      <c r="F94" s="15">
        <f t="shared" ca="1" si="11"/>
        <v>0</v>
      </c>
      <c r="G94">
        <f ca="1">IF(E94=1,(1+'Dane do harmonogramu'!$E$13*((('Roboczy harmonogram_2'!B94-DATE(YEAR(B94),1,1)+1)/365)+((DATE(YEAR(B93),12,31)-'Roboczy harmonogram_2'!B93)/366))),IF(F94=1,(1+'Dane do harmonogramu'!$E$13*((('Roboczy harmonogram_2'!B94-DATE(YEAR(B94),1,1)+1)/366)+((DATE(YEAR(B93),12,31)-'Roboczy harmonogram_2'!B93)/365))),0))</f>
        <v>0</v>
      </c>
      <c r="H94">
        <f t="shared" ca="1" si="12"/>
        <v>0</v>
      </c>
      <c r="I94">
        <f t="shared" ca="1" si="13"/>
        <v>1.0068219178082192</v>
      </c>
      <c r="J94">
        <f t="shared" ca="1" si="14"/>
        <v>1.0068219178082192</v>
      </c>
      <c r="K94">
        <f ca="1">PRODUCT($J$3:J94)</f>
        <v>1.8792979766158722</v>
      </c>
      <c r="L94">
        <f t="shared" ca="1" si="15"/>
        <v>0.53211359371585154</v>
      </c>
      <c r="M94">
        <f ca="1">SUM($L$3:L94)</f>
        <v>68.115981138977531</v>
      </c>
      <c r="O94">
        <f t="shared" ca="1" si="16"/>
        <v>875.84875233666389</v>
      </c>
      <c r="P94" s="16">
        <f t="shared" ca="1" si="17"/>
        <v>4024.9840080659787</v>
      </c>
      <c r="Q94" s="17">
        <f t="shared" ca="1" si="18"/>
        <v>124362.48370393593</v>
      </c>
      <c r="S94">
        <f ca="1">IF(A94&lt;='Dane do harmonogramu'!$E$7,'Roboczy harmonogram_2'!P94,0)</f>
        <v>4024.9840080659787</v>
      </c>
      <c r="T94">
        <f ca="1">IF(A94&lt;='Dane do harmonogramu'!$E$7,'Roboczy harmonogram_2'!O94,0)</f>
        <v>875.84875233666389</v>
      </c>
      <c r="U94">
        <f ca="1">IF(A94&lt;='Dane do harmonogramu'!$E$7,$N$2,0)</f>
        <v>4900.8327604026426</v>
      </c>
      <c r="V94" s="16">
        <f ca="1">IF(A93&lt;='Dane do harmonogramu'!$E$7,Q93*0.15%,"")</f>
        <v>192.58120156800285</v>
      </c>
    </row>
    <row r="95" spans="1:22" x14ac:dyDescent="0.35">
      <c r="A95">
        <v>93</v>
      </c>
      <c r="B95" s="14">
        <f t="shared" ca="1" si="19"/>
        <v>48900</v>
      </c>
      <c r="C95" s="15">
        <f ca="1">(1+'Dane do harmonogramu'!$E$13*('Roboczy harmonogram_2'!B95-'Roboczy harmonogram_2'!B94)/365)</f>
        <v>1.0070493150684932</v>
      </c>
      <c r="D95" s="15">
        <f ca="1">(1+'Dane do harmonogramu'!$E$13*('Roboczy harmonogram_2'!B95-'Roboczy harmonogram_2'!B94)/366)</f>
        <v>1.0070300546448088</v>
      </c>
      <c r="E95" s="15">
        <f t="shared" ca="1" si="10"/>
        <v>0</v>
      </c>
      <c r="F95" s="15">
        <f t="shared" ca="1" si="11"/>
        <v>0</v>
      </c>
      <c r="G95">
        <f ca="1">IF(E95=1,(1+'Dane do harmonogramu'!$E$13*((('Roboczy harmonogram_2'!B95-DATE(YEAR(B95),1,1)+1)/365)+((DATE(YEAR(B94),12,31)-'Roboczy harmonogram_2'!B94)/366))),IF(F95=1,(1+'Dane do harmonogramu'!$E$13*((('Roboczy harmonogram_2'!B95-DATE(YEAR(B95),1,1)+1)/366)+((DATE(YEAR(B94),12,31)-'Roboczy harmonogram_2'!B94)/365))),0))</f>
        <v>0</v>
      </c>
      <c r="H95">
        <f t="shared" ca="1" si="12"/>
        <v>0</v>
      </c>
      <c r="I95">
        <f t="shared" ca="1" si="13"/>
        <v>1.0070493150684932</v>
      </c>
      <c r="J95">
        <f t="shared" ca="1" si="14"/>
        <v>1.0070493150684932</v>
      </c>
      <c r="K95">
        <f ca="1">PRODUCT($J$3:J95)</f>
        <v>1.8925457401606192</v>
      </c>
      <c r="L95">
        <f t="shared" ca="1" si="15"/>
        <v>0.52838881448388697</v>
      </c>
      <c r="M95">
        <f ca="1">SUM($L$3:L95)</f>
        <v>68.644369953461421</v>
      </c>
      <c r="O95">
        <f t="shared" ca="1" si="16"/>
        <v>876.67033032939071</v>
      </c>
      <c r="P95" s="16">
        <f t="shared" ca="1" si="17"/>
        <v>4024.1624300732519</v>
      </c>
      <c r="Q95" s="17">
        <f t="shared" ca="1" si="18"/>
        <v>120338.32127386268</v>
      </c>
      <c r="S95">
        <f ca="1">IF(A95&lt;='Dane do harmonogramu'!$E$7,'Roboczy harmonogram_2'!P95,0)</f>
        <v>4024.1624300732519</v>
      </c>
      <c r="T95">
        <f ca="1">IF(A95&lt;='Dane do harmonogramu'!$E$7,'Roboczy harmonogram_2'!O95,0)</f>
        <v>876.67033032939071</v>
      </c>
      <c r="U95">
        <f ca="1">IF(A95&lt;='Dane do harmonogramu'!$E$7,$N$2,0)</f>
        <v>4900.8327604026426</v>
      </c>
      <c r="V95" s="16">
        <f ca="1">IF(A94&lt;='Dane do harmonogramu'!$E$7,Q94*0.15%,"")</f>
        <v>186.5437255559039</v>
      </c>
    </row>
    <row r="96" spans="1:22" x14ac:dyDescent="0.35">
      <c r="A96">
        <v>94</v>
      </c>
      <c r="B96" s="14">
        <f t="shared" ca="1" si="19"/>
        <v>48930</v>
      </c>
      <c r="C96" s="15">
        <f ca="1">(1+'Dane do harmonogramu'!$E$13*('Roboczy harmonogram_2'!B96-'Roboczy harmonogram_2'!B95)/365)</f>
        <v>1.0068219178082192</v>
      </c>
      <c r="D96" s="15">
        <f ca="1">(1+'Dane do harmonogramu'!$E$13*('Roboczy harmonogram_2'!B96-'Roboczy harmonogram_2'!B95)/366)</f>
        <v>1.0068032786885246</v>
      </c>
      <c r="E96" s="15">
        <f t="shared" ca="1" si="10"/>
        <v>0</v>
      </c>
      <c r="F96" s="15">
        <f t="shared" ca="1" si="11"/>
        <v>0</v>
      </c>
      <c r="G96">
        <f ca="1">IF(E96=1,(1+'Dane do harmonogramu'!$E$13*((('Roboczy harmonogram_2'!B96-DATE(YEAR(B96),1,1)+1)/365)+((DATE(YEAR(B95),12,31)-'Roboczy harmonogram_2'!B95)/366))),IF(F96=1,(1+'Dane do harmonogramu'!$E$13*((('Roboczy harmonogram_2'!B96-DATE(YEAR(B96),1,1)+1)/366)+((DATE(YEAR(B95),12,31)-'Roboczy harmonogram_2'!B95)/365))),0))</f>
        <v>0</v>
      </c>
      <c r="H96">
        <f t="shared" ca="1" si="12"/>
        <v>0</v>
      </c>
      <c r="I96">
        <f t="shared" ca="1" si="13"/>
        <v>1.0068219178082192</v>
      </c>
      <c r="J96">
        <f t="shared" ca="1" si="14"/>
        <v>1.0068219178082192</v>
      </c>
      <c r="K96">
        <f ca="1">PRODUCT($J$3:J96)</f>
        <v>1.9054565316482903</v>
      </c>
      <c r="L96">
        <f t="shared" ca="1" si="15"/>
        <v>0.52480861325918726</v>
      </c>
      <c r="M96">
        <f ca="1">SUM($L$3:L96)</f>
        <v>69.169178566720603</v>
      </c>
      <c r="O96">
        <f t="shared" ca="1" si="16"/>
        <v>820.93813690936076</v>
      </c>
      <c r="P96" s="16">
        <f t="shared" ca="1" si="17"/>
        <v>4079.8946234932819</v>
      </c>
      <c r="Q96" s="17">
        <f t="shared" ca="1" si="18"/>
        <v>116258.42665036939</v>
      </c>
      <c r="S96">
        <f ca="1">IF(A96&lt;='Dane do harmonogramu'!$E$7,'Roboczy harmonogram_2'!P96,0)</f>
        <v>4079.8946234932819</v>
      </c>
      <c r="T96">
        <f ca="1">IF(A96&lt;='Dane do harmonogramu'!$E$7,'Roboczy harmonogram_2'!O96,0)</f>
        <v>820.93813690936076</v>
      </c>
      <c r="U96">
        <f ca="1">IF(A96&lt;='Dane do harmonogramu'!$E$7,$N$2,0)</f>
        <v>4900.8327604026426</v>
      </c>
      <c r="V96" s="16">
        <f ca="1">IF(A95&lt;='Dane do harmonogramu'!$E$7,Q95*0.15%,"")</f>
        <v>180.50748191079401</v>
      </c>
    </row>
    <row r="97" spans="1:22" x14ac:dyDescent="0.35">
      <c r="A97">
        <v>95</v>
      </c>
      <c r="B97" s="14">
        <f t="shared" ca="1" si="19"/>
        <v>48961</v>
      </c>
      <c r="C97" s="15">
        <f ca="1">(1+'Dane do harmonogramu'!$E$13*('Roboczy harmonogram_2'!B97-'Roboczy harmonogram_2'!B96)/365)</f>
        <v>1.0070493150684932</v>
      </c>
      <c r="D97" s="15">
        <f ca="1">(1+'Dane do harmonogramu'!$E$13*('Roboczy harmonogram_2'!B97-'Roboczy harmonogram_2'!B96)/366)</f>
        <v>1.0070300546448088</v>
      </c>
      <c r="E97" s="15">
        <f t="shared" ca="1" si="10"/>
        <v>0</v>
      </c>
      <c r="F97" s="15">
        <f t="shared" ca="1" si="11"/>
        <v>0</v>
      </c>
      <c r="G97">
        <f ca="1">IF(E97=1,(1+'Dane do harmonogramu'!$E$13*((('Roboczy harmonogram_2'!B97-DATE(YEAR(B97),1,1)+1)/365)+((DATE(YEAR(B96),12,31)-'Roboczy harmonogram_2'!B96)/366))),IF(F97=1,(1+'Dane do harmonogramu'!$E$13*((('Roboczy harmonogram_2'!B97-DATE(YEAR(B97),1,1)+1)/366)+((DATE(YEAR(B96),12,31)-'Roboczy harmonogram_2'!B96)/365))),0))</f>
        <v>0</v>
      </c>
      <c r="H97">
        <f t="shared" ca="1" si="12"/>
        <v>0</v>
      </c>
      <c r="I97">
        <f t="shared" ca="1" si="13"/>
        <v>1.0070493150684932</v>
      </c>
      <c r="J97">
        <f t="shared" ca="1" si="14"/>
        <v>1.0070493150684932</v>
      </c>
      <c r="K97">
        <f ca="1">PRODUCT($J$3:J97)</f>
        <v>1.9188886950891972</v>
      </c>
      <c r="L97">
        <f t="shared" ca="1" si="15"/>
        <v>0.52113496867181042</v>
      </c>
      <c r="M97">
        <f ca="1">SUM($L$3:L97)</f>
        <v>69.69031353539242</v>
      </c>
      <c r="O97">
        <f t="shared" ca="1" si="16"/>
        <v>819.54227882575651</v>
      </c>
      <c r="P97" s="16">
        <f t="shared" ca="1" si="17"/>
        <v>4081.2904815768861</v>
      </c>
      <c r="Q97" s="17">
        <f t="shared" ca="1" si="18"/>
        <v>112177.13616879251</v>
      </c>
      <c r="S97">
        <f ca="1">IF(A97&lt;='Dane do harmonogramu'!$E$7,'Roboczy harmonogram_2'!P97,0)</f>
        <v>4081.2904815768861</v>
      </c>
      <c r="T97">
        <f ca="1">IF(A97&lt;='Dane do harmonogramu'!$E$7,'Roboczy harmonogram_2'!O97,0)</f>
        <v>819.54227882575651</v>
      </c>
      <c r="U97">
        <f ca="1">IF(A97&lt;='Dane do harmonogramu'!$E$7,$N$2,0)</f>
        <v>4900.8327604026426</v>
      </c>
      <c r="V97" s="16">
        <f ca="1">IF(A96&lt;='Dane do harmonogramu'!$E$7,Q96*0.15%,"")</f>
        <v>174.38763997555409</v>
      </c>
    </row>
    <row r="98" spans="1:22" x14ac:dyDescent="0.35">
      <c r="A98">
        <v>96</v>
      </c>
      <c r="B98" s="14">
        <f t="shared" ca="1" si="19"/>
        <v>48992</v>
      </c>
      <c r="C98" s="15">
        <f ca="1">(1+'Dane do harmonogramu'!$E$13*('Roboczy harmonogram_2'!B98-'Roboczy harmonogram_2'!B97)/365)</f>
        <v>1.0070493150684932</v>
      </c>
      <c r="D98" s="15">
        <f ca="1">(1+'Dane do harmonogramu'!$E$13*('Roboczy harmonogram_2'!B98-'Roboczy harmonogram_2'!B97)/366)</f>
        <v>1.0070300546448088</v>
      </c>
      <c r="E98" s="15">
        <f t="shared" ca="1" si="10"/>
        <v>0</v>
      </c>
      <c r="F98" s="15">
        <f t="shared" ca="1" si="11"/>
        <v>0</v>
      </c>
      <c r="G98">
        <f ca="1">IF(E98=1,(1+'Dane do harmonogramu'!$E$13*((('Roboczy harmonogram_2'!B98-DATE(YEAR(B98),1,1)+1)/365)+((DATE(YEAR(B97),12,31)-'Roboczy harmonogram_2'!B97)/366))),IF(F98=1,(1+'Dane do harmonogramu'!$E$13*((('Roboczy harmonogram_2'!B98-DATE(YEAR(B98),1,1)+1)/366)+((DATE(YEAR(B97),12,31)-'Roboczy harmonogram_2'!B97)/365))),0))</f>
        <v>0</v>
      </c>
      <c r="H98">
        <f t="shared" ca="1" si="12"/>
        <v>0</v>
      </c>
      <c r="I98">
        <f t="shared" ca="1" si="13"/>
        <v>1.0070493150684932</v>
      </c>
      <c r="J98">
        <f t="shared" ca="1" si="14"/>
        <v>1.0070493150684932</v>
      </c>
      <c r="K98">
        <f ca="1">PRODUCT($J$3:J98)</f>
        <v>1.9324155460822507</v>
      </c>
      <c r="L98">
        <f t="shared" ca="1" si="15"/>
        <v>0.51748703948660757</v>
      </c>
      <c r="M98">
        <f ca="1">SUM($L$3:L98)</f>
        <v>70.20780057487903</v>
      </c>
      <c r="O98">
        <f t="shared" ca="1" si="16"/>
        <v>790.77197633507603</v>
      </c>
      <c r="P98" s="16">
        <f t="shared" ca="1" si="17"/>
        <v>4110.0607840675666</v>
      </c>
      <c r="Q98" s="17">
        <f t="shared" ca="1" si="18"/>
        <v>108067.07538472494</v>
      </c>
      <c r="S98">
        <f ca="1">IF(A98&lt;='Dane do harmonogramu'!$E$7,'Roboczy harmonogram_2'!P98,0)</f>
        <v>4110.0607840675666</v>
      </c>
      <c r="T98">
        <f ca="1">IF(A98&lt;='Dane do harmonogramu'!$E$7,'Roboczy harmonogram_2'!O98,0)</f>
        <v>790.77197633507603</v>
      </c>
      <c r="U98">
        <f ca="1">IF(A98&lt;='Dane do harmonogramu'!$E$7,$N$2,0)</f>
        <v>4900.8327604026426</v>
      </c>
      <c r="V98" s="16">
        <f ca="1">IF(A97&lt;='Dane do harmonogramu'!$E$7,Q97*0.15%,"")</f>
        <v>168.26570425318877</v>
      </c>
    </row>
    <row r="99" spans="1:22" x14ac:dyDescent="0.35">
      <c r="A99">
        <v>97</v>
      </c>
      <c r="B99" s="14">
        <f t="shared" ca="1" si="19"/>
        <v>49020</v>
      </c>
      <c r="C99" s="15">
        <f ca="1">(1+'Dane do harmonogramu'!$E$13*('Roboczy harmonogram_2'!B99-'Roboczy harmonogram_2'!B98)/365)</f>
        <v>1.0063671232876712</v>
      </c>
      <c r="D99" s="15">
        <f ca="1">(1+'Dane do harmonogramu'!$E$13*('Roboczy harmonogram_2'!B99-'Roboczy harmonogram_2'!B98)/366)</f>
        <v>1.0063497267759562</v>
      </c>
      <c r="E99" s="15">
        <f t="shared" ca="1" si="10"/>
        <v>0</v>
      </c>
      <c r="F99" s="15">
        <f t="shared" ca="1" si="11"/>
        <v>0</v>
      </c>
      <c r="G99">
        <f ca="1">IF(E99=1,(1+'Dane do harmonogramu'!$E$13*((('Roboczy harmonogram_2'!B99-DATE(YEAR(B99),1,1)+1)/365)+((DATE(YEAR(B98),12,31)-'Roboczy harmonogram_2'!B98)/366))),IF(F99=1,(1+'Dane do harmonogramu'!$E$13*((('Roboczy harmonogram_2'!B99-DATE(YEAR(B99),1,1)+1)/366)+((DATE(YEAR(B98),12,31)-'Roboczy harmonogram_2'!B98)/365))),0))</f>
        <v>0</v>
      </c>
      <c r="H99">
        <f t="shared" ca="1" si="12"/>
        <v>0</v>
      </c>
      <c r="I99">
        <f t="shared" ca="1" si="13"/>
        <v>1.0063671232876712</v>
      </c>
      <c r="J99">
        <f t="shared" ca="1" si="14"/>
        <v>1.0063671232876712</v>
      </c>
      <c r="K99">
        <f ca="1">PRODUCT($J$3:J99)</f>
        <v>1.9447194741071689</v>
      </c>
      <c r="L99">
        <f t="shared" ca="1" si="15"/>
        <v>0.51421298203387678</v>
      </c>
      <c r="M99">
        <f ca="1">SUM($L$3:L99)</f>
        <v>70.722013556912913</v>
      </c>
      <c r="O99">
        <f t="shared" ca="1" si="16"/>
        <v>688.07639231260691</v>
      </c>
      <c r="P99" s="16">
        <f t="shared" ca="1" si="17"/>
        <v>4212.7563680900357</v>
      </c>
      <c r="Q99" s="17">
        <f t="shared" ca="1" si="18"/>
        <v>103854.31901663491</v>
      </c>
      <c r="S99">
        <f ca="1">IF(A99&lt;='Dane do harmonogramu'!$E$7,'Roboczy harmonogram_2'!P99,0)</f>
        <v>4212.7563680900357</v>
      </c>
      <c r="T99">
        <f ca="1">IF(A99&lt;='Dane do harmonogramu'!$E$7,'Roboczy harmonogram_2'!O99,0)</f>
        <v>688.07639231260691</v>
      </c>
      <c r="U99">
        <f ca="1">IF(A99&lt;='Dane do harmonogramu'!$E$7,$N$2,0)</f>
        <v>4900.8327604026426</v>
      </c>
      <c r="V99" s="16">
        <f ca="1">IF(A98&lt;='Dane do harmonogramu'!$E$7,Q98*0.15%,"")</f>
        <v>162.10061307708742</v>
      </c>
    </row>
    <row r="100" spans="1:22" x14ac:dyDescent="0.35">
      <c r="A100">
        <v>98</v>
      </c>
      <c r="B100" s="14">
        <f t="shared" ca="1" si="19"/>
        <v>49051</v>
      </c>
      <c r="C100" s="15">
        <f ca="1">(1+'Dane do harmonogramu'!$E$13*('Roboczy harmonogram_2'!B100-'Roboczy harmonogram_2'!B99)/365)</f>
        <v>1.0070493150684932</v>
      </c>
      <c r="D100" s="15">
        <f ca="1">(1+'Dane do harmonogramu'!$E$13*('Roboczy harmonogram_2'!B100-'Roboczy harmonogram_2'!B99)/366)</f>
        <v>1.0070300546448088</v>
      </c>
      <c r="E100" s="15">
        <f t="shared" ca="1" si="10"/>
        <v>0</v>
      </c>
      <c r="F100" s="15">
        <f t="shared" ca="1" si="11"/>
        <v>0</v>
      </c>
      <c r="G100">
        <f ca="1">IF(E100=1,(1+'Dane do harmonogramu'!$E$13*((('Roboczy harmonogram_2'!B100-DATE(YEAR(B100),1,1)+1)/365)+((DATE(YEAR(B99),12,31)-'Roboczy harmonogram_2'!B99)/366))),IF(F100=1,(1+'Dane do harmonogramu'!$E$13*((('Roboczy harmonogram_2'!B100-DATE(YEAR(B100),1,1)+1)/366)+((DATE(YEAR(B99),12,31)-'Roboczy harmonogram_2'!B99)/365))),0))</f>
        <v>0</v>
      </c>
      <c r="H100">
        <f t="shared" ca="1" si="12"/>
        <v>0</v>
      </c>
      <c r="I100">
        <f t="shared" ca="1" si="13"/>
        <v>1.0070493150684932</v>
      </c>
      <c r="J100">
        <f t="shared" ca="1" si="14"/>
        <v>1.0070493150684932</v>
      </c>
      <c r="K100">
        <f ca="1">PRODUCT($J$3:J100)</f>
        <v>1.9584284143999846</v>
      </c>
      <c r="L100">
        <f t="shared" ca="1" si="15"/>
        <v>0.51061350654799198</v>
      </c>
      <c r="M100">
        <f ca="1">SUM($L$3:L100)</f>
        <v>71.23262706346091</v>
      </c>
      <c r="O100">
        <f t="shared" ca="1" si="16"/>
        <v>732.10181597205519</v>
      </c>
      <c r="P100" s="16">
        <f t="shared" ca="1" si="17"/>
        <v>4168.7309444305874</v>
      </c>
      <c r="Q100" s="17">
        <f t="shared" ca="1" si="18"/>
        <v>99685.588072204322</v>
      </c>
      <c r="S100">
        <f ca="1">IF(A100&lt;='Dane do harmonogramu'!$E$7,'Roboczy harmonogram_2'!P100,0)</f>
        <v>4168.7309444305874</v>
      </c>
      <c r="T100">
        <f ca="1">IF(A100&lt;='Dane do harmonogramu'!$E$7,'Roboczy harmonogram_2'!O100,0)</f>
        <v>732.10181597205519</v>
      </c>
      <c r="U100">
        <f ca="1">IF(A100&lt;='Dane do harmonogramu'!$E$7,$N$2,0)</f>
        <v>4900.8327604026426</v>
      </c>
      <c r="V100" s="16">
        <f ca="1">IF(A99&lt;='Dane do harmonogramu'!$E$7,Q99*0.15%,"")</f>
        <v>155.78147852495238</v>
      </c>
    </row>
    <row r="101" spans="1:22" x14ac:dyDescent="0.35">
      <c r="A101">
        <v>99</v>
      </c>
      <c r="B101" s="14">
        <f t="shared" ca="1" si="19"/>
        <v>49081</v>
      </c>
      <c r="C101" s="15">
        <f ca="1">(1+'Dane do harmonogramu'!$E$13*('Roboczy harmonogram_2'!B101-'Roboczy harmonogram_2'!B100)/365)</f>
        <v>1.0068219178082192</v>
      </c>
      <c r="D101" s="15">
        <f ca="1">(1+'Dane do harmonogramu'!$E$13*('Roboczy harmonogram_2'!B101-'Roboczy harmonogram_2'!B100)/366)</f>
        <v>1.0068032786885246</v>
      </c>
      <c r="E101" s="15">
        <f t="shared" ca="1" si="10"/>
        <v>0</v>
      </c>
      <c r="F101" s="15">
        <f t="shared" ca="1" si="11"/>
        <v>0</v>
      </c>
      <c r="G101">
        <f ca="1">IF(E101=1,(1+'Dane do harmonogramu'!$E$13*((('Roboczy harmonogram_2'!B101-DATE(YEAR(B101),1,1)+1)/365)+((DATE(YEAR(B100),12,31)-'Roboczy harmonogram_2'!B100)/366))),IF(F101=1,(1+'Dane do harmonogramu'!$E$13*((('Roboczy harmonogram_2'!B101-DATE(YEAR(B101),1,1)+1)/366)+((DATE(YEAR(B100),12,31)-'Roboczy harmonogram_2'!B100)/365))),0))</f>
        <v>0</v>
      </c>
      <c r="H101">
        <f t="shared" ca="1" si="12"/>
        <v>0</v>
      </c>
      <c r="I101">
        <f t="shared" ca="1" si="13"/>
        <v>1.0068219178082192</v>
      </c>
      <c r="J101">
        <f t="shared" ca="1" si="14"/>
        <v>1.0068219178082192</v>
      </c>
      <c r="K101">
        <f ca="1">PRODUCT($J$3:J101)</f>
        <v>1.9717886520763024</v>
      </c>
      <c r="L101">
        <f t="shared" ca="1" si="15"/>
        <v>0.5071537453808731</v>
      </c>
      <c r="M101">
        <f ca="1">SUM($L$3:L101)</f>
        <v>71.739780808841786</v>
      </c>
      <c r="O101">
        <f t="shared" ca="1" si="16"/>
        <v>680.0468884925649</v>
      </c>
      <c r="P101" s="16">
        <f t="shared" ca="1" si="17"/>
        <v>4220.7858719100777</v>
      </c>
      <c r="Q101" s="17">
        <f t="shared" ca="1" si="18"/>
        <v>95464.802200294245</v>
      </c>
      <c r="S101">
        <f ca="1">IF(A101&lt;='Dane do harmonogramu'!$E$7,'Roboczy harmonogram_2'!P101,0)</f>
        <v>4220.7858719100777</v>
      </c>
      <c r="T101">
        <f ca="1">IF(A101&lt;='Dane do harmonogramu'!$E$7,'Roboczy harmonogram_2'!O101,0)</f>
        <v>680.0468884925649</v>
      </c>
      <c r="U101">
        <f ca="1">IF(A101&lt;='Dane do harmonogramu'!$E$7,$N$2,0)</f>
        <v>4900.8327604026426</v>
      </c>
      <c r="V101" s="16">
        <f ca="1">IF(A100&lt;='Dane do harmonogramu'!$E$7,Q100*0.15%,"")</f>
        <v>149.52838210830649</v>
      </c>
    </row>
    <row r="102" spans="1:22" x14ac:dyDescent="0.35">
      <c r="A102">
        <v>100</v>
      </c>
      <c r="B102" s="14">
        <f t="shared" ca="1" si="19"/>
        <v>49112</v>
      </c>
      <c r="C102" s="15">
        <f ca="1">(1+'Dane do harmonogramu'!$E$13*('Roboczy harmonogram_2'!B102-'Roboczy harmonogram_2'!B101)/365)</f>
        <v>1.0070493150684932</v>
      </c>
      <c r="D102" s="15">
        <f ca="1">(1+'Dane do harmonogramu'!$E$13*('Roboczy harmonogram_2'!B102-'Roboczy harmonogram_2'!B101)/366)</f>
        <v>1.0070300546448088</v>
      </c>
      <c r="E102" s="15">
        <f t="shared" ca="1" si="10"/>
        <v>0</v>
      </c>
      <c r="F102" s="15">
        <f t="shared" ca="1" si="11"/>
        <v>0</v>
      </c>
      <c r="G102">
        <f ca="1">IF(E102=1,(1+'Dane do harmonogramu'!$E$13*((('Roboczy harmonogram_2'!B102-DATE(YEAR(B102),1,1)+1)/365)+((DATE(YEAR(B101),12,31)-'Roboczy harmonogram_2'!B101)/366))),IF(F102=1,(1+'Dane do harmonogramu'!$E$13*((('Roboczy harmonogram_2'!B102-DATE(YEAR(B102),1,1)+1)/366)+((DATE(YEAR(B101),12,31)-'Roboczy harmonogram_2'!B101)/365))),0))</f>
        <v>0</v>
      </c>
      <c r="H102">
        <f t="shared" ca="1" si="12"/>
        <v>0</v>
      </c>
      <c r="I102">
        <f t="shared" ca="1" si="13"/>
        <v>1.0070493150684932</v>
      </c>
      <c r="J102">
        <f t="shared" ca="1" si="14"/>
        <v>1.0070493150684932</v>
      </c>
      <c r="K102">
        <f ca="1">PRODUCT($J$3:J102)</f>
        <v>1.9856884115332676</v>
      </c>
      <c r="L102">
        <f t="shared" ca="1" si="15"/>
        <v>0.50360368434030434</v>
      </c>
      <c r="M102">
        <f ca="1">SUM($L$3:L102)</f>
        <v>72.243384493182091</v>
      </c>
      <c r="O102">
        <f t="shared" ca="1" si="16"/>
        <v>672.96146866124764</v>
      </c>
      <c r="P102" s="16">
        <f t="shared" ca="1" si="17"/>
        <v>4227.871291741395</v>
      </c>
      <c r="Q102" s="17">
        <f t="shared" ca="1" si="18"/>
        <v>91236.930908552851</v>
      </c>
      <c r="S102">
        <f ca="1">IF(A102&lt;='Dane do harmonogramu'!$E$7,'Roboczy harmonogram_2'!P102,0)</f>
        <v>4227.871291741395</v>
      </c>
      <c r="T102">
        <f ca="1">IF(A102&lt;='Dane do harmonogramu'!$E$7,'Roboczy harmonogram_2'!O102,0)</f>
        <v>672.96146866124764</v>
      </c>
      <c r="U102">
        <f ca="1">IF(A102&lt;='Dane do harmonogramu'!$E$7,$N$2,0)</f>
        <v>4900.8327604026426</v>
      </c>
      <c r="V102" s="16">
        <f ca="1">IF(A101&lt;='Dane do harmonogramu'!$E$7,Q101*0.15%,"")</f>
        <v>143.19720330044137</v>
      </c>
    </row>
    <row r="103" spans="1:22" x14ac:dyDescent="0.35">
      <c r="A103">
        <v>101</v>
      </c>
      <c r="B103" s="14">
        <f t="shared" ca="1" si="19"/>
        <v>49142</v>
      </c>
      <c r="C103" s="15">
        <f ca="1">(1+'Dane do harmonogramu'!$E$13*('Roboczy harmonogram_2'!B103-'Roboczy harmonogram_2'!B102)/365)</f>
        <v>1.0068219178082192</v>
      </c>
      <c r="D103" s="15">
        <f ca="1">(1+'Dane do harmonogramu'!$E$13*('Roboczy harmonogram_2'!B103-'Roboczy harmonogram_2'!B102)/366)</f>
        <v>1.0068032786885246</v>
      </c>
      <c r="E103" s="15">
        <f t="shared" ca="1" si="10"/>
        <v>0</v>
      </c>
      <c r="F103" s="15">
        <f t="shared" ca="1" si="11"/>
        <v>0</v>
      </c>
      <c r="G103">
        <f ca="1">IF(E103=1,(1+'Dane do harmonogramu'!$E$13*((('Roboczy harmonogram_2'!B103-DATE(YEAR(B103),1,1)+1)/365)+((DATE(YEAR(B102),12,31)-'Roboczy harmonogram_2'!B102)/366))),IF(F103=1,(1+'Dane do harmonogramu'!$E$13*((('Roboczy harmonogram_2'!B103-DATE(YEAR(B103),1,1)+1)/366)+((DATE(YEAR(B102),12,31)-'Roboczy harmonogram_2'!B102)/365))),0))</f>
        <v>0</v>
      </c>
      <c r="H103">
        <f t="shared" ca="1" si="12"/>
        <v>0</v>
      </c>
      <c r="I103">
        <f t="shared" ca="1" si="13"/>
        <v>1.0068219178082192</v>
      </c>
      <c r="J103">
        <f t="shared" ca="1" si="14"/>
        <v>1.0068219178082192</v>
      </c>
      <c r="K103">
        <f ca="1">PRODUCT($J$3:J103)</f>
        <v>1.9992346146694808</v>
      </c>
      <c r="L103">
        <f t="shared" ca="1" si="15"/>
        <v>0.50019141958750191</v>
      </c>
      <c r="M103">
        <f ca="1">SUM($L$3:L103)</f>
        <v>72.7435759127696</v>
      </c>
      <c r="O103">
        <f t="shared" ca="1" si="16"/>
        <v>622.4108437323157</v>
      </c>
      <c r="P103" s="16">
        <f t="shared" ca="1" si="17"/>
        <v>4278.4219166703269</v>
      </c>
      <c r="Q103" s="17">
        <f t="shared" ca="1" si="18"/>
        <v>86958.508991882525</v>
      </c>
      <c r="S103">
        <f ca="1">IF(A103&lt;='Dane do harmonogramu'!$E$7,'Roboczy harmonogram_2'!P103,0)</f>
        <v>4278.4219166703269</v>
      </c>
      <c r="T103">
        <f ca="1">IF(A103&lt;='Dane do harmonogramu'!$E$7,'Roboczy harmonogram_2'!O103,0)</f>
        <v>622.4108437323157</v>
      </c>
      <c r="U103">
        <f ca="1">IF(A103&lt;='Dane do harmonogramu'!$E$7,$N$2,0)</f>
        <v>4900.8327604026426</v>
      </c>
      <c r="V103" s="16">
        <f ca="1">IF(A102&lt;='Dane do harmonogramu'!$E$7,Q102*0.15%,"")</f>
        <v>136.85539636282928</v>
      </c>
    </row>
    <row r="104" spans="1:22" x14ac:dyDescent="0.35">
      <c r="A104">
        <v>102</v>
      </c>
      <c r="B104" s="14">
        <f t="shared" ca="1" si="19"/>
        <v>49173</v>
      </c>
      <c r="C104" s="15">
        <f ca="1">(1+'Dane do harmonogramu'!$E$13*('Roboczy harmonogram_2'!B104-'Roboczy harmonogram_2'!B103)/365)</f>
        <v>1.0070493150684932</v>
      </c>
      <c r="D104" s="15">
        <f ca="1">(1+'Dane do harmonogramu'!$E$13*('Roboczy harmonogram_2'!B104-'Roboczy harmonogram_2'!B103)/366)</f>
        <v>1.0070300546448088</v>
      </c>
      <c r="E104" s="15">
        <f t="shared" ca="1" si="10"/>
        <v>0</v>
      </c>
      <c r="F104" s="15">
        <f t="shared" ca="1" si="11"/>
        <v>0</v>
      </c>
      <c r="G104">
        <f ca="1">IF(E104=1,(1+'Dane do harmonogramu'!$E$13*((('Roboczy harmonogram_2'!B104-DATE(YEAR(B104),1,1)+1)/365)+((DATE(YEAR(B103),12,31)-'Roboczy harmonogram_2'!B103)/366))),IF(F104=1,(1+'Dane do harmonogramu'!$E$13*((('Roboczy harmonogram_2'!B104-DATE(YEAR(B104),1,1)+1)/366)+((DATE(YEAR(B103),12,31)-'Roboczy harmonogram_2'!B103)/365))),0))</f>
        <v>0</v>
      </c>
      <c r="H104">
        <f t="shared" ca="1" si="12"/>
        <v>0</v>
      </c>
      <c r="I104">
        <f t="shared" ca="1" si="13"/>
        <v>1.0070493150684932</v>
      </c>
      <c r="J104">
        <f t="shared" ca="1" si="14"/>
        <v>1.0070493150684932</v>
      </c>
      <c r="K104">
        <f ca="1">PRODUCT($J$3:J104)</f>
        <v>2.0133278493641233</v>
      </c>
      <c r="L104">
        <f t="shared" ca="1" si="15"/>
        <v>0.49669009461913199</v>
      </c>
      <c r="M104">
        <f ca="1">SUM($L$3:L104)</f>
        <v>73.240266007388726</v>
      </c>
      <c r="O104">
        <f t="shared" ca="1" si="16"/>
        <v>612.99792777017865</v>
      </c>
      <c r="P104" s="16">
        <f t="shared" ca="1" si="17"/>
        <v>4287.834832632464</v>
      </c>
      <c r="Q104" s="17">
        <f t="shared" ca="1" si="18"/>
        <v>82670.674159250062</v>
      </c>
      <c r="S104">
        <f ca="1">IF(A104&lt;='Dane do harmonogramu'!$E$7,'Roboczy harmonogram_2'!P104,0)</f>
        <v>4287.834832632464</v>
      </c>
      <c r="T104">
        <f ca="1">IF(A104&lt;='Dane do harmonogramu'!$E$7,'Roboczy harmonogram_2'!O104,0)</f>
        <v>612.99792777017865</v>
      </c>
      <c r="U104">
        <f ca="1">IF(A104&lt;='Dane do harmonogramu'!$E$7,$N$2,0)</f>
        <v>4900.8327604026426</v>
      </c>
      <c r="V104" s="16">
        <f ca="1">IF(A103&lt;='Dane do harmonogramu'!$E$7,Q103*0.15%,"")</f>
        <v>130.43776348782379</v>
      </c>
    </row>
    <row r="105" spans="1:22" x14ac:dyDescent="0.35">
      <c r="A105">
        <v>103</v>
      </c>
      <c r="B105" s="14">
        <f t="shared" ca="1" si="19"/>
        <v>49204</v>
      </c>
      <c r="C105" s="15">
        <f ca="1">(1+'Dane do harmonogramu'!$E$13*('Roboczy harmonogram_2'!B105-'Roboczy harmonogram_2'!B104)/365)</f>
        <v>1.0070493150684932</v>
      </c>
      <c r="D105" s="15">
        <f ca="1">(1+'Dane do harmonogramu'!$E$13*('Roboczy harmonogram_2'!B105-'Roboczy harmonogram_2'!B104)/366)</f>
        <v>1.0070300546448088</v>
      </c>
      <c r="E105" s="15">
        <f t="shared" ca="1" si="10"/>
        <v>0</v>
      </c>
      <c r="F105" s="15">
        <f t="shared" ca="1" si="11"/>
        <v>0</v>
      </c>
      <c r="G105">
        <f ca="1">IF(E105=1,(1+'Dane do harmonogramu'!$E$13*((('Roboczy harmonogram_2'!B105-DATE(YEAR(B105),1,1)+1)/365)+((DATE(YEAR(B104),12,31)-'Roboczy harmonogram_2'!B104)/366))),IF(F105=1,(1+'Dane do harmonogramu'!$E$13*((('Roboczy harmonogram_2'!B105-DATE(YEAR(B105),1,1)+1)/366)+((DATE(YEAR(B104),12,31)-'Roboczy harmonogram_2'!B104)/365))),0))</f>
        <v>0</v>
      </c>
      <c r="H105">
        <f t="shared" ca="1" si="12"/>
        <v>0</v>
      </c>
      <c r="I105">
        <f t="shared" ca="1" si="13"/>
        <v>1.0070493150684932</v>
      </c>
      <c r="J105">
        <f t="shared" ca="1" si="14"/>
        <v>1.0070493150684932</v>
      </c>
      <c r="K105">
        <f ca="1">PRODUCT($J$3:J105)</f>
        <v>2.0275204317104629</v>
      </c>
      <c r="L105">
        <f t="shared" ca="1" si="15"/>
        <v>0.49321327882075988</v>
      </c>
      <c r="M105">
        <f ca="1">SUM($L$3:L105)</f>
        <v>73.733479286209487</v>
      </c>
      <c r="O105">
        <f t="shared" ca="1" si="16"/>
        <v>582.7716290732933</v>
      </c>
      <c r="P105" s="16">
        <f t="shared" ca="1" si="17"/>
        <v>4318.0611313293493</v>
      </c>
      <c r="Q105" s="17">
        <f t="shared" ca="1" si="18"/>
        <v>78352.613027920714</v>
      </c>
      <c r="S105">
        <f ca="1">IF(A105&lt;='Dane do harmonogramu'!$E$7,'Roboczy harmonogram_2'!P105,0)</f>
        <v>4318.0611313293493</v>
      </c>
      <c r="T105">
        <f ca="1">IF(A105&lt;='Dane do harmonogramu'!$E$7,'Roboczy harmonogram_2'!O105,0)</f>
        <v>582.7716290732933</v>
      </c>
      <c r="U105">
        <f ca="1">IF(A105&lt;='Dane do harmonogramu'!$E$7,$N$2,0)</f>
        <v>4900.8327604026426</v>
      </c>
      <c r="V105" s="16">
        <f ca="1">IF(A104&lt;='Dane do harmonogramu'!$E$7,Q104*0.15%,"")</f>
        <v>124.00601123887509</v>
      </c>
    </row>
    <row r="106" spans="1:22" x14ac:dyDescent="0.35">
      <c r="A106">
        <v>104</v>
      </c>
      <c r="B106" s="14">
        <f t="shared" ca="1" si="19"/>
        <v>49234</v>
      </c>
      <c r="C106" s="15">
        <f ca="1">(1+'Dane do harmonogramu'!$E$13*('Roboczy harmonogram_2'!B106-'Roboczy harmonogram_2'!B105)/365)</f>
        <v>1.0068219178082192</v>
      </c>
      <c r="D106" s="15">
        <f ca="1">(1+'Dane do harmonogramu'!$E$13*('Roboczy harmonogram_2'!B106-'Roboczy harmonogram_2'!B105)/366)</f>
        <v>1.0068032786885246</v>
      </c>
      <c r="E106" s="15">
        <f t="shared" ca="1" si="10"/>
        <v>0</v>
      </c>
      <c r="F106" s="15">
        <f t="shared" ca="1" si="11"/>
        <v>0</v>
      </c>
      <c r="G106">
        <f ca="1">IF(E106=1,(1+'Dane do harmonogramu'!$E$13*((('Roboczy harmonogram_2'!B106-DATE(YEAR(B106),1,1)+1)/365)+((DATE(YEAR(B105),12,31)-'Roboczy harmonogram_2'!B105)/366))),IF(F106=1,(1+'Dane do harmonogramu'!$E$13*((('Roboczy harmonogram_2'!B106-DATE(YEAR(B106),1,1)+1)/366)+((DATE(YEAR(B105),12,31)-'Roboczy harmonogram_2'!B105)/365))),0))</f>
        <v>0</v>
      </c>
      <c r="H106">
        <f t="shared" ca="1" si="12"/>
        <v>0</v>
      </c>
      <c r="I106">
        <f t="shared" ca="1" si="13"/>
        <v>1.0068219178082192</v>
      </c>
      <c r="J106">
        <f t="shared" ca="1" si="14"/>
        <v>1.0068219178082192</v>
      </c>
      <c r="K106">
        <f ca="1">PRODUCT($J$3:J106)</f>
        <v>2.0413520094500766</v>
      </c>
      <c r="L106">
        <f t="shared" ca="1" si="15"/>
        <v>0.48987141628228625</v>
      </c>
      <c r="M106">
        <f ca="1">SUM($L$3:L106)</f>
        <v>74.223350702491771</v>
      </c>
      <c r="O106">
        <f t="shared" ca="1" si="16"/>
        <v>534.51508613568149</v>
      </c>
      <c r="P106" s="16">
        <f t="shared" ca="1" si="17"/>
        <v>4366.3176742669611</v>
      </c>
      <c r="Q106" s="17">
        <f t="shared" ca="1" si="18"/>
        <v>73986.295353653753</v>
      </c>
      <c r="S106">
        <f ca="1">IF(A106&lt;='Dane do harmonogramu'!$E$7,'Roboczy harmonogram_2'!P106,0)</f>
        <v>4366.3176742669611</v>
      </c>
      <c r="T106">
        <f ca="1">IF(A106&lt;='Dane do harmonogramu'!$E$7,'Roboczy harmonogram_2'!O106,0)</f>
        <v>534.51508613568149</v>
      </c>
      <c r="U106">
        <f ca="1">IF(A106&lt;='Dane do harmonogramu'!$E$7,$N$2,0)</f>
        <v>4900.8327604026426</v>
      </c>
      <c r="V106" s="16">
        <f ca="1">IF(A105&lt;='Dane do harmonogramu'!$E$7,Q105*0.15%,"")</f>
        <v>117.52891954188107</v>
      </c>
    </row>
    <row r="107" spans="1:22" x14ac:dyDescent="0.35">
      <c r="A107">
        <v>105</v>
      </c>
      <c r="B107" s="14">
        <f t="shared" ca="1" si="19"/>
        <v>49265</v>
      </c>
      <c r="C107" s="15">
        <f ca="1">(1+'Dane do harmonogramu'!$E$13*('Roboczy harmonogram_2'!B107-'Roboczy harmonogram_2'!B106)/365)</f>
        <v>1.0070493150684932</v>
      </c>
      <c r="D107" s="15">
        <f ca="1">(1+'Dane do harmonogramu'!$E$13*('Roboczy harmonogram_2'!B107-'Roboczy harmonogram_2'!B106)/366)</f>
        <v>1.0070300546448088</v>
      </c>
      <c r="E107" s="15">
        <f t="shared" ca="1" si="10"/>
        <v>0</v>
      </c>
      <c r="F107" s="15">
        <f t="shared" ca="1" si="11"/>
        <v>0</v>
      </c>
      <c r="G107">
        <f ca="1">IF(E107=1,(1+'Dane do harmonogramu'!$E$13*((('Roboczy harmonogram_2'!B107-DATE(YEAR(B107),1,1)+1)/365)+((DATE(YEAR(B106),12,31)-'Roboczy harmonogram_2'!B106)/366))),IF(F107=1,(1+'Dane do harmonogramu'!$E$13*((('Roboczy harmonogram_2'!B107-DATE(YEAR(B107),1,1)+1)/366)+((DATE(YEAR(B106),12,31)-'Roboczy harmonogram_2'!B106)/365))),0))</f>
        <v>0</v>
      </c>
      <c r="H107">
        <f t="shared" ca="1" si="12"/>
        <v>0</v>
      </c>
      <c r="I107">
        <f t="shared" ca="1" si="13"/>
        <v>1.0070493150684932</v>
      </c>
      <c r="J107">
        <f t="shared" ca="1" si="14"/>
        <v>1.0070493150684932</v>
      </c>
      <c r="K107">
        <f ca="1">PRODUCT($J$3:J107)</f>
        <v>2.0557421429303919</v>
      </c>
      <c r="L107">
        <f t="shared" ca="1" si="15"/>
        <v>0.4864423310282161</v>
      </c>
      <c r="M107">
        <f ca="1">SUM($L$3:L107)</f>
        <v>74.709793033519986</v>
      </c>
      <c r="O107">
        <f t="shared" ca="1" si="16"/>
        <v>521.55270669849415</v>
      </c>
      <c r="P107" s="16">
        <f t="shared" ca="1" si="17"/>
        <v>4379.2800537041485</v>
      </c>
      <c r="Q107" s="17">
        <f t="shared" ca="1" si="18"/>
        <v>69607.015299949606</v>
      </c>
      <c r="S107">
        <f ca="1">IF(A107&lt;='Dane do harmonogramu'!$E$7,'Roboczy harmonogram_2'!P107,0)</f>
        <v>4379.2800537041485</v>
      </c>
      <c r="T107">
        <f ca="1">IF(A107&lt;='Dane do harmonogramu'!$E$7,'Roboczy harmonogram_2'!O107,0)</f>
        <v>521.55270669849415</v>
      </c>
      <c r="U107">
        <f ca="1">IF(A107&lt;='Dane do harmonogramu'!$E$7,$N$2,0)</f>
        <v>4900.8327604026426</v>
      </c>
      <c r="V107" s="16">
        <f ca="1">IF(A106&lt;='Dane do harmonogramu'!$E$7,Q106*0.15%,"")</f>
        <v>110.97944303048064</v>
      </c>
    </row>
    <row r="108" spans="1:22" x14ac:dyDescent="0.35">
      <c r="A108">
        <v>106</v>
      </c>
      <c r="B108" s="14">
        <f t="shared" ca="1" si="19"/>
        <v>49295</v>
      </c>
      <c r="C108" s="15">
        <f ca="1">(1+'Dane do harmonogramu'!$E$13*('Roboczy harmonogram_2'!B108-'Roboczy harmonogram_2'!B107)/365)</f>
        <v>1.0068219178082192</v>
      </c>
      <c r="D108" s="15">
        <f ca="1">(1+'Dane do harmonogramu'!$E$13*('Roboczy harmonogram_2'!B108-'Roboczy harmonogram_2'!B107)/366)</f>
        <v>1.0068032786885246</v>
      </c>
      <c r="E108" s="15">
        <f t="shared" ca="1" si="10"/>
        <v>0</v>
      </c>
      <c r="F108" s="15">
        <f t="shared" ca="1" si="11"/>
        <v>0</v>
      </c>
      <c r="G108">
        <f ca="1">IF(E108=1,(1+'Dane do harmonogramu'!$E$13*((('Roboczy harmonogram_2'!B108-DATE(YEAR(B108),1,1)+1)/365)+((DATE(YEAR(B107),12,31)-'Roboczy harmonogram_2'!B107)/366))),IF(F108=1,(1+'Dane do harmonogramu'!$E$13*((('Roboczy harmonogram_2'!B108-DATE(YEAR(B108),1,1)+1)/366)+((DATE(YEAR(B107),12,31)-'Roboczy harmonogram_2'!B107)/365))),0))</f>
        <v>0</v>
      </c>
      <c r="H108">
        <f t="shared" ca="1" si="12"/>
        <v>0</v>
      </c>
      <c r="I108">
        <f t="shared" ca="1" si="13"/>
        <v>1.0068219178082192</v>
      </c>
      <c r="J108">
        <f t="shared" ca="1" si="14"/>
        <v>1.0068219178082192</v>
      </c>
      <c r="K108">
        <f ca="1">PRODUCT($J$3:J108)</f>
        <v>2.0697662468643556</v>
      </c>
      <c r="L108">
        <f t="shared" ca="1" si="15"/>
        <v>0.48314634636397957</v>
      </c>
      <c r="M108">
        <f ca="1">SUM($L$3:L108)</f>
        <v>75.192939379883967</v>
      </c>
      <c r="O108">
        <f t="shared" ca="1" si="16"/>
        <v>474.85333725171222</v>
      </c>
      <c r="P108" s="16">
        <f t="shared" ca="1" si="17"/>
        <v>4425.9794231509304</v>
      </c>
      <c r="Q108" s="17">
        <f t="shared" ca="1" si="18"/>
        <v>65181.035876798676</v>
      </c>
      <c r="S108">
        <f ca="1">IF(A108&lt;='Dane do harmonogramu'!$E$7,'Roboczy harmonogram_2'!P108,0)</f>
        <v>4425.9794231509304</v>
      </c>
      <c r="T108">
        <f ca="1">IF(A108&lt;='Dane do harmonogramu'!$E$7,'Roboczy harmonogram_2'!O108,0)</f>
        <v>474.85333725171222</v>
      </c>
      <c r="U108">
        <f ca="1">IF(A108&lt;='Dane do harmonogramu'!$E$7,$N$2,0)</f>
        <v>4900.8327604026426</v>
      </c>
      <c r="V108" s="16">
        <f ca="1">IF(A107&lt;='Dane do harmonogramu'!$E$7,Q107*0.15%,"")</f>
        <v>104.41052294992441</v>
      </c>
    </row>
    <row r="109" spans="1:22" x14ac:dyDescent="0.35">
      <c r="A109">
        <v>107</v>
      </c>
      <c r="B109" s="14">
        <f t="shared" ca="1" si="19"/>
        <v>49326</v>
      </c>
      <c r="C109" s="15">
        <f ca="1">(1+'Dane do harmonogramu'!$E$13*('Roboczy harmonogram_2'!B109-'Roboczy harmonogram_2'!B108)/365)</f>
        <v>1.0070493150684932</v>
      </c>
      <c r="D109" s="15">
        <f ca="1">(1+'Dane do harmonogramu'!$E$13*('Roboczy harmonogram_2'!B109-'Roboczy harmonogram_2'!B108)/366)</f>
        <v>1.0070300546448088</v>
      </c>
      <c r="E109" s="15">
        <f t="shared" ca="1" si="10"/>
        <v>0</v>
      </c>
      <c r="F109" s="15">
        <f t="shared" ca="1" si="11"/>
        <v>0</v>
      </c>
      <c r="G109">
        <f ca="1">IF(E109=1,(1+'Dane do harmonogramu'!$E$13*((('Roboczy harmonogram_2'!B109-DATE(YEAR(B109),1,1)+1)/365)+((DATE(YEAR(B108),12,31)-'Roboczy harmonogram_2'!B108)/366))),IF(F109=1,(1+'Dane do harmonogramu'!$E$13*((('Roboczy harmonogram_2'!B109-DATE(YEAR(B109),1,1)+1)/366)+((DATE(YEAR(B108),12,31)-'Roboczy harmonogram_2'!B108)/365))),0))</f>
        <v>0</v>
      </c>
      <c r="H109">
        <f t="shared" ca="1" si="12"/>
        <v>0</v>
      </c>
      <c r="I109">
        <f t="shared" ca="1" si="13"/>
        <v>1.0070493150684932</v>
      </c>
      <c r="J109">
        <f t="shared" ca="1" si="14"/>
        <v>1.0070493150684932</v>
      </c>
      <c r="K109">
        <f ca="1">PRODUCT($J$3:J109)</f>
        <v>2.0843566812566352</v>
      </c>
      <c r="L109">
        <f t="shared" ca="1" si="15"/>
        <v>0.47976433639808291</v>
      </c>
      <c r="M109">
        <f ca="1">SUM($L$3:L109)</f>
        <v>75.672703716282044</v>
      </c>
      <c r="O109">
        <f t="shared" ca="1" si="16"/>
        <v>459.48165838631394</v>
      </c>
      <c r="P109" s="16">
        <f t="shared" ca="1" si="17"/>
        <v>4441.3511020163287</v>
      </c>
      <c r="Q109" s="17">
        <f t="shared" ca="1" si="18"/>
        <v>60739.684774782349</v>
      </c>
      <c r="S109">
        <f ca="1">IF(A109&lt;='Dane do harmonogramu'!$E$7,'Roboczy harmonogram_2'!P109,0)</f>
        <v>4441.3511020163287</v>
      </c>
      <c r="T109">
        <f ca="1">IF(A109&lt;='Dane do harmonogramu'!$E$7,'Roboczy harmonogram_2'!O109,0)</f>
        <v>459.48165838631394</v>
      </c>
      <c r="U109">
        <f ca="1">IF(A109&lt;='Dane do harmonogramu'!$E$7,$N$2,0)</f>
        <v>4900.8327604026426</v>
      </c>
      <c r="V109" s="16">
        <f ca="1">IF(A108&lt;='Dane do harmonogramu'!$E$7,Q108*0.15%,"")</f>
        <v>97.771553815198018</v>
      </c>
    </row>
    <row r="110" spans="1:22" x14ac:dyDescent="0.35">
      <c r="A110">
        <v>108</v>
      </c>
      <c r="B110" s="14">
        <f t="shared" ca="1" si="19"/>
        <v>49357</v>
      </c>
      <c r="C110" s="15">
        <f ca="1">(1+'Dane do harmonogramu'!$E$13*('Roboczy harmonogram_2'!B110-'Roboczy harmonogram_2'!B109)/365)</f>
        <v>1.0070493150684932</v>
      </c>
      <c r="D110" s="15">
        <f ca="1">(1+'Dane do harmonogramu'!$E$13*('Roboczy harmonogram_2'!B110-'Roboczy harmonogram_2'!B109)/366)</f>
        <v>1.0070300546448088</v>
      </c>
      <c r="E110" s="15">
        <f t="shared" ca="1" si="10"/>
        <v>0</v>
      </c>
      <c r="F110" s="15">
        <f t="shared" ca="1" si="11"/>
        <v>0</v>
      </c>
      <c r="G110">
        <f ca="1">IF(E110=1,(1+'Dane do harmonogramu'!$E$13*((('Roboczy harmonogram_2'!B110-DATE(YEAR(B110),1,1)+1)/365)+((DATE(YEAR(B109),12,31)-'Roboczy harmonogram_2'!B109)/366))),IF(F110=1,(1+'Dane do harmonogramu'!$E$13*((('Roboczy harmonogram_2'!B110-DATE(YEAR(B110),1,1)+1)/366)+((DATE(YEAR(B109),12,31)-'Roboczy harmonogram_2'!B109)/365))),0))</f>
        <v>0</v>
      </c>
      <c r="H110">
        <f t="shared" ca="1" si="12"/>
        <v>0</v>
      </c>
      <c r="I110">
        <f t="shared" ca="1" si="13"/>
        <v>1.0070493150684932</v>
      </c>
      <c r="J110">
        <f t="shared" ca="1" si="14"/>
        <v>1.0070493150684932</v>
      </c>
      <c r="K110">
        <f ca="1">PRODUCT($J$3:J110)</f>
        <v>2.099049968217932</v>
      </c>
      <c r="L110">
        <f t="shared" ca="1" si="15"/>
        <v>0.47640600040073744</v>
      </c>
      <c r="M110">
        <f ca="1">SUM($L$3:L110)</f>
        <v>76.149109716682787</v>
      </c>
      <c r="O110">
        <f t="shared" ca="1" si="16"/>
        <v>428.17317513839953</v>
      </c>
      <c r="P110" s="16">
        <f t="shared" ca="1" si="17"/>
        <v>4472.6595852642431</v>
      </c>
      <c r="Q110" s="17">
        <f t="shared" ca="1" si="18"/>
        <v>56267.025189518106</v>
      </c>
      <c r="S110">
        <f ca="1">IF(A110&lt;='Dane do harmonogramu'!$E$7,'Roboczy harmonogram_2'!P110,0)</f>
        <v>4472.6595852642431</v>
      </c>
      <c r="T110">
        <f ca="1">IF(A110&lt;='Dane do harmonogramu'!$E$7,'Roboczy harmonogram_2'!O110,0)</f>
        <v>428.17317513839953</v>
      </c>
      <c r="U110">
        <f ca="1">IF(A110&lt;='Dane do harmonogramu'!$E$7,$N$2,0)</f>
        <v>4900.8327604026426</v>
      </c>
      <c r="V110" s="16">
        <f ca="1">IF(A109&lt;='Dane do harmonogramu'!$E$7,Q109*0.15%,"")</f>
        <v>91.109527162173521</v>
      </c>
    </row>
    <row r="111" spans="1:22" x14ac:dyDescent="0.35">
      <c r="A111">
        <v>109</v>
      </c>
      <c r="B111" s="14">
        <f t="shared" ca="1" si="19"/>
        <v>49385</v>
      </c>
      <c r="C111" s="15">
        <f ca="1">(1+'Dane do harmonogramu'!$E$13*('Roboczy harmonogram_2'!B111-'Roboczy harmonogram_2'!B110)/365)</f>
        <v>1.0063671232876712</v>
      </c>
      <c r="D111" s="15">
        <f ca="1">(1+'Dane do harmonogramu'!$E$13*('Roboczy harmonogram_2'!B111-'Roboczy harmonogram_2'!B110)/366)</f>
        <v>1.0063497267759562</v>
      </c>
      <c r="E111" s="15">
        <f t="shared" ca="1" si="10"/>
        <v>0</v>
      </c>
      <c r="F111" s="15">
        <f t="shared" ca="1" si="11"/>
        <v>0</v>
      </c>
      <c r="G111">
        <f ca="1">IF(E111=1,(1+'Dane do harmonogramu'!$E$13*((('Roboczy harmonogram_2'!B111-DATE(YEAR(B111),1,1)+1)/365)+((DATE(YEAR(B110),12,31)-'Roboczy harmonogram_2'!B110)/366))),IF(F111=1,(1+'Dane do harmonogramu'!$E$13*((('Roboczy harmonogram_2'!B111-DATE(YEAR(B111),1,1)+1)/366)+((DATE(YEAR(B110),12,31)-'Roboczy harmonogram_2'!B110)/365))),0))</f>
        <v>0</v>
      </c>
      <c r="H111">
        <f t="shared" ca="1" si="12"/>
        <v>0</v>
      </c>
      <c r="I111">
        <f t="shared" ca="1" si="13"/>
        <v>1.0063671232876712</v>
      </c>
      <c r="J111">
        <f t="shared" ca="1" si="14"/>
        <v>1.0063671232876712</v>
      </c>
      <c r="K111">
        <f ca="1">PRODUCT($J$3:J111)</f>
        <v>2.112414878152558</v>
      </c>
      <c r="L111">
        <f t="shared" ca="1" si="15"/>
        <v>0.47339185608963519</v>
      </c>
      <c r="M111">
        <f ca="1">SUM($L$3:L111)</f>
        <v>76.622501572772421</v>
      </c>
      <c r="O111">
        <f t="shared" ca="1" si="16"/>
        <v>358.25908641215938</v>
      </c>
      <c r="P111" s="16">
        <f t="shared" ca="1" si="17"/>
        <v>4542.5736739904833</v>
      </c>
      <c r="Q111" s="17">
        <f t="shared" ca="1" si="18"/>
        <v>51724.451515527624</v>
      </c>
      <c r="S111">
        <f ca="1">IF(A111&lt;='Dane do harmonogramu'!$E$7,'Roboczy harmonogram_2'!P111,0)</f>
        <v>4542.5736739904833</v>
      </c>
      <c r="T111">
        <f ca="1">IF(A111&lt;='Dane do harmonogramu'!$E$7,'Roboczy harmonogram_2'!O111,0)</f>
        <v>358.25908641215938</v>
      </c>
      <c r="U111">
        <f ca="1">IF(A111&lt;='Dane do harmonogramu'!$E$7,$N$2,0)</f>
        <v>4900.8327604026426</v>
      </c>
      <c r="V111" s="16">
        <f ca="1">IF(A110&lt;='Dane do harmonogramu'!$E$7,Q110*0.15%,"")</f>
        <v>84.400537784277162</v>
      </c>
    </row>
    <row r="112" spans="1:22" x14ac:dyDescent="0.35">
      <c r="A112">
        <v>110</v>
      </c>
      <c r="B112" s="14">
        <f t="shared" ca="1" si="19"/>
        <v>49416</v>
      </c>
      <c r="C112" s="15">
        <f ca="1">(1+'Dane do harmonogramu'!$E$13*('Roboczy harmonogram_2'!B112-'Roboczy harmonogram_2'!B111)/365)</f>
        <v>1.0070493150684932</v>
      </c>
      <c r="D112" s="15">
        <f ca="1">(1+'Dane do harmonogramu'!$E$13*('Roboczy harmonogram_2'!B112-'Roboczy harmonogram_2'!B111)/366)</f>
        <v>1.0070300546448088</v>
      </c>
      <c r="E112" s="15">
        <f t="shared" ca="1" si="10"/>
        <v>0</v>
      </c>
      <c r="F112" s="15">
        <f t="shared" ca="1" si="11"/>
        <v>0</v>
      </c>
      <c r="G112">
        <f ca="1">IF(E112=1,(1+'Dane do harmonogramu'!$E$13*((('Roboczy harmonogram_2'!B112-DATE(YEAR(B112),1,1)+1)/365)+((DATE(YEAR(B111),12,31)-'Roboczy harmonogram_2'!B111)/366))),IF(F112=1,(1+'Dane do harmonogramu'!$E$13*((('Roboczy harmonogram_2'!B112-DATE(YEAR(B112),1,1)+1)/366)+((DATE(YEAR(B111),12,31)-'Roboczy harmonogram_2'!B111)/365))),0))</f>
        <v>0</v>
      </c>
      <c r="H112">
        <f t="shared" ca="1" si="12"/>
        <v>0</v>
      </c>
      <c r="I112">
        <f t="shared" ca="1" si="13"/>
        <v>1.0070493150684932</v>
      </c>
      <c r="J112">
        <f t="shared" ca="1" si="14"/>
        <v>1.0070493150684932</v>
      </c>
      <c r="K112">
        <f ca="1">PRODUCT($J$3:J112)</f>
        <v>2.1273059561840282</v>
      </c>
      <c r="L112">
        <f t="shared" ca="1" si="15"/>
        <v>0.47007812726374576</v>
      </c>
      <c r="M112">
        <f ca="1">SUM($L$3:L112)</f>
        <v>77.092579700036168</v>
      </c>
      <c r="O112">
        <f t="shared" ca="1" si="16"/>
        <v>364.62195547795272</v>
      </c>
      <c r="P112" s="16">
        <f t="shared" ca="1" si="17"/>
        <v>4536.2108049246899</v>
      </c>
      <c r="Q112" s="17">
        <f t="shared" ca="1" si="18"/>
        <v>47188.240710602935</v>
      </c>
      <c r="S112">
        <f ca="1">IF(A112&lt;='Dane do harmonogramu'!$E$7,'Roboczy harmonogram_2'!P112,0)</f>
        <v>4536.2108049246899</v>
      </c>
      <c r="T112">
        <f ca="1">IF(A112&lt;='Dane do harmonogramu'!$E$7,'Roboczy harmonogram_2'!O112,0)</f>
        <v>364.62195547795272</v>
      </c>
      <c r="U112">
        <f ca="1">IF(A112&lt;='Dane do harmonogramu'!$E$7,$N$2,0)</f>
        <v>4900.8327604026426</v>
      </c>
      <c r="V112" s="16">
        <f ca="1">IF(A111&lt;='Dane do harmonogramu'!$E$7,Q111*0.15%,"")</f>
        <v>77.586677273291443</v>
      </c>
    </row>
    <row r="113" spans="1:22" x14ac:dyDescent="0.35">
      <c r="A113">
        <v>111</v>
      </c>
      <c r="B113" s="14">
        <f t="shared" ca="1" si="19"/>
        <v>49446</v>
      </c>
      <c r="C113" s="15">
        <f ca="1">(1+'Dane do harmonogramu'!$E$13*('Roboczy harmonogram_2'!B113-'Roboczy harmonogram_2'!B112)/365)</f>
        <v>1.0068219178082192</v>
      </c>
      <c r="D113" s="15">
        <f ca="1">(1+'Dane do harmonogramu'!$E$13*('Roboczy harmonogram_2'!B113-'Roboczy harmonogram_2'!B112)/366)</f>
        <v>1.0068032786885246</v>
      </c>
      <c r="E113" s="15">
        <f t="shared" ca="1" si="10"/>
        <v>0</v>
      </c>
      <c r="F113" s="15">
        <f t="shared" ca="1" si="11"/>
        <v>0</v>
      </c>
      <c r="G113">
        <f ca="1">IF(E113=1,(1+'Dane do harmonogramu'!$E$13*((('Roboczy harmonogram_2'!B113-DATE(YEAR(B113),1,1)+1)/365)+((DATE(YEAR(B112),12,31)-'Roboczy harmonogram_2'!B112)/366))),IF(F113=1,(1+'Dane do harmonogramu'!$E$13*((('Roboczy harmonogram_2'!B113-DATE(YEAR(B113),1,1)+1)/366)+((DATE(YEAR(B112),12,31)-'Roboczy harmonogram_2'!B112)/365))),0))</f>
        <v>0</v>
      </c>
      <c r="H113">
        <f t="shared" ca="1" si="12"/>
        <v>0</v>
      </c>
      <c r="I113">
        <f t="shared" ca="1" si="13"/>
        <v>1.0068219178082192</v>
      </c>
      <c r="J113">
        <f t="shared" ca="1" si="14"/>
        <v>1.0068219178082192</v>
      </c>
      <c r="K113">
        <f ca="1">PRODUCT($J$3:J113)</f>
        <v>2.1418182625700508</v>
      </c>
      <c r="L113">
        <f t="shared" ca="1" si="15"/>
        <v>0.46689302144620859</v>
      </c>
      <c r="M113">
        <f ca="1">SUM($L$3:L113)</f>
        <v>77.559472721482379</v>
      </c>
      <c r="O113">
        <f t="shared" ca="1" si="16"/>
        <v>321.91429964219424</v>
      </c>
      <c r="P113" s="16">
        <f t="shared" ca="1" si="17"/>
        <v>4578.9184607604484</v>
      </c>
      <c r="Q113" s="17">
        <f t="shared" ca="1" si="18"/>
        <v>42609.322249842488</v>
      </c>
      <c r="S113">
        <f ca="1">IF(A113&lt;='Dane do harmonogramu'!$E$7,'Roboczy harmonogram_2'!P113,0)</f>
        <v>4578.9184607604484</v>
      </c>
      <c r="T113">
        <f ca="1">IF(A113&lt;='Dane do harmonogramu'!$E$7,'Roboczy harmonogram_2'!O113,0)</f>
        <v>321.91429964219424</v>
      </c>
      <c r="U113">
        <f ca="1">IF(A113&lt;='Dane do harmonogramu'!$E$7,$N$2,0)</f>
        <v>4900.8327604026426</v>
      </c>
      <c r="V113" s="16">
        <f ca="1">IF(A112&lt;='Dane do harmonogramu'!$E$7,Q112*0.15%,"")</f>
        <v>70.782361065904411</v>
      </c>
    </row>
    <row r="114" spans="1:22" x14ac:dyDescent="0.35">
      <c r="A114">
        <v>112</v>
      </c>
      <c r="B114" s="14">
        <f t="shared" ca="1" si="19"/>
        <v>49477</v>
      </c>
      <c r="C114" s="15">
        <f ca="1">(1+'Dane do harmonogramu'!$E$13*('Roboczy harmonogram_2'!B114-'Roboczy harmonogram_2'!B113)/365)</f>
        <v>1.0070493150684932</v>
      </c>
      <c r="D114" s="15">
        <f ca="1">(1+'Dane do harmonogramu'!$E$13*('Roboczy harmonogram_2'!B114-'Roboczy harmonogram_2'!B113)/366)</f>
        <v>1.0070300546448088</v>
      </c>
      <c r="E114" s="15">
        <f t="shared" ca="1" si="10"/>
        <v>0</v>
      </c>
      <c r="F114" s="15">
        <f t="shared" ca="1" si="11"/>
        <v>0</v>
      </c>
      <c r="G114">
        <f ca="1">IF(E114=1,(1+'Dane do harmonogramu'!$E$13*((('Roboczy harmonogram_2'!B114-DATE(YEAR(B114),1,1)+1)/365)+((DATE(YEAR(B113),12,31)-'Roboczy harmonogram_2'!B113)/366))),IF(F114=1,(1+'Dane do harmonogramu'!$E$13*((('Roboczy harmonogram_2'!B114-DATE(YEAR(B114),1,1)+1)/366)+((DATE(YEAR(B113),12,31)-'Roboczy harmonogram_2'!B113)/365))),0))</f>
        <v>0</v>
      </c>
      <c r="H114">
        <f t="shared" ca="1" si="12"/>
        <v>0</v>
      </c>
      <c r="I114">
        <f t="shared" ca="1" si="13"/>
        <v>1.0070493150684932</v>
      </c>
      <c r="J114">
        <f t="shared" ca="1" si="14"/>
        <v>1.0070493150684932</v>
      </c>
      <c r="K114">
        <f ca="1">PRODUCT($J$3:J114)</f>
        <v>2.1569166143223595</v>
      </c>
      <c r="L114">
        <f t="shared" ca="1" si="15"/>
        <v>0.46362478426833897</v>
      </c>
      <c r="M114">
        <f ca="1">SUM($L$3:L114)</f>
        <v>78.023097505750712</v>
      </c>
      <c r="O114">
        <f t="shared" ca="1" si="16"/>
        <v>300.36653739409667</v>
      </c>
      <c r="P114" s="16">
        <f t="shared" ca="1" si="17"/>
        <v>4600.466223008546</v>
      </c>
      <c r="Q114" s="17">
        <f t="shared" ca="1" si="18"/>
        <v>38008.856026833942</v>
      </c>
      <c r="S114">
        <f ca="1">IF(A114&lt;='Dane do harmonogramu'!$E$7,'Roboczy harmonogram_2'!P114,0)</f>
        <v>4600.466223008546</v>
      </c>
      <c r="T114">
        <f ca="1">IF(A114&lt;='Dane do harmonogramu'!$E$7,'Roboczy harmonogram_2'!O114,0)</f>
        <v>300.36653739409667</v>
      </c>
      <c r="U114">
        <f ca="1">IF(A114&lt;='Dane do harmonogramu'!$E$7,$N$2,0)</f>
        <v>4900.8327604026426</v>
      </c>
      <c r="V114" s="16">
        <f ca="1">IF(A113&lt;='Dane do harmonogramu'!$E$7,Q113*0.15%,"")</f>
        <v>63.913983374763731</v>
      </c>
    </row>
    <row r="115" spans="1:22" x14ac:dyDescent="0.35">
      <c r="A115">
        <v>113</v>
      </c>
      <c r="B115" s="14">
        <f t="shared" ca="1" si="19"/>
        <v>49507</v>
      </c>
      <c r="C115" s="15">
        <f ca="1">(1+'Dane do harmonogramu'!$E$13*('Roboczy harmonogram_2'!B115-'Roboczy harmonogram_2'!B114)/365)</f>
        <v>1.0068219178082192</v>
      </c>
      <c r="D115" s="15">
        <f ca="1">(1+'Dane do harmonogramu'!$E$13*('Roboczy harmonogram_2'!B115-'Roboczy harmonogram_2'!B114)/366)</f>
        <v>1.0068032786885246</v>
      </c>
      <c r="E115" s="15">
        <f t="shared" ca="1" si="10"/>
        <v>0</v>
      </c>
      <c r="F115" s="15">
        <f t="shared" ca="1" si="11"/>
        <v>0</v>
      </c>
      <c r="G115">
        <f ca="1">IF(E115=1,(1+'Dane do harmonogramu'!$E$13*((('Roboczy harmonogram_2'!B115-DATE(YEAR(B115),1,1)+1)/365)+((DATE(YEAR(B114),12,31)-'Roboczy harmonogram_2'!B114)/366))),IF(F115=1,(1+'Dane do harmonogramu'!$E$13*((('Roboczy harmonogram_2'!B115-DATE(YEAR(B115),1,1)+1)/366)+((DATE(YEAR(B114),12,31)-'Roboczy harmonogram_2'!B114)/365))),0))</f>
        <v>0</v>
      </c>
      <c r="H115">
        <f t="shared" ca="1" si="12"/>
        <v>0</v>
      </c>
      <c r="I115">
        <f t="shared" ca="1" si="13"/>
        <v>1.0068219178082192</v>
      </c>
      <c r="J115">
        <f t="shared" ca="1" si="14"/>
        <v>1.0068219178082192</v>
      </c>
      <c r="K115">
        <f ca="1">PRODUCT($J$3:J115)</f>
        <v>2.1716309221844492</v>
      </c>
      <c r="L115">
        <f t="shared" ca="1" si="15"/>
        <v>0.46048340433193746</v>
      </c>
      <c r="M115">
        <f ca="1">SUM($L$3:L115)</f>
        <v>78.483580910082651</v>
      </c>
      <c r="O115">
        <f t="shared" ca="1" si="16"/>
        <v>259.29329179949855</v>
      </c>
      <c r="P115" s="16">
        <f t="shared" ca="1" si="17"/>
        <v>4641.5394686031441</v>
      </c>
      <c r="Q115" s="17">
        <f t="shared" ca="1" si="18"/>
        <v>33367.316558230799</v>
      </c>
      <c r="S115">
        <f ca="1">IF(A115&lt;='Dane do harmonogramu'!$E$7,'Roboczy harmonogram_2'!P115,0)</f>
        <v>4641.5394686031441</v>
      </c>
      <c r="T115">
        <f ca="1">IF(A115&lt;='Dane do harmonogramu'!$E$7,'Roboczy harmonogram_2'!O115,0)</f>
        <v>259.29329179949855</v>
      </c>
      <c r="U115">
        <f ca="1">IF(A115&lt;='Dane do harmonogramu'!$E$7,$N$2,0)</f>
        <v>4900.8327604026426</v>
      </c>
      <c r="V115" s="16">
        <f ca="1">IF(A114&lt;='Dane do harmonogramu'!$E$7,Q114*0.15%,"")</f>
        <v>57.013284040250916</v>
      </c>
    </row>
    <row r="116" spans="1:22" x14ac:dyDescent="0.35">
      <c r="A116">
        <v>114</v>
      </c>
      <c r="B116" s="14">
        <f t="shared" ca="1" si="19"/>
        <v>49538</v>
      </c>
      <c r="C116" s="15">
        <f ca="1">(1+'Dane do harmonogramu'!$E$13*('Roboczy harmonogram_2'!B116-'Roboczy harmonogram_2'!B115)/365)</f>
        <v>1.0070493150684932</v>
      </c>
      <c r="D116" s="15">
        <f ca="1">(1+'Dane do harmonogramu'!$E$13*('Roboczy harmonogram_2'!B116-'Roboczy harmonogram_2'!B115)/366)</f>
        <v>1.0070300546448088</v>
      </c>
      <c r="E116" s="15">
        <f t="shared" ca="1" si="10"/>
        <v>0</v>
      </c>
      <c r="F116" s="15">
        <f t="shared" ca="1" si="11"/>
        <v>0</v>
      </c>
      <c r="G116">
        <f ca="1">IF(E116=1,(1+'Dane do harmonogramu'!$E$13*((('Roboczy harmonogram_2'!B116-DATE(YEAR(B116),1,1)+1)/365)+((DATE(YEAR(B115),12,31)-'Roboczy harmonogram_2'!B115)/366))),IF(F116=1,(1+'Dane do harmonogramu'!$E$13*((('Roboczy harmonogram_2'!B116-DATE(YEAR(B116),1,1)+1)/366)+((DATE(YEAR(B115),12,31)-'Roboczy harmonogram_2'!B115)/365))),0))</f>
        <v>0</v>
      </c>
      <c r="H116">
        <f t="shared" ca="1" si="12"/>
        <v>0</v>
      </c>
      <c r="I116">
        <f t="shared" ca="1" si="13"/>
        <v>1.0070493150684932</v>
      </c>
      <c r="J116">
        <f t="shared" ca="1" si="14"/>
        <v>1.0070493150684932</v>
      </c>
      <c r="K116">
        <f ca="1">PRODUCT($J$3:J116)</f>
        <v>2.1869394327674097</v>
      </c>
      <c r="L116">
        <f t="shared" ca="1" si="15"/>
        <v>0.45726003428205331</v>
      </c>
      <c r="M116">
        <f ca="1">SUM($L$3:L116)</f>
        <v>78.940840944364709</v>
      </c>
      <c r="O116">
        <f t="shared" ca="1" si="16"/>
        <v>235.2167274091189</v>
      </c>
      <c r="P116" s="16">
        <f t="shared" ca="1" si="17"/>
        <v>4665.6160329935237</v>
      </c>
      <c r="Q116" s="17">
        <f t="shared" ca="1" si="18"/>
        <v>28701.700525237276</v>
      </c>
      <c r="S116">
        <f ca="1">IF(A116&lt;='Dane do harmonogramu'!$E$7,'Roboczy harmonogram_2'!P116,0)</f>
        <v>4665.6160329935237</v>
      </c>
      <c r="T116">
        <f ca="1">IF(A116&lt;='Dane do harmonogramu'!$E$7,'Roboczy harmonogram_2'!O116,0)</f>
        <v>235.2167274091189</v>
      </c>
      <c r="U116">
        <f ca="1">IF(A116&lt;='Dane do harmonogramu'!$E$7,$N$2,0)</f>
        <v>4900.8327604026426</v>
      </c>
      <c r="V116" s="16">
        <f ca="1">IF(A115&lt;='Dane do harmonogramu'!$E$7,Q115*0.15%,"")</f>
        <v>50.050974837346203</v>
      </c>
    </row>
    <row r="117" spans="1:22" x14ac:dyDescent="0.35">
      <c r="A117">
        <v>115</v>
      </c>
      <c r="B117" s="14">
        <f t="shared" ca="1" si="19"/>
        <v>49569</v>
      </c>
      <c r="C117" s="15">
        <f ca="1">(1+'Dane do harmonogramu'!$E$13*('Roboczy harmonogram_2'!B117-'Roboczy harmonogram_2'!B116)/365)</f>
        <v>1.0070493150684932</v>
      </c>
      <c r="D117" s="15">
        <f ca="1">(1+'Dane do harmonogramu'!$E$13*('Roboczy harmonogram_2'!B117-'Roboczy harmonogram_2'!B116)/366)</f>
        <v>1.0070300546448088</v>
      </c>
      <c r="E117" s="15">
        <f t="shared" ca="1" si="10"/>
        <v>0</v>
      </c>
      <c r="F117" s="15">
        <f t="shared" ca="1" si="11"/>
        <v>0</v>
      </c>
      <c r="G117">
        <f ca="1">IF(E117=1,(1+'Dane do harmonogramu'!$E$13*((('Roboczy harmonogram_2'!B117-DATE(YEAR(B117),1,1)+1)/365)+((DATE(YEAR(B116),12,31)-'Roboczy harmonogram_2'!B116)/366))),IF(F117=1,(1+'Dane do harmonogramu'!$E$13*((('Roboczy harmonogram_2'!B117-DATE(YEAR(B117),1,1)+1)/366)+((DATE(YEAR(B116),12,31)-'Roboczy harmonogram_2'!B116)/365))),0))</f>
        <v>0</v>
      </c>
      <c r="H117">
        <f t="shared" ca="1" si="12"/>
        <v>0</v>
      </c>
      <c r="I117">
        <f t="shared" ca="1" si="13"/>
        <v>1.0070493150684932</v>
      </c>
      <c r="J117">
        <f t="shared" ca="1" si="14"/>
        <v>1.0070493150684932</v>
      </c>
      <c r="K117">
        <f ca="1">PRODUCT($J$3:J117)</f>
        <v>2.2023558578646987</v>
      </c>
      <c r="L117">
        <f t="shared" ca="1" si="15"/>
        <v>0.45405922772605573</v>
      </c>
      <c r="M117">
        <f ca="1">SUM($L$3:L117)</f>
        <v>79.394900172090757</v>
      </c>
      <c r="O117">
        <f t="shared" ca="1" si="16"/>
        <v>202.32733000393273</v>
      </c>
      <c r="P117" s="16">
        <f t="shared" ca="1" si="17"/>
        <v>4698.5054303987099</v>
      </c>
      <c r="Q117" s="17">
        <f t="shared" ca="1" si="18"/>
        <v>24003.195094838567</v>
      </c>
      <c r="S117">
        <f ca="1">IF(A117&lt;='Dane do harmonogramu'!$E$7,'Roboczy harmonogram_2'!P117,0)</f>
        <v>4698.5054303987099</v>
      </c>
      <c r="T117">
        <f ca="1">IF(A117&lt;='Dane do harmonogramu'!$E$7,'Roboczy harmonogram_2'!O117,0)</f>
        <v>202.32733000393273</v>
      </c>
      <c r="U117">
        <f ca="1">IF(A117&lt;='Dane do harmonogramu'!$E$7,$N$2,0)</f>
        <v>4900.8327604026426</v>
      </c>
      <c r="V117" s="16">
        <f ca="1">IF(A116&lt;='Dane do harmonogramu'!$E$7,Q116*0.15%,"")</f>
        <v>43.052550787855914</v>
      </c>
    </row>
    <row r="118" spans="1:22" x14ac:dyDescent="0.35">
      <c r="A118">
        <v>116</v>
      </c>
      <c r="B118" s="14">
        <f t="shared" ca="1" si="19"/>
        <v>49599</v>
      </c>
      <c r="C118" s="15">
        <f ca="1">(1+'Dane do harmonogramu'!$E$13*('Roboczy harmonogram_2'!B118-'Roboczy harmonogram_2'!B117)/365)</f>
        <v>1.0068219178082192</v>
      </c>
      <c r="D118" s="15">
        <f ca="1">(1+'Dane do harmonogramu'!$E$13*('Roboczy harmonogram_2'!B118-'Roboczy harmonogram_2'!B117)/366)</f>
        <v>1.0068032786885246</v>
      </c>
      <c r="E118" s="15">
        <f t="shared" ca="1" si="10"/>
        <v>0</v>
      </c>
      <c r="F118" s="15">
        <f t="shared" ca="1" si="11"/>
        <v>0</v>
      </c>
      <c r="G118">
        <f ca="1">IF(E118=1,(1+'Dane do harmonogramu'!$E$13*((('Roboczy harmonogram_2'!B118-DATE(YEAR(B118),1,1)+1)/365)+((DATE(YEAR(B117),12,31)-'Roboczy harmonogram_2'!B117)/366))),IF(F118=1,(1+'Dane do harmonogramu'!$E$13*((('Roboczy harmonogram_2'!B118-DATE(YEAR(B118),1,1)+1)/366)+((DATE(YEAR(B117),12,31)-'Roboczy harmonogram_2'!B117)/365))),0))</f>
        <v>0</v>
      </c>
      <c r="H118">
        <f t="shared" ca="1" si="12"/>
        <v>0</v>
      </c>
      <c r="I118">
        <f t="shared" ca="1" si="13"/>
        <v>1.0068219178082192</v>
      </c>
      <c r="J118">
        <f t="shared" ca="1" si="14"/>
        <v>1.0068219178082192</v>
      </c>
      <c r="K118">
        <f ca="1">PRODUCT($J$3:J118)</f>
        <v>2.2173801485115017</v>
      </c>
      <c r="L118">
        <f t="shared" ca="1" si="15"/>
        <v>0.45098266107924118</v>
      </c>
      <c r="M118">
        <f ca="1">SUM($L$3:L118)</f>
        <v>79.845882833169995</v>
      </c>
      <c r="O118">
        <f t="shared" ca="1" si="16"/>
        <v>163.7478240716373</v>
      </c>
      <c r="P118" s="16">
        <f t="shared" ca="1" si="17"/>
        <v>4737.0849363310053</v>
      </c>
      <c r="Q118" s="17">
        <f t="shared" ca="1" si="18"/>
        <v>19266.110158507563</v>
      </c>
      <c r="S118">
        <f ca="1">IF(A118&lt;='Dane do harmonogramu'!$E$7,'Roboczy harmonogram_2'!P118,0)</f>
        <v>4737.0849363310053</v>
      </c>
      <c r="T118">
        <f ca="1">IF(A118&lt;='Dane do harmonogramu'!$E$7,'Roboczy harmonogram_2'!O118,0)</f>
        <v>163.7478240716373</v>
      </c>
      <c r="U118">
        <f ca="1">IF(A118&lt;='Dane do harmonogramu'!$E$7,$N$2,0)</f>
        <v>4900.8327604026426</v>
      </c>
      <c r="V118" s="16">
        <f ca="1">IF(A117&lt;='Dane do harmonogramu'!$E$7,Q117*0.15%,"")</f>
        <v>36.004792642257854</v>
      </c>
    </row>
    <row r="119" spans="1:22" x14ac:dyDescent="0.35">
      <c r="A119">
        <v>117</v>
      </c>
      <c r="B119" s="14">
        <f t="shared" ca="1" si="19"/>
        <v>49630</v>
      </c>
      <c r="C119" s="15">
        <f ca="1">(1+'Dane do harmonogramu'!$E$13*('Roboczy harmonogram_2'!B119-'Roboczy harmonogram_2'!B118)/365)</f>
        <v>1.0070493150684932</v>
      </c>
      <c r="D119" s="15">
        <f ca="1">(1+'Dane do harmonogramu'!$E$13*('Roboczy harmonogram_2'!B119-'Roboczy harmonogram_2'!B118)/366)</f>
        <v>1.0070300546448088</v>
      </c>
      <c r="E119" s="15">
        <f t="shared" ca="1" si="10"/>
        <v>0</v>
      </c>
      <c r="F119" s="15">
        <f t="shared" ca="1" si="11"/>
        <v>0</v>
      </c>
      <c r="G119">
        <f ca="1">IF(E119=1,(1+'Dane do harmonogramu'!$E$13*((('Roboczy harmonogram_2'!B119-DATE(YEAR(B119),1,1)+1)/365)+((DATE(YEAR(B118),12,31)-'Roboczy harmonogram_2'!B118)/366))),IF(F119=1,(1+'Dane do harmonogramu'!$E$13*((('Roboczy harmonogram_2'!B119-DATE(YEAR(B119),1,1)+1)/366)+((DATE(YEAR(B118),12,31)-'Roboczy harmonogram_2'!B118)/365))),0))</f>
        <v>0</v>
      </c>
      <c r="H119">
        <f t="shared" ca="1" si="12"/>
        <v>0</v>
      </c>
      <c r="I119">
        <f t="shared" ca="1" si="13"/>
        <v>1.0070493150684932</v>
      </c>
      <c r="J119">
        <f t="shared" ca="1" si="14"/>
        <v>1.0070493150684932</v>
      </c>
      <c r="K119">
        <f ca="1">PRODUCT($J$3:J119)</f>
        <v>2.2330111598049815</v>
      </c>
      <c r="L119">
        <f t="shared" ca="1" si="15"/>
        <v>0.4478257959478063</v>
      </c>
      <c r="M119">
        <f ca="1">SUM($L$3:L119)</f>
        <v>80.293708629117802</v>
      </c>
      <c r="O119">
        <f t="shared" ca="1" si="16"/>
        <v>135.81288065161789</v>
      </c>
      <c r="P119" s="16">
        <f t="shared" ca="1" si="17"/>
        <v>4765.0198797510247</v>
      </c>
      <c r="Q119" s="17">
        <f t="shared" ca="1" si="18"/>
        <v>14501.090278756539</v>
      </c>
      <c r="S119">
        <f ca="1">IF(A119&lt;='Dane do harmonogramu'!$E$7,'Roboczy harmonogram_2'!P119,0)</f>
        <v>4765.0198797510247</v>
      </c>
      <c r="T119">
        <f ca="1">IF(A119&lt;='Dane do harmonogramu'!$E$7,'Roboczy harmonogram_2'!O119,0)</f>
        <v>135.81288065161789</v>
      </c>
      <c r="U119">
        <f ca="1">IF(A119&lt;='Dane do harmonogramu'!$E$7,$N$2,0)</f>
        <v>4900.8327604026426</v>
      </c>
      <c r="V119" s="16">
        <f ca="1">IF(A118&lt;='Dane do harmonogramu'!$E$7,Q118*0.15%,"")</f>
        <v>28.899165237761345</v>
      </c>
    </row>
    <row r="120" spans="1:22" x14ac:dyDescent="0.35">
      <c r="A120">
        <v>118</v>
      </c>
      <c r="B120" s="14">
        <f t="shared" ca="1" si="19"/>
        <v>49660</v>
      </c>
      <c r="C120" s="15">
        <f ca="1">(1+'Dane do harmonogramu'!$E$13*('Roboczy harmonogram_2'!B120-'Roboczy harmonogram_2'!B119)/365)</f>
        <v>1.0068219178082192</v>
      </c>
      <c r="D120" s="15">
        <f ca="1">(1+'Dane do harmonogramu'!$E$13*('Roboczy harmonogram_2'!B120-'Roboczy harmonogram_2'!B119)/366)</f>
        <v>1.0068032786885246</v>
      </c>
      <c r="E120" s="15">
        <f t="shared" ca="1" si="10"/>
        <v>0</v>
      </c>
      <c r="F120" s="15">
        <f t="shared" ca="1" si="11"/>
        <v>0</v>
      </c>
      <c r="G120">
        <f ca="1">IF(E120=1,(1+'Dane do harmonogramu'!$E$13*((('Roboczy harmonogram_2'!B120-DATE(YEAR(B120),1,1)+1)/365)+((DATE(YEAR(B119),12,31)-'Roboczy harmonogram_2'!B119)/366))),IF(F120=1,(1+'Dane do harmonogramu'!$E$13*((('Roboczy harmonogram_2'!B120-DATE(YEAR(B120),1,1)+1)/366)+((DATE(YEAR(B119),12,31)-'Roboczy harmonogram_2'!B119)/365))),0))</f>
        <v>0</v>
      </c>
      <c r="H120">
        <f t="shared" ca="1" si="12"/>
        <v>0</v>
      </c>
      <c r="I120">
        <f t="shared" ca="1" si="13"/>
        <v>1.0068219178082192</v>
      </c>
      <c r="J120">
        <f t="shared" ca="1" si="14"/>
        <v>1.0068219178082192</v>
      </c>
      <c r="K120">
        <f ca="1">PRODUCT($J$3:J120)</f>
        <v>2.2482445784020073</v>
      </c>
      <c r="L120">
        <f t="shared" ca="1" si="15"/>
        <v>0.44479146513088602</v>
      </c>
      <c r="M120">
        <f ca="1">SUM($L$3:L120)</f>
        <v>80.738500094248693</v>
      </c>
      <c r="O120">
        <f t="shared" ca="1" si="16"/>
        <v>98.925246011243871</v>
      </c>
      <c r="P120" s="16">
        <f t="shared" ca="1" si="17"/>
        <v>4801.9075143913988</v>
      </c>
      <c r="Q120" s="17">
        <f t="shared" ca="1" si="18"/>
        <v>9699.1827643651413</v>
      </c>
      <c r="S120">
        <f ca="1">IF(A120&lt;='Dane do harmonogramu'!$E$7,'Roboczy harmonogram_2'!P120,0)</f>
        <v>4801.9075143913988</v>
      </c>
      <c r="T120">
        <f ca="1">IF(A120&lt;='Dane do harmonogramu'!$E$7,'Roboczy harmonogram_2'!O120,0)</f>
        <v>98.925246011243871</v>
      </c>
      <c r="U120">
        <f ca="1">IF(A120&lt;='Dane do harmonogramu'!$E$7,$N$2,0)</f>
        <v>4900.8327604026426</v>
      </c>
      <c r="V120" s="16">
        <f ca="1">IF(A119&lt;='Dane do harmonogramu'!$E$7,Q119*0.15%,"")</f>
        <v>21.751635418134811</v>
      </c>
    </row>
    <row r="121" spans="1:22" x14ac:dyDescent="0.35">
      <c r="A121">
        <v>119</v>
      </c>
      <c r="B121" s="14">
        <f t="shared" ca="1" si="19"/>
        <v>49691</v>
      </c>
      <c r="C121" s="15">
        <f ca="1">(1+'Dane do harmonogramu'!$E$13*('Roboczy harmonogram_2'!B121-'Roboczy harmonogram_2'!B120)/365)</f>
        <v>1.0070493150684932</v>
      </c>
      <c r="D121" s="15">
        <f ca="1">(1+'Dane do harmonogramu'!$E$13*('Roboczy harmonogram_2'!B121-'Roboczy harmonogram_2'!B120)/366)</f>
        <v>1.0070300546448088</v>
      </c>
      <c r="E121" s="15">
        <f t="shared" ca="1" si="10"/>
        <v>0</v>
      </c>
      <c r="F121" s="15">
        <f t="shared" ca="1" si="11"/>
        <v>1</v>
      </c>
      <c r="G121">
        <f ca="1">IF(E121=1,(1+'Dane do harmonogramu'!$E$13*((('Roboczy harmonogram_2'!B121-DATE(YEAR(B121),1,1)+1)/365)+((DATE(YEAR(B120),12,31)-'Roboczy harmonogram_2'!B120)/366))),IF(F121=1,(1+'Dane do harmonogramu'!$E$13*((('Roboczy harmonogram_2'!B121-DATE(YEAR(B121),1,1)+1)/366)+((DATE(YEAR(B120),12,31)-'Roboczy harmonogram_2'!B120)/365))),0))</f>
        <v>1.0070387529006661</v>
      </c>
      <c r="H121">
        <f t="shared" ca="1" si="12"/>
        <v>1</v>
      </c>
      <c r="I121">
        <f t="shared" ca="1" si="13"/>
        <v>1.0070300546448088</v>
      </c>
      <c r="J121">
        <f t="shared" ca="1" si="14"/>
        <v>1.0070387529006661</v>
      </c>
      <c r="K121">
        <f ca="1">PRODUCT($J$3:J121)</f>
        <v>2.2640694164496415</v>
      </c>
      <c r="L121">
        <f t="shared" ca="1" si="15"/>
        <v>0.44168257065551086</v>
      </c>
      <c r="M121">
        <f ca="1">SUM($L$3:L121)</f>
        <v>81.180182664904208</v>
      </c>
      <c r="O121">
        <f t="shared" ca="1" si="16"/>
        <v>68.270150816766545</v>
      </c>
      <c r="P121" s="16">
        <f t="shared" ca="1" si="17"/>
        <v>4832.5626095858761</v>
      </c>
      <c r="Q121" s="17">
        <f t="shared" ca="1" si="18"/>
        <v>4866.6201547792652</v>
      </c>
      <c r="S121">
        <f ca="1">IF(A121&lt;='Dane do harmonogramu'!$E$7,'Roboczy harmonogram_2'!P121,0)</f>
        <v>4832.5626095858761</v>
      </c>
      <c r="T121">
        <f ca="1">IF(A121&lt;='Dane do harmonogramu'!$E$7,'Roboczy harmonogram_2'!O121,0)</f>
        <v>68.270150816766545</v>
      </c>
      <c r="U121">
        <f ca="1">IF(A121&lt;='Dane do harmonogramu'!$E$7,$N$2,0)</f>
        <v>4900.8327604026426</v>
      </c>
      <c r="V121" s="16">
        <f ca="1">IF(A120&lt;='Dane do harmonogramu'!$E$7,Q120*0.15%,"")</f>
        <v>14.548774146547713</v>
      </c>
    </row>
    <row r="122" spans="1:22" x14ac:dyDescent="0.35">
      <c r="A122">
        <v>120</v>
      </c>
      <c r="B122" s="14">
        <f t="shared" ca="1" si="19"/>
        <v>49722</v>
      </c>
      <c r="C122" s="15">
        <f ca="1">(1+'Dane do harmonogramu'!$E$13*('Roboczy harmonogram_2'!B122-'Roboczy harmonogram_2'!B121)/365)</f>
        <v>1.0070493150684932</v>
      </c>
      <c r="D122" s="15">
        <f ca="1">(1+'Dane do harmonogramu'!$E$13*('Roboczy harmonogram_2'!B122-'Roboczy harmonogram_2'!B121)/366)</f>
        <v>1.0070300546448088</v>
      </c>
      <c r="E122" s="15">
        <f t="shared" ca="1" si="10"/>
        <v>0</v>
      </c>
      <c r="F122" s="15">
        <f t="shared" ca="1" si="11"/>
        <v>0</v>
      </c>
      <c r="G122">
        <f ca="1">IF(E122=1,(1+'Dane do harmonogramu'!$E$13*((('Roboczy harmonogram_2'!B122-DATE(YEAR(B122),1,1)+1)/365)+((DATE(YEAR(B121),12,31)-'Roboczy harmonogram_2'!B121)/366))),IF(F122=1,(1+'Dane do harmonogramu'!$E$13*((('Roboczy harmonogram_2'!B122-DATE(YEAR(B122),1,1)+1)/366)+((DATE(YEAR(B121),12,31)-'Roboczy harmonogram_2'!B121)/365))),0))</f>
        <v>0</v>
      </c>
      <c r="H122">
        <f t="shared" ca="1" si="12"/>
        <v>1</v>
      </c>
      <c r="I122">
        <f t="shared" ca="1" si="13"/>
        <v>1.0070300546448088</v>
      </c>
      <c r="J122">
        <f t="shared" ca="1" si="14"/>
        <v>1.0070300546448088</v>
      </c>
      <c r="K122">
        <f ca="1">PRODUCT($J$3:J122)</f>
        <v>2.2799859481669227</v>
      </c>
      <c r="L122">
        <f t="shared" ca="1" si="15"/>
        <v>0.43859919435204686</v>
      </c>
      <c r="M122">
        <f ca="1">SUM($L$3:L122)</f>
        <v>81.618781859256259</v>
      </c>
      <c r="O122">
        <f t="shared" ca="1" si="16"/>
        <v>34.212605623625677</v>
      </c>
      <c r="P122" s="16">
        <f t="shared" ca="1" si="17"/>
        <v>4866.620154779017</v>
      </c>
      <c r="Q122" s="17">
        <f t="shared" ca="1" si="18"/>
        <v>2.4829205358400941E-10</v>
      </c>
      <c r="S122">
        <f ca="1">IF(A122&lt;='Dane do harmonogramu'!$E$7,'Roboczy harmonogram_2'!P122,0)</f>
        <v>4866.620154779017</v>
      </c>
      <c r="T122">
        <f ca="1">IF(A122&lt;='Dane do harmonogramu'!$E$7,'Roboczy harmonogram_2'!O122,0)</f>
        <v>34.212605623625677</v>
      </c>
      <c r="U122">
        <f ca="1">IF(A122&lt;='Dane do harmonogramu'!$E$7,$N$2,0)</f>
        <v>4900.8327604026426</v>
      </c>
      <c r="V122" s="16">
        <f ca="1">IF(A121&lt;='Dane do harmonogramu'!$E$7,Q121*0.15%,"")</f>
        <v>7.2999302321688981</v>
      </c>
    </row>
    <row r="123" spans="1:22" x14ac:dyDescent="0.35">
      <c r="A123">
        <v>121</v>
      </c>
      <c r="B123" s="14">
        <f t="shared" ca="1" si="19"/>
        <v>49751</v>
      </c>
      <c r="C123" s="15">
        <f ca="1">(1+'Dane do harmonogramu'!$E$13*('Roboczy harmonogram_2'!B123-'Roboczy harmonogram_2'!B122)/365)</f>
        <v>1.0065945205479452</v>
      </c>
      <c r="D123" s="15">
        <f ca="1">(1+'Dane do harmonogramu'!$E$13*('Roboczy harmonogram_2'!B123-'Roboczy harmonogram_2'!B122)/366)</f>
        <v>1.0065765027322404</v>
      </c>
      <c r="E123" s="15">
        <f t="shared" ca="1" si="10"/>
        <v>0</v>
      </c>
      <c r="F123" s="15">
        <f t="shared" ca="1" si="11"/>
        <v>0</v>
      </c>
      <c r="G123">
        <f ca="1">IF(E123=1,(1+'Dane do harmonogramu'!$E$13*((('Roboczy harmonogram_2'!B123-DATE(YEAR(B123),1,1)+1)/365)+((DATE(YEAR(B122),12,31)-'Roboczy harmonogram_2'!B122)/366))),IF(F123=1,(1+'Dane do harmonogramu'!$E$13*((('Roboczy harmonogram_2'!B123-DATE(YEAR(B123),1,1)+1)/366)+((DATE(YEAR(B122),12,31)-'Roboczy harmonogram_2'!B122)/365))),0))</f>
        <v>0</v>
      </c>
      <c r="H123">
        <f t="shared" ca="1" si="12"/>
        <v>1</v>
      </c>
      <c r="I123">
        <f t="shared" ca="1" si="13"/>
        <v>1.0065765027322404</v>
      </c>
      <c r="J123">
        <f t="shared" ca="1" si="14"/>
        <v>1.0065765027322404</v>
      </c>
      <c r="K123">
        <f ca="1">PRODUCT($J$3:J123)</f>
        <v>2.2949802819845124</v>
      </c>
      <c r="L123">
        <f t="shared" ca="1" si="15"/>
        <v>0.43573359119899768</v>
      </c>
      <c r="M123">
        <f ca="1">SUM($L$3:L123)</f>
        <v>82.054515450455256</v>
      </c>
      <c r="O123">
        <f t="shared" ca="1" si="16"/>
        <v>1.6328933687888161E-12</v>
      </c>
      <c r="P123" s="16">
        <f t="shared" ca="1" si="17"/>
        <v>4900.8327604026408</v>
      </c>
      <c r="Q123" s="17">
        <f t="shared" ca="1" si="18"/>
        <v>-4900.8327604023925</v>
      </c>
      <c r="S123">
        <f>IF(A123&lt;='Dane do harmonogramu'!$E$7,'Roboczy harmonogram_2'!P123,0)</f>
        <v>0</v>
      </c>
      <c r="T123">
        <f>IF(A123&lt;='Dane do harmonogramu'!$E$7,'Roboczy harmonogram_2'!O123,0)</f>
        <v>0</v>
      </c>
      <c r="U123">
        <f>IF(A123&lt;='Dane do harmonogramu'!$E$7,$N$2,0)</f>
        <v>0</v>
      </c>
      <c r="V123" s="16">
        <f ca="1">IF(A122&lt;='Dane do harmonogramu'!$E$7,Q122*0.15%,"")</f>
        <v>3.7243808037601414E-13</v>
      </c>
    </row>
    <row r="124" spans="1:22" x14ac:dyDescent="0.35">
      <c r="A124">
        <v>122</v>
      </c>
      <c r="B124" s="14">
        <f t="shared" ca="1" si="19"/>
        <v>49782</v>
      </c>
      <c r="C124" s="15">
        <f ca="1">(1+'Dane do harmonogramu'!$E$13*('Roboczy harmonogram_2'!B124-'Roboczy harmonogram_2'!B123)/365)</f>
        <v>1.0070493150684932</v>
      </c>
      <c r="D124" s="15">
        <f ca="1">(1+'Dane do harmonogramu'!$E$13*('Roboczy harmonogram_2'!B124-'Roboczy harmonogram_2'!B123)/366)</f>
        <v>1.0070300546448088</v>
      </c>
      <c r="E124" s="15">
        <f t="shared" ca="1" si="10"/>
        <v>0</v>
      </c>
      <c r="F124" s="15">
        <f t="shared" ca="1" si="11"/>
        <v>0</v>
      </c>
      <c r="G124">
        <f ca="1">IF(E124=1,(1+'Dane do harmonogramu'!$E$13*((('Roboczy harmonogram_2'!B124-DATE(YEAR(B124),1,1)+1)/365)+((DATE(YEAR(B123),12,31)-'Roboczy harmonogram_2'!B123)/366))),IF(F124=1,(1+'Dane do harmonogramu'!$E$13*((('Roboczy harmonogram_2'!B124-DATE(YEAR(B124),1,1)+1)/366)+((DATE(YEAR(B123),12,31)-'Roboczy harmonogram_2'!B123)/365))),0))</f>
        <v>0</v>
      </c>
      <c r="H124">
        <f t="shared" ca="1" si="12"/>
        <v>1</v>
      </c>
      <c r="I124">
        <f t="shared" ca="1" si="13"/>
        <v>1.0070300546448088</v>
      </c>
      <c r="J124">
        <f t="shared" ca="1" si="14"/>
        <v>1.0070300546448088</v>
      </c>
      <c r="K124">
        <f ca="1">PRODUCT($J$3:J124)</f>
        <v>2.3111141187756221</v>
      </c>
      <c r="L124">
        <f t="shared" ca="1" si="15"/>
        <v>0.43269174459017118</v>
      </c>
      <c r="M124">
        <f ca="1">SUM($L$3:L124)</f>
        <v>82.487207195045428</v>
      </c>
      <c r="O124">
        <f t="shared" ca="1" si="16"/>
        <v>-34.453122110698132</v>
      </c>
      <c r="P124" s="16">
        <f t="shared" ca="1" si="17"/>
        <v>4935.2858825133408</v>
      </c>
      <c r="Q124" s="17">
        <f t="shared" ca="1" si="18"/>
        <v>-9836.1186429157333</v>
      </c>
      <c r="S124">
        <f>IF(A124&lt;='Dane do harmonogramu'!$E$7,'Roboczy harmonogram_2'!P124,0)</f>
        <v>0</v>
      </c>
      <c r="T124">
        <f>IF(A124&lt;='Dane do harmonogramu'!$E$7,'Roboczy harmonogram_2'!O124,0)</f>
        <v>0</v>
      </c>
      <c r="U124">
        <f>IF(A124&lt;='Dane do harmonogramu'!$E$7,$N$2,0)</f>
        <v>0</v>
      </c>
      <c r="V124" s="16" t="str">
        <f>IF(A123&lt;='Dane do harmonogramu'!$E$7,Q123*0.15%,"")</f>
        <v/>
      </c>
    </row>
    <row r="125" spans="1:22" x14ac:dyDescent="0.35">
      <c r="A125">
        <v>123</v>
      </c>
      <c r="B125" s="14">
        <f t="shared" ca="1" si="19"/>
        <v>49812</v>
      </c>
      <c r="C125" s="15">
        <f ca="1">(1+'Dane do harmonogramu'!$E$13*('Roboczy harmonogram_2'!B125-'Roboczy harmonogram_2'!B124)/365)</f>
        <v>1.0068219178082192</v>
      </c>
      <c r="D125" s="15">
        <f ca="1">(1+'Dane do harmonogramu'!$E$13*('Roboczy harmonogram_2'!B125-'Roboczy harmonogram_2'!B124)/366)</f>
        <v>1.0068032786885246</v>
      </c>
      <c r="E125" s="15">
        <f t="shared" ca="1" si="10"/>
        <v>0</v>
      </c>
      <c r="F125" s="15">
        <f t="shared" ca="1" si="11"/>
        <v>0</v>
      </c>
      <c r="G125">
        <f ca="1">IF(E125=1,(1+'Dane do harmonogramu'!$E$13*((('Roboczy harmonogram_2'!B125-DATE(YEAR(B125),1,1)+1)/365)+((DATE(YEAR(B124),12,31)-'Roboczy harmonogram_2'!B124)/366))),IF(F125=1,(1+'Dane do harmonogramu'!$E$13*((('Roboczy harmonogram_2'!B125-DATE(YEAR(B125),1,1)+1)/366)+((DATE(YEAR(B124),12,31)-'Roboczy harmonogram_2'!B124)/365))),0))</f>
        <v>0</v>
      </c>
      <c r="H125">
        <f t="shared" ca="1" si="12"/>
        <v>1</v>
      </c>
      <c r="I125">
        <f t="shared" ca="1" si="13"/>
        <v>1.0068032786885246</v>
      </c>
      <c r="J125">
        <f t="shared" ca="1" si="14"/>
        <v>1.0068032786885246</v>
      </c>
      <c r="K125">
        <f ca="1">PRODUCT($J$3:J125)</f>
        <v>2.3268372722066366</v>
      </c>
      <c r="L125">
        <f t="shared" ca="1" si="15"/>
        <v>0.42976791370187156</v>
      </c>
      <c r="M125">
        <f ca="1">SUM($L$3:L125)</f>
        <v>82.916975108747295</v>
      </c>
      <c r="O125">
        <f t="shared" ca="1" si="16"/>
        <v>-66.917856341147854</v>
      </c>
      <c r="P125" s="16">
        <f t="shared" ca="1" si="17"/>
        <v>4967.7506167437905</v>
      </c>
      <c r="Q125" s="17">
        <f t="shared" ca="1" si="18"/>
        <v>-14803.869259659525</v>
      </c>
      <c r="S125">
        <f>IF(A125&lt;='Dane do harmonogramu'!$E$7,'Roboczy harmonogram_2'!P125,0)</f>
        <v>0</v>
      </c>
      <c r="T125">
        <f>IF(A125&lt;='Dane do harmonogramu'!$E$7,'Roboczy harmonogram_2'!O125,0)</f>
        <v>0</v>
      </c>
      <c r="U125">
        <f>IF(A125&lt;='Dane do harmonogramu'!$E$7,$N$2,0)</f>
        <v>0</v>
      </c>
      <c r="V125" s="16" t="str">
        <f>IF(A124&lt;='Dane do harmonogramu'!$E$7,Q124*0.15%,"")</f>
        <v/>
      </c>
    </row>
    <row r="126" spans="1:22" x14ac:dyDescent="0.35">
      <c r="A126">
        <v>124</v>
      </c>
      <c r="B126" s="14">
        <f t="shared" ca="1" si="19"/>
        <v>49843</v>
      </c>
      <c r="C126" s="15">
        <f ca="1">(1+'Dane do harmonogramu'!$E$13*('Roboczy harmonogram_2'!B126-'Roboczy harmonogram_2'!B125)/365)</f>
        <v>1.0070493150684932</v>
      </c>
      <c r="D126" s="15">
        <f ca="1">(1+'Dane do harmonogramu'!$E$13*('Roboczy harmonogram_2'!B126-'Roboczy harmonogram_2'!B125)/366)</f>
        <v>1.0070300546448088</v>
      </c>
      <c r="E126" s="15">
        <f t="shared" ca="1" si="10"/>
        <v>0</v>
      </c>
      <c r="F126" s="15">
        <f t="shared" ca="1" si="11"/>
        <v>0</v>
      </c>
      <c r="G126">
        <f ca="1">IF(E126=1,(1+'Dane do harmonogramu'!$E$13*((('Roboczy harmonogram_2'!B126-DATE(YEAR(B126),1,1)+1)/365)+((DATE(YEAR(B125),12,31)-'Roboczy harmonogram_2'!B125)/366))),IF(F126=1,(1+'Dane do harmonogramu'!$E$13*((('Roboczy harmonogram_2'!B126-DATE(YEAR(B126),1,1)+1)/366)+((DATE(YEAR(B125),12,31)-'Roboczy harmonogram_2'!B125)/365))),0))</f>
        <v>0</v>
      </c>
      <c r="H126">
        <f t="shared" ca="1" si="12"/>
        <v>1</v>
      </c>
      <c r="I126">
        <f t="shared" ca="1" si="13"/>
        <v>1.0070300546448088</v>
      </c>
      <c r="J126">
        <f t="shared" ca="1" si="14"/>
        <v>1.0070300546448088</v>
      </c>
      <c r="K126">
        <f ca="1">PRODUCT($J$3:J126)</f>
        <v>2.343195065379827</v>
      </c>
      <c r="L126">
        <f t="shared" ca="1" si="15"/>
        <v>0.4267677133563364</v>
      </c>
      <c r="M126">
        <f ca="1">SUM($L$3:L126)</f>
        <v>83.343742822103636</v>
      </c>
      <c r="O126">
        <f t="shared" ca="1" si="16"/>
        <v>-104.07200985001145</v>
      </c>
      <c r="P126" s="16">
        <f t="shared" ca="1" si="17"/>
        <v>5004.9047702526541</v>
      </c>
      <c r="Q126" s="17">
        <f t="shared" ca="1" si="18"/>
        <v>-19808.77402991218</v>
      </c>
      <c r="S126">
        <f>IF(A126&lt;='Dane do harmonogramu'!$E$7,'Roboczy harmonogram_2'!P126,0)</f>
        <v>0</v>
      </c>
      <c r="T126">
        <f>IF(A126&lt;='Dane do harmonogramu'!$E$7,'Roboczy harmonogram_2'!O126,0)</f>
        <v>0</v>
      </c>
      <c r="U126">
        <f>IF(A126&lt;='Dane do harmonogramu'!$E$7,$N$2,0)</f>
        <v>0</v>
      </c>
      <c r="V126" s="16" t="str">
        <f>IF(A125&lt;='Dane do harmonogramu'!$E$7,Q125*0.15%,"")</f>
        <v/>
      </c>
    </row>
    <row r="127" spans="1:22" x14ac:dyDescent="0.35">
      <c r="A127">
        <v>125</v>
      </c>
      <c r="B127" s="14">
        <f t="shared" ca="1" si="19"/>
        <v>49873</v>
      </c>
      <c r="C127" s="15">
        <f ca="1">(1+'Dane do harmonogramu'!$E$13*('Roboczy harmonogram_2'!B127-'Roboczy harmonogram_2'!B126)/365)</f>
        <v>1.0068219178082192</v>
      </c>
      <c r="D127" s="15">
        <f ca="1">(1+'Dane do harmonogramu'!$E$13*('Roboczy harmonogram_2'!B127-'Roboczy harmonogram_2'!B126)/366)</f>
        <v>1.0068032786885246</v>
      </c>
      <c r="E127" s="15">
        <f t="shared" ca="1" si="10"/>
        <v>0</v>
      </c>
      <c r="F127" s="15">
        <f t="shared" ca="1" si="11"/>
        <v>0</v>
      </c>
      <c r="G127">
        <f ca="1">IF(E127=1,(1+'Dane do harmonogramu'!$E$13*((('Roboczy harmonogram_2'!B127-DATE(YEAR(B127),1,1)+1)/365)+((DATE(YEAR(B126),12,31)-'Roboczy harmonogram_2'!B126)/366))),IF(F127=1,(1+'Dane do harmonogramu'!$E$13*((('Roboczy harmonogram_2'!B127-DATE(YEAR(B127),1,1)+1)/366)+((DATE(YEAR(B126),12,31)-'Roboczy harmonogram_2'!B126)/365))),0))</f>
        <v>0</v>
      </c>
      <c r="H127">
        <f t="shared" ca="1" si="12"/>
        <v>1</v>
      </c>
      <c r="I127">
        <f t="shared" ca="1" si="13"/>
        <v>1.0068032786885246</v>
      </c>
      <c r="J127">
        <f t="shared" ca="1" si="14"/>
        <v>1.0068032786885246</v>
      </c>
      <c r="K127">
        <f ca="1">PRODUCT($J$3:J127)</f>
        <v>2.3591364744311818</v>
      </c>
      <c r="L127">
        <f t="shared" ca="1" si="15"/>
        <v>0.42388391296485417</v>
      </c>
      <c r="M127">
        <f ca="1">SUM($L$3:L127)</f>
        <v>83.76762673506849</v>
      </c>
      <c r="O127">
        <f t="shared" ca="1" si="16"/>
        <v>-134.76461020349961</v>
      </c>
      <c r="P127" s="16">
        <f t="shared" ca="1" si="17"/>
        <v>5035.5973706061422</v>
      </c>
      <c r="Q127" s="17">
        <f t="shared" ca="1" si="18"/>
        <v>-24844.371400518321</v>
      </c>
      <c r="S127">
        <f>IF(A127&lt;='Dane do harmonogramu'!$E$7,'Roboczy harmonogram_2'!P127,0)</f>
        <v>0</v>
      </c>
      <c r="T127">
        <f>IF(A127&lt;='Dane do harmonogramu'!$E$7,'Roboczy harmonogram_2'!O127,0)</f>
        <v>0</v>
      </c>
      <c r="U127">
        <f>IF(A127&lt;='Dane do harmonogramu'!$E$7,$N$2,0)</f>
        <v>0</v>
      </c>
      <c r="V127" s="16" t="str">
        <f>IF(A126&lt;='Dane do harmonogramu'!$E$7,Q126*0.15%,"")</f>
        <v/>
      </c>
    </row>
    <row r="128" spans="1:22" x14ac:dyDescent="0.35">
      <c r="A128">
        <v>126</v>
      </c>
      <c r="B128" s="14">
        <f t="shared" ca="1" si="19"/>
        <v>49904</v>
      </c>
      <c r="C128" s="15">
        <f ca="1">(1+'Dane do harmonogramu'!$E$13*('Roboczy harmonogram_2'!B128-'Roboczy harmonogram_2'!B127)/365)</f>
        <v>1.0070493150684932</v>
      </c>
      <c r="D128" s="15">
        <f ca="1">(1+'Dane do harmonogramu'!$E$13*('Roboczy harmonogram_2'!B128-'Roboczy harmonogram_2'!B127)/366)</f>
        <v>1.0070300546448088</v>
      </c>
      <c r="E128" s="15">
        <f t="shared" ca="1" si="10"/>
        <v>0</v>
      </c>
      <c r="F128" s="15">
        <f t="shared" ca="1" si="11"/>
        <v>0</v>
      </c>
      <c r="G128">
        <f ca="1">IF(E128=1,(1+'Dane do harmonogramu'!$E$13*((('Roboczy harmonogram_2'!B128-DATE(YEAR(B128),1,1)+1)/365)+((DATE(YEAR(B127),12,31)-'Roboczy harmonogram_2'!B127)/366))),IF(F128=1,(1+'Dane do harmonogramu'!$E$13*((('Roboczy harmonogram_2'!B128-DATE(YEAR(B128),1,1)+1)/366)+((DATE(YEAR(B127),12,31)-'Roboczy harmonogram_2'!B127)/365))),0))</f>
        <v>0</v>
      </c>
      <c r="H128">
        <f t="shared" ca="1" si="12"/>
        <v>1</v>
      </c>
      <c r="I128">
        <f t="shared" ca="1" si="13"/>
        <v>1.0070300546448088</v>
      </c>
      <c r="J128">
        <f t="shared" ca="1" si="14"/>
        <v>1.0070300546448088</v>
      </c>
      <c r="K128">
        <f ca="1">PRODUCT($J$3:J128)</f>
        <v>2.3757213327609947</v>
      </c>
      <c r="L128">
        <f t="shared" ca="1" si="15"/>
        <v>0.42092478869894595</v>
      </c>
      <c r="M128">
        <f ca="1">SUM($L$3:L128)</f>
        <v>84.18855152376743</v>
      </c>
      <c r="O128">
        <f t="shared" ca="1" si="16"/>
        <v>-174.65728856156784</v>
      </c>
      <c r="P128" s="16">
        <f t="shared" ca="1" si="17"/>
        <v>5075.4900489642105</v>
      </c>
      <c r="Q128" s="17">
        <f t="shared" ca="1" si="18"/>
        <v>-29919.861449482531</v>
      </c>
      <c r="S128">
        <f>IF(A128&lt;='Dane do harmonogramu'!$E$7,'Roboczy harmonogram_2'!P128,0)</f>
        <v>0</v>
      </c>
      <c r="T128">
        <f>IF(A128&lt;='Dane do harmonogramu'!$E$7,'Roboczy harmonogram_2'!O128,0)</f>
        <v>0</v>
      </c>
      <c r="U128">
        <f>IF(A128&lt;='Dane do harmonogramu'!$E$7,$N$2,0)</f>
        <v>0</v>
      </c>
      <c r="V128" s="16" t="str">
        <f>IF(A127&lt;='Dane do harmonogramu'!$E$7,Q127*0.15%,"")</f>
        <v/>
      </c>
    </row>
    <row r="129" spans="1:22" x14ac:dyDescent="0.35">
      <c r="A129">
        <v>127</v>
      </c>
      <c r="B129" s="14">
        <f t="shared" ca="1" si="19"/>
        <v>49935</v>
      </c>
      <c r="C129" s="15">
        <f ca="1">(1+'Dane do harmonogramu'!$E$13*('Roboczy harmonogram_2'!B129-'Roboczy harmonogram_2'!B128)/365)</f>
        <v>1.0070493150684932</v>
      </c>
      <c r="D129" s="15">
        <f ca="1">(1+'Dane do harmonogramu'!$E$13*('Roboczy harmonogram_2'!B129-'Roboczy harmonogram_2'!B128)/366)</f>
        <v>1.0070300546448088</v>
      </c>
      <c r="E129" s="15">
        <f t="shared" ca="1" si="10"/>
        <v>0</v>
      </c>
      <c r="F129" s="15">
        <f t="shared" ca="1" si="11"/>
        <v>0</v>
      </c>
      <c r="G129">
        <f ca="1">IF(E129=1,(1+'Dane do harmonogramu'!$E$13*((('Roboczy harmonogram_2'!B129-DATE(YEAR(B129),1,1)+1)/365)+((DATE(YEAR(B128),12,31)-'Roboczy harmonogram_2'!B128)/366))),IF(F129=1,(1+'Dane do harmonogramu'!$E$13*((('Roboczy harmonogram_2'!B129-DATE(YEAR(B129),1,1)+1)/366)+((DATE(YEAR(B128),12,31)-'Roboczy harmonogram_2'!B128)/365))),0))</f>
        <v>0</v>
      </c>
      <c r="H129">
        <f t="shared" ca="1" si="12"/>
        <v>1</v>
      </c>
      <c r="I129">
        <f t="shared" ca="1" si="13"/>
        <v>1.0070300546448088</v>
      </c>
      <c r="J129">
        <f t="shared" ca="1" si="14"/>
        <v>1.0070300546448088</v>
      </c>
      <c r="K129">
        <f ca="1">PRODUCT($J$3:J129)</f>
        <v>2.3924227835511425</v>
      </c>
      <c r="L129">
        <f t="shared" ca="1" si="15"/>
        <v>0.41798632201440206</v>
      </c>
      <c r="M129">
        <f ca="1">SUM($L$3:L129)</f>
        <v>84.60653784578183</v>
      </c>
      <c r="O129">
        <f t="shared" ca="1" si="16"/>
        <v>-210.33826095496988</v>
      </c>
      <c r="P129" s="16">
        <f t="shared" ca="1" si="17"/>
        <v>5111.1710213576125</v>
      </c>
      <c r="Q129" s="17">
        <f t="shared" ca="1" si="18"/>
        <v>-35031.032470840146</v>
      </c>
      <c r="S129">
        <f>IF(A129&lt;='Dane do harmonogramu'!$E$7,'Roboczy harmonogram_2'!P129,0)</f>
        <v>0</v>
      </c>
      <c r="T129">
        <f>IF(A129&lt;='Dane do harmonogramu'!$E$7,'Roboczy harmonogram_2'!O129,0)</f>
        <v>0</v>
      </c>
      <c r="U129">
        <f>IF(A129&lt;='Dane do harmonogramu'!$E$7,$N$2,0)</f>
        <v>0</v>
      </c>
      <c r="V129" s="16" t="str">
        <f>IF(A128&lt;='Dane do harmonogramu'!$E$7,Q128*0.15%,"")</f>
        <v/>
      </c>
    </row>
    <row r="130" spans="1:22" x14ac:dyDescent="0.35">
      <c r="A130">
        <v>128</v>
      </c>
      <c r="B130" s="14">
        <f t="shared" ca="1" si="19"/>
        <v>49965</v>
      </c>
      <c r="C130" s="15">
        <f ca="1">(1+'Dane do harmonogramu'!$E$13*('Roboczy harmonogram_2'!B130-'Roboczy harmonogram_2'!B129)/365)</f>
        <v>1.0068219178082192</v>
      </c>
      <c r="D130" s="15">
        <f ca="1">(1+'Dane do harmonogramu'!$E$13*('Roboczy harmonogram_2'!B130-'Roboczy harmonogram_2'!B129)/366)</f>
        <v>1.0068032786885246</v>
      </c>
      <c r="E130" s="15">
        <f t="shared" ca="1" si="10"/>
        <v>0</v>
      </c>
      <c r="F130" s="15">
        <f t="shared" ca="1" si="11"/>
        <v>0</v>
      </c>
      <c r="G130">
        <f ca="1">IF(E130=1,(1+'Dane do harmonogramu'!$E$13*((('Roboczy harmonogram_2'!B130-DATE(YEAR(B130),1,1)+1)/365)+((DATE(YEAR(B129),12,31)-'Roboczy harmonogram_2'!B129)/366))),IF(F130=1,(1+'Dane do harmonogramu'!$E$13*((('Roboczy harmonogram_2'!B130-DATE(YEAR(B130),1,1)+1)/366)+((DATE(YEAR(B129),12,31)-'Roboczy harmonogram_2'!B129)/365))),0))</f>
        <v>0</v>
      </c>
      <c r="H130">
        <f t="shared" ca="1" si="12"/>
        <v>1</v>
      </c>
      <c r="I130">
        <f t="shared" ca="1" si="13"/>
        <v>1.0068032786885246</v>
      </c>
      <c r="J130">
        <f t="shared" ca="1" si="14"/>
        <v>1.0068032786885246</v>
      </c>
      <c r="K130">
        <f ca="1">PRODUCT($J$3:J130)</f>
        <v>2.4086991024884168</v>
      </c>
      <c r="L130">
        <f t="shared" ca="1" si="15"/>
        <v>0.41516186017875967</v>
      </c>
      <c r="M130">
        <f ca="1">SUM($L$3:L130)</f>
        <v>85.021699705960586</v>
      </c>
      <c r="O130">
        <f t="shared" ca="1" si="16"/>
        <v>-238.32587664588209</v>
      </c>
      <c r="P130" s="16">
        <f t="shared" ca="1" si="17"/>
        <v>5139.1586370485247</v>
      </c>
      <c r="Q130" s="17">
        <f t="shared" ca="1" si="18"/>
        <v>-40170.19110788867</v>
      </c>
      <c r="S130">
        <f>IF(A130&lt;='Dane do harmonogramu'!$E$7,'Roboczy harmonogram_2'!P130,0)</f>
        <v>0</v>
      </c>
      <c r="T130">
        <f>IF(A130&lt;='Dane do harmonogramu'!$E$7,'Roboczy harmonogram_2'!O130,0)</f>
        <v>0</v>
      </c>
      <c r="U130">
        <f>IF(A130&lt;='Dane do harmonogramu'!$E$7,$N$2,0)</f>
        <v>0</v>
      </c>
      <c r="V130" s="16" t="str">
        <f>IF(A129&lt;='Dane do harmonogramu'!$E$7,Q129*0.15%,"")</f>
        <v/>
      </c>
    </row>
    <row r="131" spans="1:22" x14ac:dyDescent="0.35">
      <c r="A131">
        <v>129</v>
      </c>
      <c r="B131" s="14">
        <f t="shared" ca="1" si="19"/>
        <v>49996</v>
      </c>
      <c r="C131" s="15">
        <f ca="1">(1+'Dane do harmonogramu'!$E$13*('Roboczy harmonogram_2'!B131-'Roboczy harmonogram_2'!B130)/365)</f>
        <v>1.0070493150684932</v>
      </c>
      <c r="D131" s="15">
        <f ca="1">(1+'Dane do harmonogramu'!$E$13*('Roboczy harmonogram_2'!B131-'Roboczy harmonogram_2'!B130)/366)</f>
        <v>1.0070300546448088</v>
      </c>
      <c r="E131" s="15">
        <f t="shared" ca="1" si="10"/>
        <v>0</v>
      </c>
      <c r="F131" s="15">
        <f t="shared" ca="1" si="11"/>
        <v>0</v>
      </c>
      <c r="G131">
        <f ca="1">IF(E131=1,(1+'Dane do harmonogramu'!$E$13*((('Roboczy harmonogram_2'!B131-DATE(YEAR(B131),1,1)+1)/365)+((DATE(YEAR(B130),12,31)-'Roboczy harmonogram_2'!B130)/366))),IF(F131=1,(1+'Dane do harmonogramu'!$E$13*((('Roboczy harmonogram_2'!B131-DATE(YEAR(B131),1,1)+1)/366)+((DATE(YEAR(B130),12,31)-'Roboczy harmonogram_2'!B130)/365))),0))</f>
        <v>0</v>
      </c>
      <c r="H131">
        <f t="shared" ca="1" si="12"/>
        <v>1</v>
      </c>
      <c r="I131">
        <f t="shared" ca="1" si="13"/>
        <v>1.0070300546448088</v>
      </c>
      <c r="J131">
        <f t="shared" ca="1" si="14"/>
        <v>1.0070300546448088</v>
      </c>
      <c r="K131">
        <f ca="1">PRODUCT($J$3:J131)</f>
        <v>2.4256323888018123</v>
      </c>
      <c r="L131">
        <f t="shared" ca="1" si="15"/>
        <v>0.41226362437136205</v>
      </c>
      <c r="M131">
        <f ca="1">SUM($L$3:L131)</f>
        <v>85.433963330331949</v>
      </c>
      <c r="O131">
        <f t="shared" ca="1" si="16"/>
        <v>-282.39863858086755</v>
      </c>
      <c r="P131" s="16">
        <f t="shared" ca="1" si="17"/>
        <v>5183.2313989835102</v>
      </c>
      <c r="Q131" s="17">
        <f t="shared" ca="1" si="18"/>
        <v>-45353.422506872179</v>
      </c>
      <c r="S131">
        <f>IF(A131&lt;='Dane do harmonogramu'!$E$7,'Roboczy harmonogram_2'!P131,0)</f>
        <v>0</v>
      </c>
      <c r="T131">
        <f>IF(A131&lt;='Dane do harmonogramu'!$E$7,'Roboczy harmonogram_2'!O131,0)</f>
        <v>0</v>
      </c>
      <c r="U131">
        <f>IF(A131&lt;='Dane do harmonogramu'!$E$7,$N$2,0)</f>
        <v>0</v>
      </c>
      <c r="V131" s="16" t="str">
        <f>IF(A130&lt;='Dane do harmonogramu'!$E$7,Q130*0.15%,"")</f>
        <v/>
      </c>
    </row>
    <row r="132" spans="1:22" x14ac:dyDescent="0.35">
      <c r="A132">
        <v>130</v>
      </c>
      <c r="B132" s="14">
        <f t="shared" ca="1" si="19"/>
        <v>50026</v>
      </c>
      <c r="C132" s="15">
        <f ca="1">(1+'Dane do harmonogramu'!$E$13*('Roboczy harmonogram_2'!B132-'Roboczy harmonogram_2'!B131)/365)</f>
        <v>1.0068219178082192</v>
      </c>
      <c r="D132" s="15">
        <f ca="1">(1+'Dane do harmonogramu'!$E$13*('Roboczy harmonogram_2'!B132-'Roboczy harmonogram_2'!B131)/366)</f>
        <v>1.0068032786885246</v>
      </c>
      <c r="E132" s="15">
        <f t="shared" ref="E132:E182" ca="1" si="20">IF(AND(MOD(YEAR(B131),4)=0,MOD(YEAR(B132),4)&lt;&gt;0),1,0)</f>
        <v>0</v>
      </c>
      <c r="F132" s="15">
        <f t="shared" ref="F132:F182" ca="1" si="21">IF(AND(MOD(YEAR(B132),4)=0,MOD(YEAR(B131),4)&lt;&gt;0),1,0)</f>
        <v>0</v>
      </c>
      <c r="G132">
        <f ca="1">IF(E132=1,(1+'Dane do harmonogramu'!$E$13*((('Roboczy harmonogram_2'!B132-DATE(YEAR(B132),1,1)+1)/365)+((DATE(YEAR(B131),12,31)-'Roboczy harmonogram_2'!B131)/366))),IF(F132=1,(1+'Dane do harmonogramu'!$E$13*((('Roboczy harmonogram_2'!B132-DATE(YEAR(B132),1,1)+1)/366)+((DATE(YEAR(B131),12,31)-'Roboczy harmonogram_2'!B131)/365))),0))</f>
        <v>0</v>
      </c>
      <c r="H132">
        <f t="shared" ref="H132:H182" ca="1" si="22">IF(MOD(YEAR(B132),4)=0,1,0)</f>
        <v>1</v>
      </c>
      <c r="I132">
        <f t="shared" ref="I132:I182" ca="1" si="23">IF(H132=0,C132,IF(H132=1,D132,"blad"))</f>
        <v>1.0068032786885246</v>
      </c>
      <c r="J132">
        <f t="shared" ref="J132:J182" ca="1" si="24">IF(OR(E132=1,F132=1),G132,I132)</f>
        <v>1.0068032786885246</v>
      </c>
      <c r="K132">
        <f ca="1">PRODUCT($J$3:J132)</f>
        <v>2.4421346419387429</v>
      </c>
      <c r="L132">
        <f t="shared" ref="L132:L182" ca="1" si="25">1/K132</f>
        <v>0.40947783255968551</v>
      </c>
      <c r="M132">
        <f ca="1">SUM($L$3:L132)</f>
        <v>85.843441162891637</v>
      </c>
      <c r="O132">
        <f t="shared" ca="1" si="16"/>
        <v>-308.55197279265849</v>
      </c>
      <c r="P132" s="16">
        <f t="shared" ca="1" si="17"/>
        <v>5209.3847331953011</v>
      </c>
      <c r="Q132" s="17">
        <f t="shared" ca="1" si="18"/>
        <v>-50562.807240067479</v>
      </c>
      <c r="S132">
        <f>IF(A132&lt;='Dane do harmonogramu'!$E$7,'Roboczy harmonogram_2'!P132,0)</f>
        <v>0</v>
      </c>
      <c r="T132">
        <f>IF(A132&lt;='Dane do harmonogramu'!$E$7,'Roboczy harmonogram_2'!O132,0)</f>
        <v>0</v>
      </c>
      <c r="U132">
        <f>IF(A132&lt;='Dane do harmonogramu'!$E$7,$N$2,0)</f>
        <v>0</v>
      </c>
      <c r="V132" s="16" t="str">
        <f>IF(A131&lt;='Dane do harmonogramu'!$E$7,Q131*0.15%,"")</f>
        <v/>
      </c>
    </row>
    <row r="133" spans="1:22" x14ac:dyDescent="0.35">
      <c r="A133">
        <v>131</v>
      </c>
      <c r="B133" s="14">
        <f t="shared" ca="1" si="19"/>
        <v>50057</v>
      </c>
      <c r="C133" s="15">
        <f ca="1">(1+'Dane do harmonogramu'!$E$13*('Roboczy harmonogram_2'!B133-'Roboczy harmonogram_2'!B132)/365)</f>
        <v>1.0070493150684932</v>
      </c>
      <c r="D133" s="15">
        <f ca="1">(1+'Dane do harmonogramu'!$E$13*('Roboczy harmonogram_2'!B133-'Roboczy harmonogram_2'!B132)/366)</f>
        <v>1.0070300546448088</v>
      </c>
      <c r="E133" s="15">
        <f t="shared" ca="1" si="20"/>
        <v>1</v>
      </c>
      <c r="F133" s="15">
        <f t="shared" ca="1" si="21"/>
        <v>0</v>
      </c>
      <c r="G133">
        <f ca="1">IF(E133=1,(1+'Dane do harmonogramu'!$E$13*((('Roboczy harmonogram_2'!B133-DATE(YEAR(B133),1,1)+1)/365)+((DATE(YEAR(B132),12,31)-'Roboczy harmonogram_2'!B132)/366))),IF(F133=1,(1+'Dane do harmonogramu'!$E$13*((('Roboczy harmonogram_2'!B133-DATE(YEAR(B133),1,1)+1)/366)+((DATE(YEAR(B132),12,31)-'Roboczy harmonogram_2'!B132)/365))),0))</f>
        <v>1.0070406168126356</v>
      </c>
      <c r="H133">
        <f t="shared" ca="1" si="22"/>
        <v>0</v>
      </c>
      <c r="I133">
        <f t="shared" ca="1" si="23"/>
        <v>1.0070493150684932</v>
      </c>
      <c r="J133">
        <f t="shared" ca="1" si="24"/>
        <v>1.0070406168126356</v>
      </c>
      <c r="K133">
        <f ca="1">PRODUCT($J$3:J133)</f>
        <v>2.4593287761574967</v>
      </c>
      <c r="L133">
        <f t="shared" ca="1" si="25"/>
        <v>0.40661501206943934</v>
      </c>
      <c r="M133">
        <f ca="1">SUM($L$3:L133)</f>
        <v>86.250056174961074</v>
      </c>
      <c r="O133">
        <f t="shared" ref="O133:O182" ca="1" si="26">(Q132*J133)-Q132</f>
        <v>-355.99335074846749</v>
      </c>
      <c r="P133" s="16">
        <f t="shared" ref="P133:P182" ca="1" si="27">$N$2-O133</f>
        <v>5256.8261111511101</v>
      </c>
      <c r="Q133" s="17">
        <f t="shared" ref="Q133:Q182" ca="1" si="28">Q132-P133</f>
        <v>-55819.633351218588</v>
      </c>
      <c r="S133">
        <f>IF(A133&lt;='Dane do harmonogramu'!$E$7,'Roboczy harmonogram_2'!P133,0)</f>
        <v>0</v>
      </c>
      <c r="T133">
        <f>IF(A133&lt;='Dane do harmonogramu'!$E$7,'Roboczy harmonogram_2'!O133,0)</f>
        <v>0</v>
      </c>
      <c r="U133">
        <f>IF(A133&lt;='Dane do harmonogramu'!$E$7,$N$2,0)</f>
        <v>0</v>
      </c>
      <c r="V133" s="16" t="str">
        <f>IF(A132&lt;='Dane do harmonogramu'!$E$7,Q132*0.15%,"")</f>
        <v/>
      </c>
    </row>
    <row r="134" spans="1:22" x14ac:dyDescent="0.35">
      <c r="A134">
        <v>132</v>
      </c>
      <c r="B134" s="14">
        <f t="shared" ref="B134:B182" ca="1" si="29">DATE(YEAR((B133)),MONTH((B133))+1,IF(AND(DAY(B133)&gt;28,MONTH((B133))+1=2),IF(MOD(YEAR(B133),4)=0,29,28),IF(AND(OR(DAY(B133)=28,DAY(B133)=29),MONTH((B133))=2),DAY(B132),DAY(B133))))</f>
        <v>50088</v>
      </c>
      <c r="C134" s="15">
        <f ca="1">(1+'Dane do harmonogramu'!$E$13*('Roboczy harmonogram_2'!B134-'Roboczy harmonogram_2'!B133)/365)</f>
        <v>1.0070493150684932</v>
      </c>
      <c r="D134" s="15">
        <f ca="1">(1+'Dane do harmonogramu'!$E$13*('Roboczy harmonogram_2'!B134-'Roboczy harmonogram_2'!B133)/366)</f>
        <v>1.0070300546448088</v>
      </c>
      <c r="E134" s="15">
        <f t="shared" ca="1" si="20"/>
        <v>0</v>
      </c>
      <c r="F134" s="15">
        <f t="shared" ca="1" si="21"/>
        <v>0</v>
      </c>
      <c r="G134">
        <f ca="1">IF(E134=1,(1+'Dane do harmonogramu'!$E$13*((('Roboczy harmonogram_2'!B134-DATE(YEAR(B134),1,1)+1)/365)+((DATE(YEAR(B133),12,31)-'Roboczy harmonogram_2'!B133)/366))),IF(F134=1,(1+'Dane do harmonogramu'!$E$13*((('Roboczy harmonogram_2'!B134-DATE(YEAR(B134),1,1)+1)/366)+((DATE(YEAR(B133),12,31)-'Roboczy harmonogram_2'!B133)/365))),0))</f>
        <v>0</v>
      </c>
      <c r="H134">
        <f t="shared" ca="1" si="22"/>
        <v>0</v>
      </c>
      <c r="I134">
        <f t="shared" ca="1" si="23"/>
        <v>1.0070493150684932</v>
      </c>
      <c r="J134">
        <f t="shared" ca="1" si="24"/>
        <v>1.0070493150684932</v>
      </c>
      <c r="K134">
        <f ca="1">PRODUCT($J$3:J134)</f>
        <v>2.4766653595576424</v>
      </c>
      <c r="L134">
        <f t="shared" ca="1" si="25"/>
        <v>0.40376871915332563</v>
      </c>
      <c r="M134">
        <f ca="1">SUM($L$3:L134)</f>
        <v>86.653824894114393</v>
      </c>
      <c r="O134">
        <f t="shared" ca="1" si="26"/>
        <v>-393.49018250050722</v>
      </c>
      <c r="P134" s="16">
        <f t="shared" ca="1" si="27"/>
        <v>5294.3229429031499</v>
      </c>
      <c r="Q134" s="17">
        <f t="shared" ca="1" si="28"/>
        <v>-61113.956294121737</v>
      </c>
      <c r="S134">
        <f>IF(A134&lt;='Dane do harmonogramu'!$E$7,'Roboczy harmonogram_2'!P134,0)</f>
        <v>0</v>
      </c>
      <c r="T134">
        <f>IF(A134&lt;='Dane do harmonogramu'!$E$7,'Roboczy harmonogram_2'!O134,0)</f>
        <v>0</v>
      </c>
      <c r="U134">
        <f>IF(A134&lt;='Dane do harmonogramu'!$E$7,$N$2,0)</f>
        <v>0</v>
      </c>
      <c r="V134" s="16" t="str">
        <f>IF(A133&lt;='Dane do harmonogramu'!$E$7,Q133*0.15%,"")</f>
        <v/>
      </c>
    </row>
    <row r="135" spans="1:22" x14ac:dyDescent="0.35">
      <c r="A135">
        <v>133</v>
      </c>
      <c r="B135" s="14">
        <f t="shared" ca="1" si="29"/>
        <v>50116</v>
      </c>
      <c r="C135" s="15">
        <f ca="1">(1+'Dane do harmonogramu'!$E$13*('Roboczy harmonogram_2'!B135-'Roboczy harmonogram_2'!B134)/365)</f>
        <v>1.0063671232876712</v>
      </c>
      <c r="D135" s="15">
        <f ca="1">(1+'Dane do harmonogramu'!$E$13*('Roboczy harmonogram_2'!B135-'Roboczy harmonogram_2'!B134)/366)</f>
        <v>1.0063497267759562</v>
      </c>
      <c r="E135" s="15">
        <f t="shared" ca="1" si="20"/>
        <v>0</v>
      </c>
      <c r="F135" s="15">
        <f t="shared" ca="1" si="21"/>
        <v>0</v>
      </c>
      <c r="G135">
        <f ca="1">IF(E135=1,(1+'Dane do harmonogramu'!$E$13*((('Roboczy harmonogram_2'!B135-DATE(YEAR(B135),1,1)+1)/365)+((DATE(YEAR(B134),12,31)-'Roboczy harmonogram_2'!B134)/366))),IF(F135=1,(1+'Dane do harmonogramu'!$E$13*((('Roboczy harmonogram_2'!B135-DATE(YEAR(B135),1,1)+1)/366)+((DATE(YEAR(B134),12,31)-'Roboczy harmonogram_2'!B134)/365))),0))</f>
        <v>0</v>
      </c>
      <c r="H135">
        <f t="shared" ca="1" si="22"/>
        <v>0</v>
      </c>
      <c r="I135">
        <f t="shared" ca="1" si="23"/>
        <v>1.0063671232876712</v>
      </c>
      <c r="J135">
        <f t="shared" ca="1" si="24"/>
        <v>1.0063671232876712</v>
      </c>
      <c r="K135">
        <f ca="1">PRODUCT($J$3:J135)</f>
        <v>2.4924345932442504</v>
      </c>
      <c r="L135">
        <f t="shared" ca="1" si="25"/>
        <v>0.40121413926387567</v>
      </c>
      <c r="M135">
        <f ca="1">SUM($L$3:L135)</f>
        <v>87.055039033378264</v>
      </c>
      <c r="O135">
        <f t="shared" ca="1" si="26"/>
        <v>-389.12009432202467</v>
      </c>
      <c r="P135" s="16">
        <f t="shared" ca="1" si="27"/>
        <v>5289.9528547246673</v>
      </c>
      <c r="Q135" s="17">
        <f t="shared" ca="1" si="28"/>
        <v>-66403.909148846404</v>
      </c>
      <c r="S135">
        <f>IF(A135&lt;='Dane do harmonogramu'!$E$7,'Roboczy harmonogram_2'!P135,0)</f>
        <v>0</v>
      </c>
      <c r="T135">
        <f>IF(A135&lt;='Dane do harmonogramu'!$E$7,'Roboczy harmonogram_2'!O135,0)</f>
        <v>0</v>
      </c>
      <c r="U135">
        <f>IF(A135&lt;='Dane do harmonogramu'!$E$7,$N$2,0)</f>
        <v>0</v>
      </c>
      <c r="V135" s="16" t="str">
        <f>IF(A134&lt;='Dane do harmonogramu'!$E$7,Q134*0.15%,"")</f>
        <v/>
      </c>
    </row>
    <row r="136" spans="1:22" x14ac:dyDescent="0.35">
      <c r="A136">
        <v>134</v>
      </c>
      <c r="B136" s="14">
        <f t="shared" ca="1" si="29"/>
        <v>50147</v>
      </c>
      <c r="C136" s="15">
        <f ca="1">(1+'Dane do harmonogramu'!$E$13*('Roboczy harmonogram_2'!B136-'Roboczy harmonogram_2'!B135)/365)</f>
        <v>1.0070493150684932</v>
      </c>
      <c r="D136" s="15">
        <f ca="1">(1+'Dane do harmonogramu'!$E$13*('Roboczy harmonogram_2'!B136-'Roboczy harmonogram_2'!B135)/366)</f>
        <v>1.0070300546448088</v>
      </c>
      <c r="E136" s="15">
        <f t="shared" ca="1" si="20"/>
        <v>0</v>
      </c>
      <c r="F136" s="15">
        <f t="shared" ca="1" si="21"/>
        <v>0</v>
      </c>
      <c r="G136">
        <f ca="1">IF(E136=1,(1+'Dane do harmonogramu'!$E$13*((('Roboczy harmonogram_2'!B136-DATE(YEAR(B136),1,1)+1)/365)+((DATE(YEAR(B135),12,31)-'Roboczy harmonogram_2'!B135)/366))),IF(F136=1,(1+'Dane do harmonogramu'!$E$13*((('Roboczy harmonogram_2'!B136-DATE(YEAR(B136),1,1)+1)/366)+((DATE(YEAR(B135),12,31)-'Roboczy harmonogram_2'!B135)/365))),0))</f>
        <v>0</v>
      </c>
      <c r="H136">
        <f t="shared" ca="1" si="22"/>
        <v>0</v>
      </c>
      <c r="I136">
        <f t="shared" ca="1" si="23"/>
        <v>1.0070493150684932</v>
      </c>
      <c r="J136">
        <f t="shared" ca="1" si="24"/>
        <v>1.0070493150684932</v>
      </c>
      <c r="K136">
        <f ca="1">PRODUCT($J$3:J136)</f>
        <v>2.5100045499796408</v>
      </c>
      <c r="L136">
        <f t="shared" ca="1" si="25"/>
        <v>0.39840565229577418</v>
      </c>
      <c r="M136">
        <f ca="1">SUM($L$3:L136)</f>
        <v>87.453444685674043</v>
      </c>
      <c r="O136">
        <f t="shared" ca="1" si="26"/>
        <v>-468.10207736981101</v>
      </c>
      <c r="P136" s="16">
        <f t="shared" ca="1" si="27"/>
        <v>5368.9348377724536</v>
      </c>
      <c r="Q136" s="17">
        <f t="shared" ca="1" si="28"/>
        <v>-71772.843986618856</v>
      </c>
      <c r="S136">
        <f>IF(A136&lt;='Dane do harmonogramu'!$E$7,'Roboczy harmonogram_2'!P136,0)</f>
        <v>0</v>
      </c>
      <c r="T136">
        <f>IF(A136&lt;='Dane do harmonogramu'!$E$7,'Roboczy harmonogram_2'!O136,0)</f>
        <v>0</v>
      </c>
      <c r="U136">
        <f>IF(A136&lt;='Dane do harmonogramu'!$E$7,$N$2,0)</f>
        <v>0</v>
      </c>
      <c r="V136" s="16" t="str">
        <f>IF(A135&lt;='Dane do harmonogramu'!$E$7,Q135*0.15%,"")</f>
        <v/>
      </c>
    </row>
    <row r="137" spans="1:22" x14ac:dyDescent="0.35">
      <c r="A137">
        <v>135</v>
      </c>
      <c r="B137" s="14">
        <f t="shared" ca="1" si="29"/>
        <v>50177</v>
      </c>
      <c r="C137" s="15">
        <f ca="1">(1+'Dane do harmonogramu'!$E$13*('Roboczy harmonogram_2'!B137-'Roboczy harmonogram_2'!B136)/365)</f>
        <v>1.0068219178082192</v>
      </c>
      <c r="D137" s="15">
        <f ca="1">(1+'Dane do harmonogramu'!$E$13*('Roboczy harmonogram_2'!B137-'Roboczy harmonogram_2'!B136)/366)</f>
        <v>1.0068032786885246</v>
      </c>
      <c r="E137" s="15">
        <f t="shared" ca="1" si="20"/>
        <v>0</v>
      </c>
      <c r="F137" s="15">
        <f t="shared" ca="1" si="21"/>
        <v>0</v>
      </c>
      <c r="G137">
        <f ca="1">IF(E137=1,(1+'Dane do harmonogramu'!$E$13*((('Roboczy harmonogram_2'!B137-DATE(YEAR(B137),1,1)+1)/365)+((DATE(YEAR(B136),12,31)-'Roboczy harmonogram_2'!B136)/366))),IF(F137=1,(1+'Dane do harmonogramu'!$E$13*((('Roboczy harmonogram_2'!B137-DATE(YEAR(B137),1,1)+1)/366)+((DATE(YEAR(B136),12,31)-'Roboczy harmonogram_2'!B136)/365))),0))</f>
        <v>0</v>
      </c>
      <c r="H137">
        <f t="shared" ca="1" si="22"/>
        <v>0</v>
      </c>
      <c r="I137">
        <f t="shared" ca="1" si="23"/>
        <v>1.0068219178082192</v>
      </c>
      <c r="J137">
        <f t="shared" ca="1" si="24"/>
        <v>1.0068219178082192</v>
      </c>
      <c r="K137">
        <f ca="1">PRODUCT($J$3:J137)</f>
        <v>2.5271275947178582</v>
      </c>
      <c r="L137">
        <f t="shared" ca="1" si="25"/>
        <v>0.39570617727817786</v>
      </c>
      <c r="M137">
        <f ca="1">SUM($L$3:L137)</f>
        <v>87.849150862952214</v>
      </c>
      <c r="O137">
        <f t="shared" ca="1" si="26"/>
        <v>-489.62844253885851</v>
      </c>
      <c r="P137" s="16">
        <f t="shared" ca="1" si="27"/>
        <v>5390.4612029415011</v>
      </c>
      <c r="Q137" s="17">
        <f t="shared" ca="1" si="28"/>
        <v>-77163.305189560357</v>
      </c>
      <c r="S137">
        <f>IF(A137&lt;='Dane do harmonogramu'!$E$7,'Roboczy harmonogram_2'!P137,0)</f>
        <v>0</v>
      </c>
      <c r="T137">
        <f>IF(A137&lt;='Dane do harmonogramu'!$E$7,'Roboczy harmonogram_2'!O137,0)</f>
        <v>0</v>
      </c>
      <c r="U137">
        <f>IF(A137&lt;='Dane do harmonogramu'!$E$7,$N$2,0)</f>
        <v>0</v>
      </c>
      <c r="V137" s="16" t="str">
        <f>IF(A136&lt;='Dane do harmonogramu'!$E$7,Q136*0.15%,"")</f>
        <v/>
      </c>
    </row>
    <row r="138" spans="1:22" x14ac:dyDescent="0.35">
      <c r="A138">
        <v>136</v>
      </c>
      <c r="B138" s="14">
        <f t="shared" ca="1" si="29"/>
        <v>50208</v>
      </c>
      <c r="C138" s="15">
        <f ca="1">(1+'Dane do harmonogramu'!$E$13*('Roboczy harmonogram_2'!B138-'Roboczy harmonogram_2'!B137)/365)</f>
        <v>1.0070493150684932</v>
      </c>
      <c r="D138" s="15">
        <f ca="1">(1+'Dane do harmonogramu'!$E$13*('Roboczy harmonogram_2'!B138-'Roboczy harmonogram_2'!B137)/366)</f>
        <v>1.0070300546448088</v>
      </c>
      <c r="E138" s="15">
        <f t="shared" ca="1" si="20"/>
        <v>0</v>
      </c>
      <c r="F138" s="15">
        <f t="shared" ca="1" si="21"/>
        <v>0</v>
      </c>
      <c r="G138">
        <f ca="1">IF(E138=1,(1+'Dane do harmonogramu'!$E$13*((('Roboczy harmonogram_2'!B138-DATE(YEAR(B138),1,1)+1)/365)+((DATE(YEAR(B137),12,31)-'Roboczy harmonogram_2'!B137)/366))),IF(F138=1,(1+'Dane do harmonogramu'!$E$13*((('Roboczy harmonogram_2'!B138-DATE(YEAR(B138),1,1)+1)/366)+((DATE(YEAR(B137),12,31)-'Roboczy harmonogram_2'!B137)/365))),0))</f>
        <v>0</v>
      </c>
      <c r="H138">
        <f t="shared" ca="1" si="22"/>
        <v>0</v>
      </c>
      <c r="I138">
        <f t="shared" ca="1" si="23"/>
        <v>1.0070493150684932</v>
      </c>
      <c r="J138">
        <f t="shared" ca="1" si="24"/>
        <v>1.0070493150684932</v>
      </c>
      <c r="K138">
        <f ca="1">PRODUCT($J$3:J138)</f>
        <v>2.5449421133513077</v>
      </c>
      <c r="L138">
        <f t="shared" ca="1" si="25"/>
        <v>0.39293624587914489</v>
      </c>
      <c r="M138">
        <f ca="1">SUM($L$3:L138)</f>
        <v>88.242087108831356</v>
      </c>
      <c r="O138">
        <f t="shared" ca="1" si="26"/>
        <v>-543.94845000750502</v>
      </c>
      <c r="P138" s="16">
        <f t="shared" ca="1" si="27"/>
        <v>5444.7812104101477</v>
      </c>
      <c r="Q138" s="17">
        <f t="shared" ca="1" si="28"/>
        <v>-82608.086399970503</v>
      </c>
      <c r="S138">
        <f>IF(A138&lt;='Dane do harmonogramu'!$E$7,'Roboczy harmonogram_2'!P138,0)</f>
        <v>0</v>
      </c>
      <c r="T138">
        <f>IF(A138&lt;='Dane do harmonogramu'!$E$7,'Roboczy harmonogram_2'!O138,0)</f>
        <v>0</v>
      </c>
      <c r="U138">
        <f>IF(A138&lt;='Dane do harmonogramu'!$E$7,$N$2,0)</f>
        <v>0</v>
      </c>
      <c r="V138" s="16" t="str">
        <f>IF(A137&lt;='Dane do harmonogramu'!$E$7,Q137*0.15%,"")</f>
        <v/>
      </c>
    </row>
    <row r="139" spans="1:22" x14ac:dyDescent="0.35">
      <c r="A139">
        <v>137</v>
      </c>
      <c r="B139" s="14">
        <f t="shared" ca="1" si="29"/>
        <v>50238</v>
      </c>
      <c r="C139" s="15">
        <f ca="1">(1+'Dane do harmonogramu'!$E$13*('Roboczy harmonogram_2'!B139-'Roboczy harmonogram_2'!B138)/365)</f>
        <v>1.0068219178082192</v>
      </c>
      <c r="D139" s="15">
        <f ca="1">(1+'Dane do harmonogramu'!$E$13*('Roboczy harmonogram_2'!B139-'Roboczy harmonogram_2'!B138)/366)</f>
        <v>1.0068032786885246</v>
      </c>
      <c r="E139" s="15">
        <f t="shared" ca="1" si="20"/>
        <v>0</v>
      </c>
      <c r="F139" s="15">
        <f t="shared" ca="1" si="21"/>
        <v>0</v>
      </c>
      <c r="G139">
        <f ca="1">IF(E139=1,(1+'Dane do harmonogramu'!$E$13*((('Roboczy harmonogram_2'!B139-DATE(YEAR(B139),1,1)+1)/365)+((DATE(YEAR(B138),12,31)-'Roboczy harmonogram_2'!B138)/366))),IF(F139=1,(1+'Dane do harmonogramu'!$E$13*((('Roboczy harmonogram_2'!B139-DATE(YEAR(B139),1,1)+1)/366)+((DATE(YEAR(B138),12,31)-'Roboczy harmonogram_2'!B138)/365))),0))</f>
        <v>0</v>
      </c>
      <c r="H139">
        <f t="shared" ca="1" si="22"/>
        <v>0</v>
      </c>
      <c r="I139">
        <f t="shared" ca="1" si="23"/>
        <v>1.0068219178082192</v>
      </c>
      <c r="J139">
        <f t="shared" ca="1" si="24"/>
        <v>1.0068219178082192</v>
      </c>
      <c r="K139">
        <f ca="1">PRODUCT($J$3:J139)</f>
        <v>2.562303499275266</v>
      </c>
      <c r="L139">
        <f t="shared" ca="1" si="25"/>
        <v>0.39027382988894355</v>
      </c>
      <c r="M139">
        <f ca="1">SUM($L$3:L139)</f>
        <v>88.632360938720296</v>
      </c>
      <c r="O139">
        <f t="shared" ca="1" si="26"/>
        <v>-563.5455757148593</v>
      </c>
      <c r="P139" s="16">
        <f t="shared" ca="1" si="27"/>
        <v>5464.3783361175019</v>
      </c>
      <c r="Q139" s="17">
        <f t="shared" ca="1" si="28"/>
        <v>-88072.464736088004</v>
      </c>
      <c r="S139">
        <f>IF(A139&lt;='Dane do harmonogramu'!$E$7,'Roboczy harmonogram_2'!P139,0)</f>
        <v>0</v>
      </c>
      <c r="T139">
        <f>IF(A139&lt;='Dane do harmonogramu'!$E$7,'Roboczy harmonogram_2'!O139,0)</f>
        <v>0</v>
      </c>
      <c r="U139">
        <f>IF(A139&lt;='Dane do harmonogramu'!$E$7,$N$2,0)</f>
        <v>0</v>
      </c>
      <c r="V139" s="16" t="str">
        <f>IF(A138&lt;='Dane do harmonogramu'!$E$7,Q138*0.15%,"")</f>
        <v/>
      </c>
    </row>
    <row r="140" spans="1:22" x14ac:dyDescent="0.35">
      <c r="A140">
        <v>138</v>
      </c>
      <c r="B140" s="14">
        <f t="shared" ca="1" si="29"/>
        <v>50269</v>
      </c>
      <c r="C140" s="15">
        <f ca="1">(1+'Dane do harmonogramu'!$E$13*('Roboczy harmonogram_2'!B140-'Roboczy harmonogram_2'!B139)/365)</f>
        <v>1.0070493150684932</v>
      </c>
      <c r="D140" s="15">
        <f ca="1">(1+'Dane do harmonogramu'!$E$13*('Roboczy harmonogram_2'!B140-'Roboczy harmonogram_2'!B139)/366)</f>
        <v>1.0070300546448088</v>
      </c>
      <c r="E140" s="15">
        <f t="shared" ca="1" si="20"/>
        <v>0</v>
      </c>
      <c r="F140" s="15">
        <f t="shared" ca="1" si="21"/>
        <v>0</v>
      </c>
      <c r="G140">
        <f ca="1">IF(E140=1,(1+'Dane do harmonogramu'!$E$13*((('Roboczy harmonogram_2'!B140-DATE(YEAR(B140),1,1)+1)/365)+((DATE(YEAR(B139),12,31)-'Roboczy harmonogram_2'!B139)/366))),IF(F140=1,(1+'Dane do harmonogramu'!$E$13*((('Roboczy harmonogram_2'!B140-DATE(YEAR(B140),1,1)+1)/366)+((DATE(YEAR(B139),12,31)-'Roboczy harmonogram_2'!B139)/365))),0))</f>
        <v>0</v>
      </c>
      <c r="H140">
        <f t="shared" ca="1" si="22"/>
        <v>0</v>
      </c>
      <c r="I140">
        <f t="shared" ca="1" si="23"/>
        <v>1.0070493150684932</v>
      </c>
      <c r="J140">
        <f t="shared" ca="1" si="24"/>
        <v>1.0070493150684932</v>
      </c>
      <c r="K140">
        <f ca="1">PRODUCT($J$3:J140)</f>
        <v>2.5803659839427597</v>
      </c>
      <c r="L140">
        <f t="shared" ca="1" si="25"/>
        <v>0.38754192475906668</v>
      </c>
      <c r="M140">
        <f ca="1">SUM($L$3:L140)</f>
        <v>89.019902863479359</v>
      </c>
      <c r="O140">
        <f t="shared" ca="1" si="26"/>
        <v>-620.85055278343498</v>
      </c>
      <c r="P140" s="16">
        <f t="shared" ca="1" si="27"/>
        <v>5521.6833131860776</v>
      </c>
      <c r="Q140" s="17">
        <f t="shared" ca="1" si="28"/>
        <v>-93594.148049274081</v>
      </c>
      <c r="S140">
        <f>IF(A140&lt;='Dane do harmonogramu'!$E$7,'Roboczy harmonogram_2'!P140,0)</f>
        <v>0</v>
      </c>
      <c r="T140">
        <f>IF(A140&lt;='Dane do harmonogramu'!$E$7,'Roboczy harmonogram_2'!O140,0)</f>
        <v>0</v>
      </c>
      <c r="U140">
        <f>IF(A140&lt;='Dane do harmonogramu'!$E$7,$N$2,0)</f>
        <v>0</v>
      </c>
      <c r="V140" s="16" t="str">
        <f>IF(A139&lt;='Dane do harmonogramu'!$E$7,Q139*0.15%,"")</f>
        <v/>
      </c>
    </row>
    <row r="141" spans="1:22" x14ac:dyDescent="0.35">
      <c r="A141">
        <v>139</v>
      </c>
      <c r="B141" s="14">
        <f t="shared" ca="1" si="29"/>
        <v>50300</v>
      </c>
      <c r="C141" s="15">
        <f ca="1">(1+'Dane do harmonogramu'!$E$13*('Roboczy harmonogram_2'!B141-'Roboczy harmonogram_2'!B140)/365)</f>
        <v>1.0070493150684932</v>
      </c>
      <c r="D141" s="15">
        <f ca="1">(1+'Dane do harmonogramu'!$E$13*('Roboczy harmonogram_2'!B141-'Roboczy harmonogram_2'!B140)/366)</f>
        <v>1.0070300546448088</v>
      </c>
      <c r="E141" s="15">
        <f t="shared" ca="1" si="20"/>
        <v>0</v>
      </c>
      <c r="F141" s="15">
        <f t="shared" ca="1" si="21"/>
        <v>0</v>
      </c>
      <c r="G141">
        <f ca="1">IF(E141=1,(1+'Dane do harmonogramu'!$E$13*((('Roboczy harmonogram_2'!B141-DATE(YEAR(B141),1,1)+1)/365)+((DATE(YEAR(B140),12,31)-'Roboczy harmonogram_2'!B140)/366))),IF(F141=1,(1+'Dane do harmonogramu'!$E$13*((('Roboczy harmonogram_2'!B141-DATE(YEAR(B141),1,1)+1)/366)+((DATE(YEAR(B140),12,31)-'Roboczy harmonogram_2'!B140)/365))),0))</f>
        <v>0</v>
      </c>
      <c r="H141">
        <f t="shared" ca="1" si="22"/>
        <v>0</v>
      </c>
      <c r="I141">
        <f t="shared" ca="1" si="23"/>
        <v>1.0070493150684932</v>
      </c>
      <c r="J141">
        <f t="shared" ca="1" si="24"/>
        <v>1.0070493150684932</v>
      </c>
      <c r="K141">
        <f ca="1">PRODUCT($J$3:J141)</f>
        <v>2.5985557967555946</v>
      </c>
      <c r="L141">
        <f t="shared" ca="1" si="25"/>
        <v>0.3848291428833438</v>
      </c>
      <c r="M141">
        <f ca="1">SUM($L$3:L141)</f>
        <v>89.404732006362707</v>
      </c>
      <c r="O141">
        <f t="shared" ca="1" si="26"/>
        <v>-659.77463816652016</v>
      </c>
      <c r="P141" s="16">
        <f t="shared" ca="1" si="27"/>
        <v>5560.6073985691628</v>
      </c>
      <c r="Q141" s="17">
        <f t="shared" ca="1" si="28"/>
        <v>-99154.755447843243</v>
      </c>
      <c r="S141">
        <f>IF(A141&lt;='Dane do harmonogramu'!$E$7,'Roboczy harmonogram_2'!P141,0)</f>
        <v>0</v>
      </c>
      <c r="T141">
        <f>IF(A141&lt;='Dane do harmonogramu'!$E$7,'Roboczy harmonogram_2'!O141,0)</f>
        <v>0</v>
      </c>
      <c r="U141">
        <f>IF(A141&lt;='Dane do harmonogramu'!$E$7,$N$2,0)</f>
        <v>0</v>
      </c>
      <c r="V141" s="16" t="str">
        <f>IF(A140&lt;='Dane do harmonogramu'!$E$7,Q140*0.15%,"")</f>
        <v/>
      </c>
    </row>
    <row r="142" spans="1:22" x14ac:dyDescent="0.35">
      <c r="A142">
        <v>140</v>
      </c>
      <c r="B142" s="14">
        <f t="shared" ca="1" si="29"/>
        <v>50330</v>
      </c>
      <c r="C142" s="15">
        <f ca="1">(1+'Dane do harmonogramu'!$E$13*('Roboczy harmonogram_2'!B142-'Roboczy harmonogram_2'!B141)/365)</f>
        <v>1.0068219178082192</v>
      </c>
      <c r="D142" s="15">
        <f ca="1">(1+'Dane do harmonogramu'!$E$13*('Roboczy harmonogram_2'!B142-'Roboczy harmonogram_2'!B141)/366)</f>
        <v>1.0068032786885246</v>
      </c>
      <c r="E142" s="15">
        <f t="shared" ca="1" si="20"/>
        <v>0</v>
      </c>
      <c r="F142" s="15">
        <f t="shared" ca="1" si="21"/>
        <v>0</v>
      </c>
      <c r="G142">
        <f ca="1">IF(E142=1,(1+'Dane do harmonogramu'!$E$13*((('Roboczy harmonogram_2'!B142-DATE(YEAR(B142),1,1)+1)/365)+((DATE(YEAR(B141),12,31)-'Roboczy harmonogram_2'!B141)/366))),IF(F142=1,(1+'Dane do harmonogramu'!$E$13*((('Roboczy harmonogram_2'!B142-DATE(YEAR(B142),1,1)+1)/366)+((DATE(YEAR(B141),12,31)-'Roboczy harmonogram_2'!B141)/365))),0))</f>
        <v>0</v>
      </c>
      <c r="H142">
        <f t="shared" ca="1" si="22"/>
        <v>0</v>
      </c>
      <c r="I142">
        <f t="shared" ca="1" si="23"/>
        <v>1.0068219178082192</v>
      </c>
      <c r="J142">
        <f t="shared" ca="1" si="24"/>
        <v>1.0068219178082192</v>
      </c>
      <c r="K142">
        <f ca="1">PRODUCT($J$3:J142)</f>
        <v>2.6162829308211326</v>
      </c>
      <c r="L142">
        <f t="shared" ca="1" si="25"/>
        <v>0.38222165814694414</v>
      </c>
      <c r="M142">
        <f ca="1">SUM($L$3:L142)</f>
        <v>89.786953664509653</v>
      </c>
      <c r="O142">
        <f t="shared" ca="1" si="26"/>
        <v>-676.42559195925423</v>
      </c>
      <c r="P142" s="16">
        <f t="shared" ca="1" si="27"/>
        <v>5577.2583523618969</v>
      </c>
      <c r="Q142" s="17">
        <f t="shared" ca="1" si="28"/>
        <v>-104732.01380020514</v>
      </c>
      <c r="S142">
        <f>IF(A142&lt;='Dane do harmonogramu'!$E$7,'Roboczy harmonogram_2'!P142,0)</f>
        <v>0</v>
      </c>
      <c r="T142">
        <f>IF(A142&lt;='Dane do harmonogramu'!$E$7,'Roboczy harmonogram_2'!O142,0)</f>
        <v>0</v>
      </c>
      <c r="U142">
        <f>IF(A142&lt;='Dane do harmonogramu'!$E$7,$N$2,0)</f>
        <v>0</v>
      </c>
      <c r="V142" s="16" t="str">
        <f>IF(A141&lt;='Dane do harmonogramu'!$E$7,Q141*0.15%,"")</f>
        <v/>
      </c>
    </row>
    <row r="143" spans="1:22" x14ac:dyDescent="0.35">
      <c r="A143">
        <v>141</v>
      </c>
      <c r="B143" s="14">
        <f t="shared" ca="1" si="29"/>
        <v>50361</v>
      </c>
      <c r="C143" s="15">
        <f ca="1">(1+'Dane do harmonogramu'!$E$13*('Roboczy harmonogram_2'!B143-'Roboczy harmonogram_2'!B142)/365)</f>
        <v>1.0070493150684932</v>
      </c>
      <c r="D143" s="15">
        <f ca="1">(1+'Dane do harmonogramu'!$E$13*('Roboczy harmonogram_2'!B143-'Roboczy harmonogram_2'!B142)/366)</f>
        <v>1.0070300546448088</v>
      </c>
      <c r="E143" s="15">
        <f t="shared" ca="1" si="20"/>
        <v>0</v>
      </c>
      <c r="F143" s="15">
        <f t="shared" ca="1" si="21"/>
        <v>0</v>
      </c>
      <c r="G143">
        <f ca="1">IF(E143=1,(1+'Dane do harmonogramu'!$E$13*((('Roboczy harmonogram_2'!B143-DATE(YEAR(B143),1,1)+1)/365)+((DATE(YEAR(B142),12,31)-'Roboczy harmonogram_2'!B142)/366))),IF(F143=1,(1+'Dane do harmonogramu'!$E$13*((('Roboczy harmonogram_2'!B143-DATE(YEAR(B143),1,1)+1)/366)+((DATE(YEAR(B142),12,31)-'Roboczy harmonogram_2'!B142)/365))),0))</f>
        <v>0</v>
      </c>
      <c r="H143">
        <f t="shared" ca="1" si="22"/>
        <v>0</v>
      </c>
      <c r="I143">
        <f t="shared" ca="1" si="23"/>
        <v>1.0070493150684932</v>
      </c>
      <c r="J143">
        <f t="shared" ca="1" si="24"/>
        <v>1.0070493150684932</v>
      </c>
      <c r="K143">
        <f ca="1">PRODUCT($J$3:J143)</f>
        <v>2.6347259335088116</v>
      </c>
      <c r="L143">
        <f t="shared" ca="1" si="25"/>
        <v>0.37954611797829163</v>
      </c>
      <c r="M143">
        <f ca="1">SUM($L$3:L143)</f>
        <v>90.166499782487946</v>
      </c>
      <c r="O143">
        <f t="shared" ca="1" si="26"/>
        <v>-738.28896303541842</v>
      </c>
      <c r="P143" s="16">
        <f t="shared" ca="1" si="27"/>
        <v>5639.1217234380611</v>
      </c>
      <c r="Q143" s="17">
        <f t="shared" ca="1" si="28"/>
        <v>-110371.1355236432</v>
      </c>
      <c r="S143">
        <f>IF(A143&lt;='Dane do harmonogramu'!$E$7,'Roboczy harmonogram_2'!P143,0)</f>
        <v>0</v>
      </c>
      <c r="T143">
        <f>IF(A143&lt;='Dane do harmonogramu'!$E$7,'Roboczy harmonogram_2'!O143,0)</f>
        <v>0</v>
      </c>
      <c r="U143">
        <f>IF(A143&lt;='Dane do harmonogramu'!$E$7,$N$2,0)</f>
        <v>0</v>
      </c>
      <c r="V143" s="16" t="str">
        <f>IF(A142&lt;='Dane do harmonogramu'!$E$7,Q142*0.15%,"")</f>
        <v/>
      </c>
    </row>
    <row r="144" spans="1:22" x14ac:dyDescent="0.35">
      <c r="A144">
        <v>142</v>
      </c>
      <c r="B144" s="14">
        <f t="shared" ca="1" si="29"/>
        <v>50391</v>
      </c>
      <c r="C144" s="15">
        <f ca="1">(1+'Dane do harmonogramu'!$E$13*('Roboczy harmonogram_2'!B144-'Roboczy harmonogram_2'!B143)/365)</f>
        <v>1.0068219178082192</v>
      </c>
      <c r="D144" s="15">
        <f ca="1">(1+'Dane do harmonogramu'!$E$13*('Roboczy harmonogram_2'!B144-'Roboczy harmonogram_2'!B143)/366)</f>
        <v>1.0068032786885246</v>
      </c>
      <c r="E144" s="15">
        <f t="shared" ca="1" si="20"/>
        <v>0</v>
      </c>
      <c r="F144" s="15">
        <f t="shared" ca="1" si="21"/>
        <v>0</v>
      </c>
      <c r="G144">
        <f ca="1">IF(E144=1,(1+'Dane do harmonogramu'!$E$13*((('Roboczy harmonogram_2'!B144-DATE(YEAR(B144),1,1)+1)/365)+((DATE(YEAR(B143),12,31)-'Roboczy harmonogram_2'!B143)/366))),IF(F144=1,(1+'Dane do harmonogramu'!$E$13*((('Roboczy harmonogram_2'!B144-DATE(YEAR(B144),1,1)+1)/366)+((DATE(YEAR(B143),12,31)-'Roboczy harmonogram_2'!B143)/365))),0))</f>
        <v>0</v>
      </c>
      <c r="H144">
        <f t="shared" ca="1" si="22"/>
        <v>0</v>
      </c>
      <c r="I144">
        <f t="shared" ca="1" si="23"/>
        <v>1.0068219178082192</v>
      </c>
      <c r="J144">
        <f t="shared" ca="1" si="24"/>
        <v>1.0068219178082192</v>
      </c>
      <c r="K144">
        <f ca="1">PRODUCT($J$3:J144)</f>
        <v>2.6526998172743923</v>
      </c>
      <c r="L144">
        <f t="shared" ca="1" si="25"/>
        <v>0.37697442940508979</v>
      </c>
      <c r="M144">
        <f ca="1">SUM($L$3:L144)</f>
        <v>90.543474211893042</v>
      </c>
      <c r="O144">
        <f t="shared" ca="1" si="26"/>
        <v>-752.94281494211464</v>
      </c>
      <c r="P144" s="16">
        <f t="shared" ca="1" si="27"/>
        <v>5653.7755753447573</v>
      </c>
      <c r="Q144" s="17">
        <f t="shared" ca="1" si="28"/>
        <v>-116024.91109898796</v>
      </c>
      <c r="S144">
        <f>IF(A144&lt;='Dane do harmonogramu'!$E$7,'Roboczy harmonogram_2'!P144,0)</f>
        <v>0</v>
      </c>
      <c r="T144">
        <f>IF(A144&lt;='Dane do harmonogramu'!$E$7,'Roboczy harmonogram_2'!O144,0)</f>
        <v>0</v>
      </c>
      <c r="U144">
        <f>IF(A144&lt;='Dane do harmonogramu'!$E$7,$N$2,0)</f>
        <v>0</v>
      </c>
      <c r="V144" s="16" t="str">
        <f>IF(A143&lt;='Dane do harmonogramu'!$E$7,Q143*0.15%,"")</f>
        <v/>
      </c>
    </row>
    <row r="145" spans="1:22" x14ac:dyDescent="0.35">
      <c r="A145">
        <v>143</v>
      </c>
      <c r="B145" s="14">
        <f t="shared" ca="1" si="29"/>
        <v>50422</v>
      </c>
      <c r="C145" s="15">
        <f ca="1">(1+'Dane do harmonogramu'!$E$13*('Roboczy harmonogram_2'!B145-'Roboczy harmonogram_2'!B144)/365)</f>
        <v>1.0070493150684932</v>
      </c>
      <c r="D145" s="15">
        <f ca="1">(1+'Dane do harmonogramu'!$E$13*('Roboczy harmonogram_2'!B145-'Roboczy harmonogram_2'!B144)/366)</f>
        <v>1.0070300546448088</v>
      </c>
      <c r="E145" s="15">
        <f t="shared" ca="1" si="20"/>
        <v>0</v>
      </c>
      <c r="F145" s="15">
        <f t="shared" ca="1" si="21"/>
        <v>0</v>
      </c>
      <c r="G145">
        <f ca="1">IF(E145=1,(1+'Dane do harmonogramu'!$E$13*((('Roboczy harmonogram_2'!B145-DATE(YEAR(B145),1,1)+1)/365)+((DATE(YEAR(B144),12,31)-'Roboczy harmonogram_2'!B144)/366))),IF(F145=1,(1+'Dane do harmonogramu'!$E$13*((('Roboczy harmonogram_2'!B145-DATE(YEAR(B145),1,1)+1)/366)+((DATE(YEAR(B144),12,31)-'Roboczy harmonogram_2'!B144)/365))),0))</f>
        <v>0</v>
      </c>
      <c r="H145">
        <f t="shared" ca="1" si="22"/>
        <v>0</v>
      </c>
      <c r="I145">
        <f t="shared" ca="1" si="23"/>
        <v>1.0070493150684932</v>
      </c>
      <c r="J145">
        <f t="shared" ca="1" si="24"/>
        <v>1.0070493150684932</v>
      </c>
      <c r="K145">
        <f ca="1">PRODUCT($J$3:J145)</f>
        <v>2.6713995340684935</v>
      </c>
      <c r="L145">
        <f t="shared" ca="1" si="25"/>
        <v>0.37433561968060164</v>
      </c>
      <c r="M145">
        <f ca="1">SUM($L$3:L145)</f>
        <v>90.917809831573649</v>
      </c>
      <c r="O145">
        <f t="shared" ca="1" si="26"/>
        <v>-817.89615413067804</v>
      </c>
      <c r="P145" s="16">
        <f t="shared" ca="1" si="27"/>
        <v>5718.7289145333207</v>
      </c>
      <c r="Q145" s="17">
        <f t="shared" ca="1" si="28"/>
        <v>-121743.64001352128</v>
      </c>
      <c r="S145">
        <f>IF(A145&lt;='Dane do harmonogramu'!$E$7,'Roboczy harmonogram_2'!P145,0)</f>
        <v>0</v>
      </c>
      <c r="T145">
        <f>IF(A145&lt;='Dane do harmonogramu'!$E$7,'Roboczy harmonogram_2'!O145,0)</f>
        <v>0</v>
      </c>
      <c r="U145">
        <f>IF(A145&lt;='Dane do harmonogramu'!$E$7,$N$2,0)</f>
        <v>0</v>
      </c>
      <c r="V145" s="16" t="str">
        <f>IF(A144&lt;='Dane do harmonogramu'!$E$7,Q144*0.15%,"")</f>
        <v/>
      </c>
    </row>
    <row r="146" spans="1:22" x14ac:dyDescent="0.35">
      <c r="A146">
        <v>144</v>
      </c>
      <c r="B146" s="14">
        <f t="shared" ca="1" si="29"/>
        <v>50453</v>
      </c>
      <c r="C146" s="15">
        <f ca="1">(1+'Dane do harmonogramu'!$E$13*('Roboczy harmonogram_2'!B146-'Roboczy harmonogram_2'!B145)/365)</f>
        <v>1.0070493150684932</v>
      </c>
      <c r="D146" s="15">
        <f ca="1">(1+'Dane do harmonogramu'!$E$13*('Roboczy harmonogram_2'!B146-'Roboczy harmonogram_2'!B145)/366)</f>
        <v>1.0070300546448088</v>
      </c>
      <c r="E146" s="15">
        <f t="shared" ca="1" si="20"/>
        <v>0</v>
      </c>
      <c r="F146" s="15">
        <f t="shared" ca="1" si="21"/>
        <v>0</v>
      </c>
      <c r="G146">
        <f ca="1">IF(E146=1,(1+'Dane do harmonogramu'!$E$13*((('Roboczy harmonogram_2'!B146-DATE(YEAR(B146),1,1)+1)/365)+((DATE(YEAR(B145),12,31)-'Roboczy harmonogram_2'!B145)/366))),IF(F146=1,(1+'Dane do harmonogramu'!$E$13*((('Roboczy harmonogram_2'!B146-DATE(YEAR(B146),1,1)+1)/366)+((DATE(YEAR(B145),12,31)-'Roboczy harmonogram_2'!B145)/365))),0))</f>
        <v>0</v>
      </c>
      <c r="H146">
        <f t="shared" ca="1" si="22"/>
        <v>0</v>
      </c>
      <c r="I146">
        <f t="shared" ca="1" si="23"/>
        <v>1.0070493150684932</v>
      </c>
      <c r="J146">
        <f t="shared" ca="1" si="24"/>
        <v>1.0070493150684932</v>
      </c>
      <c r="K146">
        <f ca="1">PRODUCT($J$3:J146)</f>
        <v>2.6902310710579682</v>
      </c>
      <c r="L146">
        <f t="shared" ca="1" si="25"/>
        <v>0.37171528154521577</v>
      </c>
      <c r="M146">
        <f ca="1">SUM($L$3:L146)</f>
        <v>91.28952511311887</v>
      </c>
      <c r="O146">
        <f t="shared" ca="1" si="26"/>
        <v>-858.20927604052122</v>
      </c>
      <c r="P146" s="16">
        <f t="shared" ca="1" si="27"/>
        <v>5759.0420364431639</v>
      </c>
      <c r="Q146" s="17">
        <f t="shared" ca="1" si="28"/>
        <v>-127502.68204996444</v>
      </c>
      <c r="S146">
        <f>IF(A146&lt;='Dane do harmonogramu'!$E$7,'Roboczy harmonogram_2'!P146,0)</f>
        <v>0</v>
      </c>
      <c r="T146">
        <f>IF(A146&lt;='Dane do harmonogramu'!$E$7,'Roboczy harmonogram_2'!O146,0)</f>
        <v>0</v>
      </c>
      <c r="U146">
        <f>IF(A146&lt;='Dane do harmonogramu'!$E$7,$N$2,0)</f>
        <v>0</v>
      </c>
      <c r="V146" s="16" t="str">
        <f>IF(A145&lt;='Dane do harmonogramu'!$E$7,Q145*0.15%,"")</f>
        <v/>
      </c>
    </row>
    <row r="147" spans="1:22" x14ac:dyDescent="0.35">
      <c r="A147">
        <v>145</v>
      </c>
      <c r="B147" s="14">
        <f t="shared" ca="1" si="29"/>
        <v>50481</v>
      </c>
      <c r="C147" s="15">
        <f ca="1">(1+'Dane do harmonogramu'!$E$13*('Roboczy harmonogram_2'!B147-'Roboczy harmonogram_2'!B146)/365)</f>
        <v>1.0063671232876712</v>
      </c>
      <c r="D147" s="15">
        <f ca="1">(1+'Dane do harmonogramu'!$E$13*('Roboczy harmonogram_2'!B147-'Roboczy harmonogram_2'!B146)/366)</f>
        <v>1.0063497267759562</v>
      </c>
      <c r="E147" s="15">
        <f t="shared" ca="1" si="20"/>
        <v>0</v>
      </c>
      <c r="F147" s="15">
        <f t="shared" ca="1" si="21"/>
        <v>0</v>
      </c>
      <c r="G147">
        <f ca="1">IF(E147=1,(1+'Dane do harmonogramu'!$E$13*((('Roboczy harmonogram_2'!B147-DATE(YEAR(B147),1,1)+1)/365)+((DATE(YEAR(B146),12,31)-'Roboczy harmonogram_2'!B146)/366))),IF(F147=1,(1+'Dane do harmonogramu'!$E$13*((('Roboczy harmonogram_2'!B147-DATE(YEAR(B147),1,1)+1)/366)+((DATE(YEAR(B146),12,31)-'Roboczy harmonogram_2'!B146)/365))),0))</f>
        <v>0</v>
      </c>
      <c r="H147">
        <f t="shared" ca="1" si="22"/>
        <v>0</v>
      </c>
      <c r="I147">
        <f t="shared" ca="1" si="23"/>
        <v>1.0063671232876712</v>
      </c>
      <c r="J147">
        <f t="shared" ca="1" si="24"/>
        <v>1.0063671232876712</v>
      </c>
      <c r="K147">
        <f ca="1">PRODUCT($J$3:J147)</f>
        <v>2.7073601039597182</v>
      </c>
      <c r="L147">
        <f t="shared" ca="1" si="25"/>
        <v>0.36936349861159018</v>
      </c>
      <c r="M147">
        <f ca="1">SUM($L$3:L147)</f>
        <v>91.658888611730461</v>
      </c>
      <c r="O147">
        <f t="shared" ca="1" si="26"/>
        <v>-811.82529612086364</v>
      </c>
      <c r="P147" s="16">
        <f t="shared" ca="1" si="27"/>
        <v>5712.6580565235063</v>
      </c>
      <c r="Q147" s="17">
        <f t="shared" ca="1" si="28"/>
        <v>-133215.34010648794</v>
      </c>
      <c r="S147">
        <f>IF(A147&lt;='Dane do harmonogramu'!$E$7,'Roboczy harmonogram_2'!P147,0)</f>
        <v>0</v>
      </c>
      <c r="T147">
        <f>IF(A147&lt;='Dane do harmonogramu'!$E$7,'Roboczy harmonogram_2'!O147,0)</f>
        <v>0</v>
      </c>
      <c r="U147">
        <f>IF(A147&lt;='Dane do harmonogramu'!$E$7,$N$2,0)</f>
        <v>0</v>
      </c>
      <c r="V147" s="16" t="str">
        <f>IF(A146&lt;='Dane do harmonogramu'!$E$7,Q146*0.15%,"")</f>
        <v/>
      </c>
    </row>
    <row r="148" spans="1:22" x14ac:dyDescent="0.35">
      <c r="A148">
        <v>146</v>
      </c>
      <c r="B148" s="14">
        <f t="shared" ca="1" si="29"/>
        <v>50512</v>
      </c>
      <c r="C148" s="15">
        <f ca="1">(1+'Dane do harmonogramu'!$E$13*('Roboczy harmonogram_2'!B148-'Roboczy harmonogram_2'!B147)/365)</f>
        <v>1.0070493150684932</v>
      </c>
      <c r="D148" s="15">
        <f ca="1">(1+'Dane do harmonogramu'!$E$13*('Roboczy harmonogram_2'!B148-'Roboczy harmonogram_2'!B147)/366)</f>
        <v>1.0070300546448088</v>
      </c>
      <c r="E148" s="15">
        <f t="shared" ca="1" si="20"/>
        <v>0</v>
      </c>
      <c r="F148" s="15">
        <f t="shared" ca="1" si="21"/>
        <v>0</v>
      </c>
      <c r="G148">
        <f ca="1">IF(E148=1,(1+'Dane do harmonogramu'!$E$13*((('Roboczy harmonogram_2'!B148-DATE(YEAR(B148),1,1)+1)/365)+((DATE(YEAR(B147),12,31)-'Roboczy harmonogram_2'!B147)/366))),IF(F148=1,(1+'Dane do harmonogramu'!$E$13*((('Roboczy harmonogram_2'!B148-DATE(YEAR(B148),1,1)+1)/366)+((DATE(YEAR(B147),12,31)-'Roboczy harmonogram_2'!B147)/365))),0))</f>
        <v>0</v>
      </c>
      <c r="H148">
        <f t="shared" ca="1" si="22"/>
        <v>0</v>
      </c>
      <c r="I148">
        <f t="shared" ca="1" si="23"/>
        <v>1.0070493150684932</v>
      </c>
      <c r="J148">
        <f t="shared" ca="1" si="24"/>
        <v>1.0070493150684932</v>
      </c>
      <c r="K148">
        <f ca="1">PRODUCT($J$3:J148)</f>
        <v>2.7264451383363988</v>
      </c>
      <c r="L148">
        <f t="shared" ca="1" si="25"/>
        <v>0.36677796517489153</v>
      </c>
      <c r="M148">
        <f ca="1">SUM($L$3:L148)</f>
        <v>92.025666576905351</v>
      </c>
      <c r="O148">
        <f t="shared" ca="1" si="26"/>
        <v>-939.07690436710254</v>
      </c>
      <c r="P148" s="16">
        <f t="shared" ca="1" si="27"/>
        <v>5839.9096647697452</v>
      </c>
      <c r="Q148" s="17">
        <f t="shared" ca="1" si="28"/>
        <v>-139055.24977125769</v>
      </c>
      <c r="S148">
        <f>IF(A148&lt;='Dane do harmonogramu'!$E$7,'Roboczy harmonogram_2'!P148,0)</f>
        <v>0</v>
      </c>
      <c r="T148">
        <f>IF(A148&lt;='Dane do harmonogramu'!$E$7,'Roboczy harmonogram_2'!O148,0)</f>
        <v>0</v>
      </c>
      <c r="U148">
        <f>IF(A148&lt;='Dane do harmonogramu'!$E$7,$N$2,0)</f>
        <v>0</v>
      </c>
      <c r="V148" s="16" t="str">
        <f>IF(A147&lt;='Dane do harmonogramu'!$E$7,Q147*0.15%,"")</f>
        <v/>
      </c>
    </row>
    <row r="149" spans="1:22" x14ac:dyDescent="0.35">
      <c r="A149">
        <v>147</v>
      </c>
      <c r="B149" s="14">
        <f t="shared" ca="1" si="29"/>
        <v>50542</v>
      </c>
      <c r="C149" s="15">
        <f ca="1">(1+'Dane do harmonogramu'!$E$13*('Roboczy harmonogram_2'!B149-'Roboczy harmonogram_2'!B148)/365)</f>
        <v>1.0068219178082192</v>
      </c>
      <c r="D149" s="15">
        <f ca="1">(1+'Dane do harmonogramu'!$E$13*('Roboczy harmonogram_2'!B149-'Roboczy harmonogram_2'!B148)/366)</f>
        <v>1.0068032786885246</v>
      </c>
      <c r="E149" s="15">
        <f t="shared" ca="1" si="20"/>
        <v>0</v>
      </c>
      <c r="F149" s="15">
        <f t="shared" ca="1" si="21"/>
        <v>0</v>
      </c>
      <c r="G149">
        <f ca="1">IF(E149=1,(1+'Dane do harmonogramu'!$E$13*((('Roboczy harmonogram_2'!B149-DATE(YEAR(B149),1,1)+1)/365)+((DATE(YEAR(B148),12,31)-'Roboczy harmonogram_2'!B148)/366))),IF(F149=1,(1+'Dane do harmonogramu'!$E$13*((('Roboczy harmonogram_2'!B149-DATE(YEAR(B149),1,1)+1)/366)+((DATE(YEAR(B148),12,31)-'Roboczy harmonogram_2'!B148)/365))),0))</f>
        <v>0</v>
      </c>
      <c r="H149">
        <f t="shared" ca="1" si="22"/>
        <v>0</v>
      </c>
      <c r="I149">
        <f t="shared" ca="1" si="23"/>
        <v>1.0068219178082192</v>
      </c>
      <c r="J149">
        <f t="shared" ca="1" si="24"/>
        <v>1.0068219178082192</v>
      </c>
      <c r="K149">
        <f ca="1">PRODUCT($J$3:J149)</f>
        <v>2.7450447229787485</v>
      </c>
      <c r="L149">
        <f t="shared" ca="1" si="25"/>
        <v>0.36429278970539447</v>
      </c>
      <c r="M149">
        <f ca="1">SUM($L$3:L149)</f>
        <v>92.389959366610739</v>
      </c>
      <c r="O149">
        <f t="shared" ca="1" si="26"/>
        <v>-948.62348474090686</v>
      </c>
      <c r="P149" s="16">
        <f t="shared" ca="1" si="27"/>
        <v>5849.4562451435495</v>
      </c>
      <c r="Q149" s="17">
        <f t="shared" ca="1" si="28"/>
        <v>-144904.70601640124</v>
      </c>
      <c r="S149">
        <f>IF(A149&lt;='Dane do harmonogramu'!$E$7,'Roboczy harmonogram_2'!P149,0)</f>
        <v>0</v>
      </c>
      <c r="T149">
        <f>IF(A149&lt;='Dane do harmonogramu'!$E$7,'Roboczy harmonogram_2'!O149,0)</f>
        <v>0</v>
      </c>
      <c r="U149">
        <f>IF(A149&lt;='Dane do harmonogramu'!$E$7,$N$2,0)</f>
        <v>0</v>
      </c>
      <c r="V149" s="16" t="str">
        <f>IF(A148&lt;='Dane do harmonogramu'!$E$7,Q148*0.15%,"")</f>
        <v/>
      </c>
    </row>
    <row r="150" spans="1:22" x14ac:dyDescent="0.35">
      <c r="A150">
        <v>148</v>
      </c>
      <c r="B150" s="14">
        <f t="shared" ca="1" si="29"/>
        <v>50573</v>
      </c>
      <c r="C150" s="15">
        <f ca="1">(1+'Dane do harmonogramu'!$E$13*('Roboczy harmonogram_2'!B150-'Roboczy harmonogram_2'!B149)/365)</f>
        <v>1.0070493150684932</v>
      </c>
      <c r="D150" s="15">
        <f ca="1">(1+'Dane do harmonogramu'!$E$13*('Roboczy harmonogram_2'!B150-'Roboczy harmonogram_2'!B149)/366)</f>
        <v>1.0070300546448088</v>
      </c>
      <c r="E150" s="15">
        <f t="shared" ca="1" si="20"/>
        <v>0</v>
      </c>
      <c r="F150" s="15">
        <f t="shared" ca="1" si="21"/>
        <v>0</v>
      </c>
      <c r="G150">
        <f ca="1">IF(E150=1,(1+'Dane do harmonogramu'!$E$13*((('Roboczy harmonogram_2'!B150-DATE(YEAR(B150),1,1)+1)/365)+((DATE(YEAR(B149),12,31)-'Roboczy harmonogram_2'!B149)/366))),IF(F150=1,(1+'Dane do harmonogramu'!$E$13*((('Roboczy harmonogram_2'!B150-DATE(YEAR(B150),1,1)+1)/366)+((DATE(YEAR(B149),12,31)-'Roboczy harmonogram_2'!B149)/365))),0))</f>
        <v>0</v>
      </c>
      <c r="H150">
        <f t="shared" ca="1" si="22"/>
        <v>0</v>
      </c>
      <c r="I150">
        <f t="shared" ca="1" si="23"/>
        <v>1.0070493150684932</v>
      </c>
      <c r="J150">
        <f t="shared" ca="1" si="24"/>
        <v>1.0070493150684932</v>
      </c>
      <c r="K150">
        <f ca="1">PRODUCT($J$3:J150)</f>
        <v>2.7643954081081303</v>
      </c>
      <c r="L150">
        <f t="shared" ca="1" si="25"/>
        <v>0.36174275107929299</v>
      </c>
      <c r="M150">
        <f ca="1">SUM($L$3:L150)</f>
        <v>92.75170211769003</v>
      </c>
      <c r="O150">
        <f t="shared" ca="1" si="26"/>
        <v>-1021.4789276169904</v>
      </c>
      <c r="P150" s="16">
        <f t="shared" ca="1" si="27"/>
        <v>5922.311688019633</v>
      </c>
      <c r="Q150" s="17">
        <f t="shared" ca="1" si="28"/>
        <v>-150827.01770442087</v>
      </c>
      <c r="S150">
        <f>IF(A150&lt;='Dane do harmonogramu'!$E$7,'Roboczy harmonogram_2'!P150,0)</f>
        <v>0</v>
      </c>
      <c r="T150">
        <f>IF(A150&lt;='Dane do harmonogramu'!$E$7,'Roboczy harmonogram_2'!O150,0)</f>
        <v>0</v>
      </c>
      <c r="U150">
        <f>IF(A150&lt;='Dane do harmonogramu'!$E$7,$N$2,0)</f>
        <v>0</v>
      </c>
      <c r="V150" s="16" t="str">
        <f>IF(A149&lt;='Dane do harmonogramu'!$E$7,Q149*0.15%,"")</f>
        <v/>
      </c>
    </row>
    <row r="151" spans="1:22" x14ac:dyDescent="0.35">
      <c r="A151">
        <v>149</v>
      </c>
      <c r="B151" s="14">
        <f t="shared" ca="1" si="29"/>
        <v>50603</v>
      </c>
      <c r="C151" s="15">
        <f ca="1">(1+'Dane do harmonogramu'!$E$13*('Roboczy harmonogram_2'!B151-'Roboczy harmonogram_2'!B150)/365)</f>
        <v>1.0068219178082192</v>
      </c>
      <c r="D151" s="15">
        <f ca="1">(1+'Dane do harmonogramu'!$E$13*('Roboczy harmonogram_2'!B151-'Roboczy harmonogram_2'!B150)/366)</f>
        <v>1.0068032786885246</v>
      </c>
      <c r="E151" s="15">
        <f t="shared" ca="1" si="20"/>
        <v>0</v>
      </c>
      <c r="F151" s="15">
        <f t="shared" ca="1" si="21"/>
        <v>0</v>
      </c>
      <c r="G151">
        <f ca="1">IF(E151=1,(1+'Dane do harmonogramu'!$E$13*((('Roboczy harmonogram_2'!B151-DATE(YEAR(B151),1,1)+1)/365)+((DATE(YEAR(B150),12,31)-'Roboczy harmonogram_2'!B150)/366))),IF(F151=1,(1+'Dane do harmonogramu'!$E$13*((('Roboczy harmonogram_2'!B151-DATE(YEAR(B151),1,1)+1)/366)+((DATE(YEAR(B150),12,31)-'Roboczy harmonogram_2'!B150)/365))),0))</f>
        <v>0</v>
      </c>
      <c r="H151">
        <f t="shared" ca="1" si="22"/>
        <v>0</v>
      </c>
      <c r="I151">
        <f t="shared" ca="1" si="23"/>
        <v>1.0068219178082192</v>
      </c>
      <c r="J151">
        <f t="shared" ca="1" si="24"/>
        <v>1.0068219178082192</v>
      </c>
      <c r="K151">
        <f ca="1">PRODUCT($J$3:J151)</f>
        <v>2.7832538863716625</v>
      </c>
      <c r="L151">
        <f t="shared" ca="1" si="25"/>
        <v>0.35929169268263611</v>
      </c>
      <c r="M151">
        <f ca="1">SUM($L$3:L151)</f>
        <v>93.110993810372662</v>
      </c>
      <c r="O151">
        <f t="shared" ca="1" si="26"/>
        <v>-1028.9295180383779</v>
      </c>
      <c r="P151" s="16">
        <f t="shared" ca="1" si="27"/>
        <v>5929.7622784410205</v>
      </c>
      <c r="Q151" s="17">
        <f t="shared" ca="1" si="28"/>
        <v>-156756.77998286189</v>
      </c>
      <c r="S151">
        <f>IF(A151&lt;='Dane do harmonogramu'!$E$7,'Roboczy harmonogram_2'!P151,0)</f>
        <v>0</v>
      </c>
      <c r="T151">
        <f>IF(A151&lt;='Dane do harmonogramu'!$E$7,'Roboczy harmonogram_2'!O151,0)</f>
        <v>0</v>
      </c>
      <c r="U151">
        <f>IF(A151&lt;='Dane do harmonogramu'!$E$7,$N$2,0)</f>
        <v>0</v>
      </c>
      <c r="V151" s="16" t="str">
        <f>IF(A150&lt;='Dane do harmonogramu'!$E$7,Q150*0.15%,"")</f>
        <v/>
      </c>
    </row>
    <row r="152" spans="1:22" x14ac:dyDescent="0.35">
      <c r="A152">
        <v>150</v>
      </c>
      <c r="B152" s="14">
        <f t="shared" ca="1" si="29"/>
        <v>50634</v>
      </c>
      <c r="C152" s="15">
        <f ca="1">(1+'Dane do harmonogramu'!$E$13*('Roboczy harmonogram_2'!B152-'Roboczy harmonogram_2'!B151)/365)</f>
        <v>1.0070493150684932</v>
      </c>
      <c r="D152" s="15">
        <f ca="1">(1+'Dane do harmonogramu'!$E$13*('Roboczy harmonogram_2'!B152-'Roboczy harmonogram_2'!B151)/366)</f>
        <v>1.0070300546448088</v>
      </c>
      <c r="E152" s="15">
        <f t="shared" ca="1" si="20"/>
        <v>0</v>
      </c>
      <c r="F152" s="15">
        <f t="shared" ca="1" si="21"/>
        <v>0</v>
      </c>
      <c r="G152">
        <f ca="1">IF(E152=1,(1+'Dane do harmonogramu'!$E$13*((('Roboczy harmonogram_2'!B152-DATE(YEAR(B152),1,1)+1)/365)+((DATE(YEAR(B151),12,31)-'Roboczy harmonogram_2'!B151)/366))),IF(F152=1,(1+'Dane do harmonogramu'!$E$13*((('Roboczy harmonogram_2'!B152-DATE(YEAR(B152),1,1)+1)/366)+((DATE(YEAR(B151),12,31)-'Roboczy harmonogram_2'!B151)/365))),0))</f>
        <v>0</v>
      </c>
      <c r="H152">
        <f t="shared" ca="1" si="22"/>
        <v>0</v>
      </c>
      <c r="I152">
        <f t="shared" ca="1" si="23"/>
        <v>1.0070493150684932</v>
      </c>
      <c r="J152">
        <f t="shared" ca="1" si="24"/>
        <v>1.0070493150684932</v>
      </c>
      <c r="K152">
        <f ca="1">PRODUCT($J$3:J152)</f>
        <v>2.8028739199323045</v>
      </c>
      <c r="L152">
        <f t="shared" ca="1" si="25"/>
        <v>0.356776661586031</v>
      </c>
      <c r="M152">
        <f ca="1">SUM($L$3:L152)</f>
        <v>93.467770471958687</v>
      </c>
      <c r="O152">
        <f t="shared" ca="1" si="26"/>
        <v>-1105.0279312216444</v>
      </c>
      <c r="P152" s="16">
        <f t="shared" ca="1" si="27"/>
        <v>6005.860691624287</v>
      </c>
      <c r="Q152" s="17">
        <f t="shared" ca="1" si="28"/>
        <v>-162762.64067448617</v>
      </c>
      <c r="S152">
        <f>IF(A152&lt;='Dane do harmonogramu'!$E$7,'Roboczy harmonogram_2'!P152,0)</f>
        <v>0</v>
      </c>
      <c r="T152">
        <f>IF(A152&lt;='Dane do harmonogramu'!$E$7,'Roboczy harmonogram_2'!O152,0)</f>
        <v>0</v>
      </c>
      <c r="U152">
        <f>IF(A152&lt;='Dane do harmonogramu'!$E$7,$N$2,0)</f>
        <v>0</v>
      </c>
      <c r="V152" s="16" t="str">
        <f>IF(A151&lt;='Dane do harmonogramu'!$E$7,Q151*0.15%,"")</f>
        <v/>
      </c>
    </row>
    <row r="153" spans="1:22" x14ac:dyDescent="0.35">
      <c r="A153">
        <v>151</v>
      </c>
      <c r="B153" s="14">
        <f t="shared" ca="1" si="29"/>
        <v>50665</v>
      </c>
      <c r="C153" s="15">
        <f ca="1">(1+'Dane do harmonogramu'!$E$13*('Roboczy harmonogram_2'!B153-'Roboczy harmonogram_2'!B152)/365)</f>
        <v>1.0070493150684932</v>
      </c>
      <c r="D153" s="15">
        <f ca="1">(1+'Dane do harmonogramu'!$E$13*('Roboczy harmonogram_2'!B153-'Roboczy harmonogram_2'!B152)/366)</f>
        <v>1.0070300546448088</v>
      </c>
      <c r="E153" s="15">
        <f t="shared" ca="1" si="20"/>
        <v>0</v>
      </c>
      <c r="F153" s="15">
        <f t="shared" ca="1" si="21"/>
        <v>0</v>
      </c>
      <c r="G153">
        <f ca="1">IF(E153=1,(1+'Dane do harmonogramu'!$E$13*((('Roboczy harmonogram_2'!B153-DATE(YEAR(B153),1,1)+1)/365)+((DATE(YEAR(B152),12,31)-'Roboczy harmonogram_2'!B152)/366))),IF(F153=1,(1+'Dane do harmonogramu'!$E$13*((('Roboczy harmonogram_2'!B153-DATE(YEAR(B153),1,1)+1)/366)+((DATE(YEAR(B152),12,31)-'Roboczy harmonogram_2'!B152)/365))),0))</f>
        <v>0</v>
      </c>
      <c r="H153">
        <f t="shared" ca="1" si="22"/>
        <v>0</v>
      </c>
      <c r="I153">
        <f t="shared" ca="1" si="23"/>
        <v>1.0070493150684932</v>
      </c>
      <c r="J153">
        <f t="shared" ca="1" si="24"/>
        <v>1.0070493150684932</v>
      </c>
      <c r="K153">
        <f ca="1">PRODUCT($J$3:J153)</f>
        <v>2.8226322612911696</v>
      </c>
      <c r="L153">
        <f t="shared" ca="1" si="25"/>
        <v>0.35427923563183727</v>
      </c>
      <c r="M153">
        <f ca="1">SUM($L$3:L153)</f>
        <v>93.822049707590523</v>
      </c>
      <c r="O153">
        <f t="shared" ca="1" si="26"/>
        <v>-1147.3651354943868</v>
      </c>
      <c r="P153" s="16">
        <f t="shared" ca="1" si="27"/>
        <v>6048.1978958970294</v>
      </c>
      <c r="Q153" s="17">
        <f t="shared" ca="1" si="28"/>
        <v>-168810.8385703832</v>
      </c>
      <c r="S153">
        <f>IF(A153&lt;='Dane do harmonogramu'!$E$7,'Roboczy harmonogram_2'!P153,0)</f>
        <v>0</v>
      </c>
      <c r="T153">
        <f>IF(A153&lt;='Dane do harmonogramu'!$E$7,'Roboczy harmonogram_2'!O153,0)</f>
        <v>0</v>
      </c>
      <c r="U153">
        <f>IF(A153&lt;='Dane do harmonogramu'!$E$7,$N$2,0)</f>
        <v>0</v>
      </c>
      <c r="V153" s="16" t="str">
        <f>IF(A152&lt;='Dane do harmonogramu'!$E$7,Q152*0.15%,"")</f>
        <v/>
      </c>
    </row>
    <row r="154" spans="1:22" x14ac:dyDescent="0.35">
      <c r="A154">
        <v>152</v>
      </c>
      <c r="B154" s="14">
        <f t="shared" ca="1" si="29"/>
        <v>50695</v>
      </c>
      <c r="C154" s="15">
        <f ca="1">(1+'Dane do harmonogramu'!$E$13*('Roboczy harmonogram_2'!B154-'Roboczy harmonogram_2'!B153)/365)</f>
        <v>1.0068219178082192</v>
      </c>
      <c r="D154" s="15">
        <f ca="1">(1+'Dane do harmonogramu'!$E$13*('Roboczy harmonogram_2'!B154-'Roboczy harmonogram_2'!B153)/366)</f>
        <v>1.0068032786885246</v>
      </c>
      <c r="E154" s="15">
        <f t="shared" ca="1" si="20"/>
        <v>0</v>
      </c>
      <c r="F154" s="15">
        <f t="shared" ca="1" si="21"/>
        <v>0</v>
      </c>
      <c r="G154">
        <f ca="1">IF(E154=1,(1+'Dane do harmonogramu'!$E$13*((('Roboczy harmonogram_2'!B154-DATE(YEAR(B154),1,1)+1)/365)+((DATE(YEAR(B153),12,31)-'Roboczy harmonogram_2'!B153)/366))),IF(F154=1,(1+'Dane do harmonogramu'!$E$13*((('Roboczy harmonogram_2'!B154-DATE(YEAR(B154),1,1)+1)/366)+((DATE(YEAR(B153),12,31)-'Roboczy harmonogram_2'!B153)/365))),0))</f>
        <v>0</v>
      </c>
      <c r="H154">
        <f t="shared" ca="1" si="22"/>
        <v>0</v>
      </c>
      <c r="I154">
        <f t="shared" ca="1" si="23"/>
        <v>1.0068219178082192</v>
      </c>
      <c r="J154">
        <f t="shared" ca="1" si="24"/>
        <v>1.0068219178082192</v>
      </c>
      <c r="K154">
        <f ca="1">PRODUCT($J$3:J154)</f>
        <v>2.8418880265805258</v>
      </c>
      <c r="L154">
        <f t="shared" ca="1" si="25"/>
        <v>0.35187874773632105</v>
      </c>
      <c r="M154">
        <f ca="1">SUM($L$3:L154)</f>
        <v>94.173928455326845</v>
      </c>
      <c r="O154">
        <f t="shared" ca="1" si="26"/>
        <v>-1151.613665863697</v>
      </c>
      <c r="P154" s="16">
        <f t="shared" ca="1" si="27"/>
        <v>6052.4464262663396</v>
      </c>
      <c r="Q154" s="17">
        <f t="shared" ca="1" si="28"/>
        <v>-174863.28499664954</v>
      </c>
      <c r="S154">
        <f>IF(A154&lt;='Dane do harmonogramu'!$E$7,'Roboczy harmonogram_2'!P154,0)</f>
        <v>0</v>
      </c>
      <c r="T154">
        <f>IF(A154&lt;='Dane do harmonogramu'!$E$7,'Roboczy harmonogram_2'!O154,0)</f>
        <v>0</v>
      </c>
      <c r="U154">
        <f>IF(A154&lt;='Dane do harmonogramu'!$E$7,$N$2,0)</f>
        <v>0</v>
      </c>
      <c r="V154" s="16" t="str">
        <f>IF(A153&lt;='Dane do harmonogramu'!$E$7,Q153*0.15%,"")</f>
        <v/>
      </c>
    </row>
    <row r="155" spans="1:22" x14ac:dyDescent="0.35">
      <c r="A155">
        <v>153</v>
      </c>
      <c r="B155" s="14">
        <f t="shared" ca="1" si="29"/>
        <v>50726</v>
      </c>
      <c r="C155" s="15">
        <f ca="1">(1+'Dane do harmonogramu'!$E$13*('Roboczy harmonogram_2'!B155-'Roboczy harmonogram_2'!B154)/365)</f>
        <v>1.0070493150684932</v>
      </c>
      <c r="D155" s="15">
        <f ca="1">(1+'Dane do harmonogramu'!$E$13*('Roboczy harmonogram_2'!B155-'Roboczy harmonogram_2'!B154)/366)</f>
        <v>1.0070300546448088</v>
      </c>
      <c r="E155" s="15">
        <f t="shared" ca="1" si="20"/>
        <v>0</v>
      </c>
      <c r="F155" s="15">
        <f t="shared" ca="1" si="21"/>
        <v>0</v>
      </c>
      <c r="G155">
        <f ca="1">IF(E155=1,(1+'Dane do harmonogramu'!$E$13*((('Roboczy harmonogram_2'!B155-DATE(YEAR(B155),1,1)+1)/365)+((DATE(YEAR(B154),12,31)-'Roboczy harmonogram_2'!B154)/366))),IF(F155=1,(1+'Dane do harmonogramu'!$E$13*((('Roboczy harmonogram_2'!B155-DATE(YEAR(B155),1,1)+1)/366)+((DATE(YEAR(B154),12,31)-'Roboczy harmonogram_2'!B154)/365))),0))</f>
        <v>0</v>
      </c>
      <c r="H155">
        <f t="shared" ca="1" si="22"/>
        <v>0</v>
      </c>
      <c r="I155">
        <f t="shared" ca="1" si="23"/>
        <v>1.0070493150684932</v>
      </c>
      <c r="J155">
        <f t="shared" ca="1" si="24"/>
        <v>1.0070493150684932</v>
      </c>
      <c r="K155">
        <f ca="1">PRODUCT($J$3:J155)</f>
        <v>2.86192139066927</v>
      </c>
      <c r="L155">
        <f t="shared" ca="1" si="25"/>
        <v>0.34941560703250013</v>
      </c>
      <c r="M155">
        <f ca="1">SUM($L$3:L155)</f>
        <v>94.523344062359342</v>
      </c>
      <c r="O155">
        <f t="shared" ca="1" si="26"/>
        <v>-1232.6663898530824</v>
      </c>
      <c r="P155" s="16">
        <f t="shared" ca="1" si="27"/>
        <v>6133.499150255725</v>
      </c>
      <c r="Q155" s="17">
        <f t="shared" ca="1" si="28"/>
        <v>-180996.78414690527</v>
      </c>
      <c r="S155">
        <f>IF(A155&lt;='Dane do harmonogramu'!$E$7,'Roboczy harmonogram_2'!P155,0)</f>
        <v>0</v>
      </c>
      <c r="T155">
        <f>IF(A155&lt;='Dane do harmonogramu'!$E$7,'Roboczy harmonogram_2'!O155,0)</f>
        <v>0</v>
      </c>
      <c r="U155">
        <f>IF(A155&lt;='Dane do harmonogramu'!$E$7,$N$2,0)</f>
        <v>0</v>
      </c>
      <c r="V155" s="16" t="str">
        <f>IF(A154&lt;='Dane do harmonogramu'!$E$7,Q154*0.15%,"")</f>
        <v/>
      </c>
    </row>
    <row r="156" spans="1:22" x14ac:dyDescent="0.35">
      <c r="A156">
        <v>154</v>
      </c>
      <c r="B156" s="14">
        <f t="shared" ca="1" si="29"/>
        <v>50756</v>
      </c>
      <c r="C156" s="15">
        <f ca="1">(1+'Dane do harmonogramu'!$E$13*('Roboczy harmonogram_2'!B156-'Roboczy harmonogram_2'!B155)/365)</f>
        <v>1.0068219178082192</v>
      </c>
      <c r="D156" s="15">
        <f ca="1">(1+'Dane do harmonogramu'!$E$13*('Roboczy harmonogram_2'!B156-'Roboczy harmonogram_2'!B155)/366)</f>
        <v>1.0068032786885246</v>
      </c>
      <c r="E156" s="15">
        <f t="shared" ca="1" si="20"/>
        <v>0</v>
      </c>
      <c r="F156" s="15">
        <f t="shared" ca="1" si="21"/>
        <v>0</v>
      </c>
      <c r="G156">
        <f ca="1">IF(E156=1,(1+'Dane do harmonogramu'!$E$13*((('Roboczy harmonogram_2'!B156-DATE(YEAR(B156),1,1)+1)/365)+((DATE(YEAR(B155),12,31)-'Roboczy harmonogram_2'!B155)/366))),IF(F156=1,(1+'Dane do harmonogramu'!$E$13*((('Roboczy harmonogram_2'!B156-DATE(YEAR(B156),1,1)+1)/366)+((DATE(YEAR(B155),12,31)-'Roboczy harmonogram_2'!B155)/365))),0))</f>
        <v>0</v>
      </c>
      <c r="H156">
        <f t="shared" ca="1" si="22"/>
        <v>0</v>
      </c>
      <c r="I156">
        <f t="shared" ca="1" si="23"/>
        <v>1.0068219178082192</v>
      </c>
      <c r="J156">
        <f t="shared" ca="1" si="24"/>
        <v>1.0068219178082192</v>
      </c>
      <c r="K156">
        <f ca="1">PRODUCT($J$3:J156)</f>
        <v>2.8814451831699999</v>
      </c>
      <c r="L156">
        <f t="shared" ca="1" si="25"/>
        <v>0.34704807359890766</v>
      </c>
      <c r="M156">
        <f ca="1">SUM($L$3:L156)</f>
        <v>94.870392135958255</v>
      </c>
      <c r="O156">
        <f t="shared" ca="1" si="26"/>
        <v>-1234.7451850021607</v>
      </c>
      <c r="P156" s="16">
        <f t="shared" ca="1" si="27"/>
        <v>6135.5779454048034</v>
      </c>
      <c r="Q156" s="17">
        <f t="shared" ca="1" si="28"/>
        <v>-187132.36209231007</v>
      </c>
      <c r="S156">
        <f>IF(A156&lt;='Dane do harmonogramu'!$E$7,'Roboczy harmonogram_2'!P156,0)</f>
        <v>0</v>
      </c>
      <c r="T156">
        <f>IF(A156&lt;='Dane do harmonogramu'!$E$7,'Roboczy harmonogram_2'!O156,0)</f>
        <v>0</v>
      </c>
      <c r="U156">
        <f>IF(A156&lt;='Dane do harmonogramu'!$E$7,$N$2,0)</f>
        <v>0</v>
      </c>
      <c r="V156" s="16" t="str">
        <f>IF(A155&lt;='Dane do harmonogramu'!$E$7,Q155*0.15%,"")</f>
        <v/>
      </c>
    </row>
    <row r="157" spans="1:22" x14ac:dyDescent="0.35">
      <c r="A157">
        <v>155</v>
      </c>
      <c r="B157" s="14">
        <f t="shared" ca="1" si="29"/>
        <v>50787</v>
      </c>
      <c r="C157" s="15">
        <f ca="1">(1+'Dane do harmonogramu'!$E$13*('Roboczy harmonogram_2'!B157-'Roboczy harmonogram_2'!B156)/365)</f>
        <v>1.0070493150684932</v>
      </c>
      <c r="D157" s="15">
        <f ca="1">(1+'Dane do harmonogramu'!$E$13*('Roboczy harmonogram_2'!B157-'Roboczy harmonogram_2'!B156)/366)</f>
        <v>1.0070300546448088</v>
      </c>
      <c r="E157" s="15">
        <f t="shared" ca="1" si="20"/>
        <v>0</v>
      </c>
      <c r="F157" s="15">
        <f t="shared" ca="1" si="21"/>
        <v>0</v>
      </c>
      <c r="G157">
        <f ca="1">IF(E157=1,(1+'Dane do harmonogramu'!$E$13*((('Roboczy harmonogram_2'!B157-DATE(YEAR(B157),1,1)+1)/365)+((DATE(YEAR(B156),12,31)-'Roboczy harmonogram_2'!B156)/366))),IF(F157=1,(1+'Dane do harmonogramu'!$E$13*((('Roboczy harmonogram_2'!B157-DATE(YEAR(B157),1,1)+1)/366)+((DATE(YEAR(B156),12,31)-'Roboczy harmonogram_2'!B156)/365))),0))</f>
        <v>0</v>
      </c>
      <c r="H157">
        <f t="shared" ca="1" si="22"/>
        <v>0</v>
      </c>
      <c r="I157">
        <f t="shared" ca="1" si="23"/>
        <v>1.0070493150684932</v>
      </c>
      <c r="J157">
        <f t="shared" ca="1" si="24"/>
        <v>1.0070493150684932</v>
      </c>
      <c r="K157">
        <f ca="1">PRODUCT($J$3:J157)</f>
        <v>2.901757398118757</v>
      </c>
      <c r="L157">
        <f t="shared" ca="1" si="25"/>
        <v>0.34461874746948579</v>
      </c>
      <c r="M157">
        <f ca="1">SUM($L$3:L157)</f>
        <v>95.215010883427738</v>
      </c>
      <c r="O157">
        <f t="shared" ca="1" si="26"/>
        <v>-1319.1549799000495</v>
      </c>
      <c r="P157" s="16">
        <f t="shared" ca="1" si="27"/>
        <v>6219.9877403026921</v>
      </c>
      <c r="Q157" s="17">
        <f t="shared" ca="1" si="28"/>
        <v>-193352.34983261276</v>
      </c>
      <c r="S157">
        <f>IF(A157&lt;='Dane do harmonogramu'!$E$7,'Roboczy harmonogram_2'!P157,0)</f>
        <v>0</v>
      </c>
      <c r="T157">
        <f>IF(A157&lt;='Dane do harmonogramu'!$E$7,'Roboczy harmonogram_2'!O157,0)</f>
        <v>0</v>
      </c>
      <c r="U157">
        <f>IF(A157&lt;='Dane do harmonogramu'!$E$7,$N$2,0)</f>
        <v>0</v>
      </c>
      <c r="V157" s="16" t="str">
        <f>IF(A156&lt;='Dane do harmonogramu'!$E$7,Q156*0.15%,"")</f>
        <v/>
      </c>
    </row>
    <row r="158" spans="1:22" x14ac:dyDescent="0.35">
      <c r="A158">
        <v>156</v>
      </c>
      <c r="B158" s="14">
        <f t="shared" ca="1" si="29"/>
        <v>50818</v>
      </c>
      <c r="C158" s="15">
        <f ca="1">(1+'Dane do harmonogramu'!$E$13*('Roboczy harmonogram_2'!B158-'Roboczy harmonogram_2'!B157)/365)</f>
        <v>1.0070493150684932</v>
      </c>
      <c r="D158" s="15">
        <f ca="1">(1+'Dane do harmonogramu'!$E$13*('Roboczy harmonogram_2'!B158-'Roboczy harmonogram_2'!B157)/366)</f>
        <v>1.0070300546448088</v>
      </c>
      <c r="E158" s="15">
        <f t="shared" ca="1" si="20"/>
        <v>0</v>
      </c>
      <c r="F158" s="15">
        <f t="shared" ca="1" si="21"/>
        <v>0</v>
      </c>
      <c r="G158">
        <f ca="1">IF(E158=1,(1+'Dane do harmonogramu'!$E$13*((('Roboczy harmonogram_2'!B158-DATE(YEAR(B158),1,1)+1)/365)+((DATE(YEAR(B157),12,31)-'Roboczy harmonogram_2'!B157)/366))),IF(F158=1,(1+'Dane do harmonogramu'!$E$13*((('Roboczy harmonogram_2'!B158-DATE(YEAR(B158),1,1)+1)/366)+((DATE(YEAR(B157),12,31)-'Roboczy harmonogram_2'!B157)/365))),0))</f>
        <v>0</v>
      </c>
      <c r="H158">
        <f t="shared" ca="1" si="22"/>
        <v>0</v>
      </c>
      <c r="I158">
        <f t="shared" ca="1" si="23"/>
        <v>1.0070493150684932</v>
      </c>
      <c r="J158">
        <f t="shared" ca="1" si="24"/>
        <v>1.0070493150684932</v>
      </c>
      <c r="K158">
        <f ca="1">PRODUCT($J$3:J158)</f>
        <v>2.9222128002704268</v>
      </c>
      <c r="L158">
        <f t="shared" ca="1" si="25"/>
        <v>0.34220642655026978</v>
      </c>
      <c r="M158">
        <f ca="1">SUM($L$3:L158)</f>
        <v>95.557217309978</v>
      </c>
      <c r="O158">
        <f t="shared" ca="1" si="26"/>
        <v>-1363.0016332035884</v>
      </c>
      <c r="P158" s="16">
        <f t="shared" ca="1" si="27"/>
        <v>6263.8343936062311</v>
      </c>
      <c r="Q158" s="17">
        <f t="shared" ca="1" si="28"/>
        <v>-199616.18422621899</v>
      </c>
      <c r="S158">
        <f>IF(A158&lt;='Dane do harmonogramu'!$E$7,'Roboczy harmonogram_2'!P158,0)</f>
        <v>0</v>
      </c>
      <c r="T158">
        <f>IF(A158&lt;='Dane do harmonogramu'!$E$7,'Roboczy harmonogram_2'!O158,0)</f>
        <v>0</v>
      </c>
      <c r="U158">
        <f>IF(A158&lt;='Dane do harmonogramu'!$E$7,$N$2,0)</f>
        <v>0</v>
      </c>
      <c r="V158" s="16" t="str">
        <f>IF(A157&lt;='Dane do harmonogramu'!$E$7,Q157*0.15%,"")</f>
        <v/>
      </c>
    </row>
    <row r="159" spans="1:22" x14ac:dyDescent="0.35">
      <c r="A159">
        <v>157</v>
      </c>
      <c r="B159" s="14">
        <f t="shared" ca="1" si="29"/>
        <v>50846</v>
      </c>
      <c r="C159" s="15">
        <f ca="1">(1+'Dane do harmonogramu'!$E$13*('Roboczy harmonogram_2'!B159-'Roboczy harmonogram_2'!B158)/365)</f>
        <v>1.0063671232876712</v>
      </c>
      <c r="D159" s="15">
        <f ca="1">(1+'Dane do harmonogramu'!$E$13*('Roboczy harmonogram_2'!B159-'Roboczy harmonogram_2'!B158)/366)</f>
        <v>1.0063497267759562</v>
      </c>
      <c r="E159" s="15">
        <f t="shared" ca="1" si="20"/>
        <v>0</v>
      </c>
      <c r="F159" s="15">
        <f t="shared" ca="1" si="21"/>
        <v>0</v>
      </c>
      <c r="G159">
        <f ca="1">IF(E159=1,(1+'Dane do harmonogramu'!$E$13*((('Roboczy harmonogram_2'!B159-DATE(YEAR(B159),1,1)+1)/365)+((DATE(YEAR(B158),12,31)-'Roboczy harmonogram_2'!B158)/366))),IF(F159=1,(1+'Dane do harmonogramu'!$E$13*((('Roboczy harmonogram_2'!B159-DATE(YEAR(B159),1,1)+1)/366)+((DATE(YEAR(B158),12,31)-'Roboczy harmonogram_2'!B158)/365))),0))</f>
        <v>0</v>
      </c>
      <c r="H159">
        <f t="shared" ca="1" si="22"/>
        <v>0</v>
      </c>
      <c r="I159">
        <f t="shared" ca="1" si="23"/>
        <v>1.0063671232876712</v>
      </c>
      <c r="J159">
        <f t="shared" ca="1" si="24"/>
        <v>1.0063671232876712</v>
      </c>
      <c r="K159">
        <f ca="1">PRODUCT($J$3:J159)</f>
        <v>2.9408188894425593</v>
      </c>
      <c r="L159">
        <f t="shared" ca="1" si="25"/>
        <v>0.34004134140662873</v>
      </c>
      <c r="M159">
        <f ca="1">SUM($L$3:L159)</f>
        <v>95.897258651384632</v>
      </c>
      <c r="O159">
        <f t="shared" ca="1" si="26"/>
        <v>-1270.9808551828319</v>
      </c>
      <c r="P159" s="16">
        <f t="shared" ca="1" si="27"/>
        <v>6171.8136155854745</v>
      </c>
      <c r="Q159" s="17">
        <f t="shared" ca="1" si="28"/>
        <v>-205787.99784180446</v>
      </c>
      <c r="S159">
        <f>IF(A159&lt;='Dane do harmonogramu'!$E$7,'Roboczy harmonogram_2'!P159,0)</f>
        <v>0</v>
      </c>
      <c r="T159">
        <f>IF(A159&lt;='Dane do harmonogramu'!$E$7,'Roboczy harmonogram_2'!O159,0)</f>
        <v>0</v>
      </c>
      <c r="U159">
        <f>IF(A159&lt;='Dane do harmonogramu'!$E$7,$N$2,0)</f>
        <v>0</v>
      </c>
      <c r="V159" s="16" t="str">
        <f>IF(A158&lt;='Dane do harmonogramu'!$E$7,Q158*0.15%,"")</f>
        <v/>
      </c>
    </row>
    <row r="160" spans="1:22" x14ac:dyDescent="0.35">
      <c r="A160">
        <v>158</v>
      </c>
      <c r="B160" s="14">
        <f t="shared" ca="1" si="29"/>
        <v>50877</v>
      </c>
      <c r="C160" s="15">
        <f ca="1">(1+'Dane do harmonogramu'!$E$13*('Roboczy harmonogram_2'!B160-'Roboczy harmonogram_2'!B159)/365)</f>
        <v>1.0070493150684932</v>
      </c>
      <c r="D160" s="15">
        <f ca="1">(1+'Dane do harmonogramu'!$E$13*('Roboczy harmonogram_2'!B160-'Roboczy harmonogram_2'!B159)/366)</f>
        <v>1.0070300546448088</v>
      </c>
      <c r="E160" s="15">
        <f t="shared" ca="1" si="20"/>
        <v>0</v>
      </c>
      <c r="F160" s="15">
        <f t="shared" ca="1" si="21"/>
        <v>0</v>
      </c>
      <c r="G160">
        <f ca="1">IF(E160=1,(1+'Dane do harmonogramu'!$E$13*((('Roboczy harmonogram_2'!B160-DATE(YEAR(B160),1,1)+1)/365)+((DATE(YEAR(B159),12,31)-'Roboczy harmonogram_2'!B159)/366))),IF(F160=1,(1+'Dane do harmonogramu'!$E$13*((('Roboczy harmonogram_2'!B160-DATE(YEAR(B160),1,1)+1)/366)+((DATE(YEAR(B159),12,31)-'Roboczy harmonogram_2'!B159)/365))),0))</f>
        <v>0</v>
      </c>
      <c r="H160">
        <f t="shared" ca="1" si="22"/>
        <v>0</v>
      </c>
      <c r="I160">
        <f t="shared" ca="1" si="23"/>
        <v>1.0070493150684932</v>
      </c>
      <c r="J160">
        <f t="shared" ca="1" si="24"/>
        <v>1.0070493150684932</v>
      </c>
      <c r="K160">
        <f ca="1">PRODUCT($J$3:J160)</f>
        <v>2.9615496483536159</v>
      </c>
      <c r="L160">
        <f t="shared" ca="1" si="25"/>
        <v>0.33766106219286912</v>
      </c>
      <c r="M160">
        <f ca="1">SUM($L$3:L160)</f>
        <v>96.234919713577497</v>
      </c>
      <c r="O160">
        <f t="shared" ca="1" si="26"/>
        <v>-1450.6644341012579</v>
      </c>
      <c r="P160" s="16">
        <f t="shared" ca="1" si="27"/>
        <v>6351.4971945039006</v>
      </c>
      <c r="Q160" s="17">
        <f t="shared" ca="1" si="28"/>
        <v>-212139.49503630836</v>
      </c>
      <c r="S160">
        <f>IF(A160&lt;='Dane do harmonogramu'!$E$7,'Roboczy harmonogram_2'!P160,0)</f>
        <v>0</v>
      </c>
      <c r="T160">
        <f>IF(A160&lt;='Dane do harmonogramu'!$E$7,'Roboczy harmonogram_2'!O160,0)</f>
        <v>0</v>
      </c>
      <c r="U160">
        <f>IF(A160&lt;='Dane do harmonogramu'!$E$7,$N$2,0)</f>
        <v>0</v>
      </c>
      <c r="V160" s="16" t="str">
        <f>IF(A159&lt;='Dane do harmonogramu'!$E$7,Q159*0.15%,"")</f>
        <v/>
      </c>
    </row>
    <row r="161" spans="1:22" x14ac:dyDescent="0.35">
      <c r="A161">
        <v>159</v>
      </c>
      <c r="B161" s="14">
        <f t="shared" ca="1" si="29"/>
        <v>50907</v>
      </c>
      <c r="C161" s="15">
        <f ca="1">(1+'Dane do harmonogramu'!$E$13*('Roboczy harmonogram_2'!B161-'Roboczy harmonogram_2'!B160)/365)</f>
        <v>1.0068219178082192</v>
      </c>
      <c r="D161" s="15">
        <f ca="1">(1+'Dane do harmonogramu'!$E$13*('Roboczy harmonogram_2'!B161-'Roboczy harmonogram_2'!B160)/366)</f>
        <v>1.0068032786885246</v>
      </c>
      <c r="E161" s="15">
        <f t="shared" ca="1" si="20"/>
        <v>0</v>
      </c>
      <c r="F161" s="15">
        <f t="shared" ca="1" si="21"/>
        <v>0</v>
      </c>
      <c r="G161">
        <f ca="1">IF(E161=1,(1+'Dane do harmonogramu'!$E$13*((('Roboczy harmonogram_2'!B161-DATE(YEAR(B161),1,1)+1)/365)+((DATE(YEAR(B160),12,31)-'Roboczy harmonogram_2'!B160)/366))),IF(F161=1,(1+'Dane do harmonogramu'!$E$13*((('Roboczy harmonogram_2'!B161-DATE(YEAR(B161),1,1)+1)/366)+((DATE(YEAR(B160),12,31)-'Roboczy harmonogram_2'!B160)/365))),0))</f>
        <v>0</v>
      </c>
      <c r="H161">
        <f t="shared" ca="1" si="22"/>
        <v>0</v>
      </c>
      <c r="I161">
        <f t="shared" ca="1" si="23"/>
        <v>1.0068219178082192</v>
      </c>
      <c r="J161">
        <f t="shared" ca="1" si="24"/>
        <v>1.0068219178082192</v>
      </c>
      <c r="K161">
        <f ca="1">PRODUCT($J$3:J161)</f>
        <v>2.9817530966396446</v>
      </c>
      <c r="L161">
        <f t="shared" ca="1" si="25"/>
        <v>0.33537317396499833</v>
      </c>
      <c r="M161">
        <f ca="1">SUM($L$3:L161)</f>
        <v>96.570292887542493</v>
      </c>
      <c r="O161">
        <f t="shared" ca="1" si="26"/>
        <v>-1447.1981990148197</v>
      </c>
      <c r="P161" s="16">
        <f t="shared" ca="1" si="27"/>
        <v>6348.0309594174623</v>
      </c>
      <c r="Q161" s="17">
        <f t="shared" ca="1" si="28"/>
        <v>-218487.52599572582</v>
      </c>
      <c r="S161">
        <f>IF(A161&lt;='Dane do harmonogramu'!$E$7,'Roboczy harmonogram_2'!P161,0)</f>
        <v>0</v>
      </c>
      <c r="T161">
        <f>IF(A161&lt;='Dane do harmonogramu'!$E$7,'Roboczy harmonogram_2'!O161,0)</f>
        <v>0</v>
      </c>
      <c r="U161">
        <f>IF(A161&lt;='Dane do harmonogramu'!$E$7,$N$2,0)</f>
        <v>0</v>
      </c>
      <c r="V161" s="16" t="str">
        <f>IF(A160&lt;='Dane do harmonogramu'!$E$7,Q160*0.15%,"")</f>
        <v/>
      </c>
    </row>
    <row r="162" spans="1:22" x14ac:dyDescent="0.35">
      <c r="A162">
        <v>160</v>
      </c>
      <c r="B162" s="14">
        <f t="shared" ca="1" si="29"/>
        <v>50938</v>
      </c>
      <c r="C162" s="15">
        <f ca="1">(1+'Dane do harmonogramu'!$E$13*('Roboczy harmonogram_2'!B162-'Roboczy harmonogram_2'!B161)/365)</f>
        <v>1.0070493150684932</v>
      </c>
      <c r="D162" s="15">
        <f ca="1">(1+'Dane do harmonogramu'!$E$13*('Roboczy harmonogram_2'!B162-'Roboczy harmonogram_2'!B161)/366)</f>
        <v>1.0070300546448088</v>
      </c>
      <c r="E162" s="15">
        <f t="shared" ca="1" si="20"/>
        <v>0</v>
      </c>
      <c r="F162" s="15">
        <f t="shared" ca="1" si="21"/>
        <v>0</v>
      </c>
      <c r="G162">
        <f ca="1">IF(E162=1,(1+'Dane do harmonogramu'!$E$13*((('Roboczy harmonogram_2'!B162-DATE(YEAR(B162),1,1)+1)/365)+((DATE(YEAR(B161),12,31)-'Roboczy harmonogram_2'!B161)/366))),IF(F162=1,(1+'Dane do harmonogramu'!$E$13*((('Roboczy harmonogram_2'!B162-DATE(YEAR(B162),1,1)+1)/366)+((DATE(YEAR(B161),12,31)-'Roboczy harmonogram_2'!B161)/365))),0))</f>
        <v>0</v>
      </c>
      <c r="H162">
        <f t="shared" ca="1" si="22"/>
        <v>0</v>
      </c>
      <c r="I162">
        <f t="shared" ca="1" si="23"/>
        <v>1.0070493150684932</v>
      </c>
      <c r="J162">
        <f t="shared" ca="1" si="24"/>
        <v>1.0070493150684932</v>
      </c>
      <c r="K162">
        <f ca="1">PRODUCT($J$3:J162)</f>
        <v>3.0027724136743128</v>
      </c>
      <c r="L162">
        <f t="shared" ca="1" si="25"/>
        <v>0.3330255717836304</v>
      </c>
      <c r="M162">
        <f ca="1">SUM($L$3:L162)</f>
        <v>96.90331845932613</v>
      </c>
      <c r="O162">
        <f t="shared" ca="1" si="26"/>
        <v>-1540.1874092794606</v>
      </c>
      <c r="P162" s="16">
        <f t="shared" ca="1" si="27"/>
        <v>6441.0201696821032</v>
      </c>
      <c r="Q162" s="17">
        <f t="shared" ca="1" si="28"/>
        <v>-224928.54616540793</v>
      </c>
      <c r="S162">
        <f>IF(A162&lt;='Dane do harmonogramu'!$E$7,'Roboczy harmonogram_2'!P162,0)</f>
        <v>0</v>
      </c>
      <c r="T162">
        <f>IF(A162&lt;='Dane do harmonogramu'!$E$7,'Roboczy harmonogram_2'!O162,0)</f>
        <v>0</v>
      </c>
      <c r="U162">
        <f>IF(A162&lt;='Dane do harmonogramu'!$E$7,$N$2,0)</f>
        <v>0</v>
      </c>
      <c r="V162" s="16" t="str">
        <f>IF(A161&lt;='Dane do harmonogramu'!$E$7,Q161*0.15%,"")</f>
        <v/>
      </c>
    </row>
    <row r="163" spans="1:22" x14ac:dyDescent="0.35">
      <c r="A163">
        <v>161</v>
      </c>
      <c r="B163" s="14">
        <f t="shared" ca="1" si="29"/>
        <v>50968</v>
      </c>
      <c r="C163" s="15">
        <f ca="1">(1+'Dane do harmonogramu'!$E$13*('Roboczy harmonogram_2'!B163-'Roboczy harmonogram_2'!B162)/365)</f>
        <v>1.0068219178082192</v>
      </c>
      <c r="D163" s="15">
        <f ca="1">(1+'Dane do harmonogramu'!$E$13*('Roboczy harmonogram_2'!B163-'Roboczy harmonogram_2'!B162)/366)</f>
        <v>1.0068032786885246</v>
      </c>
      <c r="E163" s="15">
        <f t="shared" ca="1" si="20"/>
        <v>0</v>
      </c>
      <c r="F163" s="15">
        <f t="shared" ca="1" si="21"/>
        <v>0</v>
      </c>
      <c r="G163">
        <f ca="1">IF(E163=1,(1+'Dane do harmonogramu'!$E$13*((('Roboczy harmonogram_2'!B163-DATE(YEAR(B163),1,1)+1)/365)+((DATE(YEAR(B162),12,31)-'Roboczy harmonogram_2'!B162)/366))),IF(F163=1,(1+'Dane do harmonogramu'!$E$13*((('Roboczy harmonogram_2'!B163-DATE(YEAR(B163),1,1)+1)/366)+((DATE(YEAR(B162),12,31)-'Roboczy harmonogram_2'!B162)/365))),0))</f>
        <v>0</v>
      </c>
      <c r="H163">
        <f t="shared" ca="1" si="22"/>
        <v>0</v>
      </c>
      <c r="I163">
        <f t="shared" ca="1" si="23"/>
        <v>1.0068219178082192</v>
      </c>
      <c r="J163">
        <f t="shared" ca="1" si="24"/>
        <v>1.0068219178082192</v>
      </c>
      <c r="K163">
        <f ca="1">PRODUCT($J$3:J163)</f>
        <v>3.0232570802771868</v>
      </c>
      <c r="L163">
        <f t="shared" ca="1" si="25"/>
        <v>0.33076909222298595</v>
      </c>
      <c r="M163">
        <f ca="1">SUM($L$3:L163)</f>
        <v>97.234087551549109</v>
      </c>
      <c r="O163">
        <f t="shared" ca="1" si="26"/>
        <v>-1534.4440546626574</v>
      </c>
      <c r="P163" s="16">
        <f t="shared" ca="1" si="27"/>
        <v>6435.2768150653001</v>
      </c>
      <c r="Q163" s="17">
        <f t="shared" ca="1" si="28"/>
        <v>-231363.82298047323</v>
      </c>
      <c r="S163">
        <f>IF(A163&lt;='Dane do harmonogramu'!$E$7,'Roboczy harmonogram_2'!P163,0)</f>
        <v>0</v>
      </c>
      <c r="T163">
        <f>IF(A163&lt;='Dane do harmonogramu'!$E$7,'Roboczy harmonogram_2'!O163,0)</f>
        <v>0</v>
      </c>
      <c r="U163">
        <f>IF(A163&lt;='Dane do harmonogramu'!$E$7,$N$2,0)</f>
        <v>0</v>
      </c>
      <c r="V163" s="16" t="str">
        <f>IF(A162&lt;='Dane do harmonogramu'!$E$7,Q162*0.15%,"")</f>
        <v/>
      </c>
    </row>
    <row r="164" spans="1:22" x14ac:dyDescent="0.35">
      <c r="A164">
        <v>162</v>
      </c>
      <c r="B164" s="14">
        <f t="shared" ca="1" si="29"/>
        <v>50999</v>
      </c>
      <c r="C164" s="15">
        <f ca="1">(1+'Dane do harmonogramu'!$E$13*('Roboczy harmonogram_2'!B164-'Roboczy harmonogram_2'!B163)/365)</f>
        <v>1.0070493150684932</v>
      </c>
      <c r="D164" s="15">
        <f ca="1">(1+'Dane do harmonogramu'!$E$13*('Roboczy harmonogram_2'!B164-'Roboczy harmonogram_2'!B163)/366)</f>
        <v>1.0070300546448088</v>
      </c>
      <c r="E164" s="15">
        <f t="shared" ca="1" si="20"/>
        <v>0</v>
      </c>
      <c r="F164" s="15">
        <f t="shared" ca="1" si="21"/>
        <v>0</v>
      </c>
      <c r="G164">
        <f ca="1">IF(E164=1,(1+'Dane do harmonogramu'!$E$13*((('Roboczy harmonogram_2'!B164-DATE(YEAR(B164),1,1)+1)/365)+((DATE(YEAR(B163),12,31)-'Roboczy harmonogram_2'!B163)/366))),IF(F164=1,(1+'Dane do harmonogramu'!$E$13*((('Roboczy harmonogram_2'!B164-DATE(YEAR(B164),1,1)+1)/366)+((DATE(YEAR(B163),12,31)-'Roboczy harmonogram_2'!B163)/365))),0))</f>
        <v>0</v>
      </c>
      <c r="H164">
        <f t="shared" ca="1" si="22"/>
        <v>0</v>
      </c>
      <c r="I164">
        <f t="shared" ca="1" si="23"/>
        <v>1.0070493150684932</v>
      </c>
      <c r="J164">
        <f t="shared" ca="1" si="24"/>
        <v>1.0070493150684932</v>
      </c>
      <c r="K164">
        <f ca="1">PRODUCT($J$3:J164)</f>
        <v>3.0445689719691131</v>
      </c>
      <c r="L164">
        <f t="shared" ca="1" si="25"/>
        <v>0.32845371847603028</v>
      </c>
      <c r="M164">
        <f ca="1">SUM($L$3:L164)</f>
        <v>97.562541270025136</v>
      </c>
      <c r="O164">
        <f t="shared" ca="1" si="26"/>
        <v>-1630.9564836404461</v>
      </c>
      <c r="P164" s="16">
        <f t="shared" ca="1" si="27"/>
        <v>6531.7892440430887</v>
      </c>
      <c r="Q164" s="17">
        <f t="shared" ca="1" si="28"/>
        <v>-237895.61222451631</v>
      </c>
      <c r="S164">
        <f>IF(A164&lt;='Dane do harmonogramu'!$E$7,'Roboczy harmonogram_2'!P164,0)</f>
        <v>0</v>
      </c>
      <c r="T164">
        <f>IF(A164&lt;='Dane do harmonogramu'!$E$7,'Roboczy harmonogram_2'!O164,0)</f>
        <v>0</v>
      </c>
      <c r="U164">
        <f>IF(A164&lt;='Dane do harmonogramu'!$E$7,$N$2,0)</f>
        <v>0</v>
      </c>
      <c r="V164" s="16" t="str">
        <f>IF(A163&lt;='Dane do harmonogramu'!$E$7,Q163*0.15%,"")</f>
        <v/>
      </c>
    </row>
    <row r="165" spans="1:22" x14ac:dyDescent="0.35">
      <c r="A165">
        <v>163</v>
      </c>
      <c r="B165" s="14">
        <f t="shared" ca="1" si="29"/>
        <v>51030</v>
      </c>
      <c r="C165" s="15">
        <f ca="1">(1+'Dane do harmonogramu'!$E$13*('Roboczy harmonogram_2'!B165-'Roboczy harmonogram_2'!B164)/365)</f>
        <v>1.0070493150684932</v>
      </c>
      <c r="D165" s="15">
        <f ca="1">(1+'Dane do harmonogramu'!$E$13*('Roboczy harmonogram_2'!B165-'Roboczy harmonogram_2'!B164)/366)</f>
        <v>1.0070300546448088</v>
      </c>
      <c r="E165" s="15">
        <f t="shared" ca="1" si="20"/>
        <v>0</v>
      </c>
      <c r="F165" s="15">
        <f t="shared" ca="1" si="21"/>
        <v>0</v>
      </c>
      <c r="G165">
        <f ca="1">IF(E165=1,(1+'Dane do harmonogramu'!$E$13*((('Roboczy harmonogram_2'!B165-DATE(YEAR(B165),1,1)+1)/365)+((DATE(YEAR(B164),12,31)-'Roboczy harmonogram_2'!B164)/366))),IF(F165=1,(1+'Dane do harmonogramu'!$E$13*((('Roboczy harmonogram_2'!B165-DATE(YEAR(B165),1,1)+1)/366)+((DATE(YEAR(B164),12,31)-'Roboczy harmonogram_2'!B164)/365))),0))</f>
        <v>0</v>
      </c>
      <c r="H165">
        <f t="shared" ca="1" si="22"/>
        <v>0</v>
      </c>
      <c r="I165">
        <f t="shared" ca="1" si="23"/>
        <v>1.0070493150684932</v>
      </c>
      <c r="J165">
        <f t="shared" ca="1" si="24"/>
        <v>1.0070493150684932</v>
      </c>
      <c r="K165">
        <f ca="1">PRODUCT($J$3:J165)</f>
        <v>3.0660310979002818</v>
      </c>
      <c r="L165">
        <f t="shared" ca="1" si="25"/>
        <v>0.32615455227601331</v>
      </c>
      <c r="M165">
        <f ca="1">SUM($L$3:L165)</f>
        <v>97.888695822301145</v>
      </c>
      <c r="O165">
        <f t="shared" ca="1" si="26"/>
        <v>-1677.0011239826854</v>
      </c>
      <c r="P165" s="16">
        <f t="shared" ca="1" si="27"/>
        <v>6577.833884385328</v>
      </c>
      <c r="Q165" s="17">
        <f t="shared" ca="1" si="28"/>
        <v>-244473.44610890164</v>
      </c>
      <c r="S165">
        <f>IF(A165&lt;='Dane do harmonogramu'!$E$7,'Roboczy harmonogram_2'!P165,0)</f>
        <v>0</v>
      </c>
      <c r="T165">
        <f>IF(A165&lt;='Dane do harmonogramu'!$E$7,'Roboczy harmonogram_2'!O165,0)</f>
        <v>0</v>
      </c>
      <c r="U165">
        <f>IF(A165&lt;='Dane do harmonogramu'!$E$7,$N$2,0)</f>
        <v>0</v>
      </c>
      <c r="V165" s="16" t="str">
        <f>IF(A164&lt;='Dane do harmonogramu'!$E$7,Q164*0.15%,"")</f>
        <v/>
      </c>
    </row>
    <row r="166" spans="1:22" x14ac:dyDescent="0.35">
      <c r="A166">
        <v>164</v>
      </c>
      <c r="B166" s="14">
        <f t="shared" ca="1" si="29"/>
        <v>51060</v>
      </c>
      <c r="C166" s="15">
        <f ca="1">(1+'Dane do harmonogramu'!$E$13*('Roboczy harmonogram_2'!B166-'Roboczy harmonogram_2'!B165)/365)</f>
        <v>1.0068219178082192</v>
      </c>
      <c r="D166" s="15">
        <f ca="1">(1+'Dane do harmonogramu'!$E$13*('Roboczy harmonogram_2'!B166-'Roboczy harmonogram_2'!B165)/366)</f>
        <v>1.0068032786885246</v>
      </c>
      <c r="E166" s="15">
        <f t="shared" ca="1" si="20"/>
        <v>0</v>
      </c>
      <c r="F166" s="15">
        <f t="shared" ca="1" si="21"/>
        <v>0</v>
      </c>
      <c r="G166">
        <f ca="1">IF(E166=1,(1+'Dane do harmonogramu'!$E$13*((('Roboczy harmonogram_2'!B166-DATE(YEAR(B166),1,1)+1)/365)+((DATE(YEAR(B165),12,31)-'Roboczy harmonogram_2'!B165)/366))),IF(F166=1,(1+'Dane do harmonogramu'!$E$13*((('Roboczy harmonogram_2'!B166-DATE(YEAR(B166),1,1)+1)/366)+((DATE(YEAR(B165),12,31)-'Roboczy harmonogram_2'!B165)/365))),0))</f>
        <v>0</v>
      </c>
      <c r="H166">
        <f t="shared" ca="1" si="22"/>
        <v>0</v>
      </c>
      <c r="I166">
        <f t="shared" ca="1" si="23"/>
        <v>1.0068219178082192</v>
      </c>
      <c r="J166">
        <f t="shared" ca="1" si="24"/>
        <v>1.0068219178082192</v>
      </c>
      <c r="K166">
        <f ca="1">PRODUCT($J$3:J166)</f>
        <v>3.0869473100476017</v>
      </c>
      <c r="L166">
        <f t="shared" ca="1" si="25"/>
        <v>0.32394462864498313</v>
      </c>
      <c r="M166">
        <f ca="1">SUM($L$3:L166)</f>
        <v>98.212640450946125</v>
      </c>
      <c r="O166">
        <f t="shared" ca="1" si="26"/>
        <v>-1667.7777556470246</v>
      </c>
      <c r="P166" s="16">
        <f t="shared" ca="1" si="27"/>
        <v>6568.6105160496672</v>
      </c>
      <c r="Q166" s="17">
        <f t="shared" ca="1" si="28"/>
        <v>-251042.05662495131</v>
      </c>
      <c r="S166">
        <f>IF(A166&lt;='Dane do harmonogramu'!$E$7,'Roboczy harmonogram_2'!P166,0)</f>
        <v>0</v>
      </c>
      <c r="T166">
        <f>IF(A166&lt;='Dane do harmonogramu'!$E$7,'Roboczy harmonogram_2'!O166,0)</f>
        <v>0</v>
      </c>
      <c r="U166">
        <f>IF(A166&lt;='Dane do harmonogramu'!$E$7,$N$2,0)</f>
        <v>0</v>
      </c>
      <c r="V166" s="16" t="str">
        <f>IF(A165&lt;='Dane do harmonogramu'!$E$7,Q165*0.15%,"")</f>
        <v/>
      </c>
    </row>
    <row r="167" spans="1:22" x14ac:dyDescent="0.35">
      <c r="A167">
        <v>165</v>
      </c>
      <c r="B167" s="14">
        <f t="shared" ca="1" si="29"/>
        <v>51091</v>
      </c>
      <c r="C167" s="15">
        <f ca="1">(1+'Dane do harmonogramu'!$E$13*('Roboczy harmonogram_2'!B167-'Roboczy harmonogram_2'!B166)/365)</f>
        <v>1.0070493150684932</v>
      </c>
      <c r="D167" s="15">
        <f ca="1">(1+'Dane do harmonogramu'!$E$13*('Roboczy harmonogram_2'!B167-'Roboczy harmonogram_2'!B166)/366)</f>
        <v>1.0070300546448088</v>
      </c>
      <c r="E167" s="15">
        <f t="shared" ca="1" si="20"/>
        <v>0</v>
      </c>
      <c r="F167" s="15">
        <f t="shared" ca="1" si="21"/>
        <v>0</v>
      </c>
      <c r="G167">
        <f ca="1">IF(E167=1,(1+'Dane do harmonogramu'!$E$13*((('Roboczy harmonogram_2'!B167-DATE(YEAR(B167),1,1)+1)/365)+((DATE(YEAR(B166),12,31)-'Roboczy harmonogram_2'!B166)/366))),IF(F167=1,(1+'Dane do harmonogramu'!$E$13*((('Roboczy harmonogram_2'!B167-DATE(YEAR(B167),1,1)+1)/366)+((DATE(YEAR(B166),12,31)-'Roboczy harmonogram_2'!B166)/365))),0))</f>
        <v>0</v>
      </c>
      <c r="H167">
        <f t="shared" ca="1" si="22"/>
        <v>0</v>
      </c>
      <c r="I167">
        <f t="shared" ca="1" si="23"/>
        <v>1.0070493150684932</v>
      </c>
      <c r="J167">
        <f t="shared" ca="1" si="24"/>
        <v>1.0070493150684932</v>
      </c>
      <c r="K167">
        <f ca="1">PRODUCT($J$3:J167)</f>
        <v>3.1087081742359648</v>
      </c>
      <c r="L167">
        <f t="shared" ca="1" si="25"/>
        <v>0.3216770259388444</v>
      </c>
      <c r="M167">
        <f ca="1">SUM($L$3:L167)</f>
        <v>98.534317476884965</v>
      </c>
      <c r="O167">
        <f t="shared" ca="1" si="26"/>
        <v>-1769.6745525917795</v>
      </c>
      <c r="P167" s="16">
        <f t="shared" ca="1" si="27"/>
        <v>6670.5073129944221</v>
      </c>
      <c r="Q167" s="17">
        <f t="shared" ca="1" si="28"/>
        <v>-257712.56393794573</v>
      </c>
      <c r="S167">
        <f>IF(A167&lt;='Dane do harmonogramu'!$E$7,'Roboczy harmonogram_2'!P167,0)</f>
        <v>0</v>
      </c>
      <c r="T167">
        <f>IF(A167&lt;='Dane do harmonogramu'!$E$7,'Roboczy harmonogram_2'!O167,0)</f>
        <v>0</v>
      </c>
      <c r="U167">
        <f>IF(A167&lt;='Dane do harmonogramu'!$E$7,$N$2,0)</f>
        <v>0</v>
      </c>
      <c r="V167" s="16" t="str">
        <f>IF(A166&lt;='Dane do harmonogramu'!$E$7,Q166*0.15%,"")</f>
        <v/>
      </c>
    </row>
    <row r="168" spans="1:22" x14ac:dyDescent="0.35">
      <c r="A168">
        <v>166</v>
      </c>
      <c r="B168" s="14">
        <f t="shared" ca="1" si="29"/>
        <v>51121</v>
      </c>
      <c r="C168" s="15">
        <f ca="1">(1+'Dane do harmonogramu'!$E$13*('Roboczy harmonogram_2'!B168-'Roboczy harmonogram_2'!B167)/365)</f>
        <v>1.0068219178082192</v>
      </c>
      <c r="D168" s="15">
        <f ca="1">(1+'Dane do harmonogramu'!$E$13*('Roboczy harmonogram_2'!B168-'Roboczy harmonogram_2'!B167)/366)</f>
        <v>1.0068032786885246</v>
      </c>
      <c r="E168" s="15">
        <f t="shared" ca="1" si="20"/>
        <v>0</v>
      </c>
      <c r="F168" s="15">
        <f t="shared" ca="1" si="21"/>
        <v>0</v>
      </c>
      <c r="G168">
        <f ca="1">IF(E168=1,(1+'Dane do harmonogramu'!$E$13*((('Roboczy harmonogram_2'!B168-DATE(YEAR(B168),1,1)+1)/365)+((DATE(YEAR(B167),12,31)-'Roboczy harmonogram_2'!B167)/366))),IF(F168=1,(1+'Dane do harmonogramu'!$E$13*((('Roboczy harmonogram_2'!B168-DATE(YEAR(B168),1,1)+1)/366)+((DATE(YEAR(B167),12,31)-'Roboczy harmonogram_2'!B167)/365))),0))</f>
        <v>0</v>
      </c>
      <c r="H168">
        <f t="shared" ca="1" si="22"/>
        <v>0</v>
      </c>
      <c r="I168">
        <f t="shared" ca="1" si="23"/>
        <v>1.0068219178082192</v>
      </c>
      <c r="J168">
        <f t="shared" ca="1" si="24"/>
        <v>1.0068219178082192</v>
      </c>
      <c r="K168">
        <f ca="1">PRODUCT($J$3:J168)</f>
        <v>3.1299155258903415</v>
      </c>
      <c r="L168">
        <f t="shared" ca="1" si="25"/>
        <v>0.31949744065873414</v>
      </c>
      <c r="M168">
        <f ca="1">SUM($L$3:L168)</f>
        <v>98.853814917543701</v>
      </c>
      <c r="O168">
        <f t="shared" ca="1" si="26"/>
        <v>-1758.0939293300908</v>
      </c>
      <c r="P168" s="16">
        <f t="shared" ca="1" si="27"/>
        <v>6658.9266897327334</v>
      </c>
      <c r="Q168" s="17">
        <f t="shared" ca="1" si="28"/>
        <v>-264371.49062767846</v>
      </c>
      <c r="S168">
        <f>IF(A168&lt;='Dane do harmonogramu'!$E$7,'Roboczy harmonogram_2'!P168,0)</f>
        <v>0</v>
      </c>
      <c r="T168">
        <f>IF(A168&lt;='Dane do harmonogramu'!$E$7,'Roboczy harmonogram_2'!O168,0)</f>
        <v>0</v>
      </c>
      <c r="U168">
        <f>IF(A168&lt;='Dane do harmonogramu'!$E$7,$N$2,0)</f>
        <v>0</v>
      </c>
      <c r="V168" s="16" t="str">
        <f>IF(A167&lt;='Dane do harmonogramu'!$E$7,Q167*0.15%,"")</f>
        <v/>
      </c>
    </row>
    <row r="169" spans="1:22" x14ac:dyDescent="0.35">
      <c r="A169">
        <v>167</v>
      </c>
      <c r="B169" s="14">
        <f t="shared" ca="1" si="29"/>
        <v>51152</v>
      </c>
      <c r="C169" s="15">
        <f ca="1">(1+'Dane do harmonogramu'!$E$13*('Roboczy harmonogram_2'!B169-'Roboczy harmonogram_2'!B168)/365)</f>
        <v>1.0070493150684932</v>
      </c>
      <c r="D169" s="15">
        <f ca="1">(1+'Dane do harmonogramu'!$E$13*('Roboczy harmonogram_2'!B169-'Roboczy harmonogram_2'!B168)/366)</f>
        <v>1.0070300546448088</v>
      </c>
      <c r="E169" s="15">
        <f t="shared" ca="1" si="20"/>
        <v>0</v>
      </c>
      <c r="F169" s="15">
        <f t="shared" ca="1" si="21"/>
        <v>1</v>
      </c>
      <c r="G169">
        <f ca="1">IF(E169=1,(1+'Dane do harmonogramu'!$E$13*((('Roboczy harmonogram_2'!B169-DATE(YEAR(B169),1,1)+1)/365)+((DATE(YEAR(B168),12,31)-'Roboczy harmonogram_2'!B168)/366))),IF(F169=1,(1+'Dane do harmonogramu'!$E$13*((('Roboczy harmonogram_2'!B169-DATE(YEAR(B169),1,1)+1)/366)+((DATE(YEAR(B168),12,31)-'Roboczy harmonogram_2'!B168)/365))),0))</f>
        <v>1.0070387529006661</v>
      </c>
      <c r="H169">
        <f t="shared" ca="1" si="22"/>
        <v>1</v>
      </c>
      <c r="I169">
        <f t="shared" ca="1" si="23"/>
        <v>1.0070300546448088</v>
      </c>
      <c r="J169">
        <f t="shared" ca="1" si="24"/>
        <v>1.0070387529006661</v>
      </c>
      <c r="K169">
        <f ca="1">PRODUCT($J$3:J169)</f>
        <v>3.1519462278770423</v>
      </c>
      <c r="L169">
        <f t="shared" ca="1" si="25"/>
        <v>0.317264295677258</v>
      </c>
      <c r="M169">
        <f ca="1">SUM($L$3:L169)</f>
        <v>99.171079213220963</v>
      </c>
      <c r="O169">
        <f t="shared" ca="1" si="26"/>
        <v>-1860.8455965089961</v>
      </c>
      <c r="P169" s="16">
        <f t="shared" ca="1" si="27"/>
        <v>6761.6783569116387</v>
      </c>
      <c r="Q169" s="17">
        <f t="shared" ca="1" si="28"/>
        <v>-271133.1689845901</v>
      </c>
      <c r="S169">
        <f>IF(A169&lt;='Dane do harmonogramu'!$E$7,'Roboczy harmonogram_2'!P169,0)</f>
        <v>0</v>
      </c>
      <c r="T169">
        <f>IF(A169&lt;='Dane do harmonogramu'!$E$7,'Roboczy harmonogram_2'!O169,0)</f>
        <v>0</v>
      </c>
      <c r="U169">
        <f>IF(A169&lt;='Dane do harmonogramu'!$E$7,$N$2,0)</f>
        <v>0</v>
      </c>
      <c r="V169" s="16" t="str">
        <f>IF(A168&lt;='Dane do harmonogramu'!$E$7,Q168*0.15%,"")</f>
        <v/>
      </c>
    </row>
    <row r="170" spans="1:22" x14ac:dyDescent="0.35">
      <c r="A170">
        <v>168</v>
      </c>
      <c r="B170" s="14">
        <f t="shared" ca="1" si="29"/>
        <v>51183</v>
      </c>
      <c r="C170" s="15">
        <f ca="1">(1+'Dane do harmonogramu'!$E$13*('Roboczy harmonogram_2'!B170-'Roboczy harmonogram_2'!B169)/365)</f>
        <v>1.0070493150684932</v>
      </c>
      <c r="D170" s="15">
        <f ca="1">(1+'Dane do harmonogramu'!$E$13*('Roboczy harmonogram_2'!B170-'Roboczy harmonogram_2'!B169)/366)</f>
        <v>1.0070300546448088</v>
      </c>
      <c r="E170" s="15">
        <f t="shared" ca="1" si="20"/>
        <v>0</v>
      </c>
      <c r="F170" s="15">
        <f t="shared" ca="1" si="21"/>
        <v>0</v>
      </c>
      <c r="G170">
        <f ca="1">IF(E170=1,(1+'Dane do harmonogramu'!$E$13*((('Roboczy harmonogram_2'!B170-DATE(YEAR(B170),1,1)+1)/365)+((DATE(YEAR(B169),12,31)-'Roboczy harmonogram_2'!B169)/366))),IF(F170=1,(1+'Dane do harmonogramu'!$E$13*((('Roboczy harmonogram_2'!B170-DATE(YEAR(B170),1,1)+1)/366)+((DATE(YEAR(B169),12,31)-'Roboczy harmonogram_2'!B169)/365))),0))</f>
        <v>0</v>
      </c>
      <c r="H170">
        <f t="shared" ca="1" si="22"/>
        <v>1</v>
      </c>
      <c r="I170">
        <f t="shared" ca="1" si="23"/>
        <v>1.0070300546448088</v>
      </c>
      <c r="J170">
        <f t="shared" ca="1" si="24"/>
        <v>1.0070300546448088</v>
      </c>
      <c r="K170">
        <f ca="1">PRODUCT($J$3:J170)</f>
        <v>3.1741045820965166</v>
      </c>
      <c r="L170">
        <f t="shared" ca="1" si="25"/>
        <v>0.31504948061273191</v>
      </c>
      <c r="M170">
        <f ca="1">SUM($L$3:L170)</f>
        <v>99.486128693833692</v>
      </c>
      <c r="O170">
        <f t="shared" ca="1" si="26"/>
        <v>-1906.0809939818573</v>
      </c>
      <c r="P170" s="16">
        <f t="shared" ca="1" si="27"/>
        <v>6806.9137543845</v>
      </c>
      <c r="Q170" s="17">
        <f t="shared" ca="1" si="28"/>
        <v>-277940.0827389746</v>
      </c>
      <c r="S170">
        <f>IF(A170&lt;='Dane do harmonogramu'!$E$7,'Roboczy harmonogram_2'!P170,0)</f>
        <v>0</v>
      </c>
      <c r="T170">
        <f>IF(A170&lt;='Dane do harmonogramu'!$E$7,'Roboczy harmonogram_2'!O170,0)</f>
        <v>0</v>
      </c>
      <c r="U170">
        <f>IF(A170&lt;='Dane do harmonogramu'!$E$7,$N$2,0)</f>
        <v>0</v>
      </c>
      <c r="V170" s="16" t="str">
        <f>IF(A169&lt;='Dane do harmonogramu'!$E$7,Q169*0.15%,"")</f>
        <v/>
      </c>
    </row>
    <row r="171" spans="1:22" x14ac:dyDescent="0.35">
      <c r="A171">
        <v>169</v>
      </c>
      <c r="B171" s="14">
        <f t="shared" ca="1" si="29"/>
        <v>51212</v>
      </c>
      <c r="C171" s="15">
        <f ca="1">(1+'Dane do harmonogramu'!$E$13*('Roboczy harmonogram_2'!B171-'Roboczy harmonogram_2'!B170)/365)</f>
        <v>1.0065945205479452</v>
      </c>
      <c r="D171" s="15">
        <f ca="1">(1+'Dane do harmonogramu'!$E$13*('Roboczy harmonogram_2'!B171-'Roboczy harmonogram_2'!B170)/366)</f>
        <v>1.0065765027322404</v>
      </c>
      <c r="E171" s="15">
        <f t="shared" ca="1" si="20"/>
        <v>0</v>
      </c>
      <c r="F171" s="15">
        <f t="shared" ca="1" si="21"/>
        <v>0</v>
      </c>
      <c r="G171">
        <f ca="1">IF(E171=1,(1+'Dane do harmonogramu'!$E$13*((('Roboczy harmonogram_2'!B171-DATE(YEAR(B171),1,1)+1)/365)+((DATE(YEAR(B170),12,31)-'Roboczy harmonogram_2'!B170)/366))),IF(F171=1,(1+'Dane do harmonogramu'!$E$13*((('Roboczy harmonogram_2'!B171-DATE(YEAR(B171),1,1)+1)/366)+((DATE(YEAR(B170),12,31)-'Roboczy harmonogram_2'!B170)/365))),0))</f>
        <v>0</v>
      </c>
      <c r="H171">
        <f t="shared" ca="1" si="22"/>
        <v>1</v>
      </c>
      <c r="I171">
        <f t="shared" ca="1" si="23"/>
        <v>1.0065765027322404</v>
      </c>
      <c r="J171">
        <f t="shared" ca="1" si="24"/>
        <v>1.0065765027322404</v>
      </c>
      <c r="K171">
        <f ca="1">PRODUCT($J$3:J171)</f>
        <v>3.1949790895530912</v>
      </c>
      <c r="L171">
        <f t="shared" ca="1" si="25"/>
        <v>0.31299109382899859</v>
      </c>
      <c r="M171">
        <f ca="1">SUM($L$3:L171)</f>
        <v>99.79911978766269</v>
      </c>
      <c r="O171">
        <f t="shared" ca="1" si="26"/>
        <v>-1827.8737135319971</v>
      </c>
      <c r="P171" s="16">
        <f t="shared" ca="1" si="27"/>
        <v>6728.7064739346397</v>
      </c>
      <c r="Q171" s="17">
        <f t="shared" ca="1" si="28"/>
        <v>-284668.78921290924</v>
      </c>
      <c r="S171">
        <f>IF(A171&lt;='Dane do harmonogramu'!$E$7,'Roboczy harmonogram_2'!P171,0)</f>
        <v>0</v>
      </c>
      <c r="T171">
        <f>IF(A171&lt;='Dane do harmonogramu'!$E$7,'Roboczy harmonogram_2'!O171,0)</f>
        <v>0</v>
      </c>
      <c r="U171">
        <f>IF(A171&lt;='Dane do harmonogramu'!$E$7,$N$2,0)</f>
        <v>0</v>
      </c>
      <c r="V171" s="16" t="str">
        <f>IF(A170&lt;='Dane do harmonogramu'!$E$7,Q170*0.15%,"")</f>
        <v/>
      </c>
    </row>
    <row r="172" spans="1:22" x14ac:dyDescent="0.35">
      <c r="A172">
        <v>170</v>
      </c>
      <c r="B172" s="14">
        <f t="shared" ca="1" si="29"/>
        <v>51243</v>
      </c>
      <c r="C172" s="15">
        <f ca="1">(1+'Dane do harmonogramu'!$E$13*('Roboczy harmonogram_2'!B172-'Roboczy harmonogram_2'!B171)/365)</f>
        <v>1.0070493150684932</v>
      </c>
      <c r="D172" s="15">
        <f ca="1">(1+'Dane do harmonogramu'!$E$13*('Roboczy harmonogram_2'!B172-'Roboczy harmonogram_2'!B171)/366)</f>
        <v>1.0070300546448088</v>
      </c>
      <c r="E172" s="15">
        <f t="shared" ca="1" si="20"/>
        <v>0</v>
      </c>
      <c r="F172" s="15">
        <f t="shared" ca="1" si="21"/>
        <v>0</v>
      </c>
      <c r="G172">
        <f ca="1">IF(E172=1,(1+'Dane do harmonogramu'!$E$13*((('Roboczy harmonogram_2'!B172-DATE(YEAR(B172),1,1)+1)/365)+((DATE(YEAR(B171),12,31)-'Roboczy harmonogram_2'!B171)/366))),IF(F172=1,(1+'Dane do harmonogramu'!$E$13*((('Roboczy harmonogram_2'!B172-DATE(YEAR(B172),1,1)+1)/366)+((DATE(YEAR(B171),12,31)-'Roboczy harmonogram_2'!B171)/365))),0))</f>
        <v>0</v>
      </c>
      <c r="H172">
        <f t="shared" ca="1" si="22"/>
        <v>1</v>
      </c>
      <c r="I172">
        <f t="shared" ca="1" si="23"/>
        <v>1.0070300546448088</v>
      </c>
      <c r="J172">
        <f t="shared" ca="1" si="24"/>
        <v>1.0070300546448088</v>
      </c>
      <c r="K172">
        <f ca="1">PRODUCT($J$3:J172)</f>
        <v>3.2174399671416709</v>
      </c>
      <c r="L172">
        <f t="shared" ca="1" si="25"/>
        <v>0.31080610989251373</v>
      </c>
      <c r="M172">
        <f ca="1">SUM($L$3:L172)</f>
        <v>100.1099258975552</v>
      </c>
      <c r="O172">
        <f t="shared" ca="1" si="26"/>
        <v>-2001.2371438383125</v>
      </c>
      <c r="P172" s="16">
        <f t="shared" ca="1" si="27"/>
        <v>6902.0699042409551</v>
      </c>
      <c r="Q172" s="17">
        <f t="shared" ca="1" si="28"/>
        <v>-291570.85911715019</v>
      </c>
      <c r="S172">
        <f>IF(A172&lt;='Dane do harmonogramu'!$E$7,'Roboczy harmonogram_2'!P172,0)</f>
        <v>0</v>
      </c>
      <c r="T172">
        <f>IF(A172&lt;='Dane do harmonogramu'!$E$7,'Roboczy harmonogram_2'!O172,0)</f>
        <v>0</v>
      </c>
      <c r="U172">
        <f>IF(A172&lt;='Dane do harmonogramu'!$E$7,$N$2,0)</f>
        <v>0</v>
      </c>
      <c r="V172" s="16" t="str">
        <f>IF(A171&lt;='Dane do harmonogramu'!$E$7,Q171*0.15%,"")</f>
        <v/>
      </c>
    </row>
    <row r="173" spans="1:22" x14ac:dyDescent="0.35">
      <c r="A173">
        <v>171</v>
      </c>
      <c r="B173" s="14">
        <f t="shared" ca="1" si="29"/>
        <v>51273</v>
      </c>
      <c r="C173" s="15">
        <f ca="1">(1+'Dane do harmonogramu'!$E$13*('Roboczy harmonogram_2'!B173-'Roboczy harmonogram_2'!B172)/365)</f>
        <v>1.0068219178082192</v>
      </c>
      <c r="D173" s="15">
        <f ca="1">(1+'Dane do harmonogramu'!$E$13*('Roboczy harmonogram_2'!B173-'Roboczy harmonogram_2'!B172)/366)</f>
        <v>1.0068032786885246</v>
      </c>
      <c r="E173" s="15">
        <f t="shared" ca="1" si="20"/>
        <v>0</v>
      </c>
      <c r="F173" s="15">
        <f t="shared" ca="1" si="21"/>
        <v>0</v>
      </c>
      <c r="G173">
        <f ca="1">IF(E173=1,(1+'Dane do harmonogramu'!$E$13*((('Roboczy harmonogram_2'!B173-DATE(YEAR(B173),1,1)+1)/365)+((DATE(YEAR(B172),12,31)-'Roboczy harmonogram_2'!B172)/366))),IF(F173=1,(1+'Dane do harmonogramu'!$E$13*((('Roboczy harmonogram_2'!B173-DATE(YEAR(B173),1,1)+1)/366)+((DATE(YEAR(B172),12,31)-'Roboczy harmonogram_2'!B172)/365))),0))</f>
        <v>0</v>
      </c>
      <c r="H173">
        <f t="shared" ca="1" si="22"/>
        <v>1</v>
      </c>
      <c r="I173">
        <f t="shared" ca="1" si="23"/>
        <v>1.0068032786885246</v>
      </c>
      <c r="J173">
        <f t="shared" ca="1" si="24"/>
        <v>1.0068032786885246</v>
      </c>
      <c r="K173">
        <f ca="1">PRODUCT($J$3:J173)</f>
        <v>3.239329107901733</v>
      </c>
      <c r="L173">
        <f t="shared" ca="1" si="25"/>
        <v>0.3087058976380907</v>
      </c>
      <c r="M173">
        <f ca="1">SUM($L$3:L173)</f>
        <v>100.41863179519329</v>
      </c>
      <c r="O173">
        <f t="shared" ca="1" si="26"/>
        <v>-1983.6378120265435</v>
      </c>
      <c r="P173" s="16">
        <f t="shared" ca="1" si="27"/>
        <v>6884.4705724291862</v>
      </c>
      <c r="Q173" s="17">
        <f t="shared" ca="1" si="28"/>
        <v>-298455.32968957938</v>
      </c>
      <c r="S173">
        <f>IF(A173&lt;='Dane do harmonogramu'!$E$7,'Roboczy harmonogram_2'!P173,0)</f>
        <v>0</v>
      </c>
      <c r="T173">
        <f>IF(A173&lt;='Dane do harmonogramu'!$E$7,'Roboczy harmonogram_2'!O173,0)</f>
        <v>0</v>
      </c>
      <c r="U173">
        <f>IF(A173&lt;='Dane do harmonogramu'!$E$7,$N$2,0)</f>
        <v>0</v>
      </c>
      <c r="V173" s="16" t="str">
        <f>IF(A172&lt;='Dane do harmonogramu'!$E$7,Q172*0.15%,"")</f>
        <v/>
      </c>
    </row>
    <row r="174" spans="1:22" x14ac:dyDescent="0.35">
      <c r="A174">
        <v>172</v>
      </c>
      <c r="B174" s="14">
        <f t="shared" ca="1" si="29"/>
        <v>51304</v>
      </c>
      <c r="C174" s="15">
        <f ca="1">(1+'Dane do harmonogramu'!$E$13*('Roboczy harmonogram_2'!B174-'Roboczy harmonogram_2'!B173)/365)</f>
        <v>1.0070493150684932</v>
      </c>
      <c r="D174" s="15">
        <f ca="1">(1+'Dane do harmonogramu'!$E$13*('Roboczy harmonogram_2'!B174-'Roboczy harmonogram_2'!B173)/366)</f>
        <v>1.0070300546448088</v>
      </c>
      <c r="E174" s="15">
        <f t="shared" ca="1" si="20"/>
        <v>0</v>
      </c>
      <c r="F174" s="15">
        <f t="shared" ca="1" si="21"/>
        <v>0</v>
      </c>
      <c r="G174">
        <f ca="1">IF(E174=1,(1+'Dane do harmonogramu'!$E$13*((('Roboczy harmonogram_2'!B174-DATE(YEAR(B174),1,1)+1)/365)+((DATE(YEAR(B173),12,31)-'Roboczy harmonogram_2'!B173)/366))),IF(F174=1,(1+'Dane do harmonogramu'!$E$13*((('Roboczy harmonogram_2'!B174-DATE(YEAR(B174),1,1)+1)/366)+((DATE(YEAR(B173),12,31)-'Roboczy harmonogram_2'!B173)/365))),0))</f>
        <v>0</v>
      </c>
      <c r="H174">
        <f t="shared" ca="1" si="22"/>
        <v>1</v>
      </c>
      <c r="I174">
        <f t="shared" ca="1" si="23"/>
        <v>1.0070300546448088</v>
      </c>
      <c r="J174">
        <f t="shared" ca="1" si="24"/>
        <v>1.0070300546448088</v>
      </c>
      <c r="K174">
        <f ca="1">PRODUCT($J$3:J174)</f>
        <v>3.2621017685428018</v>
      </c>
      <c r="L174">
        <f t="shared" ca="1" si="25"/>
        <v>0.3065508285618892</v>
      </c>
      <c r="M174">
        <f ca="1">SUM($L$3:L174)</f>
        <v>100.72518262375519</v>
      </c>
      <c r="O174">
        <f t="shared" ca="1" si="26"/>
        <v>-2098.157276752172</v>
      </c>
      <c r="P174" s="16">
        <f t="shared" ca="1" si="27"/>
        <v>6998.9900371548147</v>
      </c>
      <c r="Q174" s="17">
        <f t="shared" ca="1" si="28"/>
        <v>-305454.31972673419</v>
      </c>
      <c r="S174">
        <f>IF(A174&lt;='Dane do harmonogramu'!$E$7,'Roboczy harmonogram_2'!P174,0)</f>
        <v>0</v>
      </c>
      <c r="T174">
        <f>IF(A174&lt;='Dane do harmonogramu'!$E$7,'Roboczy harmonogram_2'!O174,0)</f>
        <v>0</v>
      </c>
      <c r="U174">
        <f>IF(A174&lt;='Dane do harmonogramu'!$E$7,$N$2,0)</f>
        <v>0</v>
      </c>
      <c r="V174" s="16" t="str">
        <f>IF(A173&lt;='Dane do harmonogramu'!$E$7,Q173*0.15%,"")</f>
        <v/>
      </c>
    </row>
    <row r="175" spans="1:22" x14ac:dyDescent="0.35">
      <c r="A175">
        <v>173</v>
      </c>
      <c r="B175" s="14">
        <f t="shared" ca="1" si="29"/>
        <v>51334</v>
      </c>
      <c r="C175" s="15">
        <f ca="1">(1+'Dane do harmonogramu'!$E$13*('Roboczy harmonogram_2'!B175-'Roboczy harmonogram_2'!B174)/365)</f>
        <v>1.0068219178082192</v>
      </c>
      <c r="D175" s="15">
        <f ca="1">(1+'Dane do harmonogramu'!$E$13*('Roboczy harmonogram_2'!B175-'Roboczy harmonogram_2'!B174)/366)</f>
        <v>1.0068032786885246</v>
      </c>
      <c r="E175" s="15">
        <f t="shared" ca="1" si="20"/>
        <v>0</v>
      </c>
      <c r="F175" s="15">
        <f t="shared" ca="1" si="21"/>
        <v>0</v>
      </c>
      <c r="G175">
        <f ca="1">IF(E175=1,(1+'Dane do harmonogramu'!$E$13*((('Roboczy harmonogram_2'!B175-DATE(YEAR(B175),1,1)+1)/365)+((DATE(YEAR(B174),12,31)-'Roboczy harmonogram_2'!B174)/366))),IF(F175=1,(1+'Dane do harmonogramu'!$E$13*((('Roboczy harmonogram_2'!B175-DATE(YEAR(B175),1,1)+1)/366)+((DATE(YEAR(B174),12,31)-'Roboczy harmonogram_2'!B174)/365))),0))</f>
        <v>0</v>
      </c>
      <c r="H175">
        <f t="shared" ca="1" si="22"/>
        <v>1</v>
      </c>
      <c r="I175">
        <f t="shared" ca="1" si="23"/>
        <v>1.0068032786885246</v>
      </c>
      <c r="J175">
        <f t="shared" ca="1" si="24"/>
        <v>1.0068032786885246</v>
      </c>
      <c r="K175">
        <f ca="1">PRODUCT($J$3:J175)</f>
        <v>3.2842947559845275</v>
      </c>
      <c r="L175">
        <f t="shared" ca="1" si="25"/>
        <v>0.30447937054913687</v>
      </c>
      <c r="M175">
        <f ca="1">SUM($L$3:L175)</f>
        <v>101.02966199430432</v>
      </c>
      <c r="O175">
        <f t="shared" ca="1" si="26"/>
        <v>-2078.0908637146931</v>
      </c>
      <c r="P175" s="16">
        <f t="shared" ca="1" si="27"/>
        <v>6978.9236241173357</v>
      </c>
      <c r="Q175" s="17">
        <f t="shared" ca="1" si="28"/>
        <v>-312433.24335085152</v>
      </c>
      <c r="S175">
        <f>IF(A175&lt;='Dane do harmonogramu'!$E$7,'Roboczy harmonogram_2'!P175,0)</f>
        <v>0</v>
      </c>
      <c r="T175">
        <f>IF(A175&lt;='Dane do harmonogramu'!$E$7,'Roboczy harmonogram_2'!O175,0)</f>
        <v>0</v>
      </c>
      <c r="U175">
        <f>IF(A175&lt;='Dane do harmonogramu'!$E$7,$N$2,0)</f>
        <v>0</v>
      </c>
      <c r="V175" s="16" t="str">
        <f>IF(A174&lt;='Dane do harmonogramu'!$E$7,Q174*0.15%,"")</f>
        <v/>
      </c>
    </row>
    <row r="176" spans="1:22" x14ac:dyDescent="0.35">
      <c r="A176">
        <v>174</v>
      </c>
      <c r="B176" s="14">
        <f t="shared" ca="1" si="29"/>
        <v>51365</v>
      </c>
      <c r="C176" s="15">
        <f ca="1">(1+'Dane do harmonogramu'!$E$13*('Roboczy harmonogram_2'!B176-'Roboczy harmonogram_2'!B175)/365)</f>
        <v>1.0070493150684932</v>
      </c>
      <c r="D176" s="15">
        <f ca="1">(1+'Dane do harmonogramu'!$E$13*('Roboczy harmonogram_2'!B176-'Roboczy harmonogram_2'!B175)/366)</f>
        <v>1.0070300546448088</v>
      </c>
      <c r="E176" s="15">
        <f t="shared" ca="1" si="20"/>
        <v>0</v>
      </c>
      <c r="F176" s="15">
        <f t="shared" ca="1" si="21"/>
        <v>0</v>
      </c>
      <c r="G176">
        <f ca="1">IF(E176=1,(1+'Dane do harmonogramu'!$E$13*((('Roboczy harmonogram_2'!B176-DATE(YEAR(B176),1,1)+1)/365)+((DATE(YEAR(B175),12,31)-'Roboczy harmonogram_2'!B175)/366))),IF(F176=1,(1+'Dane do harmonogramu'!$E$13*((('Roboczy harmonogram_2'!B176-DATE(YEAR(B176),1,1)+1)/366)+((DATE(YEAR(B175),12,31)-'Roboczy harmonogram_2'!B175)/365))),0))</f>
        <v>0</v>
      </c>
      <c r="H176">
        <f t="shared" ca="1" si="22"/>
        <v>1</v>
      </c>
      <c r="I176">
        <f t="shared" ca="1" si="23"/>
        <v>1.0070300546448088</v>
      </c>
      <c r="J176">
        <f t="shared" ca="1" si="24"/>
        <v>1.0070300546448088</v>
      </c>
      <c r="K176">
        <f ca="1">PRODUCT($J$3:J176)</f>
        <v>3.3073835275887578</v>
      </c>
      <c r="L176">
        <f t="shared" ca="1" si="25"/>
        <v>0.30235380676550938</v>
      </c>
      <c r="M176">
        <f ca="1">SUM($L$3:L176)</f>
        <v>101.33201580106983</v>
      </c>
      <c r="O176">
        <f t="shared" ca="1" si="26"/>
        <v>-2196.4227736113244</v>
      </c>
      <c r="P176" s="16">
        <f t="shared" ca="1" si="27"/>
        <v>7097.255534013967</v>
      </c>
      <c r="Q176" s="17">
        <f t="shared" ca="1" si="28"/>
        <v>-319530.49888486549</v>
      </c>
      <c r="S176">
        <f>IF(A176&lt;='Dane do harmonogramu'!$E$7,'Roboczy harmonogram_2'!P176,0)</f>
        <v>0</v>
      </c>
      <c r="T176">
        <f>IF(A176&lt;='Dane do harmonogramu'!$E$7,'Roboczy harmonogram_2'!O176,0)</f>
        <v>0</v>
      </c>
      <c r="U176">
        <f>IF(A176&lt;='Dane do harmonogramu'!$E$7,$N$2,0)</f>
        <v>0</v>
      </c>
      <c r="V176" s="16" t="str">
        <f>IF(A175&lt;='Dane do harmonogramu'!$E$7,Q175*0.15%,"")</f>
        <v/>
      </c>
    </row>
    <row r="177" spans="1:22" x14ac:dyDescent="0.35">
      <c r="A177">
        <v>175</v>
      </c>
      <c r="B177" s="14">
        <f t="shared" ca="1" si="29"/>
        <v>51396</v>
      </c>
      <c r="C177" s="15">
        <f ca="1">(1+'Dane do harmonogramu'!$E$13*('Roboczy harmonogram_2'!B177-'Roboczy harmonogram_2'!B176)/365)</f>
        <v>1.0070493150684932</v>
      </c>
      <c r="D177" s="15">
        <f ca="1">(1+'Dane do harmonogramu'!$E$13*('Roboczy harmonogram_2'!B177-'Roboczy harmonogram_2'!B176)/366)</f>
        <v>1.0070300546448088</v>
      </c>
      <c r="E177" s="15">
        <f t="shared" ca="1" si="20"/>
        <v>0</v>
      </c>
      <c r="F177" s="15">
        <f t="shared" ca="1" si="21"/>
        <v>0</v>
      </c>
      <c r="G177">
        <f ca="1">IF(E177=1,(1+'Dane do harmonogramu'!$E$13*((('Roboczy harmonogram_2'!B177-DATE(YEAR(B177),1,1)+1)/365)+((DATE(YEAR(B176),12,31)-'Roboczy harmonogram_2'!B176)/366))),IF(F177=1,(1+'Dane do harmonogramu'!$E$13*((('Roboczy harmonogram_2'!B177-DATE(YEAR(B177),1,1)+1)/366)+((DATE(YEAR(B176),12,31)-'Roboczy harmonogram_2'!B176)/365))),0))</f>
        <v>0</v>
      </c>
      <c r="H177">
        <f t="shared" ca="1" si="22"/>
        <v>1</v>
      </c>
      <c r="I177">
        <f t="shared" ca="1" si="23"/>
        <v>1.0070300546448088</v>
      </c>
      <c r="J177">
        <f t="shared" ca="1" si="24"/>
        <v>1.0070300546448088</v>
      </c>
      <c r="K177">
        <f ca="1">PRODUCT($J$3:J177)</f>
        <v>3.3306346145190471</v>
      </c>
      <c r="L177">
        <f t="shared" ca="1" si="25"/>
        <v>0.30024308149586765</v>
      </c>
      <c r="M177">
        <f ca="1">SUM($L$3:L177)</f>
        <v>101.63225888256569</v>
      </c>
      <c r="O177">
        <f t="shared" ca="1" si="26"/>
        <v>-2246.3168678436195</v>
      </c>
      <c r="P177" s="16">
        <f t="shared" ca="1" si="27"/>
        <v>7147.1496282462622</v>
      </c>
      <c r="Q177" s="17">
        <f t="shared" ca="1" si="28"/>
        <v>-326677.64851311175</v>
      </c>
      <c r="S177">
        <f>IF(A177&lt;='Dane do harmonogramu'!$E$7,'Roboczy harmonogram_2'!P177,0)</f>
        <v>0</v>
      </c>
      <c r="T177">
        <f>IF(A177&lt;='Dane do harmonogramu'!$E$7,'Roboczy harmonogram_2'!O177,0)</f>
        <v>0</v>
      </c>
      <c r="U177">
        <f>IF(A177&lt;='Dane do harmonogramu'!$E$7,$N$2,0)</f>
        <v>0</v>
      </c>
      <c r="V177" s="16" t="str">
        <f>IF(A176&lt;='Dane do harmonogramu'!$E$7,Q176*0.15%,"")</f>
        <v/>
      </c>
    </row>
    <row r="178" spans="1:22" x14ac:dyDescent="0.35">
      <c r="A178">
        <v>176</v>
      </c>
      <c r="B178" s="14">
        <f t="shared" ca="1" si="29"/>
        <v>51426</v>
      </c>
      <c r="C178" s="15">
        <f ca="1">(1+'Dane do harmonogramu'!$E$13*('Roboczy harmonogram_2'!B178-'Roboczy harmonogram_2'!B177)/365)</f>
        <v>1.0068219178082192</v>
      </c>
      <c r="D178" s="15">
        <f ca="1">(1+'Dane do harmonogramu'!$E$13*('Roboczy harmonogram_2'!B178-'Roboczy harmonogram_2'!B177)/366)</f>
        <v>1.0068032786885246</v>
      </c>
      <c r="E178" s="15">
        <f t="shared" ca="1" si="20"/>
        <v>0</v>
      </c>
      <c r="F178" s="15">
        <f t="shared" ca="1" si="21"/>
        <v>0</v>
      </c>
      <c r="G178">
        <f ca="1">IF(E178=1,(1+'Dane do harmonogramu'!$E$13*((('Roboczy harmonogram_2'!B178-DATE(YEAR(B178),1,1)+1)/365)+((DATE(YEAR(B177),12,31)-'Roboczy harmonogram_2'!B177)/366))),IF(F178=1,(1+'Dane do harmonogramu'!$E$13*((('Roboczy harmonogram_2'!B178-DATE(YEAR(B178),1,1)+1)/366)+((DATE(YEAR(B177),12,31)-'Roboczy harmonogram_2'!B177)/365))),0))</f>
        <v>0</v>
      </c>
      <c r="H178">
        <f t="shared" ca="1" si="22"/>
        <v>1</v>
      </c>
      <c r="I178">
        <f t="shared" ca="1" si="23"/>
        <v>1.0068032786885246</v>
      </c>
      <c r="J178">
        <f t="shared" ca="1" si="24"/>
        <v>1.0068032786885246</v>
      </c>
      <c r="K178">
        <f ca="1">PRODUCT($J$3:J178)</f>
        <v>3.353293850011267</v>
      </c>
      <c r="L178">
        <f t="shared" ca="1" si="25"/>
        <v>0.29821424686555281</v>
      </c>
      <c r="M178">
        <f ca="1">SUM($L$3:L178)</f>
        <v>101.93047312943125</v>
      </c>
      <c r="O178">
        <f t="shared" ca="1" si="26"/>
        <v>-2222.4790841465583</v>
      </c>
      <c r="P178" s="16">
        <f t="shared" ca="1" si="27"/>
        <v>7123.3118445492009</v>
      </c>
      <c r="Q178" s="17">
        <f t="shared" ca="1" si="28"/>
        <v>-333800.96035766095</v>
      </c>
      <c r="S178">
        <f>IF(A178&lt;='Dane do harmonogramu'!$E$7,'Roboczy harmonogram_2'!P178,0)</f>
        <v>0</v>
      </c>
      <c r="T178">
        <f>IF(A178&lt;='Dane do harmonogramu'!$E$7,'Roboczy harmonogram_2'!O178,0)</f>
        <v>0</v>
      </c>
      <c r="U178">
        <f>IF(A178&lt;='Dane do harmonogramu'!$E$7,$N$2,0)</f>
        <v>0</v>
      </c>
      <c r="V178" s="16" t="str">
        <f>IF(A177&lt;='Dane do harmonogramu'!$E$7,Q177*0.15%,"")</f>
        <v/>
      </c>
    </row>
    <row r="179" spans="1:22" x14ac:dyDescent="0.35">
      <c r="A179">
        <v>177</v>
      </c>
      <c r="B179" s="14">
        <f t="shared" ca="1" si="29"/>
        <v>51457</v>
      </c>
      <c r="C179" s="15">
        <f ca="1">(1+'Dane do harmonogramu'!$E$13*('Roboczy harmonogram_2'!B179-'Roboczy harmonogram_2'!B178)/365)</f>
        <v>1.0070493150684932</v>
      </c>
      <c r="D179" s="15">
        <f ca="1">(1+'Dane do harmonogramu'!$E$13*('Roboczy harmonogram_2'!B179-'Roboczy harmonogram_2'!B178)/366)</f>
        <v>1.0070300546448088</v>
      </c>
      <c r="E179" s="15">
        <f t="shared" ca="1" si="20"/>
        <v>0</v>
      </c>
      <c r="F179" s="15">
        <f t="shared" ca="1" si="21"/>
        <v>0</v>
      </c>
      <c r="G179">
        <f ca="1">IF(E179=1,(1+'Dane do harmonogramu'!$E$13*((('Roboczy harmonogram_2'!B179-DATE(YEAR(B179),1,1)+1)/365)+((DATE(YEAR(B178),12,31)-'Roboczy harmonogram_2'!B178)/366))),IF(F179=1,(1+'Dane do harmonogramu'!$E$13*((('Roboczy harmonogram_2'!B179-DATE(YEAR(B179),1,1)+1)/366)+((DATE(YEAR(B178),12,31)-'Roboczy harmonogram_2'!B178)/365))),0))</f>
        <v>0</v>
      </c>
      <c r="H179">
        <f t="shared" ca="1" si="22"/>
        <v>1</v>
      </c>
      <c r="I179">
        <f t="shared" ca="1" si="23"/>
        <v>1.0070300546448088</v>
      </c>
      <c r="J179">
        <f t="shared" ca="1" si="24"/>
        <v>1.0070300546448088</v>
      </c>
      <c r="K179">
        <f ca="1">PRODUCT($J$3:J179)</f>
        <v>3.3768676890169473</v>
      </c>
      <c r="L179">
        <f t="shared" ca="1" si="25"/>
        <v>0.29613241977245303</v>
      </c>
      <c r="M179">
        <f ca="1">SUM($L$3:L179)</f>
        <v>102.2266055492037</v>
      </c>
      <c r="O179">
        <f t="shared" ca="1" si="26"/>
        <v>-2346.6389918039786</v>
      </c>
      <c r="P179" s="16">
        <f t="shared" ca="1" si="27"/>
        <v>7247.4717522066212</v>
      </c>
      <c r="Q179" s="17">
        <f t="shared" ca="1" si="28"/>
        <v>-341048.43210986757</v>
      </c>
      <c r="S179">
        <f>IF(A179&lt;='Dane do harmonogramu'!$E$7,'Roboczy harmonogram_2'!P179,0)</f>
        <v>0</v>
      </c>
      <c r="T179">
        <f>IF(A179&lt;='Dane do harmonogramu'!$E$7,'Roboczy harmonogram_2'!O179,0)</f>
        <v>0</v>
      </c>
      <c r="U179">
        <f>IF(A179&lt;='Dane do harmonogramu'!$E$7,$N$2,0)</f>
        <v>0</v>
      </c>
      <c r="V179" s="16" t="str">
        <f>IF(A178&lt;='Dane do harmonogramu'!$E$7,Q178*0.15%,"")</f>
        <v/>
      </c>
    </row>
    <row r="180" spans="1:22" x14ac:dyDescent="0.35">
      <c r="A180">
        <v>178</v>
      </c>
      <c r="B180" s="14">
        <f t="shared" ca="1" si="29"/>
        <v>51487</v>
      </c>
      <c r="C180" s="15">
        <f ca="1">(1+'Dane do harmonogramu'!$E$13*('Roboczy harmonogram_2'!B180-'Roboczy harmonogram_2'!B179)/365)</f>
        <v>1.0068219178082192</v>
      </c>
      <c r="D180" s="15">
        <f ca="1">(1+'Dane do harmonogramu'!$E$13*('Roboczy harmonogram_2'!B180-'Roboczy harmonogram_2'!B179)/366)</f>
        <v>1.0068032786885246</v>
      </c>
      <c r="E180" s="15">
        <f t="shared" ca="1" si="20"/>
        <v>0</v>
      </c>
      <c r="F180" s="15">
        <f t="shared" ca="1" si="21"/>
        <v>0</v>
      </c>
      <c r="G180">
        <f ca="1">IF(E180=1,(1+'Dane do harmonogramu'!$E$13*((('Roboczy harmonogram_2'!B180-DATE(YEAR(B180),1,1)+1)/365)+((DATE(YEAR(B179),12,31)-'Roboczy harmonogram_2'!B179)/366))),IF(F180=1,(1+'Dane do harmonogramu'!$E$13*((('Roboczy harmonogram_2'!B180-DATE(YEAR(B180),1,1)+1)/366)+((DATE(YEAR(B179),12,31)-'Roboczy harmonogram_2'!B179)/365))),0))</f>
        <v>0</v>
      </c>
      <c r="H180">
        <f t="shared" ca="1" si="22"/>
        <v>1</v>
      </c>
      <c r="I180">
        <f t="shared" ca="1" si="23"/>
        <v>1.0068032786885246</v>
      </c>
      <c r="J180">
        <f t="shared" ca="1" si="24"/>
        <v>1.0068032786885246</v>
      </c>
      <c r="K180">
        <f ca="1">PRODUCT($J$3:J180)</f>
        <v>3.3998414609996037</v>
      </c>
      <c r="L180">
        <f t="shared" ca="1" si="25"/>
        <v>0.29413136214474694</v>
      </c>
      <c r="M180">
        <f ca="1">SUM($L$3:L180)</f>
        <v>102.52073691134845</v>
      </c>
      <c r="O180">
        <f t="shared" ca="1" si="26"/>
        <v>-2320.2475299278158</v>
      </c>
      <c r="P180" s="16">
        <f t="shared" ca="1" si="27"/>
        <v>7221.0802903304584</v>
      </c>
      <c r="Q180" s="17">
        <f t="shared" ca="1" si="28"/>
        <v>-348269.51240019803</v>
      </c>
      <c r="S180">
        <f>IF(A180&lt;='Dane do harmonogramu'!$E$7,'Roboczy harmonogram_2'!P180,0)</f>
        <v>0</v>
      </c>
      <c r="T180">
        <f>IF(A180&lt;='Dane do harmonogramu'!$E$7,'Roboczy harmonogram_2'!O180,0)</f>
        <v>0</v>
      </c>
      <c r="U180">
        <f>IF(A180&lt;='Dane do harmonogramu'!$E$7,$N$2,0)</f>
        <v>0</v>
      </c>
      <c r="V180" s="16" t="str">
        <f>IF(A179&lt;='Dane do harmonogramu'!$E$7,Q179*0.15%,"")</f>
        <v/>
      </c>
    </row>
    <row r="181" spans="1:22" x14ac:dyDescent="0.35">
      <c r="A181">
        <v>179</v>
      </c>
      <c r="B181" s="14">
        <f t="shared" ca="1" si="29"/>
        <v>51518</v>
      </c>
      <c r="C181" s="15">
        <f ca="1">(1+'Dane do harmonogramu'!$E$13*('Roboczy harmonogram_2'!B181-'Roboczy harmonogram_2'!B180)/365)</f>
        <v>1.0070493150684932</v>
      </c>
      <c r="D181" s="15">
        <f ca="1">(1+'Dane do harmonogramu'!$E$13*('Roboczy harmonogram_2'!B181-'Roboczy harmonogram_2'!B180)/366)</f>
        <v>1.0070300546448088</v>
      </c>
      <c r="E181" s="15">
        <f t="shared" ca="1" si="20"/>
        <v>1</v>
      </c>
      <c r="F181" s="15">
        <f t="shared" ca="1" si="21"/>
        <v>0</v>
      </c>
      <c r="G181">
        <f ca="1">IF(E181=1,(1+'Dane do harmonogramu'!$E$13*((('Roboczy harmonogram_2'!B181-DATE(YEAR(B181),1,1)+1)/365)+((DATE(YEAR(B180),12,31)-'Roboczy harmonogram_2'!B180)/366))),IF(F181=1,(1+'Dane do harmonogramu'!$E$13*((('Roboczy harmonogram_2'!B181-DATE(YEAR(B181),1,1)+1)/366)+((DATE(YEAR(B180),12,31)-'Roboczy harmonogram_2'!B180)/365))),0))</f>
        <v>1.0070406168126356</v>
      </c>
      <c r="H181">
        <f t="shared" ca="1" si="22"/>
        <v>0</v>
      </c>
      <c r="I181">
        <f t="shared" ca="1" si="23"/>
        <v>1.0070493150684932</v>
      </c>
      <c r="J181">
        <f t="shared" ca="1" si="24"/>
        <v>1.0070406168126356</v>
      </c>
      <c r="K181">
        <f ca="1">PRODUCT($J$3:J181)</f>
        <v>3.4237784419502129</v>
      </c>
      <c r="L181">
        <f t="shared" ca="1" si="25"/>
        <v>0.29207497417104816</v>
      </c>
      <c r="M181">
        <f ca="1">SUM($L$3:L181)</f>
        <v>102.81281188551949</v>
      </c>
      <c r="O181">
        <f t="shared" ca="1" si="26"/>
        <v>-2452.0321843332495</v>
      </c>
      <c r="P181" s="16">
        <f t="shared" ca="1" si="27"/>
        <v>7352.8649447358921</v>
      </c>
      <c r="Q181" s="17">
        <f t="shared" ca="1" si="28"/>
        <v>-355622.37734493392</v>
      </c>
      <c r="S181">
        <f>IF(A181&lt;='Dane do harmonogramu'!$E$7,'Roboczy harmonogram_2'!P181,0)</f>
        <v>0</v>
      </c>
      <c r="T181">
        <f>IF(A181&lt;='Dane do harmonogramu'!$E$7,'Roboczy harmonogram_2'!O181,0)</f>
        <v>0</v>
      </c>
      <c r="U181">
        <f>IF(A181&lt;='Dane do harmonogramu'!$E$7,$N$2,0)</f>
        <v>0</v>
      </c>
      <c r="V181" s="16" t="str">
        <f>IF(A180&lt;='Dane do harmonogramu'!$E$7,Q180*0.15%,"")</f>
        <v/>
      </c>
    </row>
    <row r="182" spans="1:22" x14ac:dyDescent="0.35">
      <c r="A182">
        <v>180</v>
      </c>
      <c r="B182" s="14">
        <f t="shared" ca="1" si="29"/>
        <v>51549</v>
      </c>
      <c r="C182" s="15">
        <f ca="1">(1+'Dane do harmonogramu'!$E$13*('Roboczy harmonogram_2'!B182-'Roboczy harmonogram_2'!B181)/365)</f>
        <v>1.0070493150684932</v>
      </c>
      <c r="D182" s="15">
        <f ca="1">(1+'Dane do harmonogramu'!$E$13*('Roboczy harmonogram_2'!B182-'Roboczy harmonogram_2'!B181)/366)</f>
        <v>1.0070300546448088</v>
      </c>
      <c r="E182" s="15">
        <f t="shared" ca="1" si="20"/>
        <v>0</v>
      </c>
      <c r="F182" s="15">
        <f t="shared" ca="1" si="21"/>
        <v>0</v>
      </c>
      <c r="G182">
        <f ca="1">IF(E182=1,(1+'Dane do harmonogramu'!$E$13*((('Roboczy harmonogram_2'!B182-DATE(YEAR(B182),1,1)+1)/365)+((DATE(YEAR(B181),12,31)-'Roboczy harmonogram_2'!B181)/366))),IF(F182=1,(1+'Dane do harmonogramu'!$E$13*((('Roboczy harmonogram_2'!B182-DATE(YEAR(B182),1,1)+1)/366)+((DATE(YEAR(B181),12,31)-'Roboczy harmonogram_2'!B181)/365))),0))</f>
        <v>0</v>
      </c>
      <c r="H182">
        <f t="shared" ca="1" si="22"/>
        <v>0</v>
      </c>
      <c r="I182">
        <f t="shared" ca="1" si="23"/>
        <v>1.0070493150684932</v>
      </c>
      <c r="J182">
        <f t="shared" ca="1" si="24"/>
        <v>1.0070493150684932</v>
      </c>
      <c r="K182">
        <f ca="1">PRODUCT($J$3:J182)</f>
        <v>3.4479137349122344</v>
      </c>
      <c r="L182">
        <f t="shared" ca="1" si="25"/>
        <v>0.29003045809249478</v>
      </c>
      <c r="M182">
        <f ca="1">SUM($L$3:L182)</f>
        <v>103.10284234361198</v>
      </c>
      <c r="O182">
        <f t="shared" ca="1" si="26"/>
        <v>-2506.8941833110293</v>
      </c>
      <c r="P182" s="16">
        <f t="shared" ca="1" si="27"/>
        <v>7407.726943713672</v>
      </c>
      <c r="Q182" s="17">
        <f t="shared" ca="1" si="28"/>
        <v>-363030.10428864759</v>
      </c>
      <c r="S182">
        <f>IF(A182&lt;='Dane do harmonogramu'!$E$7,'Roboczy harmonogram_2'!P182,0)</f>
        <v>0</v>
      </c>
      <c r="T182">
        <f>IF(A182&lt;='Dane do harmonogramu'!$E$7,'Roboczy harmonogram_2'!O182,0)</f>
        <v>0</v>
      </c>
      <c r="U182">
        <f>IF(A182&lt;='Dane do harmonogramu'!$E$7,$N$2,0)</f>
        <v>0</v>
      </c>
      <c r="V182" s="16" t="str">
        <f>IF(A181&lt;='Dane do harmonogramu'!$E$7,Q181*0.15%,"")</f>
        <v/>
      </c>
    </row>
  </sheetData>
  <pageMargins left="0.7" right="0.7" top="0.75" bottom="0.75" header="0.3" footer="0.3"/>
  <pageSetup paperSize="9" orientation="portrait" horizontalDpi="300" verticalDpi="0"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16"/>
  <dimension ref="C1:O24"/>
  <sheetViews>
    <sheetView workbookViewId="0">
      <selection activeCell="D2" sqref="D2"/>
    </sheetView>
  </sheetViews>
  <sheetFormatPr defaultRowHeight="14.5" x14ac:dyDescent="0.35"/>
  <cols>
    <col min="3" max="3" width="51.54296875" bestFit="1" customWidth="1"/>
    <col min="4" max="4" width="22.81640625" customWidth="1"/>
    <col min="5" max="5" width="20.1796875" customWidth="1"/>
    <col min="6" max="6" width="30.81640625" bestFit="1" customWidth="1"/>
    <col min="7" max="7" width="12.1796875" bestFit="1" customWidth="1"/>
    <col min="8" max="8" width="13.54296875" customWidth="1"/>
    <col min="9" max="9" width="13.81640625" customWidth="1"/>
    <col min="10" max="10" width="12.81640625" customWidth="1"/>
    <col min="12" max="12" width="11.54296875" bestFit="1" customWidth="1"/>
  </cols>
  <sheetData>
    <row r="1" spans="3:15" x14ac:dyDescent="0.35">
      <c r="F1" s="42" t="e">
        <f>IF(E3=12,D2-D4,D2-D4-1)</f>
        <v>#REF!</v>
      </c>
      <c r="H1" s="43" t="s">
        <v>77</v>
      </c>
    </row>
    <row r="2" spans="3:15" x14ac:dyDescent="0.35">
      <c r="C2" t="s">
        <v>78</v>
      </c>
      <c r="D2" s="44" t="e">
        <f>#REF!</f>
        <v>#REF!</v>
      </c>
      <c r="H2" t="s">
        <v>74</v>
      </c>
      <c r="J2" t="s">
        <v>74</v>
      </c>
    </row>
    <row r="3" spans="3:15" ht="29" x14ac:dyDescent="0.35">
      <c r="C3" s="42" t="s">
        <v>79</v>
      </c>
      <c r="D3" s="42" t="e">
        <f>#REF!</f>
        <v>#REF!</v>
      </c>
      <c r="E3" s="42" t="e">
        <f>IF(D3=H3,11,12)</f>
        <v>#REF!</v>
      </c>
      <c r="F3" t="s">
        <v>80</v>
      </c>
      <c r="H3" t="s">
        <v>81</v>
      </c>
      <c r="J3" s="21" t="s">
        <v>82</v>
      </c>
    </row>
    <row r="4" spans="3:15" ht="29" x14ac:dyDescent="0.35">
      <c r="C4" t="s">
        <v>31</v>
      </c>
      <c r="D4" s="45" t="e">
        <f>#REF!</f>
        <v>#REF!</v>
      </c>
      <c r="F4" s="42" t="e">
        <f>IF(D4=D2,0,(IF((D2-D4)&gt;=12,E3,F1)))</f>
        <v>#REF!</v>
      </c>
      <c r="G4" s="21"/>
      <c r="H4" s="21" t="s">
        <v>82</v>
      </c>
      <c r="I4" s="21"/>
      <c r="J4" s="21"/>
      <c r="K4" s="21"/>
      <c r="L4" s="586" t="s">
        <v>83</v>
      </c>
      <c r="M4" s="586"/>
      <c r="N4" s="586"/>
      <c r="O4" s="21"/>
    </row>
    <row r="5" spans="3:15" x14ac:dyDescent="0.35">
      <c r="D5" s="46"/>
      <c r="G5" s="21"/>
      <c r="H5" s="21"/>
      <c r="I5" s="21"/>
      <c r="J5" s="21"/>
      <c r="K5" s="21"/>
      <c r="L5" s="21" t="s">
        <v>84</v>
      </c>
      <c r="M5" s="21" t="e">
        <f>(G7*D4+G12*(12-D4))/12</f>
        <v>#REF!</v>
      </c>
      <c r="N5" s="21"/>
      <c r="O5" s="21"/>
    </row>
    <row r="6" spans="3:15" ht="29" x14ac:dyDescent="0.35">
      <c r="C6" t="s">
        <v>85</v>
      </c>
      <c r="D6" s="46" t="e">
        <f>IF(#REF!&gt;0,#REF!,0.01)</f>
        <v>#REF!</v>
      </c>
      <c r="E6" t="s">
        <v>86</v>
      </c>
      <c r="G6" s="47" t="s">
        <v>87</v>
      </c>
      <c r="H6" s="47" t="s">
        <v>88</v>
      </c>
      <c r="I6" s="47" t="s">
        <v>89</v>
      </c>
      <c r="J6" s="47" t="s">
        <v>90</v>
      </c>
      <c r="K6" s="21"/>
      <c r="L6" s="21"/>
      <c r="M6" s="21"/>
      <c r="N6" s="21"/>
      <c r="O6" s="21"/>
    </row>
    <row r="7" spans="3:15" x14ac:dyDescent="0.35">
      <c r="C7" t="s">
        <v>91</v>
      </c>
      <c r="D7" s="46" t="e">
        <f>#REF!</f>
        <v>#REF!</v>
      </c>
      <c r="E7" t="e">
        <f>IF(D4&gt;0,((D6-D7)/D4)*0.81+D8/D4,0)</f>
        <v>#REF!</v>
      </c>
      <c r="G7" s="47" t="e">
        <f>IF(D4&gt;0,IF(((D6-D7)/D4)&gt;0,((D6-D7)/D4)*0.81+D8/D4,((D6-D7)/D4)+D8/D4),0)</f>
        <v>#REF!</v>
      </c>
      <c r="H7" s="47"/>
      <c r="I7" s="47" t="e">
        <f>IF(D4&gt;0,(D6/D4),0)</f>
        <v>#REF!</v>
      </c>
      <c r="J7" s="47"/>
      <c r="K7" s="21"/>
      <c r="L7" s="21"/>
      <c r="M7" s="21"/>
      <c r="N7" s="21"/>
      <c r="O7" s="21"/>
    </row>
    <row r="8" spans="3:15" x14ac:dyDescent="0.35">
      <c r="C8" t="s">
        <v>92</v>
      </c>
      <c r="D8" s="46" t="e">
        <f>#REF!</f>
        <v>#REF!</v>
      </c>
      <c r="E8" t="e">
        <f>IF(D4&gt;0,((D6-D7)/D4)*0.81,0)</f>
        <v>#REF!</v>
      </c>
      <c r="G8" s="47"/>
      <c r="H8" s="47"/>
      <c r="I8" s="47"/>
      <c r="J8" s="47"/>
      <c r="K8" s="21"/>
      <c r="L8" s="21"/>
      <c r="M8" s="21"/>
      <c r="N8" s="21"/>
      <c r="O8" s="21"/>
    </row>
    <row r="9" spans="3:15" x14ac:dyDescent="0.35">
      <c r="D9" s="46"/>
      <c r="G9" s="47"/>
      <c r="H9" s="47"/>
      <c r="I9" s="47"/>
      <c r="J9" s="47"/>
      <c r="K9" s="21"/>
      <c r="L9" s="21"/>
      <c r="M9" s="21"/>
      <c r="N9" s="21"/>
      <c r="O9" s="21"/>
    </row>
    <row r="10" spans="3:15" x14ac:dyDescent="0.35">
      <c r="C10" t="s">
        <v>32</v>
      </c>
      <c r="D10" s="46" t="e">
        <f>IF(#REF!&gt;0,#REF!,0.01)</f>
        <v>#REF!</v>
      </c>
      <c r="G10" s="47"/>
      <c r="H10" s="47"/>
      <c r="I10" s="47"/>
      <c r="J10" s="47"/>
      <c r="K10" s="21"/>
      <c r="L10" s="21"/>
      <c r="M10" s="21"/>
      <c r="N10" s="21"/>
      <c r="O10" s="21"/>
    </row>
    <row r="11" spans="3:15" x14ac:dyDescent="0.35">
      <c r="D11" s="46"/>
      <c r="F11" t="s">
        <v>93</v>
      </c>
      <c r="G11" s="47"/>
      <c r="H11" s="47"/>
      <c r="I11" s="47"/>
      <c r="J11" s="47"/>
      <c r="K11" s="21"/>
      <c r="L11" s="21"/>
      <c r="M11" s="21"/>
      <c r="N11" s="21"/>
      <c r="O11" s="21"/>
    </row>
    <row r="12" spans="3:15" x14ac:dyDescent="0.35">
      <c r="C12" t="s">
        <v>94</v>
      </c>
      <c r="D12" s="46" t="e">
        <f>#REF!</f>
        <v>#REF!</v>
      </c>
      <c r="E12" s="48" t="e">
        <f>((D12-D13)/12)*0.81+D14/12</f>
        <v>#REF!</v>
      </c>
      <c r="F12" s="46" t="e">
        <f>IF(F4&gt;0,((D12-D13)/F4)*0.81+D14/F4,0)</f>
        <v>#REF!</v>
      </c>
      <c r="G12" s="47" t="e">
        <f>IF(F4&gt;0,IF((D12-D13)/F4&gt;0,(D12-D13)/F4*0.81+D14/F4,(D12-D13)/F4+D14/F4),0)</f>
        <v>#REF!</v>
      </c>
      <c r="H12" s="47"/>
      <c r="I12" s="47" t="e">
        <f>IF(F4&gt;0,(D12)/F4,0)</f>
        <v>#REF!</v>
      </c>
      <c r="J12" s="47"/>
      <c r="K12" s="21"/>
      <c r="L12" s="21"/>
      <c r="M12" s="21"/>
      <c r="N12" s="21"/>
      <c r="O12" s="21"/>
    </row>
    <row r="13" spans="3:15" x14ac:dyDescent="0.35">
      <c r="C13" t="s">
        <v>95</v>
      </c>
      <c r="D13" s="46" t="e">
        <f>#REF!</f>
        <v>#REF!</v>
      </c>
      <c r="E13" s="49" t="e">
        <f>((D12-D13)/12)*0.81</f>
        <v>#REF!</v>
      </c>
      <c r="F13" s="49" t="e">
        <f>IF(F4&gt;0,((D12-D13)/F4)*0.81,0)</f>
        <v>#REF!</v>
      </c>
      <c r="G13" s="47"/>
      <c r="H13" s="47"/>
      <c r="I13" s="47"/>
      <c r="J13" s="47"/>
      <c r="K13" s="21"/>
      <c r="L13" s="21"/>
      <c r="M13" s="21"/>
      <c r="N13" s="21"/>
      <c r="O13" s="21"/>
    </row>
    <row r="14" spans="3:15" x14ac:dyDescent="0.35">
      <c r="C14" t="s">
        <v>92</v>
      </c>
      <c r="D14" s="46" t="e">
        <f>#REF!</f>
        <v>#REF!</v>
      </c>
      <c r="G14" s="47"/>
      <c r="H14" s="47"/>
      <c r="I14" s="47"/>
      <c r="J14" s="47"/>
      <c r="K14" s="21"/>
      <c r="L14" s="21"/>
      <c r="M14" s="21"/>
      <c r="N14" s="21"/>
      <c r="O14" s="21"/>
    </row>
    <row r="15" spans="3:15" x14ac:dyDescent="0.35">
      <c r="E15" s="49"/>
      <c r="G15" s="47"/>
      <c r="H15" s="47" t="e">
        <f>(G7*D4+G12*(12-D4))/12</f>
        <v>#REF!</v>
      </c>
      <c r="I15" s="47"/>
      <c r="J15" s="47" t="e">
        <f>IF(F4&lt;12,(D6+(D12/F4)*(12-D4))/(12),(D6+D12/12*(12-D4))/12)</f>
        <v>#REF!</v>
      </c>
      <c r="K15" s="21"/>
      <c r="L15" s="21" t="e">
        <f>MAX(I12,J15)</f>
        <v>#REF!</v>
      </c>
      <c r="M15" s="21"/>
      <c r="N15" s="21"/>
      <c r="O15" s="21"/>
    </row>
    <row r="16" spans="3:15" x14ac:dyDescent="0.35">
      <c r="C16" t="s">
        <v>96</v>
      </c>
      <c r="D16" t="e">
        <f>IF(F4&lt;12,(E7*D4+F12*(12-D4))/12,(E7*D4+E12*(12-D4))/12)</f>
        <v>#REF!</v>
      </c>
      <c r="E16" s="49" t="s">
        <v>111</v>
      </c>
      <c r="G16" s="47"/>
      <c r="H16" s="47"/>
      <c r="I16" s="47"/>
      <c r="J16" s="47"/>
      <c r="K16" s="21"/>
      <c r="L16" s="21" t="e">
        <f>(IF(H17=H15,J15,I12))</f>
        <v>#REF!</v>
      </c>
      <c r="M16" s="21"/>
      <c r="N16" s="21"/>
      <c r="O16" s="21"/>
    </row>
    <row r="17" spans="3:15" ht="29" x14ac:dyDescent="0.35">
      <c r="C17" t="s">
        <v>112</v>
      </c>
      <c r="D17" s="49" t="e">
        <f>IF(F4&lt;12,(E8*D4+F13*(12-D4))/12,(E8*D4+E13*(12-D4))/12)</f>
        <v>#REF!</v>
      </c>
      <c r="E17" s="49" t="s">
        <v>113</v>
      </c>
      <c r="F17" s="48"/>
      <c r="G17" s="47" t="s">
        <v>97</v>
      </c>
      <c r="H17" s="50" t="e">
        <f>IF(F4&gt;0,(IF(D6/D10&gt;0.9,(IF(D17&gt;=E13, H15,G12)),H15)),G7)</f>
        <v>#REF!</v>
      </c>
      <c r="I17" s="47"/>
      <c r="J17" s="47"/>
      <c r="K17" s="21"/>
      <c r="L17" s="21"/>
      <c r="M17" s="21"/>
      <c r="N17" s="21"/>
      <c r="O17" s="21"/>
    </row>
    <row r="18" spans="3:15" x14ac:dyDescent="0.35">
      <c r="C18" t="s">
        <v>97</v>
      </c>
      <c r="D18" s="46" t="e">
        <f>IF(D6/D10&gt;=0.9,IF(MAX(D17,E13)=D17,D16,E12),D16)</f>
        <v>#REF!</v>
      </c>
      <c r="E18" s="49"/>
      <c r="G18" s="47"/>
      <c r="H18" s="47"/>
      <c r="I18" s="47"/>
      <c r="J18" s="47"/>
      <c r="K18" s="21"/>
      <c r="L18" s="21"/>
      <c r="M18" s="21"/>
      <c r="N18" s="21"/>
      <c r="O18" s="21"/>
    </row>
    <row r="19" spans="3:15" ht="29" x14ac:dyDescent="0.35">
      <c r="D19" s="46"/>
      <c r="E19" s="49"/>
      <c r="G19" s="47" t="s">
        <v>98</v>
      </c>
      <c r="H19" s="47" t="e">
        <f>IF(F4&gt;0,(IF(D6/D10&gt;0.9,(IF(H17=H15,J15,I12)),J15)),I7)</f>
        <v>#REF!</v>
      </c>
      <c r="I19" s="47"/>
      <c r="J19" s="47"/>
      <c r="K19" s="21"/>
      <c r="L19" s="21"/>
      <c r="M19" s="21"/>
      <c r="N19" s="21"/>
      <c r="O19" s="21"/>
    </row>
    <row r="20" spans="3:15" x14ac:dyDescent="0.35">
      <c r="C20" t="s">
        <v>99</v>
      </c>
      <c r="D20" s="46" t="e">
        <f>IF(D18=E12,D12/12,(IF(F4&lt;12,(D6+(D12/F4)*(12-D4))/(12),(D6+D12/12*(12-D4))/12)))</f>
        <v>#REF!</v>
      </c>
      <c r="E20" s="51"/>
      <c r="G20" s="21"/>
      <c r="H20" s="21"/>
      <c r="I20" s="21"/>
      <c r="J20" s="21"/>
      <c r="K20" s="21"/>
      <c r="L20" s="21"/>
      <c r="M20" s="21"/>
      <c r="N20" s="21"/>
      <c r="O20" s="21"/>
    </row>
    <row r="21" spans="3:15" x14ac:dyDescent="0.35">
      <c r="G21" s="21"/>
      <c r="H21" s="21"/>
      <c r="I21" s="21"/>
      <c r="J21" s="21"/>
      <c r="K21" s="21"/>
      <c r="L21" s="21"/>
      <c r="M21" s="21"/>
      <c r="N21" s="21"/>
      <c r="O21" s="21"/>
    </row>
    <row r="22" spans="3:15" x14ac:dyDescent="0.35">
      <c r="F22" s="48"/>
      <c r="G22" s="21"/>
      <c r="H22" s="21"/>
      <c r="I22" s="21"/>
      <c r="J22" s="21"/>
      <c r="K22" s="21"/>
      <c r="L22" s="21"/>
      <c r="M22" s="21"/>
      <c r="N22" s="21"/>
      <c r="O22" s="21"/>
    </row>
    <row r="23" spans="3:15" x14ac:dyDescent="0.35">
      <c r="F23" s="48"/>
    </row>
    <row r="24" spans="3:15" x14ac:dyDescent="0.35">
      <c r="H24" s="52" t="e">
        <f>H17</f>
        <v>#REF!</v>
      </c>
    </row>
  </sheetData>
  <mergeCells count="1">
    <mergeCell ref="L4:N4"/>
  </mergeCells>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4"/>
  <dimension ref="A1:I19"/>
  <sheetViews>
    <sheetView showGridLines="0" showRowColHeaders="0" zoomScale="90" zoomScaleNormal="90" workbookViewId="0">
      <selection activeCell="C13" sqref="C13"/>
    </sheetView>
  </sheetViews>
  <sheetFormatPr defaultColWidth="0" defaultRowHeight="14.5" zeroHeight="1" x14ac:dyDescent="0.35"/>
  <cols>
    <col min="1" max="1" width="0.81640625" customWidth="1"/>
    <col min="2" max="2" width="49" customWidth="1"/>
    <col min="3" max="3" width="37.1796875" customWidth="1"/>
    <col min="4" max="4" width="2.1796875" customWidth="1"/>
    <col min="5" max="7" width="15.81640625" customWidth="1"/>
    <col min="8" max="9" width="9.1796875" customWidth="1"/>
    <col min="10" max="16384" width="9.1796875" hidden="1"/>
  </cols>
  <sheetData>
    <row r="1" spans="1:8" ht="50.15" customHeight="1" x14ac:dyDescent="0.35">
      <c r="A1" s="41"/>
      <c r="B1" s="592" t="s">
        <v>242</v>
      </c>
      <c r="C1" s="592"/>
    </row>
    <row r="2" spans="1:8" ht="20.25" customHeight="1" x14ac:dyDescent="0.35">
      <c r="A2" s="41"/>
      <c r="B2" s="593" t="s">
        <v>73</v>
      </c>
      <c r="C2" s="593"/>
      <c r="E2" s="587" t="str">
        <f ca="1">KPIR!G12</f>
        <v>Przyjmij od klienta oświadczenie wyjaśniające powód wzrostu przychodu w analizowanym okresie</v>
      </c>
      <c r="F2" s="587"/>
      <c r="G2" s="587"/>
      <c r="H2" s="587"/>
    </row>
    <row r="3" spans="1:8" x14ac:dyDescent="0.35">
      <c r="A3" s="41"/>
      <c r="B3" s="183" t="s">
        <v>290</v>
      </c>
      <c r="C3" s="184">
        <f ca="1">TODAY()</f>
        <v>46083</v>
      </c>
      <c r="E3" s="587"/>
      <c r="F3" s="587"/>
      <c r="G3" s="587"/>
      <c r="H3" s="587"/>
    </row>
    <row r="4" spans="1:8" x14ac:dyDescent="0.35">
      <c r="A4" s="41"/>
      <c r="B4" s="183" t="s">
        <v>221</v>
      </c>
      <c r="C4" s="185" t="s">
        <v>386</v>
      </c>
    </row>
    <row r="5" spans="1:8" x14ac:dyDescent="0.35">
      <c r="A5" s="41"/>
      <c r="B5" s="375" t="str">
        <f>IF(C4="nie cały rok","Data rozpoczęcia działalności w ubiegłym roku
 (rrrr-mm-dd)","")</f>
        <v/>
      </c>
      <c r="C5" s="193"/>
    </row>
    <row r="6" spans="1:8" x14ac:dyDescent="0.35">
      <c r="A6" s="41"/>
      <c r="B6" s="183" t="s">
        <v>387</v>
      </c>
      <c r="C6" s="186" t="s">
        <v>157</v>
      </c>
    </row>
    <row r="7" spans="1:8" ht="5.15" customHeight="1" x14ac:dyDescent="0.35">
      <c r="A7" s="41"/>
      <c r="B7" s="590"/>
      <c r="C7" s="591"/>
      <c r="D7" s="591"/>
      <c r="E7" s="591"/>
      <c r="F7" s="591"/>
      <c r="G7" s="591"/>
      <c r="H7" s="591"/>
    </row>
    <row r="8" spans="1:8" x14ac:dyDescent="0.35">
      <c r="A8" s="41"/>
      <c r="B8" s="183" t="s">
        <v>216</v>
      </c>
      <c r="C8" s="187">
        <v>100000</v>
      </c>
      <c r="E8" s="48"/>
    </row>
    <row r="9" spans="1:8" ht="15" customHeight="1" x14ac:dyDescent="0.35">
      <c r="A9" s="41"/>
      <c r="B9" s="183" t="s">
        <v>223</v>
      </c>
      <c r="C9" s="187">
        <v>40000</v>
      </c>
      <c r="E9" s="594" t="s">
        <v>422</v>
      </c>
      <c r="F9" s="595"/>
      <c r="G9" s="596"/>
      <c r="H9" s="600" t="s">
        <v>4</v>
      </c>
    </row>
    <row r="10" spans="1:8" x14ac:dyDescent="0.35">
      <c r="A10" s="41"/>
      <c r="B10" s="188" t="s">
        <v>243</v>
      </c>
      <c r="C10" s="187">
        <v>0</v>
      </c>
      <c r="E10" s="597"/>
      <c r="F10" s="598"/>
      <c r="G10" s="599"/>
      <c r="H10" s="601"/>
    </row>
    <row r="11" spans="1:8" ht="15.5" hidden="1" x14ac:dyDescent="0.35">
      <c r="A11" s="41"/>
      <c r="B11" s="188" t="s">
        <v>217</v>
      </c>
      <c r="C11" s="187">
        <v>0</v>
      </c>
      <c r="D11" s="273"/>
    </row>
    <row r="12" spans="1:8" ht="5.15" customHeight="1" x14ac:dyDescent="0.35">
      <c r="A12" s="41"/>
      <c r="B12" s="590"/>
      <c r="C12" s="591"/>
      <c r="D12" s="591"/>
      <c r="E12" s="591"/>
      <c r="F12" s="591"/>
      <c r="G12" s="591"/>
      <c r="H12" s="591"/>
    </row>
    <row r="13" spans="1:8" x14ac:dyDescent="0.35">
      <c r="A13" s="41"/>
      <c r="B13" s="183" t="s">
        <v>218</v>
      </c>
      <c r="C13" s="187">
        <v>317165.08</v>
      </c>
    </row>
    <row r="14" spans="1:8" ht="15" customHeight="1" x14ac:dyDescent="0.35">
      <c r="A14" s="41"/>
      <c r="B14" s="183" t="s">
        <v>219</v>
      </c>
      <c r="C14" s="187">
        <v>100962.93</v>
      </c>
      <c r="E14" s="594" t="s">
        <v>422</v>
      </c>
      <c r="F14" s="595"/>
      <c r="G14" s="596"/>
      <c r="H14" s="600" t="s">
        <v>4</v>
      </c>
    </row>
    <row r="15" spans="1:8" x14ac:dyDescent="0.35">
      <c r="A15" s="41"/>
      <c r="B15" s="188" t="s">
        <v>244</v>
      </c>
      <c r="C15" s="187">
        <v>0</v>
      </c>
      <c r="E15" s="597"/>
      <c r="F15" s="598"/>
      <c r="G15" s="599"/>
      <c r="H15" s="601"/>
    </row>
    <row r="16" spans="1:8" ht="4.5" customHeight="1" x14ac:dyDescent="0.35">
      <c r="A16" s="41"/>
      <c r="B16" s="588"/>
      <c r="C16" s="589"/>
      <c r="D16" s="589"/>
      <c r="E16" s="589"/>
      <c r="F16" s="589"/>
      <c r="G16" s="589"/>
      <c r="H16" s="589"/>
    </row>
    <row r="17" spans="1:3" x14ac:dyDescent="0.35">
      <c r="A17" s="41"/>
      <c r="B17" s="189" t="s">
        <v>75</v>
      </c>
      <c r="C17" s="190">
        <f ca="1">KPIR!I37</f>
        <v>13260.004425000001</v>
      </c>
    </row>
    <row r="18" spans="1:3" x14ac:dyDescent="0.35">
      <c r="A18" s="41"/>
      <c r="B18" s="189" t="s">
        <v>76</v>
      </c>
      <c r="C18" s="190">
        <f ca="1">KPIR!I38</f>
        <v>26430.423333333336</v>
      </c>
    </row>
    <row r="19" spans="1:3" x14ac:dyDescent="0.35"/>
  </sheetData>
  <sheetProtection algorithmName="SHA-512" hashValue="OauqoPMTXrh29wk9Sp830GtmOWMHtfGGwSzJWFNQu9/RWEu0vHYfDGRABfrI1A5dDcoxcyjXK7wvjRJhwUoF6g==" saltValue="GTEG0SZqTgdr2kwYtq2p/g==" spinCount="100000" sheet="1" objects="1" scenarios="1"/>
  <mergeCells count="10">
    <mergeCell ref="E2:H3"/>
    <mergeCell ref="B16:H16"/>
    <mergeCell ref="B12:H12"/>
    <mergeCell ref="B1:C1"/>
    <mergeCell ref="B2:C2"/>
    <mergeCell ref="E9:G10"/>
    <mergeCell ref="H9:H10"/>
    <mergeCell ref="E14:G15"/>
    <mergeCell ref="H14:H15"/>
    <mergeCell ref="B7:H7"/>
  </mergeCells>
  <conditionalFormatting sqref="C8:C11">
    <cfRule type="expression" dxfId="12" priority="4">
      <formula>$C$6="dane za ubiegły rok"</formula>
    </cfRule>
  </conditionalFormatting>
  <conditionalFormatting sqref="H9">
    <cfRule type="expression" dxfId="11" priority="3">
      <formula>$C$6="dane za ubiegły rok"</formula>
    </cfRule>
  </conditionalFormatting>
  <conditionalFormatting sqref="E2:H3">
    <cfRule type="expression" dxfId="10" priority="1">
      <formula>$E$2&lt;&gt;""</formula>
    </cfRule>
  </conditionalFormatting>
  <dataValidations count="5">
    <dataValidation type="decimal" allowBlank="1" showInputMessage="1" showErrorMessage="1" sqref="C8:C9 C13:C14" xr:uid="{00000000-0002-0000-0500-000000000000}">
      <formula1>0</formula1>
      <formula2>99999999.99</formula2>
    </dataValidation>
    <dataValidation type="decimal" allowBlank="1" showInputMessage="1" showErrorMessage="1" sqref="C10:C11 C15" xr:uid="{00000000-0002-0000-0500-000001000000}">
      <formula1>0</formula1>
      <formula2>9999999.99</formula2>
    </dataValidation>
    <dataValidation type="date" operator="greaterThan" allowBlank="1" showInputMessage="1" showErrorMessage="1" sqref="C3 C5" xr:uid="{00000000-0002-0000-0500-000002000000}">
      <formula1>36526</formula1>
    </dataValidation>
    <dataValidation type="list" allowBlank="1" showInputMessage="1" showErrorMessage="1" sqref="C4" xr:uid="{00000000-0002-0000-0500-000003000000}">
      <formula1>"Cały rok,Nie cały rok"</formula1>
    </dataValidation>
    <dataValidation type="list" allowBlank="1" showInputMessage="1" showErrorMessage="1" sqref="H9 H14" xr:uid="{00000000-0002-0000-0500-000004000000}">
      <formula1>"TAK,NIE"</formula1>
    </dataValidation>
  </dataValidations>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1">
        <x14:dataValidation type="list" operator="greaterThan" allowBlank="1" showInputMessage="1" showErrorMessage="1" xr:uid="{00000000-0002-0000-0500-000005000000}">
          <x14:formula1>
            <xm:f>IF($C$4="cały rok",IF(AND(MONTH($C$3)&gt;1,MONTH($C$3)&lt;=4),KPIR!$M$3,IF(DAY($C$3)&gt;20,KPIR!$K$5,KPIR!$K$5:$K$6)),IF(DAY($C$3)&gt;20,KPIR!$K$5,KPIR!$K$5:$K$6))</xm:f>
          </x14:formula1>
          <xm:sqref>C6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Arkusz39"/>
  <dimension ref="A1:P41"/>
  <sheetViews>
    <sheetView zoomScale="80" zoomScaleNormal="80" workbookViewId="0">
      <selection activeCell="G7" sqref="G7"/>
    </sheetView>
  </sheetViews>
  <sheetFormatPr defaultRowHeight="14.5" x14ac:dyDescent="0.35"/>
  <cols>
    <col min="2" max="2" width="44" customWidth="1"/>
    <col min="3" max="3" width="18.453125" customWidth="1"/>
    <col min="4" max="4" width="18.1796875" customWidth="1"/>
    <col min="5" max="5" width="15.81640625" customWidth="1"/>
    <col min="6" max="6" width="20.1796875" customWidth="1"/>
    <col min="7" max="7" width="31" customWidth="1"/>
    <col min="8" max="8" width="24" customWidth="1"/>
    <col min="9" max="9" width="18.1796875" customWidth="1"/>
    <col min="10" max="10" width="15.81640625" customWidth="1"/>
    <col min="11" max="11" width="20.1796875" customWidth="1"/>
  </cols>
  <sheetData>
    <row r="1" spans="2:16" x14ac:dyDescent="0.35">
      <c r="I1" s="14"/>
    </row>
    <row r="2" spans="2:16" x14ac:dyDescent="0.35">
      <c r="C2" s="88" t="s">
        <v>152</v>
      </c>
      <c r="D2" s="88" t="s">
        <v>153</v>
      </c>
      <c r="F2" t="s">
        <v>396</v>
      </c>
      <c r="H2" s="404">
        <v>1646.47</v>
      </c>
    </row>
    <row r="3" spans="2:16" x14ac:dyDescent="0.35">
      <c r="B3" s="42" t="s">
        <v>154</v>
      </c>
      <c r="C3" s="90">
        <f ca="1">KPiR_kalkulator!C3</f>
        <v>46083</v>
      </c>
      <c r="D3" s="88"/>
      <c r="I3" s="30" t="s">
        <v>155</v>
      </c>
      <c r="J3" s="30" t="s">
        <v>156</v>
      </c>
      <c r="M3" t="s">
        <v>157</v>
      </c>
      <c r="N3">
        <v>0</v>
      </c>
    </row>
    <row r="4" spans="2:16" x14ac:dyDescent="0.35">
      <c r="D4" s="88"/>
      <c r="I4" s="30">
        <f ca="1">DAY(C3)</f>
        <v>2</v>
      </c>
      <c r="J4" s="30">
        <f ca="1">MONTH(C3)</f>
        <v>3</v>
      </c>
      <c r="K4" t="str">
        <f ca="1">VLOOKUP($J$4,N4:P15,3)</f>
        <v>marzec</v>
      </c>
      <c r="M4" t="s">
        <v>163</v>
      </c>
      <c r="N4" s="44">
        <v>1</v>
      </c>
      <c r="O4">
        <v>12</v>
      </c>
      <c r="P4" t="s">
        <v>163</v>
      </c>
    </row>
    <row r="5" spans="2:16" x14ac:dyDescent="0.35">
      <c r="D5" s="88"/>
      <c r="J5">
        <f ca="1">VLOOKUP(J4,N4:O15,2,FALSE)</f>
        <v>2</v>
      </c>
      <c r="K5" t="str">
        <f ca="1">VLOOKUP($J$5,N4:P16,3)</f>
        <v>luty</v>
      </c>
      <c r="M5" t="s">
        <v>165</v>
      </c>
      <c r="N5" s="44">
        <v>2</v>
      </c>
      <c r="O5">
        <v>1</v>
      </c>
      <c r="P5" t="s">
        <v>165</v>
      </c>
    </row>
    <row r="6" spans="2:16" x14ac:dyDescent="0.35">
      <c r="B6" s="42" t="s">
        <v>167</v>
      </c>
      <c r="C6" s="113" t="str">
        <f>KPiR_kalkulator!C6</f>
        <v>dane za ubiegły rok</v>
      </c>
      <c r="D6" s="88"/>
      <c r="J6">
        <f ca="1">VLOOKUP(J5,N4:O15,2,FALSE)</f>
        <v>1</v>
      </c>
      <c r="K6" t="str">
        <f ca="1">VLOOKUP($J$6,N3:P17,3)</f>
        <v>styczeń</v>
      </c>
      <c r="M6" t="s">
        <v>168</v>
      </c>
      <c r="N6" s="44">
        <v>3</v>
      </c>
      <c r="O6">
        <v>2</v>
      </c>
      <c r="P6" t="s">
        <v>168</v>
      </c>
    </row>
    <row r="7" spans="2:16" x14ac:dyDescent="0.35">
      <c r="B7" s="98" t="s">
        <v>170</v>
      </c>
      <c r="C7" s="99" t="str">
        <f>KPiR_kalkulator!C4</f>
        <v>Cały rok</v>
      </c>
      <c r="E7" t="s">
        <v>172</v>
      </c>
      <c r="M7" t="s">
        <v>173</v>
      </c>
      <c r="N7" s="44">
        <v>4</v>
      </c>
      <c r="O7">
        <v>3</v>
      </c>
      <c r="P7" t="s">
        <v>173</v>
      </c>
    </row>
    <row r="8" spans="2:16" x14ac:dyDescent="0.35">
      <c r="B8" s="98" t="s">
        <v>175</v>
      </c>
      <c r="C8" s="100">
        <f>KPiR_kalkulator!C5</f>
        <v>0</v>
      </c>
      <c r="D8">
        <f>MONTH(C8)</f>
        <v>1</v>
      </c>
      <c r="E8" t="s">
        <v>171</v>
      </c>
      <c r="M8" t="s">
        <v>176</v>
      </c>
      <c r="N8" s="44">
        <v>5</v>
      </c>
      <c r="O8">
        <v>4</v>
      </c>
      <c r="P8" t="s">
        <v>176</v>
      </c>
    </row>
    <row r="9" spans="2:16" x14ac:dyDescent="0.35">
      <c r="B9" s="101" t="s">
        <v>178</v>
      </c>
      <c r="C9" s="152">
        <f>13-D8</f>
        <v>12</v>
      </c>
      <c r="D9" s="99"/>
      <c r="E9" s="99"/>
      <c r="M9" t="s">
        <v>179</v>
      </c>
      <c r="N9" s="44">
        <v>6</v>
      </c>
      <c r="O9">
        <v>5</v>
      </c>
      <c r="P9" t="s">
        <v>179</v>
      </c>
    </row>
    <row r="10" spans="2:16" x14ac:dyDescent="0.35">
      <c r="B10" s="101" t="s">
        <v>181</v>
      </c>
      <c r="C10" s="99">
        <f ca="1">IF(AND(MONTH(C3)=1,DAY(C3)&gt;=1,DAY(C3)&lt;=20),0,VLOOKUP($C$6,M3:N15,2,FALSE))</f>
        <v>0</v>
      </c>
      <c r="M10" t="s">
        <v>182</v>
      </c>
      <c r="N10" s="44">
        <v>7</v>
      </c>
      <c r="O10">
        <v>6</v>
      </c>
      <c r="P10" t="s">
        <v>182</v>
      </c>
    </row>
    <row r="11" spans="2:16" x14ac:dyDescent="0.35">
      <c r="B11" s="49"/>
      <c r="E11" t="s">
        <v>416</v>
      </c>
      <c r="F11" t="s">
        <v>417</v>
      </c>
      <c r="M11" t="s">
        <v>184</v>
      </c>
      <c r="N11" s="44">
        <v>8</v>
      </c>
      <c r="O11">
        <v>7</v>
      </c>
      <c r="P11" t="s">
        <v>184</v>
      </c>
    </row>
    <row r="12" spans="2:16" x14ac:dyDescent="0.35">
      <c r="B12" s="98" t="s">
        <v>186</v>
      </c>
      <c r="C12" s="103">
        <f>KPiR_kalkulator!C8</f>
        <v>100000</v>
      </c>
      <c r="E12" s="48" t="e">
        <f ca="1">C12/C10</f>
        <v>#DIV/0!</v>
      </c>
      <c r="F12" s="494" t="str">
        <f ca="1">IFERROR(E12/E19,"")</f>
        <v/>
      </c>
      <c r="G12" t="str">
        <f ca="1">IF(F12&gt;=130%,"Przyjmij od klienta oświadczenie wyjaśniające powód wzrostu przychodu w analizowanym okresie",IF(AND(F12&gt;=0,F12&lt;=70%),"Przyjmij od klienta oświadczenie wyjaśniające powód spadku przychodu w analizowanym okresie",""))</f>
        <v>Przyjmij od klienta oświadczenie wyjaśniające powód wzrostu przychodu w analizowanym okresie</v>
      </c>
      <c r="M12" t="s">
        <v>187</v>
      </c>
      <c r="N12" s="44">
        <v>9</v>
      </c>
      <c r="O12">
        <v>8</v>
      </c>
      <c r="P12" t="s">
        <v>187</v>
      </c>
    </row>
    <row r="13" spans="2:16" x14ac:dyDescent="0.35">
      <c r="B13" s="98" t="s">
        <v>189</v>
      </c>
      <c r="C13" s="103">
        <f ca="1">IF(KPiR_kalkulator!H9="TAK",KPiR_kalkulator!$C$9,KPiR_kalkulator!$C$9+KPIR!$C$10*KPIR!$H$2)</f>
        <v>40000</v>
      </c>
      <c r="M13" t="s">
        <v>190</v>
      </c>
      <c r="N13" s="44">
        <v>10</v>
      </c>
      <c r="O13">
        <v>9</v>
      </c>
      <c r="P13" t="s">
        <v>190</v>
      </c>
    </row>
    <row r="14" spans="2:16" x14ac:dyDescent="0.35">
      <c r="B14" s="98" t="s">
        <v>241</v>
      </c>
      <c r="C14" s="103">
        <f>KPiR_kalkulator!C10</f>
        <v>0</v>
      </c>
      <c r="M14" t="s">
        <v>193</v>
      </c>
      <c r="N14" s="44">
        <v>11</v>
      </c>
      <c r="O14">
        <v>10</v>
      </c>
      <c r="P14" t="s">
        <v>193</v>
      </c>
    </row>
    <row r="15" spans="2:16" x14ac:dyDescent="0.35">
      <c r="B15" s="98" t="s">
        <v>192</v>
      </c>
      <c r="C15" s="103">
        <f>KPiR_kalkulator!C11</f>
        <v>0</v>
      </c>
      <c r="M15" t="s">
        <v>195</v>
      </c>
      <c r="N15" s="44">
        <v>12</v>
      </c>
      <c r="O15">
        <v>11</v>
      </c>
      <c r="P15" t="s">
        <v>157</v>
      </c>
    </row>
    <row r="16" spans="2:16" x14ac:dyDescent="0.35">
      <c r="B16" s="49"/>
    </row>
    <row r="17" spans="2:9" x14ac:dyDescent="0.35">
      <c r="B17" s="104" t="s">
        <v>197</v>
      </c>
      <c r="C17" s="30">
        <f ca="1">IF(C12-C13&lt;=0,0,0.19)</f>
        <v>0.19</v>
      </c>
    </row>
    <row r="18" spans="2:9" x14ac:dyDescent="0.35">
      <c r="B18" s="49"/>
    </row>
    <row r="19" spans="2:9" x14ac:dyDescent="0.35">
      <c r="B19" s="98" t="s">
        <v>198</v>
      </c>
      <c r="C19" s="103">
        <f>KPiR_kalkulator!C13</f>
        <v>317165.08</v>
      </c>
      <c r="E19" s="48">
        <f>C19/C9</f>
        <v>26430.423333333336</v>
      </c>
    </row>
    <row r="20" spans="2:9" x14ac:dyDescent="0.35">
      <c r="B20" s="98" t="s">
        <v>199</v>
      </c>
      <c r="C20" s="103">
        <f>IF(KPiR_kalkulator!$H$14="TAK",KPiR_kalkulator!$C$14,KPiR_kalkulator!$C$14+KPIR!$C$9*KPIR!$H$2)</f>
        <v>120720.56999999999</v>
      </c>
    </row>
    <row r="21" spans="2:9" x14ac:dyDescent="0.35">
      <c r="B21" s="98" t="s">
        <v>241</v>
      </c>
      <c r="C21" s="103">
        <f>KPiR_kalkulator!C15</f>
        <v>0</v>
      </c>
    </row>
    <row r="22" spans="2:9" ht="15" thickBot="1" x14ac:dyDescent="0.4">
      <c r="B22" s="98" t="s">
        <v>200</v>
      </c>
      <c r="C22" s="103">
        <f>KPiR_kalkulator!C16</f>
        <v>0</v>
      </c>
    </row>
    <row r="23" spans="2:9" x14ac:dyDescent="0.35">
      <c r="B23" s="149" t="s">
        <v>240</v>
      </c>
      <c r="C23" s="151" t="s">
        <v>239</v>
      </c>
      <c r="D23" s="150" t="s">
        <v>238</v>
      </c>
      <c r="E23" s="147" t="s">
        <v>237</v>
      </c>
      <c r="G23" s="149" t="s">
        <v>236</v>
      </c>
      <c r="H23" s="148" t="s">
        <v>235</v>
      </c>
      <c r="I23" s="147" t="s">
        <v>202</v>
      </c>
    </row>
    <row r="24" spans="2:9" x14ac:dyDescent="0.35">
      <c r="B24" s="146" t="s">
        <v>203</v>
      </c>
      <c r="C24" s="119">
        <f>((C19-C20)*(1-C29)+C21+C22)/11</f>
        <v>14465.459372727275</v>
      </c>
      <c r="D24" s="119">
        <f>((C19-C20)*(1-C29)+C21+C22)/12</f>
        <v>13260.004425000001</v>
      </c>
      <c r="E24" s="145">
        <f ca="1">IF(AND(MONTH(C3)=1,DAY(C3)&lt;=20,C6="listopad"),C24,D24)</f>
        <v>13260.004425000001</v>
      </c>
      <c r="G24" s="140" t="s">
        <v>203</v>
      </c>
      <c r="H24" s="139">
        <f ca="1">((C19-C20)*(1-C29)+C21+C22)/IF(AND(MONTH(C3)=1,DAY(C3)&lt;=20,C6="listopad"),C9-1,C9)</f>
        <v>13260.004425000001</v>
      </c>
      <c r="I24" s="138">
        <f ca="1">C19/IF(AND(MONTH(C3)=1,DAY(C3)&lt;=20,C6="listopad"),C9-1,C9)</f>
        <v>26430.423333333336</v>
      </c>
    </row>
    <row r="25" spans="2:9" x14ac:dyDescent="0.35">
      <c r="B25" s="143" t="s">
        <v>204</v>
      </c>
      <c r="C25" s="144"/>
      <c r="D25" s="142" t="e">
        <f ca="1">((C12-C13)*(1-C17)+C14+C15)/C10</f>
        <v>#DIV/0!</v>
      </c>
      <c r="E25" s="141"/>
      <c r="G25" s="140" t="s">
        <v>204</v>
      </c>
      <c r="H25" s="139" t="e">
        <f ca="1">((C12-C13)*(1-C17)+C14+C15)/C10</f>
        <v>#DIV/0!</v>
      </c>
      <c r="I25" s="138" t="e">
        <f ca="1">C12/C10</f>
        <v>#DIV/0!</v>
      </c>
    </row>
    <row r="26" spans="2:9" x14ac:dyDescent="0.35">
      <c r="B26" s="143" t="s">
        <v>205</v>
      </c>
      <c r="D26" s="142" t="e">
        <f ca="1">((D24*(12-C10))+(D25*C10))/12</f>
        <v>#DIV/0!</v>
      </c>
      <c r="E26" s="141"/>
      <c r="G26" s="140" t="s">
        <v>205</v>
      </c>
      <c r="H26" s="139" t="e">
        <f ca="1">((H24*C9)+(H25*C10))/(C9+C10)</f>
        <v>#DIV/0!</v>
      </c>
      <c r="I26" s="138">
        <f ca="1">(C12+C19)/(C9+C10)</f>
        <v>34763.756666666668</v>
      </c>
    </row>
    <row r="27" spans="2:9" ht="15" thickBot="1" x14ac:dyDescent="0.4">
      <c r="B27" s="137" t="s">
        <v>234</v>
      </c>
      <c r="C27" s="136"/>
      <c r="D27" s="135">
        <f ca="1">IF(OR(C37="roczne",C37="brak badania"),E24,D26)</f>
        <v>13260.004425000001</v>
      </c>
      <c r="E27" s="134"/>
      <c r="G27" s="133" t="s">
        <v>207</v>
      </c>
      <c r="H27" s="132" t="e">
        <f ca="1">IF(OR(MONTH(C3)=1,AND(MONTH(C3)=2,KPiR_kalkulator!C6="dane za ubiegły rok")),H24,H26)</f>
        <v>#DIV/0!</v>
      </c>
      <c r="I27" s="131">
        <f ca="1">IF(OR(MONTH(C3)=1,AND(MONTH(C3)=2,KPiR_kalkulator!C6="dane za ubiegły rok")),I24,I26)</f>
        <v>34763.756666666668</v>
      </c>
    </row>
    <row r="28" spans="2:9" x14ac:dyDescent="0.35">
      <c r="B28" s="109"/>
      <c r="D28" s="130"/>
    </row>
    <row r="29" spans="2:9" x14ac:dyDescent="0.35">
      <c r="B29" s="104" t="s">
        <v>208</v>
      </c>
      <c r="C29" s="30">
        <f>IF(C19-C20&lt;=0,0,0.19)</f>
        <v>0.19</v>
      </c>
    </row>
    <row r="30" spans="2:9" x14ac:dyDescent="0.35">
      <c r="B30" s="101"/>
    </row>
    <row r="31" spans="2:9" x14ac:dyDescent="0.35">
      <c r="B31" s="109" t="s">
        <v>233</v>
      </c>
      <c r="C31" s="43" t="s">
        <v>232</v>
      </c>
      <c r="D31" s="43" t="s">
        <v>231</v>
      </c>
      <c r="E31" s="43" t="s">
        <v>230</v>
      </c>
    </row>
    <row r="32" spans="2:9" x14ac:dyDescent="0.35">
      <c r="B32" s="101" t="s">
        <v>203</v>
      </c>
      <c r="C32" s="48">
        <f>C19/11</f>
        <v>28833.189090909091</v>
      </c>
      <c r="D32" s="48">
        <f>C19/12</f>
        <v>26430.423333333336</v>
      </c>
      <c r="E32" s="48">
        <f ca="1">IF(AND(MONTH(C3)=1,DAY(C3)&lt;=20,C6="listopad"),C32,D32)</f>
        <v>26430.423333333336</v>
      </c>
    </row>
    <row r="33" spans="1:9" x14ac:dyDescent="0.35">
      <c r="B33" t="s">
        <v>204</v>
      </c>
      <c r="E33" s="48" t="e">
        <f ca="1">C12/C10</f>
        <v>#DIV/0!</v>
      </c>
    </row>
    <row r="34" spans="1:9" x14ac:dyDescent="0.35">
      <c r="B34" t="s">
        <v>205</v>
      </c>
      <c r="E34" s="48" t="e">
        <f ca="1">((D32*(12-C10))+(E33*C10))/12</f>
        <v>#DIV/0!</v>
      </c>
    </row>
    <row r="35" spans="1:9" x14ac:dyDescent="0.35">
      <c r="B35" s="43" t="s">
        <v>229</v>
      </c>
      <c r="E35" s="129">
        <f ca="1">IF(OR(C37="roczne",C37="brak badania"),E32,E34)</f>
        <v>26430.423333333336</v>
      </c>
    </row>
    <row r="36" spans="1:9" ht="15" thickBot="1" x14ac:dyDescent="0.4">
      <c r="B36" s="43"/>
      <c r="C36" s="43"/>
      <c r="D36" s="43"/>
    </row>
    <row r="37" spans="1:9" x14ac:dyDescent="0.35">
      <c r="A37" s="114"/>
      <c r="B37" s="121" t="s">
        <v>228</v>
      </c>
      <c r="C37" s="128" t="str">
        <f ca="1">IF(D41="","brak badania",IF(OR((D41/D40)&gt;1,(D41/D40)&lt;0),"roczne + bieżące","roczne + bieżące"))</f>
        <v>brak badania</v>
      </c>
      <c r="D37" s="127"/>
      <c r="E37" s="114"/>
      <c r="F37" s="114"/>
      <c r="H37" s="126" t="s">
        <v>227</v>
      </c>
      <c r="I37" s="125">
        <f ca="1">IF(C7="cały rok",D27,H27)</f>
        <v>13260.004425000001</v>
      </c>
    </row>
    <row r="38" spans="1:9" ht="15" thickBot="1" x14ac:dyDescent="0.4">
      <c r="A38" s="114"/>
      <c r="B38" s="114"/>
      <c r="C38" s="114"/>
      <c r="D38" s="114"/>
      <c r="E38" s="114"/>
      <c r="F38" s="114"/>
      <c r="H38" s="124" t="s">
        <v>226</v>
      </c>
      <c r="I38" s="123">
        <f ca="1">IF(C7="cały rok",E35,I27)</f>
        <v>26430.423333333336</v>
      </c>
    </row>
    <row r="39" spans="1:9" x14ac:dyDescent="0.35">
      <c r="A39" s="114"/>
      <c r="B39" s="153" t="s">
        <v>245</v>
      </c>
      <c r="C39" s="121"/>
      <c r="D39" s="122" t="s">
        <v>225</v>
      </c>
      <c r="E39" s="121"/>
      <c r="F39" s="114"/>
    </row>
    <row r="40" spans="1:9" x14ac:dyDescent="0.35">
      <c r="A40" s="114"/>
      <c r="B40" s="120" t="s">
        <v>203</v>
      </c>
      <c r="C40" s="119"/>
      <c r="D40" s="118">
        <f>((C19-C20)*(1-C29)+C21+C22)/12</f>
        <v>13260.004425000001</v>
      </c>
      <c r="E40" s="117"/>
      <c r="F40" s="116"/>
    </row>
    <row r="41" spans="1:9" x14ac:dyDescent="0.35">
      <c r="A41" s="114"/>
      <c r="B41" s="114" t="s">
        <v>224</v>
      </c>
      <c r="C41" s="114"/>
      <c r="D41" s="115" t="str">
        <f ca="1">IF(C10&lt;&gt;0,((C12-C13)*(1-C17)+C14+C15)/C10,"")</f>
        <v/>
      </c>
      <c r="E41" s="114"/>
      <c r="F41" s="114"/>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Arkusz5"/>
  <dimension ref="A1:C18"/>
  <sheetViews>
    <sheetView showGridLines="0" showRowColHeaders="0" topLeftCell="B1" zoomScale="90" zoomScaleNormal="90" workbookViewId="0">
      <selection activeCell="C14" sqref="C14"/>
    </sheetView>
  </sheetViews>
  <sheetFormatPr defaultColWidth="9.1796875" defaultRowHeight="14.5" x14ac:dyDescent="0.35"/>
  <cols>
    <col min="1" max="1" width="1.453125" style="23" hidden="1" customWidth="1"/>
    <col min="2" max="2" width="49.81640625" customWidth="1"/>
    <col min="3" max="3" width="47.1796875" customWidth="1"/>
    <col min="4" max="8" width="9.1796875" customWidth="1"/>
  </cols>
  <sheetData>
    <row r="1" spans="2:3" ht="50.15" customHeight="1" x14ac:dyDescent="0.35">
      <c r="B1" s="592" t="s">
        <v>222</v>
      </c>
      <c r="C1" s="602"/>
    </row>
    <row r="2" spans="2:3" ht="20.25" customHeight="1" x14ac:dyDescent="0.35">
      <c r="B2" s="593" t="s">
        <v>73</v>
      </c>
      <c r="C2" s="603"/>
    </row>
    <row r="3" spans="2:3" x14ac:dyDescent="0.35">
      <c r="B3" s="191" t="s">
        <v>290</v>
      </c>
      <c r="C3" s="184">
        <f ca="1">TODAY()</f>
        <v>46083</v>
      </c>
    </row>
    <row r="4" spans="2:3" x14ac:dyDescent="0.35">
      <c r="B4" s="191" t="s">
        <v>215</v>
      </c>
      <c r="C4" s="185" t="s">
        <v>293</v>
      </c>
    </row>
    <row r="5" spans="2:3" x14ac:dyDescent="0.35">
      <c r="B5" s="191" t="str">
        <f>IF(C4="Przedsiębiorców","PKD","Branża")</f>
        <v>PKD</v>
      </c>
      <c r="C5" s="192" t="s">
        <v>443</v>
      </c>
    </row>
    <row r="6" spans="2:3" x14ac:dyDescent="0.35">
      <c r="B6" s="191" t="s">
        <v>221</v>
      </c>
      <c r="C6" s="185" t="s">
        <v>386</v>
      </c>
    </row>
    <row r="7" spans="2:3" x14ac:dyDescent="0.35">
      <c r="B7" s="191" t="str">
        <f>IF(C6="nie cały rok","Data rozpoczęcia działalności w ubiegłym roku
 (rrrr-mm-dd)","")</f>
        <v/>
      </c>
      <c r="C7" s="193"/>
    </row>
    <row r="8" spans="2:3" x14ac:dyDescent="0.35">
      <c r="B8" s="191" t="s">
        <v>167</v>
      </c>
      <c r="C8" s="186" t="s">
        <v>157</v>
      </c>
    </row>
    <row r="9" spans="2:3" ht="5.15" customHeight="1" x14ac:dyDescent="0.35">
      <c r="B9" s="482"/>
      <c r="C9" s="483"/>
    </row>
    <row r="10" spans="2:3" ht="21" customHeight="1" x14ac:dyDescent="0.35">
      <c r="B10" s="191" t="s">
        <v>216</v>
      </c>
      <c r="C10" s="484">
        <v>100000</v>
      </c>
    </row>
    <row r="11" spans="2:3" ht="29.15" customHeight="1" x14ac:dyDescent="0.35">
      <c r="B11" s="489" t="s">
        <v>413</v>
      </c>
      <c r="C11" s="484">
        <v>5000</v>
      </c>
    </row>
    <row r="12" spans="2:3" hidden="1" x14ac:dyDescent="0.35">
      <c r="B12" s="188" t="s">
        <v>217</v>
      </c>
      <c r="C12" s="187">
        <v>0</v>
      </c>
    </row>
    <row r="13" spans="2:3" ht="5.15" customHeight="1" x14ac:dyDescent="0.35">
      <c r="B13" s="487"/>
      <c r="C13" s="488"/>
    </row>
    <row r="14" spans="2:3" ht="21" customHeight="1" x14ac:dyDescent="0.35">
      <c r="B14" s="191" t="s">
        <v>218</v>
      </c>
      <c r="C14" s="484">
        <v>1064584.8</v>
      </c>
    </row>
    <row r="15" spans="2:3" ht="29.15" customHeight="1" x14ac:dyDescent="0.35">
      <c r="B15" s="489" t="s">
        <v>414</v>
      </c>
      <c r="C15" s="484">
        <v>420000</v>
      </c>
    </row>
    <row r="16" spans="2:3" ht="4.5" customHeight="1" x14ac:dyDescent="0.35">
      <c r="B16" s="487"/>
      <c r="C16" s="488"/>
    </row>
    <row r="17" spans="2:3" x14ac:dyDescent="0.35">
      <c r="B17" s="194" t="s">
        <v>75</v>
      </c>
      <c r="C17" s="190">
        <f>'Rycz_karta dane'!D26</f>
        <v>26614.620000000006</v>
      </c>
    </row>
    <row r="18" spans="2:3" x14ac:dyDescent="0.35">
      <c r="B18" s="194" t="s">
        <v>76</v>
      </c>
      <c r="C18" s="190">
        <f>'Rycz_karta dane'!E25</f>
        <v>88715.400000000009</v>
      </c>
    </row>
  </sheetData>
  <sheetProtection algorithmName="SHA-512" hashValue="HSOh82IYZ9i4a9rkNm1FhOEDmDfePOGANGNKqZrgbr8DuCnIZl4OVNiGdFykVMsFCd49p84RkYhDYYGZ3Xop4Q==" saltValue="jju3/1b3RMA7w4sDVlRmPg==" spinCount="100000" sheet="1" objects="1" scenarios="1"/>
  <mergeCells count="2">
    <mergeCell ref="B1:C1"/>
    <mergeCell ref="B2:C2"/>
  </mergeCells>
  <conditionalFormatting sqref="C10:C12">
    <cfRule type="expression" dxfId="9" priority="2">
      <formula>$C$8="dane za ubiegły rok"</formula>
    </cfRule>
  </conditionalFormatting>
  <dataValidations count="4">
    <dataValidation type="list" allowBlank="1" showInputMessage="1" showErrorMessage="1" sqref="C6" xr:uid="{00000000-0002-0000-0700-000000000000}">
      <formula1>"Cały rok,Nie cały rok"</formula1>
    </dataValidation>
    <dataValidation type="date" operator="greaterThan" allowBlank="1" showInputMessage="1" showErrorMessage="1" sqref="C7 C3" xr:uid="{00000000-0002-0000-0700-000001000000}">
      <formula1>36526</formula1>
    </dataValidation>
    <dataValidation type="list" allowBlank="1" showInputMessage="1" showErrorMessage="1" sqref="C4" xr:uid="{00000000-0002-0000-0700-000002000000}">
      <formula1>"Przedsiębiorców"</formula1>
    </dataValidation>
    <dataValidation type="decimal" allowBlank="1" showInputMessage="1" showErrorMessage="1" sqref="C10:C12 C14:C15" xr:uid="{00000000-0002-0000-0700-000003000000}">
      <formula1>0</formula1>
      <formula2>9999999.99</formula2>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2">
        <x14:dataValidation type="list" operator="greaterThan" allowBlank="1" showInputMessage="1" showErrorMessage="1" xr:uid="{00000000-0002-0000-0700-000004000000}">
          <x14:formula1>
            <xm:f>IF(OR(AND($C$6="cały rok",MONTH($C$3)&lt;=4),AND($C$6="nie cały rok",MONTH($C$3)=1)),'Rycz_karta dane'!$N$3,IF(DAY($C$3)&gt;20,'Rycz_karta dane'!$L$5,'Rycz_karta dane'!$L$5:$L$6))</xm:f>
          </x14:formula1>
          <xm:sqref>C8</xm:sqref>
        </x14:dataValidation>
        <x14:dataValidation type="list" allowBlank="1" showInputMessage="1" showErrorMessage="1" xr:uid="{00000000-0002-0000-0700-000005000000}">
          <x14:formula1>
            <xm:f>IF($B$5="PKD",'Rycz_karta dane'!$AA$4:$AA$52,'Rycz_karta dane'!$S$4:$S$15)</xm:f>
          </x14:formula1>
          <xm:sqref>C5</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Arkusz40">
    <tabColor rgb="FFFFC000"/>
  </sheetPr>
  <dimension ref="B1:AB52"/>
  <sheetViews>
    <sheetView topLeftCell="I1" zoomScaleNormal="100" workbookViewId="0">
      <selection activeCell="I2" sqref="I2"/>
    </sheetView>
  </sheetViews>
  <sheetFormatPr defaultRowHeight="14.5" x14ac:dyDescent="0.35"/>
  <cols>
    <col min="2" max="2" width="51.1796875" customWidth="1"/>
    <col min="3" max="3" width="18.453125" customWidth="1"/>
    <col min="4" max="4" width="18.1796875" customWidth="1"/>
    <col min="5" max="5" width="15.81640625" customWidth="1"/>
    <col min="9" max="9" width="12.1796875" bestFit="1" customWidth="1"/>
    <col min="10" max="10" width="10.453125" bestFit="1" customWidth="1"/>
    <col min="12" max="12" width="11.81640625" customWidth="1"/>
    <col min="19" max="19" width="27.1796875" customWidth="1"/>
    <col min="24" max="24" width="9.1796875" style="175"/>
    <col min="25" max="25" width="67.1796875" style="175" customWidth="1"/>
    <col min="26" max="26" width="9.1796875" style="175"/>
    <col min="27" max="27" width="55.81640625" style="175" customWidth="1"/>
    <col min="28" max="28" width="9.1796875" style="175"/>
  </cols>
  <sheetData>
    <row r="1" spans="2:28" x14ac:dyDescent="0.35">
      <c r="J1" s="14"/>
      <c r="S1" s="87" t="s">
        <v>150</v>
      </c>
      <c r="Y1" s="175" t="s">
        <v>151</v>
      </c>
    </row>
    <row r="2" spans="2:28" x14ac:dyDescent="0.35">
      <c r="C2" s="88" t="s">
        <v>152</v>
      </c>
      <c r="D2" s="88" t="s">
        <v>153</v>
      </c>
      <c r="F2" t="s">
        <v>396</v>
      </c>
      <c r="I2" s="504">
        <v>1646.47</v>
      </c>
      <c r="S2" s="89" t="s">
        <v>380</v>
      </c>
      <c r="Y2" s="89" t="s">
        <v>507</v>
      </c>
    </row>
    <row r="3" spans="2:28" ht="29" x14ac:dyDescent="0.35">
      <c r="B3" s="42" t="s">
        <v>154</v>
      </c>
      <c r="C3" s="406">
        <f ca="1">Ryczałt_karta_kalkulator!C3</f>
        <v>46083</v>
      </c>
      <c r="D3" s="88"/>
      <c r="J3" s="30" t="s">
        <v>155</v>
      </c>
      <c r="K3" s="30" t="s">
        <v>156</v>
      </c>
      <c r="N3" s="64" t="s">
        <v>157</v>
      </c>
      <c r="O3">
        <v>0</v>
      </c>
      <c r="S3" s="91" t="s">
        <v>158</v>
      </c>
      <c r="T3" s="92" t="s">
        <v>159</v>
      </c>
      <c r="X3" s="363" t="s">
        <v>160</v>
      </c>
      <c r="Y3" s="363" t="s">
        <v>161</v>
      </c>
      <c r="Z3" s="564" t="s">
        <v>379</v>
      </c>
    </row>
    <row r="4" spans="2:28" x14ac:dyDescent="0.35">
      <c r="B4" t="s">
        <v>162</v>
      </c>
      <c r="C4" t="str">
        <f>IF(Ryczałt_karta_kalkulator!C4="Przedsiębiorców","SP","")</f>
        <v>SP</v>
      </c>
      <c r="D4" s="88"/>
      <c r="J4" s="30">
        <f ca="1">DAY(C3)</f>
        <v>2</v>
      </c>
      <c r="K4" s="30">
        <f ca="1">MONTH(C3)</f>
        <v>3</v>
      </c>
      <c r="L4" t="str">
        <f ca="1">VLOOKUP($K$4,O4:Q15,3)</f>
        <v>marzec</v>
      </c>
      <c r="N4" t="s">
        <v>163</v>
      </c>
      <c r="O4" s="44">
        <v>1</v>
      </c>
      <c r="P4">
        <v>12</v>
      </c>
      <c r="Q4" t="s">
        <v>163</v>
      </c>
      <c r="S4" s="93" t="s">
        <v>164</v>
      </c>
      <c r="T4" s="94">
        <v>37</v>
      </c>
      <c r="X4" s="365" t="s">
        <v>349</v>
      </c>
      <c r="Y4" s="95" t="s">
        <v>350</v>
      </c>
      <c r="Z4" s="365">
        <v>32</v>
      </c>
      <c r="AA4" s="175" t="str">
        <f>CONCATENATE(X4," ",Y4)</f>
        <v>01, 02, 03 Rolnictwo, leśnictwo, łowiectwo i rybactwo</v>
      </c>
      <c r="AB4" s="365">
        <f>Z4</f>
        <v>32</v>
      </c>
    </row>
    <row r="5" spans="2:28" x14ac:dyDescent="0.35">
      <c r="B5" t="str">
        <f>Ryczałt_karta_kalkulator!B5</f>
        <v>PKD</v>
      </c>
      <c r="C5" t="str">
        <f>Ryczałt_karta_kalkulator!C5</f>
        <v>43 Roboty budowlane specjalistyczne</v>
      </c>
      <c r="D5" s="88"/>
      <c r="K5">
        <f ca="1">VLOOKUP(K4,O4:P15,2,FALSE)</f>
        <v>2</v>
      </c>
      <c r="L5" t="str">
        <f ca="1">VLOOKUP($K$5,O4:Q16,3)</f>
        <v>luty</v>
      </c>
      <c r="N5" t="s">
        <v>165</v>
      </c>
      <c r="O5" s="44">
        <v>2</v>
      </c>
      <c r="P5">
        <v>1</v>
      </c>
      <c r="Q5" t="s">
        <v>165</v>
      </c>
      <c r="S5" s="96" t="s">
        <v>166</v>
      </c>
      <c r="T5" s="97">
        <v>26</v>
      </c>
      <c r="X5" s="365">
        <v>10</v>
      </c>
      <c r="Y5" s="95" t="s">
        <v>351</v>
      </c>
      <c r="Z5" s="365">
        <v>23</v>
      </c>
      <c r="AA5" s="175" t="str">
        <f t="shared" ref="AA5:AA52" si="0">CONCATENATE(X5," ",Y5)</f>
        <v>10 Produkcja artykułów spożywczych</v>
      </c>
      <c r="AB5" s="365">
        <f t="shared" ref="AB5:AB6" si="1">Z5</f>
        <v>23</v>
      </c>
    </row>
    <row r="6" spans="2:28" x14ac:dyDescent="0.35">
      <c r="B6" s="42" t="s">
        <v>167</v>
      </c>
      <c r="C6" s="113" t="str">
        <f>Ryczałt_karta_kalkulator!C8</f>
        <v>dane za ubiegły rok</v>
      </c>
      <c r="D6" s="88"/>
      <c r="K6">
        <f ca="1">VLOOKUP(K5,O4:P15,2,FALSE)</f>
        <v>1</v>
      </c>
      <c r="L6" t="str">
        <f ca="1">VLOOKUP($K$6,O3:Q17,3)</f>
        <v>styczeń</v>
      </c>
      <c r="N6" t="s">
        <v>168</v>
      </c>
      <c r="O6" s="44">
        <v>3</v>
      </c>
      <c r="P6">
        <v>2</v>
      </c>
      <c r="Q6" t="s">
        <v>168</v>
      </c>
      <c r="S6" s="96" t="s">
        <v>169</v>
      </c>
      <c r="T6" s="97">
        <v>34</v>
      </c>
      <c r="X6" s="365">
        <v>13</v>
      </c>
      <c r="Y6" s="95" t="s">
        <v>508</v>
      </c>
      <c r="Z6" s="365">
        <v>30</v>
      </c>
      <c r="AA6" s="175" t="str">
        <f t="shared" si="0"/>
        <v>13 Produkcja wyrobów tekstylnych</v>
      </c>
      <c r="AB6" s="365">
        <f t="shared" si="1"/>
        <v>30</v>
      </c>
    </row>
    <row r="7" spans="2:28" x14ac:dyDescent="0.35">
      <c r="B7" s="98" t="s">
        <v>170</v>
      </c>
      <c r="C7" s="99" t="str">
        <f>Ryczałt_karta_kalkulator!C6</f>
        <v>Cały rok</v>
      </c>
      <c r="E7" t="s">
        <v>172</v>
      </c>
      <c r="I7" s="503"/>
      <c r="N7" t="s">
        <v>173</v>
      </c>
      <c r="O7" s="44">
        <v>4</v>
      </c>
      <c r="P7">
        <v>3</v>
      </c>
      <c r="Q7" t="s">
        <v>173</v>
      </c>
      <c r="S7" s="96" t="s">
        <v>174</v>
      </c>
      <c r="T7" s="97">
        <v>24</v>
      </c>
      <c r="X7" s="365">
        <v>14</v>
      </c>
      <c r="Y7" s="95" t="s">
        <v>472</v>
      </c>
      <c r="Z7" s="365">
        <v>25</v>
      </c>
      <c r="AA7" s="175" t="str">
        <f t="shared" si="0"/>
        <v>14 Produkcja odzieży</v>
      </c>
      <c r="AB7" s="365">
        <f t="shared" ref="AB7:AB52" si="2">Z7</f>
        <v>25</v>
      </c>
    </row>
    <row r="8" spans="2:28" x14ac:dyDescent="0.35">
      <c r="B8" s="98" t="s">
        <v>175</v>
      </c>
      <c r="C8" s="100">
        <f>Ryczałt_karta_kalkulator!C7</f>
        <v>0</v>
      </c>
      <c r="D8">
        <f>MONTH(C8)</f>
        <v>1</v>
      </c>
      <c r="E8" t="s">
        <v>171</v>
      </c>
      <c r="N8" t="s">
        <v>176</v>
      </c>
      <c r="O8" s="44">
        <v>5</v>
      </c>
      <c r="P8">
        <v>4</v>
      </c>
      <c r="Q8" t="s">
        <v>176</v>
      </c>
      <c r="S8" s="96" t="s">
        <v>177</v>
      </c>
      <c r="T8" s="97">
        <v>30</v>
      </c>
      <c r="X8" s="365">
        <v>16</v>
      </c>
      <c r="Y8" s="95" t="s">
        <v>352</v>
      </c>
      <c r="Z8" s="365">
        <v>28</v>
      </c>
      <c r="AA8" s="175" t="str">
        <f t="shared" si="0"/>
        <v>16 Produkcja wyrobów z drewna oraz korka, z wyłączeniem mebli; produkcja wyrobów ze słomy i materiałów używanych do wyplatania</v>
      </c>
      <c r="AB8" s="365">
        <f t="shared" si="2"/>
        <v>28</v>
      </c>
    </row>
    <row r="9" spans="2:28" x14ac:dyDescent="0.35">
      <c r="B9" s="101" t="s">
        <v>178</v>
      </c>
      <c r="C9" s="99">
        <f>IF(C7="cały rok",12,13-D8)</f>
        <v>12</v>
      </c>
      <c r="D9">
        <f>VLOOKUP(D8,O4:P15,2,FALSE)</f>
        <v>12</v>
      </c>
      <c r="N9" t="s">
        <v>179</v>
      </c>
      <c r="O9" s="44">
        <v>6</v>
      </c>
      <c r="P9">
        <v>5</v>
      </c>
      <c r="Q9" t="s">
        <v>179</v>
      </c>
      <c r="S9" s="96" t="s">
        <v>180</v>
      </c>
      <c r="T9" s="97">
        <v>62</v>
      </c>
      <c r="X9" s="365">
        <v>18</v>
      </c>
      <c r="Y9" s="95" t="s">
        <v>473</v>
      </c>
      <c r="Z9" s="365">
        <v>33</v>
      </c>
      <c r="AA9" s="175" t="str">
        <f t="shared" si="0"/>
        <v>18 Poligrafia i reprodukcja zapisanych nośników informacji</v>
      </c>
      <c r="AB9" s="365">
        <f t="shared" si="2"/>
        <v>33</v>
      </c>
    </row>
    <row r="10" spans="2:28" x14ac:dyDescent="0.35">
      <c r="B10" s="101" t="s">
        <v>181</v>
      </c>
      <c r="C10" s="99">
        <f>VLOOKUP($C$6,N3:O15,2,FALSE)</f>
        <v>0</v>
      </c>
      <c r="N10" t="s">
        <v>182</v>
      </c>
      <c r="O10" s="44">
        <v>7</v>
      </c>
      <c r="P10">
        <v>6</v>
      </c>
      <c r="Q10" t="s">
        <v>182</v>
      </c>
      <c r="S10" s="96" t="s">
        <v>183</v>
      </c>
      <c r="T10" s="97">
        <v>49</v>
      </c>
      <c r="X10" s="365">
        <v>22</v>
      </c>
      <c r="Y10" s="95" t="s">
        <v>353</v>
      </c>
      <c r="Z10" s="365">
        <v>27</v>
      </c>
      <c r="AA10" s="175" t="str">
        <f t="shared" si="0"/>
        <v>22 Produkcja wyrobów z gumy i tworzyw sztucznych</v>
      </c>
      <c r="AB10" s="365">
        <f t="shared" si="2"/>
        <v>27</v>
      </c>
    </row>
    <row r="11" spans="2:28" x14ac:dyDescent="0.35">
      <c r="B11" s="49"/>
      <c r="N11" t="s">
        <v>184</v>
      </c>
      <c r="O11" s="44">
        <v>8</v>
      </c>
      <c r="P11">
        <v>7</v>
      </c>
      <c r="Q11" t="s">
        <v>184</v>
      </c>
      <c r="S11" s="93" t="s">
        <v>185</v>
      </c>
      <c r="T11" s="94">
        <v>41</v>
      </c>
      <c r="X11" s="365">
        <v>23</v>
      </c>
      <c r="Y11" s="95" t="s">
        <v>509</v>
      </c>
      <c r="Z11" s="365">
        <v>18</v>
      </c>
      <c r="AA11" s="175" t="str">
        <f t="shared" si="0"/>
        <v>23 Produkcja wyrobów z pozostałych mineralnych surowców niemetalicznych</v>
      </c>
      <c r="AB11" s="365">
        <f t="shared" si="2"/>
        <v>18</v>
      </c>
    </row>
    <row r="12" spans="2:28" x14ac:dyDescent="0.35">
      <c r="B12" s="98" t="s">
        <v>186</v>
      </c>
      <c r="C12" s="103">
        <f>Ryczałt_karta_kalkulator!C10</f>
        <v>100000</v>
      </c>
      <c r="N12" t="s">
        <v>187</v>
      </c>
      <c r="O12" s="44">
        <v>9</v>
      </c>
      <c r="P12">
        <v>8</v>
      </c>
      <c r="Q12" t="s">
        <v>187</v>
      </c>
      <c r="S12" s="96" t="s">
        <v>188</v>
      </c>
      <c r="T12" s="97">
        <v>69</v>
      </c>
      <c r="X12" s="365">
        <v>25</v>
      </c>
      <c r="Y12" s="102" t="s">
        <v>354</v>
      </c>
      <c r="Z12" s="365">
        <v>31</v>
      </c>
      <c r="AA12" s="175" t="str">
        <f t="shared" si="0"/>
        <v>25 Produkcja metalowych wyrobów gotowych, z wyłączeniem maszyn i urządzeń</v>
      </c>
      <c r="AB12" s="365">
        <f t="shared" si="2"/>
        <v>31</v>
      </c>
    </row>
    <row r="13" spans="2:28" x14ac:dyDescent="0.35">
      <c r="B13" s="98" t="s">
        <v>189</v>
      </c>
      <c r="C13" s="103">
        <f>Ryczałt_karta_kalkulator!$C$11+'Rycz_karta dane'!$C$10*'Rycz_karta dane'!$I$2</f>
        <v>5000</v>
      </c>
      <c r="D13" t="s">
        <v>412</v>
      </c>
      <c r="N13" t="s">
        <v>190</v>
      </c>
      <c r="O13" s="44">
        <v>10</v>
      </c>
      <c r="P13">
        <v>9</v>
      </c>
      <c r="Q13" t="s">
        <v>190</v>
      </c>
      <c r="S13" s="96" t="s">
        <v>191</v>
      </c>
      <c r="T13" s="97">
        <v>52</v>
      </c>
      <c r="X13" s="365">
        <v>31</v>
      </c>
      <c r="Y13" s="102" t="s">
        <v>355</v>
      </c>
      <c r="Z13" s="365">
        <v>22</v>
      </c>
      <c r="AA13" s="175" t="str">
        <f t="shared" si="0"/>
        <v>31 Produkcja mebli</v>
      </c>
      <c r="AB13" s="365">
        <f t="shared" si="2"/>
        <v>22</v>
      </c>
    </row>
    <row r="14" spans="2:28" x14ac:dyDescent="0.35">
      <c r="B14" s="98" t="s">
        <v>192</v>
      </c>
      <c r="C14" s="103">
        <f>Ryczałt_karta_kalkulator!C12</f>
        <v>0</v>
      </c>
      <c r="N14" t="s">
        <v>193</v>
      </c>
      <c r="O14" s="44">
        <v>11</v>
      </c>
      <c r="P14">
        <v>10</v>
      </c>
      <c r="Q14" t="s">
        <v>193</v>
      </c>
      <c r="S14" s="96" t="s">
        <v>194</v>
      </c>
      <c r="T14" s="97">
        <v>63</v>
      </c>
      <c r="X14" s="365">
        <v>32</v>
      </c>
      <c r="Y14" s="102" t="s">
        <v>429</v>
      </c>
      <c r="Z14" s="365">
        <v>33</v>
      </c>
      <c r="AA14" s="175" t="str">
        <f t="shared" si="0"/>
        <v>32 Pozostała produkcja wyrobów</v>
      </c>
      <c r="AB14" s="365">
        <f t="shared" si="2"/>
        <v>33</v>
      </c>
    </row>
    <row r="15" spans="2:28" x14ac:dyDescent="0.35">
      <c r="B15" s="49"/>
      <c r="N15" t="s">
        <v>195</v>
      </c>
      <c r="O15" s="44">
        <v>12</v>
      </c>
      <c r="P15">
        <v>11</v>
      </c>
      <c r="Q15" t="s">
        <v>157</v>
      </c>
      <c r="S15" s="96" t="s">
        <v>196</v>
      </c>
      <c r="T15" s="97">
        <v>49</v>
      </c>
      <c r="X15" s="365">
        <v>33</v>
      </c>
      <c r="Y15" s="102" t="s">
        <v>356</v>
      </c>
      <c r="Z15" s="365">
        <v>38</v>
      </c>
      <c r="AA15" s="175" t="str">
        <f t="shared" si="0"/>
        <v>33 Naprawa, konserwacja i instalowanie maszyn i urządzeń</v>
      </c>
      <c r="AB15" s="365">
        <f t="shared" si="2"/>
        <v>38</v>
      </c>
    </row>
    <row r="16" spans="2:28" x14ac:dyDescent="0.35">
      <c r="B16" s="104" t="s">
        <v>197</v>
      </c>
      <c r="C16" s="30">
        <f>IF(C12-C13&lt;=0,0,0.19)</f>
        <v>0.19</v>
      </c>
      <c r="X16" s="365">
        <v>38</v>
      </c>
      <c r="Y16" s="102" t="s">
        <v>474</v>
      </c>
      <c r="Z16" s="365">
        <v>21</v>
      </c>
      <c r="AA16" s="175" t="str">
        <f t="shared" si="0"/>
        <v>38 Działalność związana ze zbieraniem, przetwarzaniem i unieszkodliwianiem odpadów; odzysk surowców</v>
      </c>
      <c r="AB16" s="365">
        <f t="shared" si="2"/>
        <v>21</v>
      </c>
    </row>
    <row r="17" spans="2:28" x14ac:dyDescent="0.35">
      <c r="B17" s="49"/>
      <c r="X17" s="365">
        <v>41</v>
      </c>
      <c r="Y17" s="102" t="s">
        <v>357</v>
      </c>
      <c r="Z17" s="365">
        <v>27</v>
      </c>
      <c r="AA17" s="175" t="str">
        <f t="shared" si="0"/>
        <v>41 Roboty budowlane związane ze wznoszeniem budynków</v>
      </c>
      <c r="AB17" s="365">
        <f t="shared" si="2"/>
        <v>27</v>
      </c>
    </row>
    <row r="18" spans="2:28" x14ac:dyDescent="0.35">
      <c r="B18" s="98" t="s">
        <v>198</v>
      </c>
      <c r="C18" s="103">
        <f>Ryczałt_karta_kalkulator!C14</f>
        <v>1064584.8</v>
      </c>
      <c r="S18" s="105"/>
      <c r="X18" s="365">
        <v>42</v>
      </c>
      <c r="Y18" s="102" t="s">
        <v>358</v>
      </c>
      <c r="Z18" s="365">
        <v>26</v>
      </c>
      <c r="AA18" s="175" t="str">
        <f t="shared" si="0"/>
        <v>42 Roboty związane z budową obiektów inżynierii lądowej i wodnej</v>
      </c>
      <c r="AB18" s="365">
        <f t="shared" si="2"/>
        <v>26</v>
      </c>
    </row>
    <row r="19" spans="2:28" x14ac:dyDescent="0.35">
      <c r="B19" s="98" t="s">
        <v>199</v>
      </c>
      <c r="C19" s="103">
        <f>Ryczałt_karta_kalkulator!$C$15+'Rycz_karta dane'!$C$9*'Rycz_karta dane'!$I$2</f>
        <v>439757.64</v>
      </c>
      <c r="D19" t="s">
        <v>412</v>
      </c>
      <c r="S19" s="105"/>
      <c r="X19" s="365">
        <v>43</v>
      </c>
      <c r="Y19" s="95" t="s">
        <v>359</v>
      </c>
      <c r="Z19" s="365">
        <v>30</v>
      </c>
      <c r="AA19" s="175" t="str">
        <f t="shared" si="0"/>
        <v>43 Roboty budowlane specjalistyczne</v>
      </c>
      <c r="AB19" s="365">
        <f t="shared" si="2"/>
        <v>30</v>
      </c>
    </row>
    <row r="20" spans="2:28" x14ac:dyDescent="0.35">
      <c r="B20" s="98" t="s">
        <v>200</v>
      </c>
      <c r="C20" s="103">
        <f>Ryczałt_karta_kalkulator!C16</f>
        <v>0</v>
      </c>
      <c r="S20" s="105"/>
      <c r="X20" s="574">
        <v>45</v>
      </c>
      <c r="Y20" s="575" t="s">
        <v>360</v>
      </c>
      <c r="Z20" s="574">
        <v>23</v>
      </c>
      <c r="AA20" s="175" t="str">
        <f t="shared" si="0"/>
        <v>45 Handel hurtowy i detaliczny pojazdami samochodowymi; naprawa pojazdów samochodowych</v>
      </c>
      <c r="AB20" s="365">
        <f t="shared" si="2"/>
        <v>23</v>
      </c>
    </row>
    <row r="21" spans="2:28" x14ac:dyDescent="0.35">
      <c r="B21" s="49"/>
      <c r="D21" s="108" t="s">
        <v>201</v>
      </c>
      <c r="E21" s="108" t="s">
        <v>202</v>
      </c>
      <c r="X21" s="365">
        <v>46</v>
      </c>
      <c r="Y21" s="106" t="s">
        <v>361</v>
      </c>
      <c r="Z21" s="365">
        <v>25</v>
      </c>
      <c r="AA21" s="175" t="str">
        <f t="shared" si="0"/>
        <v>46 Handel hurtowy, z wyłączeniem handlu pojazdami samochodowymi</v>
      </c>
      <c r="AB21" s="365">
        <f t="shared" si="2"/>
        <v>25</v>
      </c>
    </row>
    <row r="22" spans="2:28" x14ac:dyDescent="0.35">
      <c r="B22" s="101" t="s">
        <v>203</v>
      </c>
      <c r="D22" s="485">
        <f>((C18-C19)*(1-C27)+C20)/C9</f>
        <v>42175.833300000006</v>
      </c>
      <c r="E22" s="485">
        <f>C18/C9</f>
        <v>88715.400000000009</v>
      </c>
      <c r="X22" s="365">
        <v>47</v>
      </c>
      <c r="Y22" s="95" t="s">
        <v>362</v>
      </c>
      <c r="Z22" s="365">
        <v>18</v>
      </c>
      <c r="AA22" s="175" t="str">
        <f t="shared" si="0"/>
        <v>47 Handel detaliczny, z wyłączeniem handlu detalicznego pojazdami samochodowymi</v>
      </c>
      <c r="AB22" s="365">
        <f t="shared" si="2"/>
        <v>18</v>
      </c>
    </row>
    <row r="23" spans="2:28" x14ac:dyDescent="0.35">
      <c r="B23" s="101" t="s">
        <v>204</v>
      </c>
      <c r="D23" s="485" t="e">
        <f>((C12-C13)*(1-C16)+C14)/C10</f>
        <v>#DIV/0!</v>
      </c>
      <c r="E23" s="485" t="e">
        <f>C12/C10</f>
        <v>#DIV/0!</v>
      </c>
      <c r="X23" s="365">
        <v>49</v>
      </c>
      <c r="Y23" s="107" t="s">
        <v>363</v>
      </c>
      <c r="Z23" s="565">
        <v>24</v>
      </c>
      <c r="AA23" s="175" t="str">
        <f t="shared" si="0"/>
        <v>49 Transport lądowy oraz transport rurociągowy</v>
      </c>
      <c r="AB23" s="365">
        <f t="shared" si="2"/>
        <v>24</v>
      </c>
    </row>
    <row r="24" spans="2:28" x14ac:dyDescent="0.35">
      <c r="B24" s="101" t="s">
        <v>205</v>
      </c>
      <c r="D24" s="485" t="e">
        <f>((D22*IF(C7="cały rok",12-C10,C9))+(D23*C10))/IF(C7="cały rok",12,(C9+C10))</f>
        <v>#DIV/0!</v>
      </c>
      <c r="E24" s="485" t="e">
        <f>((E22*IF(C7="cały rok",12-C10,C9))+(E23*C10))/IF(C7="cały rok",12,(C9+C10))</f>
        <v>#DIV/0!</v>
      </c>
      <c r="X24" s="365">
        <v>52</v>
      </c>
      <c r="Y24" s="107" t="s">
        <v>364</v>
      </c>
      <c r="Z24" s="565">
        <v>36</v>
      </c>
      <c r="AA24" s="175" t="str">
        <f t="shared" si="0"/>
        <v>52 Magazynowanie i działalność usługowa wspomagająca transport</v>
      </c>
      <c r="AB24" s="365">
        <f t="shared" si="2"/>
        <v>36</v>
      </c>
    </row>
    <row r="25" spans="2:28" ht="15" thickBot="1" x14ac:dyDescent="0.4">
      <c r="B25" s="109" t="s">
        <v>206</v>
      </c>
      <c r="C25" s="43"/>
      <c r="D25" s="485">
        <f>IF(C10=0,D22,D24)</f>
        <v>42175.833300000006</v>
      </c>
      <c r="E25" s="485">
        <f>IF(C10=0,E22,E24)</f>
        <v>88715.400000000009</v>
      </c>
      <c r="X25" s="365">
        <v>53</v>
      </c>
      <c r="Y25" s="102" t="s">
        <v>430</v>
      </c>
      <c r="Z25" s="365">
        <v>39</v>
      </c>
      <c r="AA25" s="175" t="str">
        <f t="shared" si="0"/>
        <v>53 Działalność pocztowa i kurierska</v>
      </c>
      <c r="AB25" s="365">
        <f t="shared" si="2"/>
        <v>39</v>
      </c>
    </row>
    <row r="26" spans="2:28" ht="15" thickBot="1" x14ac:dyDescent="0.4">
      <c r="B26" s="109" t="s">
        <v>207</v>
      </c>
      <c r="D26" s="486">
        <f>IF(C32&gt;D32,D32*E25/100,D25)</f>
        <v>26614.620000000006</v>
      </c>
      <c r="E26" s="481"/>
      <c r="X26" s="365">
        <v>55</v>
      </c>
      <c r="Y26" s="102" t="s">
        <v>475</v>
      </c>
      <c r="Z26" s="365">
        <v>37</v>
      </c>
      <c r="AA26" s="175" t="str">
        <f t="shared" si="0"/>
        <v>55 Zakwaterowanie</v>
      </c>
      <c r="AB26" s="365">
        <f t="shared" si="2"/>
        <v>37</v>
      </c>
    </row>
    <row r="27" spans="2:28" x14ac:dyDescent="0.35">
      <c r="B27" s="104" t="s">
        <v>208</v>
      </c>
      <c r="C27" s="30">
        <f>IF(C18-C19&lt;=0,0,0.19)</f>
        <v>0.19</v>
      </c>
      <c r="X27" s="365">
        <v>56</v>
      </c>
      <c r="Y27" s="102" t="s">
        <v>365</v>
      </c>
      <c r="Z27" s="365">
        <v>19</v>
      </c>
      <c r="AA27" s="175" t="str">
        <f t="shared" si="0"/>
        <v>56 Działalność usługowa związana z wyżywieniem</v>
      </c>
      <c r="AB27" s="365">
        <f t="shared" si="2"/>
        <v>19</v>
      </c>
    </row>
    <row r="28" spans="2:28" x14ac:dyDescent="0.35">
      <c r="B28" t="s">
        <v>209</v>
      </c>
      <c r="X28" s="365">
        <v>59</v>
      </c>
      <c r="Y28" s="102" t="s">
        <v>431</v>
      </c>
      <c r="Z28" s="365">
        <v>54</v>
      </c>
      <c r="AA28" s="175" t="str">
        <f t="shared" si="0"/>
        <v>59 Działalność związana z produkcją filmów, nagrań wideo, programów telewizyjnych, nagrań dźwiękowych i muzycznych</v>
      </c>
      <c r="AB28" s="365">
        <f t="shared" si="2"/>
        <v>54</v>
      </c>
    </row>
    <row r="29" spans="2:28" x14ac:dyDescent="0.35">
      <c r="B29" t="s">
        <v>210</v>
      </c>
      <c r="X29" s="365">
        <v>61</v>
      </c>
      <c r="Y29" s="102" t="s">
        <v>185</v>
      </c>
      <c r="Z29" s="365">
        <v>40</v>
      </c>
      <c r="AA29" s="175" t="str">
        <f t="shared" si="0"/>
        <v>61 Telekomunikacja</v>
      </c>
      <c r="AB29" s="365">
        <f t="shared" si="2"/>
        <v>40</v>
      </c>
    </row>
    <row r="30" spans="2:28" x14ac:dyDescent="0.35">
      <c r="B30" t="s">
        <v>211</v>
      </c>
      <c r="X30" s="365">
        <v>62</v>
      </c>
      <c r="Y30" s="102" t="s">
        <v>366</v>
      </c>
      <c r="Z30" s="365">
        <v>65</v>
      </c>
      <c r="AA30" s="175" t="str">
        <f t="shared" si="0"/>
        <v>62 Działalność związana z oprogramowaniem i doradztwem w zakresie informatyki oraz działalność powiązana</v>
      </c>
      <c r="AB30" s="365">
        <f t="shared" si="2"/>
        <v>65</v>
      </c>
    </row>
    <row r="31" spans="2:28" x14ac:dyDescent="0.35">
      <c r="C31" s="43" t="s">
        <v>212</v>
      </c>
      <c r="D31" s="43" t="s">
        <v>213</v>
      </c>
      <c r="X31" s="365">
        <v>63</v>
      </c>
      <c r="Y31" s="102" t="s">
        <v>432</v>
      </c>
      <c r="Z31" s="365">
        <v>58</v>
      </c>
      <c r="AA31" s="175" t="str">
        <f t="shared" si="0"/>
        <v>63 Działalność usługowa w zakresie informacji</v>
      </c>
      <c r="AB31" s="365">
        <f t="shared" si="2"/>
        <v>58</v>
      </c>
    </row>
    <row r="32" spans="2:28" x14ac:dyDescent="0.35">
      <c r="B32" s="110" t="s">
        <v>214</v>
      </c>
      <c r="C32" s="111">
        <f>D25/E25*100</f>
        <v>47.540599828214717</v>
      </c>
      <c r="D32" s="112">
        <f>IF(B5="branża",VLOOKUP(C5,S4:T15,2,FALSE),VLOOKUP(C5,AA4:AB52,2,FALSE))</f>
        <v>30</v>
      </c>
      <c r="X32" s="365">
        <v>64</v>
      </c>
      <c r="Y32" s="102" t="s">
        <v>476</v>
      </c>
      <c r="Z32" s="365">
        <v>53</v>
      </c>
      <c r="AA32" s="175" t="str">
        <f t="shared" si="0"/>
        <v>64 Finansowa działalność usługowa, z wyłączeniem ubezpieczeń i funduszów emerytalnych</v>
      </c>
      <c r="AB32" s="365">
        <f t="shared" si="2"/>
        <v>53</v>
      </c>
    </row>
    <row r="33" spans="24:28" x14ac:dyDescent="0.35">
      <c r="X33" s="365">
        <v>66</v>
      </c>
      <c r="Y33" s="102" t="s">
        <v>367</v>
      </c>
      <c r="Z33" s="365">
        <v>58</v>
      </c>
      <c r="AA33" s="175" t="str">
        <f t="shared" si="0"/>
        <v>66 Działalność wspomagająca usługi finansowe oraz ubezpieczenia i fundusze emerytalne</v>
      </c>
      <c r="AB33" s="365">
        <f t="shared" si="2"/>
        <v>58</v>
      </c>
    </row>
    <row r="34" spans="24:28" x14ac:dyDescent="0.35">
      <c r="X34" s="365">
        <v>68</v>
      </c>
      <c r="Y34" s="102" t="s">
        <v>368</v>
      </c>
      <c r="Z34" s="365">
        <v>48</v>
      </c>
      <c r="AA34" s="175" t="str">
        <f t="shared" si="0"/>
        <v>68 Działalność związana z obsługą rynku nieruchomości</v>
      </c>
      <c r="AB34" s="365">
        <f t="shared" si="2"/>
        <v>48</v>
      </c>
    </row>
    <row r="35" spans="24:28" x14ac:dyDescent="0.35">
      <c r="X35" s="365">
        <v>69</v>
      </c>
      <c r="Y35" s="102" t="s">
        <v>369</v>
      </c>
      <c r="Z35" s="365">
        <v>54</v>
      </c>
      <c r="AA35" s="175" t="str">
        <f t="shared" si="0"/>
        <v>69 Działalność prawnicza, rachunkowo - księgowa i doradztwo podatkowe</v>
      </c>
      <c r="AB35" s="365">
        <f t="shared" si="2"/>
        <v>54</v>
      </c>
    </row>
    <row r="36" spans="24:28" x14ac:dyDescent="0.35">
      <c r="X36" s="365">
        <v>70</v>
      </c>
      <c r="Y36" s="102" t="s">
        <v>370</v>
      </c>
      <c r="Z36" s="365">
        <v>60</v>
      </c>
      <c r="AA36" s="175" t="str">
        <f t="shared" si="0"/>
        <v>70 Działalność firm centralnych (head offices); doradztwo związane z zarządzaniem</v>
      </c>
      <c r="AB36" s="365">
        <f t="shared" si="2"/>
        <v>60</v>
      </c>
    </row>
    <row r="37" spans="24:28" x14ac:dyDescent="0.35">
      <c r="X37" s="365">
        <v>71</v>
      </c>
      <c r="Y37" s="102" t="s">
        <v>371</v>
      </c>
      <c r="Z37" s="365">
        <v>52</v>
      </c>
      <c r="AA37" s="175" t="str">
        <f t="shared" si="0"/>
        <v>71 Działalność w zakresie architektury i inżynierii; badania i analizy techniczne</v>
      </c>
      <c r="AB37" s="365">
        <f t="shared" si="2"/>
        <v>52</v>
      </c>
    </row>
    <row r="38" spans="24:28" x14ac:dyDescent="0.35">
      <c r="X38" s="365">
        <v>73</v>
      </c>
      <c r="Y38" s="102" t="s">
        <v>372</v>
      </c>
      <c r="Z38" s="365">
        <v>52</v>
      </c>
      <c r="AA38" s="175" t="str">
        <f t="shared" si="0"/>
        <v>73 Reklama, badanie rynku i opinii publicznej</v>
      </c>
      <c r="AB38" s="365">
        <f t="shared" si="2"/>
        <v>52</v>
      </c>
    </row>
    <row r="39" spans="24:28" x14ac:dyDescent="0.35">
      <c r="X39" s="365">
        <v>74</v>
      </c>
      <c r="Y39" s="102" t="s">
        <v>373</v>
      </c>
      <c r="Z39" s="365">
        <v>58</v>
      </c>
      <c r="AA39" s="175" t="str">
        <f t="shared" si="0"/>
        <v>74 Pozostała działalność profesjonalna, naukowa i techniczna</v>
      </c>
      <c r="AB39" s="365">
        <f t="shared" si="2"/>
        <v>58</v>
      </c>
    </row>
    <row r="40" spans="24:28" x14ac:dyDescent="0.35">
      <c r="X40" s="365">
        <v>75</v>
      </c>
      <c r="Y40" s="102" t="s">
        <v>477</v>
      </c>
      <c r="Z40" s="365">
        <v>28</v>
      </c>
      <c r="AA40" s="175" t="str">
        <f t="shared" si="0"/>
        <v>75 Działalność weterynaryjna</v>
      </c>
      <c r="AB40" s="365">
        <f t="shared" si="2"/>
        <v>28</v>
      </c>
    </row>
    <row r="41" spans="24:28" x14ac:dyDescent="0.35">
      <c r="X41" s="365">
        <v>77</v>
      </c>
      <c r="Y41" s="102" t="s">
        <v>374</v>
      </c>
      <c r="Z41" s="365">
        <v>36</v>
      </c>
      <c r="AA41" s="175" t="str">
        <f t="shared" si="0"/>
        <v>77 Wynajem i dzierżawa</v>
      </c>
      <c r="AB41" s="365">
        <f t="shared" si="2"/>
        <v>36</v>
      </c>
    </row>
    <row r="42" spans="24:28" x14ac:dyDescent="0.35">
      <c r="X42" s="365">
        <v>79</v>
      </c>
      <c r="Y42" s="102" t="s">
        <v>510</v>
      </c>
      <c r="Z42" s="365">
        <v>41</v>
      </c>
      <c r="AA42" s="175" t="str">
        <f t="shared" si="0"/>
        <v>79 Działalność organizatorów turystyki, pośredników i agentów turystycznych oraz pozostała działalność usługowa w zakresie rezerwacji i działalności z nią związane</v>
      </c>
      <c r="AB42" s="365">
        <f t="shared" si="2"/>
        <v>41</v>
      </c>
    </row>
    <row r="43" spans="24:28" x14ac:dyDescent="0.35">
      <c r="X43" s="365">
        <v>81</v>
      </c>
      <c r="Y43" s="102" t="s">
        <v>375</v>
      </c>
      <c r="Z43" s="365">
        <v>41</v>
      </c>
      <c r="AA43" s="175" t="str">
        <f t="shared" si="0"/>
        <v>81 Działalność usługowa związana z utrzymaniem porządku w budynkach i zagospodarowaniem terenów zieleni</v>
      </c>
      <c r="AB43" s="365">
        <f t="shared" si="2"/>
        <v>41</v>
      </c>
    </row>
    <row r="44" spans="24:28" x14ac:dyDescent="0.35">
      <c r="X44" s="365">
        <v>82</v>
      </c>
      <c r="Y44" s="102" t="s">
        <v>376</v>
      </c>
      <c r="Z44" s="365">
        <v>60</v>
      </c>
      <c r="AA44" s="175" t="str">
        <f t="shared" si="0"/>
        <v>82 Działalność związana z administracyjną obsługą biura i pozostała działalność wspomagająca prowadzenie działalności gospodarczej</v>
      </c>
      <c r="AB44" s="365">
        <f t="shared" si="2"/>
        <v>60</v>
      </c>
    </row>
    <row r="45" spans="24:28" x14ac:dyDescent="0.35">
      <c r="X45" s="365">
        <v>85</v>
      </c>
      <c r="Y45" s="102" t="s">
        <v>191</v>
      </c>
      <c r="Z45" s="365">
        <v>49</v>
      </c>
      <c r="AA45" s="175" t="str">
        <f t="shared" si="0"/>
        <v>85 Edukacja</v>
      </c>
      <c r="AB45" s="365">
        <f t="shared" si="2"/>
        <v>49</v>
      </c>
    </row>
    <row r="46" spans="24:28" x14ac:dyDescent="0.35">
      <c r="X46" s="365">
        <v>86</v>
      </c>
      <c r="Y46" s="102" t="s">
        <v>194</v>
      </c>
      <c r="Z46" s="365">
        <v>57</v>
      </c>
      <c r="AA46" s="175" t="str">
        <f t="shared" si="0"/>
        <v>86 Opieka zdrowotna</v>
      </c>
      <c r="AB46" s="365">
        <f t="shared" si="2"/>
        <v>57</v>
      </c>
    </row>
    <row r="47" spans="24:28" x14ac:dyDescent="0.35">
      <c r="X47" s="365">
        <v>88</v>
      </c>
      <c r="Y47" s="102" t="s">
        <v>511</v>
      </c>
      <c r="Z47" s="365">
        <v>33</v>
      </c>
      <c r="AA47" s="175" t="str">
        <f t="shared" si="0"/>
        <v>88 Pomoc społeczna bez zakwaterowania</v>
      </c>
      <c r="AB47" s="365">
        <f t="shared" si="2"/>
        <v>33</v>
      </c>
    </row>
    <row r="48" spans="24:28" x14ac:dyDescent="0.35">
      <c r="X48" s="365">
        <v>90</v>
      </c>
      <c r="Y48" s="102" t="s">
        <v>512</v>
      </c>
      <c r="Z48" s="365">
        <v>52</v>
      </c>
      <c r="AA48" s="175" t="str">
        <f t="shared" si="0"/>
        <v>90 Działalność twórcza związana z kulturą i rozrywką</v>
      </c>
      <c r="AB48" s="365">
        <f t="shared" si="2"/>
        <v>52</v>
      </c>
    </row>
    <row r="49" spans="24:28" x14ac:dyDescent="0.35">
      <c r="X49" s="365">
        <v>93</v>
      </c>
      <c r="Y49" s="102" t="s">
        <v>513</v>
      </c>
      <c r="Z49" s="365">
        <v>42</v>
      </c>
      <c r="AA49" s="175" t="str">
        <f t="shared" si="0"/>
        <v>93 Działalność sportowa, rozrywkowa i rekreacyjna</v>
      </c>
      <c r="AB49" s="365">
        <f t="shared" si="2"/>
        <v>42</v>
      </c>
    </row>
    <row r="50" spans="24:28" x14ac:dyDescent="0.35">
      <c r="X50" s="365">
        <v>95</v>
      </c>
      <c r="Y50" s="102" t="s">
        <v>433</v>
      </c>
      <c r="Z50" s="365">
        <v>35</v>
      </c>
      <c r="AA50" s="175" t="str">
        <f t="shared" si="0"/>
        <v>95 Naprawa i konserwacja komputerów i artykułów użytku osobistego i domowego</v>
      </c>
      <c r="AB50" s="365">
        <f t="shared" si="2"/>
        <v>35</v>
      </c>
    </row>
    <row r="51" spans="24:28" x14ac:dyDescent="0.35">
      <c r="X51" s="365">
        <v>96</v>
      </c>
      <c r="Y51" s="102" t="s">
        <v>377</v>
      </c>
      <c r="Z51" s="365">
        <v>35</v>
      </c>
      <c r="AA51" s="175" t="str">
        <f t="shared" si="0"/>
        <v>96 Pozostała indywidualna działalność usługowa</v>
      </c>
      <c r="AB51" s="365">
        <f t="shared" si="2"/>
        <v>35</v>
      </c>
    </row>
    <row r="52" spans="24:28" x14ac:dyDescent="0.35">
      <c r="X52" s="365" t="s">
        <v>378</v>
      </c>
      <c r="Y52" s="102"/>
      <c r="Z52" s="365">
        <v>34</v>
      </c>
      <c r="AA52" s="175" t="str">
        <f t="shared" si="0"/>
        <v xml:space="preserve">Pozostałe </v>
      </c>
      <c r="AB52" s="365">
        <f t="shared" si="2"/>
        <v>34</v>
      </c>
    </row>
  </sheetData>
  <pageMargins left="0.7" right="0.7" top="0.75" bottom="0.75" header="0.3" footer="0.3"/>
  <pageSetup paperSize="9" orientation="portrait"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Arkusz7"/>
  <dimension ref="A1:P96"/>
  <sheetViews>
    <sheetView showGridLines="0" showRowColHeaders="0" zoomScale="90" zoomScaleNormal="90" workbookViewId="0">
      <selection activeCell="C26" sqref="C26"/>
    </sheetView>
  </sheetViews>
  <sheetFormatPr defaultColWidth="9.1796875" defaultRowHeight="15" customHeight="1" zeroHeight="1" x14ac:dyDescent="0.35"/>
  <cols>
    <col min="1" max="1" width="1.81640625" customWidth="1"/>
    <col min="2" max="2" width="49" customWidth="1"/>
    <col min="3" max="3" width="49.1796875" customWidth="1"/>
    <col min="4" max="4" width="9.1796875" customWidth="1"/>
    <col min="5" max="5" width="2.81640625" customWidth="1"/>
    <col min="6" max="6" width="32.453125" customWidth="1"/>
    <col min="7" max="7" width="11" customWidth="1"/>
    <col min="8" max="8" width="4" customWidth="1"/>
    <col min="9" max="9" width="2.54296875" customWidth="1"/>
    <col min="10" max="10" width="3.1796875" customWidth="1"/>
    <col min="11" max="11" width="42.1796875" customWidth="1"/>
    <col min="12" max="12" width="31.1796875" customWidth="1"/>
    <col min="13" max="28" width="9.1796875" customWidth="1"/>
  </cols>
  <sheetData>
    <row r="1" spans="1:16" ht="51" customHeight="1" x14ac:dyDescent="0.35">
      <c r="B1" s="592" t="s">
        <v>400</v>
      </c>
      <c r="C1" s="602"/>
    </row>
    <row r="2" spans="1:16" s="407" customFormat="1" ht="15" hidden="1" customHeight="1" thickBot="1" x14ac:dyDescent="0.4"/>
    <row r="3" spans="1:16" s="31" customFormat="1" ht="19" hidden="1" thickBot="1" x14ac:dyDescent="0.4">
      <c r="A3" s="425"/>
      <c r="B3" s="408"/>
      <c r="C3" s="409" t="s">
        <v>401</v>
      </c>
      <c r="G3" s="409" t="s">
        <v>402</v>
      </c>
      <c r="L3" s="409" t="s">
        <v>403</v>
      </c>
      <c r="P3" s="410"/>
    </row>
    <row r="4" spans="1:16" s="522" customFormat="1" ht="20.25" hidden="1" customHeight="1" x14ac:dyDescent="0.3">
      <c r="A4" s="521"/>
      <c r="B4" s="612" t="s">
        <v>73</v>
      </c>
      <c r="C4" s="613"/>
      <c r="F4" s="612"/>
      <c r="G4" s="614"/>
      <c r="K4" s="612"/>
      <c r="L4" s="614"/>
    </row>
    <row r="5" spans="1:16" s="522" customFormat="1" ht="12" hidden="1" x14ac:dyDescent="0.3">
      <c r="A5" s="521"/>
      <c r="B5" s="523" t="s">
        <v>290</v>
      </c>
      <c r="C5" s="524">
        <v>45678</v>
      </c>
      <c r="F5" s="525" t="s">
        <v>290</v>
      </c>
      <c r="G5" s="524">
        <v>45678</v>
      </c>
      <c r="K5" s="525" t="s">
        <v>290</v>
      </c>
      <c r="L5" s="524">
        <v>45678</v>
      </c>
    </row>
    <row r="6" spans="1:16" s="522" customFormat="1" ht="12" hidden="1" x14ac:dyDescent="0.3">
      <c r="A6" s="521"/>
      <c r="B6" s="522" t="s">
        <v>404</v>
      </c>
      <c r="C6" s="522" t="s">
        <v>404</v>
      </c>
      <c r="F6" s="525" t="s">
        <v>160</v>
      </c>
      <c r="G6" s="526" t="str">
        <f>C31</f>
        <v>49 Transport lądowy oraz transport rurociągowy</v>
      </c>
      <c r="K6" s="525" t="s">
        <v>160</v>
      </c>
      <c r="L6" s="526" t="str">
        <f>C31</f>
        <v>49 Transport lądowy oraz transport rurociągowy</v>
      </c>
    </row>
    <row r="7" spans="1:16" s="522" customFormat="1" ht="12" hidden="1" x14ac:dyDescent="0.3">
      <c r="A7" s="521"/>
      <c r="B7" s="523" t="s">
        <v>221</v>
      </c>
      <c r="C7" s="527" t="str">
        <f>C32</f>
        <v>Cały rok</v>
      </c>
      <c r="F7" s="525" t="s">
        <v>221</v>
      </c>
      <c r="G7" s="526" t="str">
        <f>C32</f>
        <v>Cały rok</v>
      </c>
      <c r="K7" s="525" t="s">
        <v>221</v>
      </c>
      <c r="L7" s="526" t="str">
        <f>C32</f>
        <v>Cały rok</v>
      </c>
    </row>
    <row r="8" spans="1:16" s="522" customFormat="1" ht="12" hidden="1" x14ac:dyDescent="0.3">
      <c r="A8" s="521"/>
      <c r="B8" s="523" t="str">
        <f>IF(C7="nie cały rok","Data rozpoczęcia działalności w ubiegłym roku
 (rrrr-mm-dd)","")</f>
        <v/>
      </c>
      <c r="C8" s="527">
        <f>C33</f>
        <v>0</v>
      </c>
      <c r="F8" s="525" t="str">
        <f>IF(G7="nie cały rok","Data rozpoczęcia działalności w ubiegłym roku
 (rrrr-mm-dd)","")</f>
        <v/>
      </c>
      <c r="G8" s="526">
        <f>C33</f>
        <v>0</v>
      </c>
      <c r="K8" s="525" t="str">
        <f>IF(L7="nie cały rok","Data rozpoczęcia działalności w ubiegłym roku
 (rrrr-mm-dd)","")</f>
        <v/>
      </c>
      <c r="L8" s="526">
        <f>C33</f>
        <v>0</v>
      </c>
    </row>
    <row r="9" spans="1:16" s="522" customFormat="1" ht="12" hidden="1" x14ac:dyDescent="0.3">
      <c r="A9" s="521"/>
      <c r="B9" s="523" t="s">
        <v>167</v>
      </c>
      <c r="C9" s="528" t="s">
        <v>157</v>
      </c>
      <c r="F9" s="525" t="s">
        <v>167</v>
      </c>
      <c r="G9" s="529" t="s">
        <v>157</v>
      </c>
      <c r="K9" s="525" t="s">
        <v>167</v>
      </c>
      <c r="L9" s="529" t="s">
        <v>157</v>
      </c>
    </row>
    <row r="10" spans="1:16" s="522" customFormat="1" ht="12" hidden="1" x14ac:dyDescent="0.3">
      <c r="A10" s="521"/>
      <c r="B10" s="530"/>
      <c r="C10" s="530"/>
      <c r="F10" s="530"/>
      <c r="G10" s="530"/>
      <c r="K10" s="530"/>
      <c r="L10" s="530"/>
    </row>
    <row r="11" spans="1:16" s="522" customFormat="1" ht="12" hidden="1" x14ac:dyDescent="0.3">
      <c r="A11" s="521"/>
      <c r="B11" s="523" t="s">
        <v>216</v>
      </c>
      <c r="C11" s="531"/>
      <c r="F11" s="523" t="s">
        <v>216</v>
      </c>
      <c r="G11" s="520"/>
      <c r="K11" s="523" t="s">
        <v>216</v>
      </c>
      <c r="L11" s="520"/>
    </row>
    <row r="12" spans="1:16" s="522" customFormat="1" ht="12" hidden="1" x14ac:dyDescent="0.3">
      <c r="A12" s="521"/>
      <c r="B12" s="523" t="s">
        <v>223</v>
      </c>
      <c r="C12" s="531"/>
      <c r="F12" s="523" t="s">
        <v>223</v>
      </c>
      <c r="G12" s="520"/>
      <c r="K12" s="523" t="s">
        <v>223</v>
      </c>
      <c r="L12" s="520"/>
    </row>
    <row r="13" spans="1:16" s="522" customFormat="1" ht="12" hidden="1" x14ac:dyDescent="0.3">
      <c r="A13" s="521"/>
      <c r="B13" s="532" t="s">
        <v>243</v>
      </c>
      <c r="C13" s="531"/>
      <c r="F13" s="522" t="s">
        <v>404</v>
      </c>
      <c r="G13" s="522" t="s">
        <v>404</v>
      </c>
      <c r="K13" s="522" t="s">
        <v>404</v>
      </c>
      <c r="L13" s="522" t="s">
        <v>404</v>
      </c>
    </row>
    <row r="14" spans="1:16" s="522" customFormat="1" ht="16.5" hidden="1" customHeight="1" x14ac:dyDescent="0.3">
      <c r="A14" s="521"/>
      <c r="B14" s="532" t="s">
        <v>217</v>
      </c>
      <c r="C14" s="531"/>
      <c r="D14" s="533" t="s">
        <v>131</v>
      </c>
      <c r="F14" s="532" t="s">
        <v>217</v>
      </c>
      <c r="G14" s="522" t="s">
        <v>404</v>
      </c>
      <c r="K14" s="532" t="s">
        <v>217</v>
      </c>
      <c r="L14" s="522" t="s">
        <v>404</v>
      </c>
    </row>
    <row r="15" spans="1:16" s="522" customFormat="1" ht="12" hidden="1" x14ac:dyDescent="0.3">
      <c r="A15" s="521"/>
      <c r="B15" s="534"/>
      <c r="C15" s="534"/>
      <c r="F15" s="530"/>
      <c r="G15" s="530"/>
      <c r="K15" s="530"/>
      <c r="L15" s="530"/>
    </row>
    <row r="16" spans="1:16" s="522" customFormat="1" ht="12" hidden="1" x14ac:dyDescent="0.3">
      <c r="A16" s="521"/>
      <c r="B16" s="523" t="s">
        <v>218</v>
      </c>
      <c r="C16" s="520">
        <f>$C$41</f>
        <v>100000</v>
      </c>
      <c r="F16" s="523" t="s">
        <v>218</v>
      </c>
      <c r="G16" s="520">
        <f>$C$41</f>
        <v>100000</v>
      </c>
      <c r="K16" s="523" t="s">
        <v>218</v>
      </c>
      <c r="L16" s="520">
        <f>$C$41</f>
        <v>100000</v>
      </c>
    </row>
    <row r="17" spans="1:13" s="522" customFormat="1" ht="12" hidden="1" x14ac:dyDescent="0.3">
      <c r="A17" s="521"/>
      <c r="B17" s="523" t="s">
        <v>219</v>
      </c>
      <c r="C17" s="520">
        <f>$C$42</f>
        <v>20000</v>
      </c>
      <c r="F17" s="523" t="s">
        <v>219</v>
      </c>
      <c r="G17" s="520">
        <f>$C$42</f>
        <v>20000</v>
      </c>
      <c r="K17" s="523" t="s">
        <v>219</v>
      </c>
      <c r="L17" s="520">
        <f>$C$42</f>
        <v>20000</v>
      </c>
    </row>
    <row r="18" spans="1:13" s="522" customFormat="1" ht="12" hidden="1" x14ac:dyDescent="0.3">
      <c r="A18" s="521"/>
      <c r="B18" s="532" t="s">
        <v>244</v>
      </c>
      <c r="C18" s="520">
        <f>$C$43</f>
        <v>0</v>
      </c>
      <c r="F18" s="522" t="s">
        <v>404</v>
      </c>
      <c r="G18" s="522" t="s">
        <v>404</v>
      </c>
      <c r="K18" s="522" t="s">
        <v>404</v>
      </c>
      <c r="L18" s="522" t="s">
        <v>404</v>
      </c>
    </row>
    <row r="19" spans="1:13" s="522" customFormat="1" ht="12" hidden="1" x14ac:dyDescent="0.3">
      <c r="A19" s="521"/>
      <c r="B19" s="532" t="s">
        <v>220</v>
      </c>
      <c r="C19" s="531">
        <v>0</v>
      </c>
      <c r="D19" s="533" t="s">
        <v>131</v>
      </c>
      <c r="F19" s="532" t="s">
        <v>220</v>
      </c>
      <c r="G19" s="531">
        <v>0</v>
      </c>
      <c r="K19" s="532" t="s">
        <v>220</v>
      </c>
      <c r="L19" s="531">
        <v>0</v>
      </c>
      <c r="M19" s="411"/>
    </row>
    <row r="20" spans="1:13" s="522" customFormat="1" ht="12" hidden="1" x14ac:dyDescent="0.3">
      <c r="A20" s="521"/>
      <c r="B20" s="535" t="s">
        <v>75</v>
      </c>
      <c r="C20" s="536">
        <f>dochod_2022!I37</f>
        <v>4066.3593000000001</v>
      </c>
      <c r="F20" s="537" t="s">
        <v>75</v>
      </c>
      <c r="G20" s="536">
        <f>dochod_2022!U26</f>
        <v>2000</v>
      </c>
      <c r="K20" s="537" t="s">
        <v>75</v>
      </c>
      <c r="L20" s="536">
        <f>dochod_2022!AY26</f>
        <v>2000</v>
      </c>
    </row>
    <row r="21" spans="1:13" s="522" customFormat="1" ht="15" hidden="1" customHeight="1" x14ac:dyDescent="0.3">
      <c r="A21" s="521"/>
      <c r="B21" s="535" t="s">
        <v>76</v>
      </c>
      <c r="C21" s="536">
        <f>dochod_2022!I38</f>
        <v>8333.3333333333339</v>
      </c>
      <c r="F21" s="537" t="s">
        <v>76</v>
      </c>
      <c r="G21" s="536">
        <f>dochod_2022!V25</f>
        <v>8333.3333333333339</v>
      </c>
      <c r="K21" s="537" t="s">
        <v>76</v>
      </c>
      <c r="L21" s="536">
        <f>dochod_2022!AZ25</f>
        <v>8333.3333333333339</v>
      </c>
    </row>
    <row r="22" spans="1:13" ht="15" hidden="1" customHeight="1" x14ac:dyDescent="0.35">
      <c r="A22" s="407"/>
    </row>
    <row r="23" spans="1:13" ht="16.5" hidden="1" customHeight="1" x14ac:dyDescent="0.35">
      <c r="A23" s="407"/>
    </row>
    <row r="24" spans="1:13" s="407" customFormat="1" ht="15" hidden="1" customHeight="1" x14ac:dyDescent="0.35"/>
    <row r="25" spans="1:13" ht="15" customHeight="1" x14ac:dyDescent="0.35">
      <c r="B25" s="593" t="s">
        <v>73</v>
      </c>
      <c r="C25" s="603"/>
    </row>
    <row r="26" spans="1:13" ht="15" customHeight="1" x14ac:dyDescent="0.35">
      <c r="B26" s="183" t="s">
        <v>290</v>
      </c>
      <c r="C26" s="184">
        <f ca="1">TODAY()</f>
        <v>46083</v>
      </c>
    </row>
    <row r="27" spans="1:13" ht="15" customHeight="1" x14ac:dyDescent="0.35"/>
    <row r="28" spans="1:13" ht="15" customHeight="1" thickBot="1" x14ac:dyDescent="0.4"/>
    <row r="29" spans="1:13" ht="21.5" thickBot="1" x14ac:dyDescent="0.4">
      <c r="B29" s="412" t="s">
        <v>505</v>
      </c>
      <c r="C29" s="413" t="s">
        <v>401</v>
      </c>
      <c r="F29" s="64"/>
      <c r="G29" s="414"/>
    </row>
    <row r="30" spans="1:13" ht="15.75" customHeight="1" x14ac:dyDescent="0.35"/>
    <row r="31" spans="1:13" ht="14.5" x14ac:dyDescent="0.35">
      <c r="B31" s="191" t="str">
        <f>IF(C29=C3,"","PKD (wybierz z listy):")</f>
        <v/>
      </c>
      <c r="C31" s="415" t="s">
        <v>447</v>
      </c>
      <c r="F31" s="416"/>
    </row>
    <row r="32" spans="1:13" ht="15" customHeight="1" x14ac:dyDescent="0.35">
      <c r="B32" s="500" t="s">
        <v>535</v>
      </c>
      <c r="C32" s="185" t="s">
        <v>386</v>
      </c>
      <c r="F32" s="490"/>
    </row>
    <row r="33" spans="1:8" ht="15" customHeight="1" x14ac:dyDescent="0.35">
      <c r="B33" s="375" t="str">
        <f>IF(C32="nie cały rok","Data rozpoczęcia działalności w 2025 roku
 (rrrr-mm-dd)","")</f>
        <v/>
      </c>
      <c r="C33" s="480"/>
      <c r="F33" s="38"/>
    </row>
    <row r="34" spans="1:8" ht="15" customHeight="1" x14ac:dyDescent="0.35">
      <c r="B34" s="183" t="s">
        <v>405</v>
      </c>
      <c r="C34" s="417" t="s">
        <v>157</v>
      </c>
      <c r="F34" s="490"/>
    </row>
    <row r="35" spans="1:8" ht="15" customHeight="1" x14ac:dyDescent="0.35">
      <c r="B35" s="405"/>
      <c r="C35" s="405"/>
    </row>
    <row r="36" spans="1:8" s="420" customFormat="1" ht="15" hidden="1" customHeight="1" x14ac:dyDescent="0.35">
      <c r="A36" s="521"/>
      <c r="B36" s="418" t="s">
        <v>216</v>
      </c>
      <c r="C36" s="419">
        <v>200000</v>
      </c>
      <c r="F36" s="420" t="s">
        <v>406</v>
      </c>
    </row>
    <row r="37" spans="1:8" s="420" customFormat="1" ht="15" hidden="1" customHeight="1" x14ac:dyDescent="0.35">
      <c r="A37" s="521"/>
      <c r="B37" s="418" t="s">
        <v>223</v>
      </c>
      <c r="C37" s="419">
        <v>130725.75999999999</v>
      </c>
      <c r="F37" s="420" t="s">
        <v>406</v>
      </c>
    </row>
    <row r="38" spans="1:8" s="420" customFormat="1" ht="15" hidden="1" customHeight="1" x14ac:dyDescent="0.35">
      <c r="A38" s="407"/>
      <c r="B38" s="421" t="s">
        <v>243</v>
      </c>
      <c r="C38" s="419">
        <v>0</v>
      </c>
      <c r="F38" s="420" t="s">
        <v>406</v>
      </c>
    </row>
    <row r="39" spans="1:8" s="420" customFormat="1" ht="15" hidden="1" customHeight="1" x14ac:dyDescent="0.35">
      <c r="A39" s="521"/>
      <c r="B39" s="421" t="s">
        <v>217</v>
      </c>
      <c r="C39" s="419">
        <v>0</v>
      </c>
      <c r="F39" s="420" t="s">
        <v>406</v>
      </c>
    </row>
    <row r="40" spans="1:8" ht="9" customHeight="1" x14ac:dyDescent="0.35">
      <c r="B40" s="403"/>
      <c r="C40" s="403"/>
      <c r="D40" s="606"/>
      <c r="E40" s="607"/>
      <c r="F40" s="607"/>
      <c r="G40" s="608"/>
    </row>
    <row r="41" spans="1:8" ht="15" customHeight="1" x14ac:dyDescent="0.35">
      <c r="B41" s="183" t="s">
        <v>506</v>
      </c>
      <c r="C41" s="187">
        <v>100000</v>
      </c>
    </row>
    <row r="42" spans="1:8" ht="41.5" customHeight="1" x14ac:dyDescent="0.35">
      <c r="B42" s="491" t="str">
        <f>IF(C29=C3,"Koszty za 2025 rok","Koszty za 2025 rok
(bez składki na ubezpieczenie społecznie)")</f>
        <v>Koszty za 2025 rok</v>
      </c>
      <c r="C42" s="484">
        <v>20000</v>
      </c>
      <c r="F42" s="604" t="str">
        <f>IF(C29=C3,"Składka na ubezpieczenie społeczne jest uwzględniona w kosztach lub opłacana z innego źródła","")</f>
        <v>Składka na ubezpieczenie społeczne jest uwzględniona w kosztach lub opłacana z innego źródła</v>
      </c>
      <c r="G42" s="600" t="s">
        <v>4</v>
      </c>
    </row>
    <row r="43" spans="1:8" ht="15" customHeight="1" x14ac:dyDescent="0.35">
      <c r="B43" s="422" t="str">
        <f>IF(C29=C3,"Amortyzacja (2025 rok)","")</f>
        <v>Amortyzacja (2025 rok)</v>
      </c>
      <c r="C43" s="187">
        <v>0</v>
      </c>
      <c r="F43" s="605"/>
      <c r="G43" s="601"/>
    </row>
    <row r="44" spans="1:8" s="420" customFormat="1" ht="15" hidden="1" customHeight="1" x14ac:dyDescent="0.35">
      <c r="A44" s="521"/>
      <c r="B44" s="423"/>
      <c r="C44" s="419"/>
      <c r="F44" s="420" t="s">
        <v>406</v>
      </c>
      <c r="H44"/>
    </row>
    <row r="45" spans="1:8" ht="15" customHeight="1" x14ac:dyDescent="0.35">
      <c r="B45" s="189" t="s">
        <v>75</v>
      </c>
      <c r="C45" s="190">
        <f>IF(C29=C3,C20,IF(C29=G3,G20,IF(C29=L3,L20,"")))</f>
        <v>4066.3593000000001</v>
      </c>
      <c r="F45" s="424"/>
    </row>
    <row r="46" spans="1:8" ht="15" customHeight="1" x14ac:dyDescent="0.35">
      <c r="B46" s="189" t="s">
        <v>76</v>
      </c>
      <c r="C46" s="190">
        <f>IF(C29=C3,C21,IF(C29=G3,G21,IF(C29=L3,L21,"")))</f>
        <v>8333.3333333333339</v>
      </c>
    </row>
    <row r="47" spans="1:8" ht="15" customHeight="1" thickBot="1" x14ac:dyDescent="0.4"/>
    <row r="48" spans="1:8" s="407" customFormat="1" ht="15" hidden="1" customHeight="1" x14ac:dyDescent="0.35"/>
    <row r="49" spans="1:16" s="425" customFormat="1" ht="22.5" hidden="1" customHeight="1" x14ac:dyDescent="0.35">
      <c r="B49" s="426" t="s">
        <v>534</v>
      </c>
    </row>
    <row r="50" spans="1:16" s="31" customFormat="1" ht="15" hidden="1" customHeight="1" thickBot="1" x14ac:dyDescent="0.4">
      <c r="A50" s="425"/>
    </row>
    <row r="51" spans="1:16" s="31" customFormat="1" ht="19" hidden="1" thickBot="1" x14ac:dyDescent="0.4">
      <c r="A51" s="425"/>
      <c r="B51" s="408"/>
      <c r="C51" s="409" t="s">
        <v>401</v>
      </c>
      <c r="G51" s="409" t="s">
        <v>402</v>
      </c>
      <c r="L51" s="409" t="s">
        <v>403</v>
      </c>
      <c r="P51" s="410"/>
    </row>
    <row r="52" spans="1:16" s="31" customFormat="1" ht="20.25" hidden="1" customHeight="1" x14ac:dyDescent="0.35">
      <c r="A52" s="425"/>
      <c r="B52" s="609" t="s">
        <v>73</v>
      </c>
      <c r="C52" s="610"/>
      <c r="F52" s="609"/>
      <c r="G52" s="611"/>
      <c r="K52" s="609"/>
      <c r="L52" s="611"/>
    </row>
    <row r="53" spans="1:16" s="522" customFormat="1" ht="12" hidden="1" x14ac:dyDescent="0.3">
      <c r="A53" s="521"/>
      <c r="B53" s="523" t="s">
        <v>290</v>
      </c>
      <c r="C53" s="524">
        <f ca="1">$C$26</f>
        <v>46083</v>
      </c>
      <c r="F53" s="525" t="s">
        <v>290</v>
      </c>
      <c r="G53" s="524">
        <f ca="1">$C$26</f>
        <v>46083</v>
      </c>
      <c r="K53" s="525" t="s">
        <v>290</v>
      </c>
      <c r="L53" s="524">
        <f ca="1">$C$26</f>
        <v>46083</v>
      </c>
    </row>
    <row r="54" spans="1:16" s="522" customFormat="1" ht="12" hidden="1" x14ac:dyDescent="0.3">
      <c r="A54" s="521"/>
      <c r="B54" s="522" t="s">
        <v>404</v>
      </c>
      <c r="C54" s="522" t="s">
        <v>404</v>
      </c>
      <c r="F54" s="525" t="s">
        <v>160</v>
      </c>
      <c r="G54" s="526" t="str">
        <f>C73</f>
        <v>96 Pozostała indywidualna działalność usługowa</v>
      </c>
      <c r="K54" s="525" t="s">
        <v>160</v>
      </c>
      <c r="L54" s="526" t="str">
        <f>C73</f>
        <v>96 Pozostała indywidualna działalność usługowa</v>
      </c>
    </row>
    <row r="55" spans="1:16" s="522" customFormat="1" ht="12" hidden="1" x14ac:dyDescent="0.3">
      <c r="A55" s="521"/>
      <c r="B55" s="523" t="s">
        <v>221</v>
      </c>
      <c r="C55" s="527" t="str">
        <f>$C$74</f>
        <v>Nie cały rok</v>
      </c>
      <c r="F55" s="525" t="s">
        <v>221</v>
      </c>
      <c r="G55" s="527" t="str">
        <f>$C$74</f>
        <v>Nie cały rok</v>
      </c>
      <c r="K55" s="525" t="s">
        <v>221</v>
      </c>
      <c r="L55" s="527" t="str">
        <f>$C$74</f>
        <v>Nie cały rok</v>
      </c>
    </row>
    <row r="56" spans="1:16" s="522" customFormat="1" ht="12" hidden="1" x14ac:dyDescent="0.3">
      <c r="A56" s="521"/>
      <c r="B56" s="523" t="str">
        <f>IF(C55="nie cały rok","Data rozpoczęcia działalności w ubiegłym roku
 (rrrr-mm-dd)","")</f>
        <v>Data rozpoczęcia działalności w ubiegłym roku
 (rrrr-mm-dd)</v>
      </c>
      <c r="C56" s="527">
        <f>$C$75</f>
        <v>46022</v>
      </c>
      <c r="F56" s="525" t="str">
        <f>IF(G55="nie cały rok","Data rozpoczęcia działalności w ubiegłym roku
 (rrrr-mm-dd)","")</f>
        <v>Data rozpoczęcia działalności w ubiegłym roku
 (rrrr-mm-dd)</v>
      </c>
      <c r="G56" s="527">
        <f>$C$75</f>
        <v>46022</v>
      </c>
      <c r="K56" s="525" t="str">
        <f>IF(L55="nie cały rok","Data rozpoczęcia działalności w ubiegłym roku
 (rrrr-mm-dd)","")</f>
        <v>Data rozpoczęcia działalności w ubiegłym roku
 (rrrr-mm-dd)</v>
      </c>
      <c r="L56" s="527">
        <f>$C$75</f>
        <v>46022</v>
      </c>
    </row>
    <row r="57" spans="1:16" s="522" customFormat="1" ht="12" hidden="1" x14ac:dyDescent="0.3">
      <c r="A57" s="521"/>
      <c r="B57" s="523" t="s">
        <v>167</v>
      </c>
      <c r="C57" s="528" t="str">
        <f>$C$76</f>
        <v>luty</v>
      </c>
      <c r="F57" s="525" t="s">
        <v>167</v>
      </c>
      <c r="G57" s="528" t="str">
        <f>$C$76</f>
        <v>luty</v>
      </c>
      <c r="K57" s="525" t="s">
        <v>167</v>
      </c>
      <c r="L57" s="528" t="str">
        <f>$C$76</f>
        <v>luty</v>
      </c>
    </row>
    <row r="58" spans="1:16" s="522" customFormat="1" ht="12" hidden="1" x14ac:dyDescent="0.3">
      <c r="A58" s="521"/>
      <c r="B58" s="530"/>
      <c r="C58" s="530"/>
      <c r="F58" s="530"/>
      <c r="G58" s="530"/>
      <c r="K58" s="530"/>
      <c r="L58" s="530"/>
    </row>
    <row r="59" spans="1:16" s="522" customFormat="1" ht="12" hidden="1" x14ac:dyDescent="0.3">
      <c r="A59" s="521"/>
      <c r="B59" s="523" t="s">
        <v>216</v>
      </c>
      <c r="C59" s="520">
        <f>$C78</f>
        <v>60000</v>
      </c>
      <c r="F59" s="523" t="s">
        <v>216</v>
      </c>
      <c r="G59" s="520">
        <f>$C78</f>
        <v>60000</v>
      </c>
      <c r="K59" s="523" t="s">
        <v>216</v>
      </c>
      <c r="L59" s="520">
        <f>$C78</f>
        <v>60000</v>
      </c>
    </row>
    <row r="60" spans="1:16" s="522" customFormat="1" ht="12" hidden="1" x14ac:dyDescent="0.3">
      <c r="A60" s="521"/>
      <c r="B60" s="523" t="s">
        <v>223</v>
      </c>
      <c r="C60" s="520">
        <f t="shared" ref="C60:C61" si="0">$C79</f>
        <v>30000</v>
      </c>
      <c r="F60" s="523" t="s">
        <v>223</v>
      </c>
      <c r="G60" s="520">
        <f t="shared" ref="G60:G62" si="1">$C79</f>
        <v>30000</v>
      </c>
      <c r="K60" s="523" t="s">
        <v>223</v>
      </c>
      <c r="L60" s="520">
        <f t="shared" ref="L60:L62" si="2">$C79</f>
        <v>30000</v>
      </c>
    </row>
    <row r="61" spans="1:16" s="522" customFormat="1" ht="12" hidden="1" x14ac:dyDescent="0.3">
      <c r="A61" s="521"/>
      <c r="B61" s="532" t="s">
        <v>243</v>
      </c>
      <c r="C61" s="520">
        <f t="shared" si="0"/>
        <v>0</v>
      </c>
      <c r="F61" s="522" t="s">
        <v>404</v>
      </c>
      <c r="G61" s="520">
        <f t="shared" si="1"/>
        <v>0</v>
      </c>
      <c r="K61" s="522" t="s">
        <v>404</v>
      </c>
      <c r="L61" s="520">
        <f t="shared" si="2"/>
        <v>0</v>
      </c>
    </row>
    <row r="62" spans="1:16" s="522" customFormat="1" ht="16.5" hidden="1" customHeight="1" x14ac:dyDescent="0.3">
      <c r="A62" s="521"/>
      <c r="B62" s="532" t="s">
        <v>217</v>
      </c>
      <c r="C62" s="531"/>
      <c r="F62" s="532" t="s">
        <v>217</v>
      </c>
      <c r="G62" s="520">
        <f t="shared" si="1"/>
        <v>0</v>
      </c>
      <c r="K62" s="532" t="s">
        <v>217</v>
      </c>
      <c r="L62" s="520">
        <f t="shared" si="2"/>
        <v>0</v>
      </c>
    </row>
    <row r="63" spans="1:16" s="522" customFormat="1" ht="12" hidden="1" x14ac:dyDescent="0.3">
      <c r="A63" s="521"/>
      <c r="B63" s="534"/>
      <c r="C63" s="534"/>
      <c r="F63" s="530"/>
      <c r="G63" s="530"/>
      <c r="K63" s="530"/>
      <c r="L63" s="530"/>
    </row>
    <row r="64" spans="1:16" s="522" customFormat="1" ht="12" hidden="1" x14ac:dyDescent="0.3">
      <c r="A64" s="521"/>
      <c r="B64" s="523" t="s">
        <v>218</v>
      </c>
      <c r="C64" s="520"/>
      <c r="F64" s="523" t="s">
        <v>218</v>
      </c>
      <c r="G64" s="520"/>
      <c r="K64" s="523" t="s">
        <v>218</v>
      </c>
      <c r="L64" s="520"/>
    </row>
    <row r="65" spans="1:13" s="522" customFormat="1" ht="12" hidden="1" x14ac:dyDescent="0.3">
      <c r="A65" s="521"/>
      <c r="B65" s="523" t="s">
        <v>219</v>
      </c>
      <c r="C65" s="520"/>
      <c r="F65" s="523" t="s">
        <v>219</v>
      </c>
      <c r="G65" s="520"/>
      <c r="K65" s="523" t="s">
        <v>219</v>
      </c>
      <c r="L65" s="520"/>
    </row>
    <row r="66" spans="1:13" s="522" customFormat="1" ht="12" hidden="1" x14ac:dyDescent="0.3">
      <c r="A66" s="521"/>
      <c r="B66" s="532" t="s">
        <v>244</v>
      </c>
      <c r="C66" s="520"/>
      <c r="F66" s="522" t="s">
        <v>404</v>
      </c>
      <c r="G66" s="520"/>
      <c r="K66" s="522" t="s">
        <v>404</v>
      </c>
      <c r="L66" s="520"/>
    </row>
    <row r="67" spans="1:13" s="522" customFormat="1" ht="12" hidden="1" x14ac:dyDescent="0.3">
      <c r="A67" s="521"/>
      <c r="B67" s="532" t="s">
        <v>220</v>
      </c>
      <c r="C67" s="531">
        <v>0</v>
      </c>
      <c r="F67" s="532" t="s">
        <v>220</v>
      </c>
      <c r="G67" s="531">
        <v>0</v>
      </c>
      <c r="K67" s="532" t="s">
        <v>220</v>
      </c>
      <c r="L67" s="531">
        <v>0</v>
      </c>
      <c r="M67" s="411"/>
    </row>
    <row r="68" spans="1:13" s="522" customFormat="1" ht="12" hidden="1" x14ac:dyDescent="0.3">
      <c r="A68" s="521"/>
      <c r="B68" s="535" t="s">
        <v>75</v>
      </c>
      <c r="C68" s="536">
        <f ca="1">dochod_2023!$I$37</f>
        <v>10816.3593</v>
      </c>
      <c r="F68" s="537" t="s">
        <v>75</v>
      </c>
      <c r="G68" s="536">
        <f>dochod_2023!U26</f>
        <v>10500</v>
      </c>
      <c r="K68" s="537" t="s">
        <v>75</v>
      </c>
      <c r="L68" s="536">
        <f>dochod_2023!AY26</f>
        <v>10500</v>
      </c>
    </row>
    <row r="69" spans="1:13" s="522" customFormat="1" ht="15" hidden="1" customHeight="1" x14ac:dyDescent="0.3">
      <c r="A69" s="521"/>
      <c r="B69" s="535" t="s">
        <v>76</v>
      </c>
      <c r="C69" s="536">
        <f ca="1">dochod_2023!$I$38</f>
        <v>30000</v>
      </c>
      <c r="F69" s="537" t="s">
        <v>76</v>
      </c>
      <c r="G69" s="536">
        <f>dochod_2023!V25</f>
        <v>30000</v>
      </c>
      <c r="K69" s="537" t="s">
        <v>76</v>
      </c>
      <c r="L69" s="536">
        <f>dochod_2023!AZ25</f>
        <v>30000</v>
      </c>
    </row>
    <row r="70" spans="1:13" s="31" customFormat="1" ht="15" hidden="1" customHeight="1" x14ac:dyDescent="0.35">
      <c r="A70" s="425"/>
    </row>
    <row r="71" spans="1:13" s="425" customFormat="1" ht="15" hidden="1" customHeight="1" thickBot="1" x14ac:dyDescent="0.4"/>
    <row r="72" spans="1:13" ht="21.5" thickBot="1" x14ac:dyDescent="0.5">
      <c r="B72" s="412" t="s">
        <v>534</v>
      </c>
      <c r="C72" s="479" t="s">
        <v>402</v>
      </c>
      <c r="F72" s="64"/>
      <c r="G72" s="414"/>
    </row>
    <row r="73" spans="1:13" ht="14.5" x14ac:dyDescent="0.35">
      <c r="B73" s="191" t="str">
        <f>IF(C72=C51,"","PKD (wybierz z listy):")</f>
        <v>PKD (wybierz z listy):</v>
      </c>
      <c r="C73" s="415" t="s">
        <v>428</v>
      </c>
    </row>
    <row r="74" spans="1:13" ht="15" hidden="1" customHeight="1" x14ac:dyDescent="0.35">
      <c r="A74" s="407"/>
      <c r="B74" s="427" t="s">
        <v>537</v>
      </c>
      <c r="C74" s="428" t="s">
        <v>397</v>
      </c>
    </row>
    <row r="75" spans="1:13" ht="15" hidden="1" customHeight="1" x14ac:dyDescent="0.35">
      <c r="A75" s="407"/>
      <c r="B75" s="427" t="str">
        <f>IF(C74="nie cały rok","Data rozpoczęcia działalności w 2026 roku
 (rrrr-mm-dd)","")</f>
        <v>Data rozpoczęcia działalności w 2026 roku
 (rrrr-mm-dd)</v>
      </c>
      <c r="C75" s="429">
        <v>46022</v>
      </c>
      <c r="G75" s="49"/>
    </row>
    <row r="76" spans="1:13" ht="15" customHeight="1" x14ac:dyDescent="0.35">
      <c r="B76" s="183" t="s">
        <v>405</v>
      </c>
      <c r="C76" s="186" t="s">
        <v>165</v>
      </c>
      <c r="F76" s="49"/>
    </row>
    <row r="77" spans="1:13" ht="8.25" customHeight="1" x14ac:dyDescent="0.35">
      <c r="B77" s="405"/>
      <c r="C77" s="405"/>
      <c r="D77" s="606"/>
      <c r="E77" s="607"/>
      <c r="F77" s="607"/>
      <c r="G77" s="608"/>
    </row>
    <row r="78" spans="1:13" ht="15" customHeight="1" x14ac:dyDescent="0.35">
      <c r="B78" s="183" t="s">
        <v>536</v>
      </c>
      <c r="C78" s="187">
        <v>60000</v>
      </c>
    </row>
    <row r="79" spans="1:13" ht="28" customHeight="1" x14ac:dyDescent="0.35">
      <c r="B79" s="491" t="str">
        <f>IF(C72=C51,"Koszty za 2026 rok","Koszty za 2026 rok
(bez składki na ubezpieczenie społecznie)")</f>
        <v>Koszty za 2026 rok
(bez składki na ubezpieczenie społecznie)</v>
      </c>
      <c r="C79" s="484">
        <v>30000</v>
      </c>
      <c r="F79" s="604" t="str">
        <f>IF(C72=C3,"Składka na ubezpieczenie społeczne jest uwzględniona w kosztach lub opłacana z innego źródła","")</f>
        <v/>
      </c>
      <c r="G79" s="600" t="s">
        <v>4</v>
      </c>
    </row>
    <row r="80" spans="1:13" ht="14.25" customHeight="1" x14ac:dyDescent="0.35">
      <c r="B80" s="422" t="str">
        <f>IF(C72=C51,"Amortyzacja (2026 rok)","")</f>
        <v/>
      </c>
      <c r="C80" s="187">
        <v>0</v>
      </c>
      <c r="F80" s="605"/>
      <c r="G80" s="601"/>
    </row>
    <row r="81" spans="1:6" ht="15" hidden="1" customHeight="1" x14ac:dyDescent="0.35">
      <c r="A81" s="407"/>
      <c r="B81" s="423" t="s">
        <v>217</v>
      </c>
      <c r="C81" s="187">
        <v>0</v>
      </c>
      <c r="F81" t="s">
        <v>406</v>
      </c>
    </row>
    <row r="82" spans="1:6" ht="8.25" hidden="1" customHeight="1" x14ac:dyDescent="0.35">
      <c r="A82" s="407"/>
      <c r="B82" s="430"/>
      <c r="C82" s="403"/>
    </row>
    <row r="83" spans="1:6" ht="15" hidden="1" customHeight="1" x14ac:dyDescent="0.35">
      <c r="A83" s="407"/>
      <c r="B83" s="427" t="s">
        <v>407</v>
      </c>
      <c r="C83" s="187"/>
      <c r="F83" t="s">
        <v>406</v>
      </c>
    </row>
    <row r="84" spans="1:6" ht="15" hidden="1" customHeight="1" x14ac:dyDescent="0.35">
      <c r="A84" s="407"/>
      <c r="B84" s="427" t="s">
        <v>408</v>
      </c>
      <c r="C84" s="187"/>
      <c r="F84" t="s">
        <v>406</v>
      </c>
    </row>
    <row r="85" spans="1:6" ht="15" hidden="1" customHeight="1" x14ac:dyDescent="0.35">
      <c r="A85" s="407"/>
      <c r="B85" s="431" t="str">
        <f>IF(C72=C51,"Amortyzacja (2021 rok)","")</f>
        <v/>
      </c>
      <c r="C85" s="187"/>
      <c r="F85" t="s">
        <v>406</v>
      </c>
    </row>
    <row r="86" spans="1:6" ht="15" hidden="1" customHeight="1" x14ac:dyDescent="0.35">
      <c r="A86" s="407"/>
      <c r="B86" s="423"/>
      <c r="C86" s="187"/>
      <c r="F86" t="s">
        <v>406</v>
      </c>
    </row>
    <row r="87" spans="1:6" ht="15" customHeight="1" x14ac:dyDescent="0.35">
      <c r="B87" s="189" t="s">
        <v>75</v>
      </c>
      <c r="C87" s="190">
        <f>IF(C72=C51,C68,IF(C72=G51,G68,IF(C72=L51,L68,"")))</f>
        <v>10500</v>
      </c>
      <c r="F87" s="424"/>
    </row>
    <row r="88" spans="1:6" ht="15" customHeight="1" x14ac:dyDescent="0.35">
      <c r="B88" s="189" t="s">
        <v>76</v>
      </c>
      <c r="C88" s="190">
        <f>IF(C72=C51,C69,IF(C72=G51,G69,IF(C72=L51,L69,"")))</f>
        <v>30000</v>
      </c>
    </row>
    <row r="89" spans="1:6" ht="7.5" customHeight="1" x14ac:dyDescent="0.35"/>
    <row r="90" spans="1:6" ht="24.75" customHeight="1" x14ac:dyDescent="0.35">
      <c r="B90" s="432" t="s">
        <v>409</v>
      </c>
    </row>
    <row r="91" spans="1:6" ht="21" customHeight="1" x14ac:dyDescent="0.35">
      <c r="B91" s="433" t="s">
        <v>75</v>
      </c>
      <c r="C91" s="434">
        <f>(C87+C45)/2</f>
        <v>7283.17965</v>
      </c>
    </row>
    <row r="92" spans="1:6" ht="21" customHeight="1" x14ac:dyDescent="0.35">
      <c r="B92" s="433" t="s">
        <v>76</v>
      </c>
      <c r="C92" s="434">
        <f>(C88+C46)/2</f>
        <v>19166.666666666668</v>
      </c>
    </row>
    <row r="93" spans="1:6" ht="15" customHeight="1" x14ac:dyDescent="0.35"/>
    <row r="94" spans="1:6" ht="15" customHeight="1" x14ac:dyDescent="0.35"/>
    <row r="95" spans="1:6" ht="15" customHeight="1" x14ac:dyDescent="0.35"/>
    <row r="96" spans="1:6" ht="15" customHeight="1" x14ac:dyDescent="0.35"/>
  </sheetData>
  <sheetProtection algorithmName="SHA-512" hashValue="HJhY3qG2UfmbLSHwaW3n/Z6adiPJ4s2JrpPJlpPiHmgTCaf9/KusUHlA10TRu3dpLWcqOmCAFxpdc50x1tjfRw==" saltValue="0J9+NzmZJCJMqtZ+mw/DXQ==" spinCount="100000" sheet="1" objects="1" scenarios="1"/>
  <mergeCells count="14">
    <mergeCell ref="K52:L52"/>
    <mergeCell ref="B1:C1"/>
    <mergeCell ref="B4:C4"/>
    <mergeCell ref="F4:G4"/>
    <mergeCell ref="K4:L4"/>
    <mergeCell ref="B25:C25"/>
    <mergeCell ref="G42:G43"/>
    <mergeCell ref="F42:F43"/>
    <mergeCell ref="F79:F80"/>
    <mergeCell ref="G79:G80"/>
    <mergeCell ref="D40:G40"/>
    <mergeCell ref="D77:G77"/>
    <mergeCell ref="B52:C52"/>
    <mergeCell ref="F52:G52"/>
  </mergeCells>
  <conditionalFormatting sqref="C11:C14">
    <cfRule type="expression" dxfId="8" priority="12">
      <formula>$C$9="dane za ubiegły rok"</formula>
    </cfRule>
  </conditionalFormatting>
  <conditionalFormatting sqref="G11:G12 L11:L12">
    <cfRule type="expression" dxfId="7" priority="13">
      <formula>$C$11="dane za ubiegły rok"</formula>
    </cfRule>
  </conditionalFormatting>
  <conditionalFormatting sqref="C36:C39">
    <cfRule type="expression" dxfId="6" priority="11">
      <formula>$C$9="dane za ubiegły rok"</formula>
    </cfRule>
  </conditionalFormatting>
  <conditionalFormatting sqref="C31">
    <cfRule type="expression" dxfId="5" priority="10">
      <formula>$C$29="Książka Przychodów i Rozchodów"</formula>
    </cfRule>
  </conditionalFormatting>
  <conditionalFormatting sqref="C43">
    <cfRule type="expression" dxfId="4" priority="9">
      <formula>$B$43&lt;&gt;"Amortyzacja (2022 rok)"</formula>
    </cfRule>
  </conditionalFormatting>
  <conditionalFormatting sqref="C80">
    <cfRule type="expression" dxfId="3" priority="7">
      <formula>$B$80&lt;&gt;"Amortyzacja (2023 rok)"</formula>
    </cfRule>
  </conditionalFormatting>
  <conditionalFormatting sqref="C73">
    <cfRule type="expression" dxfId="2" priority="6">
      <formula>$C$72="Książka Przychodów i Rozchodów"</formula>
    </cfRule>
  </conditionalFormatting>
  <conditionalFormatting sqref="F42:G43">
    <cfRule type="expression" dxfId="1" priority="3">
      <formula>$B$43&lt;&gt;"Amortyzacja (2022 rok)"</formula>
    </cfRule>
  </conditionalFormatting>
  <conditionalFormatting sqref="F79:G80">
    <cfRule type="expression" dxfId="0" priority="1">
      <formula>$B$80&lt;&gt;"Amortyzacja (2023 rok)"</formula>
    </cfRule>
  </conditionalFormatting>
  <dataValidations count="6">
    <dataValidation operator="greaterThan" allowBlank="1" showInputMessage="1" showErrorMessage="1" sqref="C34 C55:C56 G55:G56 L55:L56" xr:uid="{00000000-0002-0000-0900-000000000000}"/>
    <dataValidation type="decimal" allowBlank="1" showInputMessage="1" showErrorMessage="1" sqref="C11:C12 L59:L62 C36:C37 C16:C18 G16:G17 L16:L17 C59:C60 C83:C84 C78:C79 C64:C66 G64:G66 L64:L66 G59:G62 C41:C42" xr:uid="{00000000-0002-0000-0900-000001000000}">
      <formula1>0</formula1>
      <formula2>99999999.99</formula2>
    </dataValidation>
    <dataValidation type="decimal" allowBlank="1" showInputMessage="1" showErrorMessage="1" sqref="C38:C39 C13:C14 L11:L12 G19 C19 G11:G12 L19 C43:C44 C80:C81 C61:C62 L67 G67 C67 C85:C86" xr:uid="{00000000-0002-0000-0900-000002000000}">
      <formula1>0</formula1>
      <formula2>9999999.99</formula2>
    </dataValidation>
    <dataValidation type="date" operator="greaterThan" allowBlank="1" showInputMessage="1" showErrorMessage="1" sqref="C5 C7:C8 C75 G53:G54 C26 C33 L53:L54 G5:G8 C53 L5:L8" xr:uid="{00000000-0002-0000-0900-000003000000}">
      <formula1>36526</formula1>
    </dataValidation>
    <dataValidation type="list" allowBlank="1" showInputMessage="1" showErrorMessage="1" sqref="C32" xr:uid="{00000000-0002-0000-0900-000004000000}">
      <formula1>"Cały rok,Nie cały rok"</formula1>
    </dataValidation>
    <dataValidation type="list" allowBlank="1" showInputMessage="1" showErrorMessage="1" sqref="G42 G79" xr:uid="{00000000-0002-0000-0900-000005000000}">
      <formula1>"TAK,NIE"</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7">
        <x14:dataValidation type="list" operator="greaterThan" allowBlank="1" showInputMessage="1" showErrorMessage="1" xr:uid="{00000000-0002-0000-0900-000006000000}">
          <x14:formula1>
            <xm:f>IF($C$53="cały rok",IF(AND(MONTH($C$26)&gt;1,MONTH($C$26)&lt;=4),dochod_2023!$M$3,IF(DAY($C$26)&gt;20,dochod_2023!$K$5,dochod_2023!$K$5:$K$6)),IF(DAY($C$26)&gt;20,dochod_2023!$K$5,dochod_2023!$K$5:$K$6))</xm:f>
          </x14:formula1>
          <xm:sqref>C57 L57 G57 C76</xm:sqref>
        </x14:dataValidation>
        <x14:dataValidation type="list" allowBlank="1" showInputMessage="1" showErrorMessage="1" xr:uid="{00000000-0002-0000-0900-000007000000}">
          <x14:formula1>
            <xm:f>dochod_2023!$CA$4:$CA$5</xm:f>
          </x14:formula1>
          <xm:sqref>C72</xm:sqref>
        </x14:dataValidation>
        <x14:dataValidation type="list" allowBlank="1" showInputMessage="1" showErrorMessage="1" xr:uid="{00000000-0002-0000-0900-000008000000}">
          <x14:formula1>
            <xm:f>dochod_2022!$CA$4:$CA$6</xm:f>
          </x14:formula1>
          <xm:sqref>C29</xm:sqref>
        </x14:dataValidation>
        <x14:dataValidation type="list" allowBlank="1" showInputMessage="1" showErrorMessage="1" xr:uid="{00000000-0002-0000-0900-000009000000}">
          <x14:formula1>
            <xm:f>dochod_2022!$AR$4:$AR$52</xm:f>
          </x14:formula1>
          <xm:sqref>C73 C31</xm:sqref>
        </x14:dataValidation>
        <x14:dataValidation type="list" operator="greaterThan" allowBlank="1" showInputMessage="1" showErrorMessage="1" xr:uid="{00000000-0002-0000-0900-00000A000000}">
          <x14:formula1>
            <xm:f>IF(OR(AND($G$7="cały rok",MONTH($G$5)&lt;=4),AND($G$7="nie cały rok",MONTH($G$5)=1)),dochod_2022!$AE$3,IF(DAY($G$5)&gt;20,dochod_2022!$AC$5,dochod_2022!$AC$5:$AC$6))</xm:f>
          </x14:formula1>
          <xm:sqref>G9</xm:sqref>
        </x14:dataValidation>
        <x14:dataValidation type="list" operator="greaterThan" allowBlank="1" showInputMessage="1" showErrorMessage="1" xr:uid="{00000000-0002-0000-0900-00000B000000}">
          <x14:formula1>
            <xm:f>IF(OR(AND($L$7="cały rok",MONTH($L$5)&lt;=4),AND($L$7="nie cały rok",MONTH($L$5)=1)),dochod_2022!$BI$3,IF(DAY($L$5)&gt;20,dochod_2022!$BI$5,dochod_2022!$BG$5:$BG$6))</xm:f>
          </x14:formula1>
          <xm:sqref>L9</xm:sqref>
        </x14:dataValidation>
        <x14:dataValidation type="list" operator="greaterThan" allowBlank="1" showInputMessage="1" showErrorMessage="1" xr:uid="{00000000-0002-0000-0900-00000C000000}">
          <x14:formula1>
            <xm:f>IF($C$7="cały rok",IF(AND(MONTH($C$5)&gt;1,MONTH($C$5)&lt;=4),dochod_2022!$M$3,IF(DAY($C$5)&gt;20,dochod_2022!$K$5,dochod_2022!$K$5:$K$6)),IF(DAY($C$5)&gt;20,dochod_2022!$K$5,dochod_2022!$K$5:$K$6))</xm:f>
          </x14:formula1>
          <xm:sqref>C9</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Arkusz19"/>
  <dimension ref="A2:H27"/>
  <sheetViews>
    <sheetView zoomScale="80" zoomScaleNormal="80" workbookViewId="0">
      <selection activeCell="C12" sqref="C12"/>
    </sheetView>
  </sheetViews>
  <sheetFormatPr defaultRowHeight="14.5" x14ac:dyDescent="0.35"/>
  <cols>
    <col min="3" max="3" width="46.81640625" bestFit="1" customWidth="1"/>
    <col min="4" max="4" width="26.1796875" customWidth="1"/>
    <col min="5" max="5" width="22.81640625" customWidth="1"/>
    <col min="6" max="6" width="12.81640625" bestFit="1" customWidth="1"/>
    <col min="7" max="7" width="17.81640625" bestFit="1" customWidth="1"/>
  </cols>
  <sheetData>
    <row r="2" spans="1:8" x14ac:dyDescent="0.35">
      <c r="C2" t="s">
        <v>78</v>
      </c>
      <c r="E2" s="44">
        <f>Najem_kalkulator!D4</f>
        <v>40</v>
      </c>
    </row>
    <row r="3" spans="1:8" x14ac:dyDescent="0.35">
      <c r="G3" t="s">
        <v>80</v>
      </c>
    </row>
    <row r="4" spans="1:8" x14ac:dyDescent="0.35">
      <c r="C4" t="s">
        <v>100</v>
      </c>
      <c r="E4" s="45">
        <f>Najem_kalkulator!D5</f>
        <v>10</v>
      </c>
      <c r="G4">
        <f>IF(E4=E2,0,(IF((E2-E4)&gt;11.999,12,E2-E4)))</f>
        <v>12</v>
      </c>
    </row>
    <row r="5" spans="1:8" x14ac:dyDescent="0.35">
      <c r="E5" s="46"/>
    </row>
    <row r="6" spans="1:8" x14ac:dyDescent="0.35">
      <c r="C6" t="s">
        <v>101</v>
      </c>
      <c r="D6" t="s">
        <v>102</v>
      </c>
      <c r="E6" s="46" t="s">
        <v>103</v>
      </c>
      <c r="F6" s="30"/>
      <c r="G6" s="30"/>
      <c r="H6" s="30"/>
    </row>
    <row r="7" spans="1:8" x14ac:dyDescent="0.35">
      <c r="C7" s="53">
        <v>0.03</v>
      </c>
      <c r="D7" s="54">
        <f>Najem_kalkulator!D7</f>
        <v>0</v>
      </c>
      <c r="E7" s="46">
        <f>Najem_kalkulator!E7</f>
        <v>0</v>
      </c>
      <c r="F7" s="30"/>
      <c r="G7" s="30"/>
      <c r="H7" s="30"/>
    </row>
    <row r="8" spans="1:8" x14ac:dyDescent="0.35">
      <c r="C8" s="55">
        <v>5.5E-2</v>
      </c>
      <c r="D8" s="54">
        <f>Najem_kalkulator!D8</f>
        <v>0</v>
      </c>
      <c r="E8" s="46">
        <f>Najem_kalkulator!E8</f>
        <v>0</v>
      </c>
      <c r="F8" s="30"/>
      <c r="G8" s="30"/>
      <c r="H8" s="30"/>
    </row>
    <row r="9" spans="1:8" x14ac:dyDescent="0.35">
      <c r="A9" t="s">
        <v>323</v>
      </c>
      <c r="C9" s="55">
        <f>IF(Najem_kalkulator!B9=Najem_kalkulator!I2,20%,IF(Najem_kalkulator!B9=Najem_kalkulator!I3,17%,IF(Najem_kalkulator!B9=Najem_kalkulator!I4,8.5%,IF(Najem_kalkulator!B9=Najem_kalkulator!I5,5.5%,IF(Najem_kalkulator!B9=Najem_kalkulator!I6,3%,IF(Najem_kalkulator!B13=Najem_kalkulator!I9=12.5%,0))))))</f>
        <v>8.5000000000000006E-2</v>
      </c>
      <c r="D9" s="54">
        <f>Najem_kalkulator!D9</f>
        <v>45000</v>
      </c>
      <c r="E9" s="46">
        <f>Najem_kalkulator!E9</f>
        <v>60000</v>
      </c>
      <c r="F9" s="30"/>
      <c r="G9" s="30"/>
      <c r="H9" s="30"/>
    </row>
    <row r="10" spans="1:8" x14ac:dyDescent="0.35">
      <c r="A10" t="s">
        <v>322</v>
      </c>
      <c r="C10" s="53">
        <v>0.1</v>
      </c>
      <c r="D10" s="54">
        <f>Najem_kalkulator!D10</f>
        <v>0</v>
      </c>
      <c r="E10" s="46">
        <f>Najem_kalkulator!E10</f>
        <v>0</v>
      </c>
      <c r="F10" s="30"/>
      <c r="G10" s="30"/>
      <c r="H10" s="30"/>
    </row>
    <row r="11" spans="1:8" x14ac:dyDescent="0.35">
      <c r="A11" t="s">
        <v>321</v>
      </c>
      <c r="C11" s="55">
        <v>0.125</v>
      </c>
      <c r="D11" s="54">
        <f>Najem_kalkulator!D13</f>
        <v>0</v>
      </c>
      <c r="E11" s="46">
        <f>Najem_kalkulator!E13</f>
        <v>0</v>
      </c>
      <c r="F11" s="30"/>
      <c r="G11" s="30"/>
      <c r="H11" s="30"/>
    </row>
    <row r="12" spans="1:8" x14ac:dyDescent="0.35">
      <c r="A12" t="s">
        <v>320</v>
      </c>
      <c r="C12" s="53">
        <v>0.17</v>
      </c>
      <c r="D12" s="54">
        <f>Najem_kalkulator!D11</f>
        <v>0</v>
      </c>
      <c r="E12" s="46">
        <f>Najem_kalkulator!E11</f>
        <v>0</v>
      </c>
      <c r="F12" s="30"/>
      <c r="G12" s="30"/>
      <c r="H12" s="30"/>
    </row>
    <row r="13" spans="1:8" x14ac:dyDescent="0.35">
      <c r="A13" t="s">
        <v>319</v>
      </c>
      <c r="C13" s="53">
        <v>0.2</v>
      </c>
      <c r="D13" s="54">
        <f>Najem_kalkulator!D12</f>
        <v>0</v>
      </c>
      <c r="E13" s="46">
        <f>Najem_kalkulator!E12</f>
        <v>0</v>
      </c>
      <c r="F13" s="56"/>
      <c r="G13" s="57"/>
      <c r="H13" s="30"/>
    </row>
    <row r="14" spans="1:8" x14ac:dyDescent="0.35">
      <c r="A14" t="s">
        <v>318</v>
      </c>
      <c r="C14" s="24" t="s">
        <v>104</v>
      </c>
      <c r="D14" s="46">
        <f>SUM(D7:D13)</f>
        <v>45000</v>
      </c>
      <c r="E14" s="46">
        <f>SUM(E7:E13)</f>
        <v>60000</v>
      </c>
    </row>
    <row r="15" spans="1:8" x14ac:dyDescent="0.35">
      <c r="C15" t="s">
        <v>105</v>
      </c>
      <c r="D15" s="58">
        <f>((E10*C10+E7*C7+E8*C8+E9*C9+E12*C12+E11*C11+E13*C13)/G4*(12-E4)+D7*C7+D8*C8+D9*C9+D10*C10+D11*C11+D12*C12+D13*C13)/12</f>
        <v>389.58333333333331</v>
      </c>
      <c r="E15" s="46">
        <f>IF(G4&gt;0,((E10*C10+E7*C7+E8*C8+E11*C11+E9*C9+E12*C12+E13*C13)/G4*(12-E4)+D7*C7+D8*C8+D9*C9+D10*C10+D11*C11+D12*C12+D13*C13)/12,(D7*C7+D8*C8+D9*C9+D10*C10+D12*C12+D13*C13)/E4)</f>
        <v>389.58333333333331</v>
      </c>
    </row>
    <row r="16" spans="1:8" x14ac:dyDescent="0.35">
      <c r="C16" t="s">
        <v>106</v>
      </c>
      <c r="D16" s="46">
        <f>D15*((1-0.19)/0.19)</f>
        <v>1660.8552631578948</v>
      </c>
      <c r="E16" s="46">
        <f>E15*((1-0.19)/0.19)</f>
        <v>1660.8552631578948</v>
      </c>
      <c r="F16" s="49"/>
    </row>
    <row r="17" spans="3:7" x14ac:dyDescent="0.35">
      <c r="C17" t="s">
        <v>107</v>
      </c>
      <c r="D17" s="46">
        <f>0.1*((E14/G4)*(12-E4)+D14)/12</f>
        <v>458.33333333333331</v>
      </c>
      <c r="E17" s="46">
        <f>IF(G4&gt;0,(0.1*((E14/G4)*(12-E4)+D14)/12),(0.1*(D14)/E4))</f>
        <v>458.33333333333331</v>
      </c>
      <c r="F17" s="49"/>
    </row>
    <row r="18" spans="3:7" x14ac:dyDescent="0.35">
      <c r="C18" t="s">
        <v>108</v>
      </c>
      <c r="D18" s="46">
        <f>MAX(D17,D16)</f>
        <v>1660.8552631578948</v>
      </c>
      <c r="E18" s="46">
        <f>IF(E2&gt;0,(MAX(E17,E16)),0)</f>
        <v>1660.8552631578948</v>
      </c>
      <c r="F18" s="49"/>
    </row>
    <row r="19" spans="3:7" x14ac:dyDescent="0.35">
      <c r="C19" t="s">
        <v>99</v>
      </c>
      <c r="D19" s="46">
        <f>((E14/G4)*(12-E4)+D14)/12</f>
        <v>4583.333333333333</v>
      </c>
      <c r="E19" s="46">
        <f>IF(E2&gt;0,(IF(G4&gt;0,(((E14/G4)*(12-E4)+D14)/12),(D14)/E4)),0)</f>
        <v>4583.333333333333</v>
      </c>
      <c r="F19" s="49"/>
    </row>
    <row r="20" spans="3:7" x14ac:dyDescent="0.35">
      <c r="D20" t="s">
        <v>109</v>
      </c>
      <c r="E20" s="30"/>
      <c r="F20" s="49"/>
    </row>
    <row r="21" spans="3:7" x14ac:dyDescent="0.35">
      <c r="E21" s="30"/>
      <c r="F21" s="49"/>
      <c r="G21" s="48"/>
    </row>
    <row r="22" spans="3:7" x14ac:dyDescent="0.35">
      <c r="E22" s="30"/>
      <c r="F22" s="49"/>
    </row>
    <row r="23" spans="3:7" x14ac:dyDescent="0.35">
      <c r="E23" s="30"/>
      <c r="F23" s="49"/>
    </row>
    <row r="24" spans="3:7" x14ac:dyDescent="0.35">
      <c r="E24" s="30"/>
      <c r="F24" s="49"/>
    </row>
    <row r="26" spans="3:7" x14ac:dyDescent="0.35">
      <c r="G26" s="48"/>
    </row>
    <row r="27" spans="3:7" x14ac:dyDescent="0.35">
      <c r="G27" s="48"/>
    </row>
  </sheetData>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Arkusz41">
    <tabColor rgb="FFFF9900"/>
  </sheetPr>
  <dimension ref="A1:CA52"/>
  <sheetViews>
    <sheetView zoomScale="50" zoomScaleNormal="50" workbookViewId="0">
      <selection activeCell="H2" sqref="H2"/>
    </sheetView>
  </sheetViews>
  <sheetFormatPr defaultRowHeight="14.5" x14ac:dyDescent="0.35"/>
  <cols>
    <col min="2" max="2" width="44" customWidth="1"/>
    <col min="3" max="3" width="18.453125" customWidth="1"/>
    <col min="4" max="4" width="18.1796875" customWidth="1"/>
    <col min="5" max="5" width="15.81640625" customWidth="1"/>
    <col min="6" max="6" width="20.1796875" customWidth="1"/>
    <col min="7" max="7" width="31" customWidth="1"/>
    <col min="8" max="8" width="24" customWidth="1"/>
    <col min="9" max="9" width="18.1796875" customWidth="1"/>
    <col min="10" max="10" width="15.81640625" customWidth="1"/>
    <col min="11" max="11" width="20.1796875" customWidth="1"/>
    <col min="17" max="17" width="2.81640625" style="437" customWidth="1"/>
    <col min="18" max="18" width="3.1796875" customWidth="1"/>
    <col min="19" max="19" width="51.1796875" style="64" customWidth="1"/>
    <col min="20" max="20" width="18.453125" style="64" customWidth="1"/>
    <col min="21" max="21" width="18.1796875" style="64" customWidth="1"/>
    <col min="22" max="22" width="15.81640625" style="64" customWidth="1"/>
    <col min="23" max="26" width="2.1796875" customWidth="1"/>
    <col min="27" max="27" width="10.453125" bestFit="1" customWidth="1"/>
    <col min="29" max="29" width="11.81640625" customWidth="1"/>
    <col min="36" max="36" width="27.1796875" customWidth="1"/>
    <col min="41" max="41" width="9.1796875" style="175"/>
    <col min="42" max="42" width="12.453125" style="175" customWidth="1"/>
    <col min="43" max="43" width="9.1796875" style="175"/>
    <col min="44" max="44" width="8.1796875" style="175" customWidth="1"/>
    <col min="45" max="45" width="9.1796875" style="175" customWidth="1"/>
    <col min="47" max="47" width="2.81640625" style="437" customWidth="1"/>
    <col min="48" max="48" width="3.1796875" customWidth="1"/>
    <col min="49" max="49" width="51.1796875" style="64" customWidth="1"/>
    <col min="50" max="50" width="18.453125" style="64" customWidth="1"/>
    <col min="51" max="51" width="18.1796875" style="64" customWidth="1"/>
    <col min="52" max="52" width="15.81640625" style="64" customWidth="1"/>
    <col min="53" max="56" width="2.1796875" customWidth="1"/>
    <col min="57" max="57" width="10.453125" bestFit="1" customWidth="1"/>
    <col min="59" max="59" width="11.81640625" customWidth="1"/>
    <col min="66" max="66" width="27.1796875" customWidth="1"/>
    <col min="71" max="71" width="9.1796875" style="175"/>
    <col min="72" max="72" width="12.81640625" style="175" customWidth="1"/>
    <col min="73" max="73" width="9.1796875" style="175"/>
    <col min="74" max="74" width="9.81640625" style="175" customWidth="1"/>
    <col min="75" max="75" width="9.1796875" style="175"/>
    <col min="77" max="77" width="2.81640625" style="437" customWidth="1"/>
  </cols>
  <sheetData>
    <row r="1" spans="2:79" s="64" customFormat="1" ht="39.75" customHeight="1" x14ac:dyDescent="0.35">
      <c r="B1" s="239" t="s">
        <v>401</v>
      </c>
      <c r="I1" s="435"/>
      <c r="Q1" s="436"/>
      <c r="R1"/>
      <c r="S1" s="239" t="s">
        <v>402</v>
      </c>
      <c r="W1"/>
      <c r="X1"/>
      <c r="Y1"/>
      <c r="Z1"/>
      <c r="AA1" s="14"/>
      <c r="AB1"/>
      <c r="AC1"/>
      <c r="AJ1" s="87" t="s">
        <v>150</v>
      </c>
      <c r="AK1"/>
      <c r="AL1"/>
      <c r="AM1"/>
      <c r="AN1"/>
      <c r="AO1" s="175"/>
      <c r="AP1" s="175" t="s">
        <v>151</v>
      </c>
      <c r="AQ1" s="175"/>
      <c r="AR1" s="175"/>
      <c r="AS1" s="175"/>
      <c r="AU1" s="436"/>
      <c r="AV1"/>
      <c r="AW1" s="239" t="s">
        <v>55</v>
      </c>
      <c r="BA1"/>
      <c r="BB1"/>
      <c r="BC1"/>
      <c r="BD1"/>
      <c r="BE1" s="14"/>
      <c r="BF1"/>
      <c r="BG1"/>
      <c r="BN1" s="87" t="s">
        <v>150</v>
      </c>
      <c r="BO1"/>
      <c r="BP1"/>
      <c r="BQ1"/>
      <c r="BR1"/>
      <c r="BS1" s="175"/>
      <c r="BT1" s="177" t="s">
        <v>151</v>
      </c>
      <c r="BU1" s="175"/>
      <c r="BV1" s="175"/>
      <c r="BW1" s="175"/>
      <c r="BY1" s="436"/>
    </row>
    <row r="2" spans="2:79" ht="15" thickBot="1" x14ac:dyDescent="0.4">
      <c r="C2" s="88" t="s">
        <v>152</v>
      </c>
      <c r="D2" s="88" t="s">
        <v>153</v>
      </c>
      <c r="G2" t="s">
        <v>396</v>
      </c>
      <c r="H2" s="504">
        <v>1646.47</v>
      </c>
      <c r="T2" s="66" t="s">
        <v>152</v>
      </c>
      <c r="U2" s="66" t="s">
        <v>153</v>
      </c>
      <c r="AJ2" s="89" t="s">
        <v>380</v>
      </c>
      <c r="AP2" s="89" t="s">
        <v>507</v>
      </c>
      <c r="AX2" s="66" t="s">
        <v>152</v>
      </c>
      <c r="AY2" s="66" t="s">
        <v>153</v>
      </c>
      <c r="BN2" s="89" t="s">
        <v>380</v>
      </c>
      <c r="BT2" s="89" t="s">
        <v>507</v>
      </c>
    </row>
    <row r="3" spans="2:79" ht="29" x14ac:dyDescent="0.35">
      <c r="B3" s="42" t="s">
        <v>154</v>
      </c>
      <c r="C3" s="406">
        <f>Zmiana_formy_kalkulator!C5</f>
        <v>45678</v>
      </c>
      <c r="D3" s="88"/>
      <c r="I3" s="30" t="s">
        <v>155</v>
      </c>
      <c r="J3" s="30" t="s">
        <v>156</v>
      </c>
      <c r="M3" t="s">
        <v>157</v>
      </c>
      <c r="N3">
        <v>0</v>
      </c>
      <c r="S3" s="439" t="s">
        <v>154</v>
      </c>
      <c r="T3" s="406">
        <f>Zmiana_formy_kalkulator!G5</f>
        <v>45678</v>
      </c>
      <c r="U3" s="66"/>
      <c r="AA3" s="30" t="s">
        <v>155</v>
      </c>
      <c r="AB3" s="30" t="s">
        <v>156</v>
      </c>
      <c r="AE3" s="440" t="s">
        <v>157</v>
      </c>
      <c r="AF3" s="441">
        <v>0</v>
      </c>
      <c r="AJ3" s="91" t="s">
        <v>158</v>
      </c>
      <c r="AK3" s="92" t="s">
        <v>159</v>
      </c>
      <c r="AO3" s="363" t="s">
        <v>160</v>
      </c>
      <c r="AP3" s="363" t="s">
        <v>161</v>
      </c>
      <c r="AQ3" s="364" t="s">
        <v>379</v>
      </c>
      <c r="AW3" s="439" t="s">
        <v>154</v>
      </c>
      <c r="AX3" s="406">
        <f>Zmiana_formy_kalkulator!L5</f>
        <v>45678</v>
      </c>
      <c r="AY3" s="66"/>
      <c r="BE3" s="30" t="s">
        <v>155</v>
      </c>
      <c r="BF3" s="30" t="s">
        <v>156</v>
      </c>
      <c r="BI3" s="440" t="s">
        <v>157</v>
      </c>
      <c r="BJ3" s="441">
        <v>0</v>
      </c>
      <c r="BN3" s="91" t="s">
        <v>158</v>
      </c>
      <c r="BO3" s="92" t="s">
        <v>159</v>
      </c>
      <c r="BS3" s="363" t="s">
        <v>160</v>
      </c>
      <c r="BT3" s="363" t="s">
        <v>161</v>
      </c>
      <c r="BU3" s="364" t="s">
        <v>379</v>
      </c>
    </row>
    <row r="4" spans="2:79" ht="15" thickBot="1" x14ac:dyDescent="0.4">
      <c r="D4" s="88"/>
      <c r="I4" s="30">
        <f>DAY(C3)</f>
        <v>21</v>
      </c>
      <c r="J4" s="30">
        <f>MONTH(C3)</f>
        <v>1</v>
      </c>
      <c r="K4" t="str">
        <f>VLOOKUP($J$4,N4:P15,3)</f>
        <v>styczeń</v>
      </c>
      <c r="M4" t="s">
        <v>163</v>
      </c>
      <c r="N4" s="44">
        <v>1</v>
      </c>
      <c r="O4">
        <v>12</v>
      </c>
      <c r="P4" t="s">
        <v>163</v>
      </c>
      <c r="S4" s="64" t="s">
        <v>162</v>
      </c>
      <c r="T4" s="64" t="s">
        <v>410</v>
      </c>
      <c r="U4" s="66"/>
      <c r="AA4" s="30">
        <f>DAY(T3)</f>
        <v>21</v>
      </c>
      <c r="AB4" s="30">
        <f>MONTH(T3)</f>
        <v>1</v>
      </c>
      <c r="AC4" t="str">
        <f>VLOOKUP($AB$4,AF4:AH15,3)</f>
        <v>styczeń</v>
      </c>
      <c r="AE4" s="442" t="s">
        <v>163</v>
      </c>
      <c r="AF4" s="443">
        <v>1</v>
      </c>
      <c r="AG4">
        <v>12</v>
      </c>
      <c r="AH4" t="s">
        <v>163</v>
      </c>
      <c r="AJ4" s="93" t="s">
        <v>164</v>
      </c>
      <c r="AK4" s="94">
        <v>37</v>
      </c>
      <c r="AO4" s="365" t="s">
        <v>349</v>
      </c>
      <c r="AP4" s="95" t="s">
        <v>350</v>
      </c>
      <c r="AQ4" s="365">
        <v>32</v>
      </c>
      <c r="AR4" s="175" t="s">
        <v>434</v>
      </c>
      <c r="AS4" s="366">
        <v>32</v>
      </c>
      <c r="AW4" s="64" t="s">
        <v>162</v>
      </c>
      <c r="AX4" s="64" t="s">
        <v>410</v>
      </c>
      <c r="AY4" s="66"/>
      <c r="BE4" s="30">
        <f>DAY(AX3)</f>
        <v>21</v>
      </c>
      <c r="BF4" s="30">
        <f>MONTH(AX3)</f>
        <v>1</v>
      </c>
      <c r="BG4" t="str">
        <f>VLOOKUP($AB$4,BJ4:BL15,3)</f>
        <v>styczeń</v>
      </c>
      <c r="BI4" s="442" t="s">
        <v>163</v>
      </c>
      <c r="BJ4" s="443">
        <v>1</v>
      </c>
      <c r="BK4">
        <v>12</v>
      </c>
      <c r="BL4" t="s">
        <v>163</v>
      </c>
      <c r="BN4" s="93" t="s">
        <v>164</v>
      </c>
      <c r="BO4" s="94">
        <v>37</v>
      </c>
      <c r="BS4" s="365" t="s">
        <v>349</v>
      </c>
      <c r="BT4" s="95" t="s">
        <v>350</v>
      </c>
      <c r="BU4" s="365">
        <v>32</v>
      </c>
      <c r="BV4" s="175" t="s">
        <v>434</v>
      </c>
      <c r="BW4" s="366">
        <v>32</v>
      </c>
      <c r="CA4" t="s">
        <v>401</v>
      </c>
    </row>
    <row r="5" spans="2:79" x14ac:dyDescent="0.35">
      <c r="D5" s="88"/>
      <c r="J5">
        <f>VLOOKUP(J4,N4:O15,2,FALSE)</f>
        <v>12</v>
      </c>
      <c r="K5" t="str">
        <f>VLOOKUP($J$5,N4:P16,3)</f>
        <v>dane za ubiegły rok</v>
      </c>
      <c r="M5" t="s">
        <v>165</v>
      </c>
      <c r="N5" s="44">
        <v>2</v>
      </c>
      <c r="O5">
        <v>1</v>
      </c>
      <c r="P5" t="s">
        <v>165</v>
      </c>
      <c r="S5" s="64" t="str">
        <f>Zmiana_formy_kalkulator!F6</f>
        <v>PKD</v>
      </c>
      <c r="T5" s="435" t="str">
        <f>Zmiana_formy_kalkulator!G6</f>
        <v>49 Transport lądowy oraz transport rurociągowy</v>
      </c>
      <c r="U5" s="66"/>
      <c r="AB5">
        <f>VLOOKUP(AB4,AF4:AG15,2,FALSE)</f>
        <v>12</v>
      </c>
      <c r="AC5" s="444" t="str">
        <f>VLOOKUP($AB$5,AF4:AH16,3)</f>
        <v>dane za ubiegły rok</v>
      </c>
      <c r="AE5" s="442" t="s">
        <v>165</v>
      </c>
      <c r="AF5" s="443">
        <v>2</v>
      </c>
      <c r="AG5">
        <v>1</v>
      </c>
      <c r="AH5" t="s">
        <v>165</v>
      </c>
      <c r="AJ5" s="96" t="s">
        <v>166</v>
      </c>
      <c r="AK5" s="97">
        <v>26</v>
      </c>
      <c r="AO5" s="365">
        <v>10</v>
      </c>
      <c r="AP5" s="95" t="s">
        <v>351</v>
      </c>
      <c r="AQ5" s="365">
        <v>23</v>
      </c>
      <c r="AR5" s="175" t="s">
        <v>415</v>
      </c>
      <c r="AS5" s="366">
        <v>23</v>
      </c>
      <c r="AW5" s="64" t="s">
        <v>160</v>
      </c>
      <c r="AX5" s="64" t="str">
        <f>Zmiana_formy_kalkulator!L6</f>
        <v>49 Transport lądowy oraz transport rurociągowy</v>
      </c>
      <c r="AY5" s="66"/>
      <c r="BF5">
        <f>VLOOKUP(BF4,BJ4:BK15,2,FALSE)</f>
        <v>12</v>
      </c>
      <c r="BG5" s="444" t="str">
        <f>VLOOKUP($AB$5,BJ4:BL16,3)</f>
        <v>dane za ubiegły rok</v>
      </c>
      <c r="BI5" s="442" t="s">
        <v>165</v>
      </c>
      <c r="BJ5" s="443">
        <v>2</v>
      </c>
      <c r="BK5">
        <v>1</v>
      </c>
      <c r="BL5" t="s">
        <v>165</v>
      </c>
      <c r="BN5" s="96" t="s">
        <v>166</v>
      </c>
      <c r="BO5" s="97">
        <v>26</v>
      </c>
      <c r="BS5" s="365">
        <v>10</v>
      </c>
      <c r="BT5" s="95" t="s">
        <v>351</v>
      </c>
      <c r="BU5" s="365">
        <v>23</v>
      </c>
      <c r="BV5" s="175" t="s">
        <v>415</v>
      </c>
      <c r="BW5" s="366">
        <v>23</v>
      </c>
      <c r="CA5" t="s">
        <v>402</v>
      </c>
    </row>
    <row r="6" spans="2:79" ht="15" thickBot="1" x14ac:dyDescent="0.4">
      <c r="B6" s="42" t="s">
        <v>167</v>
      </c>
      <c r="C6" s="113" t="str">
        <f>Zmiana_formy_kalkulator!C9</f>
        <v>dane za ubiegły rok</v>
      </c>
      <c r="D6" s="88"/>
      <c r="J6">
        <f>VLOOKUP(J5,N4:O15,2,FALSE)</f>
        <v>11</v>
      </c>
      <c r="K6" t="str">
        <f>VLOOKUP($J$6,N3:P17,3)</f>
        <v>listopad</v>
      </c>
      <c r="M6" t="s">
        <v>168</v>
      </c>
      <c r="N6" s="44">
        <v>3</v>
      </c>
      <c r="O6">
        <v>2</v>
      </c>
      <c r="P6" t="s">
        <v>168</v>
      </c>
      <c r="S6" s="439" t="s">
        <v>167</v>
      </c>
      <c r="T6" s="477" t="str">
        <f>Zmiana_formy_kalkulator!G9</f>
        <v>dane za ubiegły rok</v>
      </c>
      <c r="U6" s="66"/>
      <c r="AB6">
        <f>VLOOKUP(AB5,AF4:AG15,2,FALSE)</f>
        <v>11</v>
      </c>
      <c r="AC6" s="446" t="str">
        <f>VLOOKUP($AB$6,AF3:AH17,3)</f>
        <v>listopad</v>
      </c>
      <c r="AE6" s="442" t="s">
        <v>168</v>
      </c>
      <c r="AF6" s="443">
        <v>3</v>
      </c>
      <c r="AG6">
        <v>2</v>
      </c>
      <c r="AH6" t="s">
        <v>168</v>
      </c>
      <c r="AJ6" s="96" t="s">
        <v>169</v>
      </c>
      <c r="AK6" s="97">
        <v>34</v>
      </c>
      <c r="AO6" s="365">
        <v>13</v>
      </c>
      <c r="AP6" s="95" t="s">
        <v>508</v>
      </c>
      <c r="AQ6" s="365">
        <v>30</v>
      </c>
      <c r="AR6" s="175" t="s">
        <v>514</v>
      </c>
      <c r="AS6" s="366">
        <v>30</v>
      </c>
      <c r="AW6" s="439" t="s">
        <v>167</v>
      </c>
      <c r="AX6" s="477" t="str">
        <f>Zmiana_formy_kalkulator!L9</f>
        <v>dane za ubiegły rok</v>
      </c>
      <c r="AY6" s="66"/>
      <c r="BF6">
        <f>VLOOKUP(BF5,BJ4:BK15,2,FALSE)</f>
        <v>11</v>
      </c>
      <c r="BG6" s="446" t="str">
        <f>VLOOKUP($AB$6,BJ3:BL17,3)</f>
        <v>listopad</v>
      </c>
      <c r="BI6" s="442" t="s">
        <v>168</v>
      </c>
      <c r="BJ6" s="443">
        <v>3</v>
      </c>
      <c r="BK6">
        <v>2</v>
      </c>
      <c r="BL6" t="s">
        <v>168</v>
      </c>
      <c r="BN6" s="96" t="s">
        <v>169</v>
      </c>
      <c r="BO6" s="97">
        <v>34</v>
      </c>
      <c r="BS6" s="365">
        <v>13</v>
      </c>
      <c r="BT6" s="95" t="s">
        <v>508</v>
      </c>
      <c r="BU6" s="365">
        <v>30</v>
      </c>
      <c r="BV6" s="175" t="s">
        <v>514</v>
      </c>
      <c r="BW6" s="366">
        <v>30</v>
      </c>
      <c r="CA6" t="s">
        <v>403</v>
      </c>
    </row>
    <row r="7" spans="2:79" x14ac:dyDescent="0.35">
      <c r="B7" s="98" t="s">
        <v>170</v>
      </c>
      <c r="C7" s="99" t="str">
        <f>Zmiana_formy_kalkulator!C7</f>
        <v>Cały rok</v>
      </c>
      <c r="E7" t="s">
        <v>172</v>
      </c>
      <c r="M7" t="s">
        <v>173</v>
      </c>
      <c r="N7" s="44">
        <v>4</v>
      </c>
      <c r="O7">
        <v>3</v>
      </c>
      <c r="P7" t="s">
        <v>173</v>
      </c>
      <c r="S7" s="447" t="s">
        <v>170</v>
      </c>
      <c r="T7" s="449" t="str">
        <f>Zmiana_formy_kalkulator!G7</f>
        <v>Cały rok</v>
      </c>
      <c r="V7" s="64" t="s">
        <v>172</v>
      </c>
      <c r="AE7" s="442" t="s">
        <v>173</v>
      </c>
      <c r="AF7" s="443">
        <v>4</v>
      </c>
      <c r="AG7">
        <v>3</v>
      </c>
      <c r="AH7" t="s">
        <v>173</v>
      </c>
      <c r="AJ7" s="96" t="s">
        <v>174</v>
      </c>
      <c r="AK7" s="97">
        <v>24</v>
      </c>
      <c r="AO7" s="365">
        <v>14</v>
      </c>
      <c r="AP7" s="95" t="s">
        <v>472</v>
      </c>
      <c r="AQ7" s="365">
        <v>25</v>
      </c>
      <c r="AR7" s="175" t="s">
        <v>515</v>
      </c>
      <c r="AS7" s="366">
        <v>25</v>
      </c>
      <c r="AW7" s="447" t="s">
        <v>170</v>
      </c>
      <c r="AX7" s="449" t="str">
        <f>Zmiana_formy_kalkulator!L7</f>
        <v>Cały rok</v>
      </c>
      <c r="AZ7" s="64" t="s">
        <v>172</v>
      </c>
      <c r="BI7" s="442" t="s">
        <v>173</v>
      </c>
      <c r="BJ7" s="443">
        <v>4</v>
      </c>
      <c r="BK7">
        <v>3</v>
      </c>
      <c r="BL7" t="s">
        <v>173</v>
      </c>
      <c r="BN7" s="96" t="s">
        <v>174</v>
      </c>
      <c r="BO7" s="97">
        <v>24</v>
      </c>
      <c r="BS7" s="365">
        <v>14</v>
      </c>
      <c r="BT7" s="95" t="s">
        <v>472</v>
      </c>
      <c r="BU7" s="365">
        <v>25</v>
      </c>
      <c r="BV7" s="175" t="s">
        <v>515</v>
      </c>
      <c r="BW7" s="366">
        <v>25</v>
      </c>
    </row>
    <row r="8" spans="2:79" x14ac:dyDescent="0.35">
      <c r="B8" s="98" t="s">
        <v>175</v>
      </c>
      <c r="C8" s="100">
        <f>Zmiana_formy_kalkulator!C8</f>
        <v>0</v>
      </c>
      <c r="D8">
        <f>MONTH(C8)</f>
        <v>1</v>
      </c>
      <c r="E8" t="s">
        <v>171</v>
      </c>
      <c r="M8" t="s">
        <v>176</v>
      </c>
      <c r="N8" s="44">
        <v>5</v>
      </c>
      <c r="O8">
        <v>4</v>
      </c>
      <c r="P8" t="s">
        <v>176</v>
      </c>
      <c r="S8" s="447" t="s">
        <v>175</v>
      </c>
      <c r="T8" s="478">
        <f>Zmiana_formy_kalkulator!G8</f>
        <v>0</v>
      </c>
      <c r="U8" s="64">
        <f>MONTH(T8)</f>
        <v>1</v>
      </c>
      <c r="V8" s="64" t="s">
        <v>171</v>
      </c>
      <c r="AE8" s="442" t="s">
        <v>176</v>
      </c>
      <c r="AF8" s="443">
        <v>5</v>
      </c>
      <c r="AG8">
        <v>4</v>
      </c>
      <c r="AH8" t="s">
        <v>176</v>
      </c>
      <c r="AJ8" s="96" t="s">
        <v>177</v>
      </c>
      <c r="AK8" s="97">
        <v>30</v>
      </c>
      <c r="AO8" s="365">
        <v>16</v>
      </c>
      <c r="AP8" s="95" t="s">
        <v>352</v>
      </c>
      <c r="AQ8" s="365">
        <v>28</v>
      </c>
      <c r="AR8" s="175" t="s">
        <v>435</v>
      </c>
      <c r="AS8" s="366">
        <v>28</v>
      </c>
      <c r="AW8" s="447" t="s">
        <v>175</v>
      </c>
      <c r="AX8" s="478">
        <f>Zmiana_formy_kalkulator!L8</f>
        <v>0</v>
      </c>
      <c r="AY8" s="64">
        <f>MONTH(AX8)</f>
        <v>1</v>
      </c>
      <c r="AZ8" s="64" t="s">
        <v>171</v>
      </c>
      <c r="BI8" s="442" t="s">
        <v>176</v>
      </c>
      <c r="BJ8" s="443">
        <v>5</v>
      </c>
      <c r="BK8">
        <v>4</v>
      </c>
      <c r="BL8" t="s">
        <v>176</v>
      </c>
      <c r="BN8" s="96" t="s">
        <v>177</v>
      </c>
      <c r="BO8" s="97">
        <v>30</v>
      </c>
      <c r="BS8" s="365">
        <v>16</v>
      </c>
      <c r="BT8" s="95" t="s">
        <v>352</v>
      </c>
      <c r="BU8" s="365">
        <v>28</v>
      </c>
      <c r="BV8" s="175" t="s">
        <v>435</v>
      </c>
      <c r="BW8" s="366">
        <v>28</v>
      </c>
    </row>
    <row r="9" spans="2:79" x14ac:dyDescent="0.35">
      <c r="B9" s="101" t="s">
        <v>178</v>
      </c>
      <c r="C9" s="152">
        <f>13-D8</f>
        <v>12</v>
      </c>
      <c r="D9" s="99"/>
      <c r="E9" s="99"/>
      <c r="M9" t="s">
        <v>179</v>
      </c>
      <c r="N9" s="44">
        <v>6</v>
      </c>
      <c r="O9">
        <v>5</v>
      </c>
      <c r="P9" t="s">
        <v>179</v>
      </c>
      <c r="S9" s="448" t="s">
        <v>178</v>
      </c>
      <c r="T9" s="449">
        <f>IF(T7="cały rok",12,13-U8)</f>
        <v>12</v>
      </c>
      <c r="U9" s="64">
        <f>VLOOKUP(U8,AF4:AG15,2,FALSE)</f>
        <v>12</v>
      </c>
      <c r="AE9" s="442" t="s">
        <v>179</v>
      </c>
      <c r="AF9" s="443">
        <v>6</v>
      </c>
      <c r="AG9">
        <v>5</v>
      </c>
      <c r="AH9" t="s">
        <v>179</v>
      </c>
      <c r="AJ9" s="96" t="s">
        <v>180</v>
      </c>
      <c r="AK9" s="97">
        <v>62</v>
      </c>
      <c r="AO9" s="365">
        <v>18</v>
      </c>
      <c r="AP9" s="95" t="s">
        <v>473</v>
      </c>
      <c r="AQ9" s="365">
        <v>33</v>
      </c>
      <c r="AR9" s="175" t="s">
        <v>516</v>
      </c>
      <c r="AS9" s="366">
        <v>33</v>
      </c>
      <c r="AW9" s="448" t="s">
        <v>178</v>
      </c>
      <c r="AX9" s="449">
        <f>IF(AX7="cały rok",12,13-AY8)</f>
        <v>12</v>
      </c>
      <c r="AY9" s="64">
        <f>VLOOKUP(AY8,BJ4:BK15,2,FALSE)</f>
        <v>12</v>
      </c>
      <c r="BI9" s="442" t="s">
        <v>179</v>
      </c>
      <c r="BJ9" s="443">
        <v>6</v>
      </c>
      <c r="BK9">
        <v>5</v>
      </c>
      <c r="BL9" t="s">
        <v>179</v>
      </c>
      <c r="BN9" s="96" t="s">
        <v>180</v>
      </c>
      <c r="BO9" s="97">
        <v>62</v>
      </c>
      <c r="BS9" s="365">
        <v>18</v>
      </c>
      <c r="BT9" s="95" t="s">
        <v>473</v>
      </c>
      <c r="BU9" s="365">
        <v>33</v>
      </c>
      <c r="BV9" s="175" t="s">
        <v>516</v>
      </c>
      <c r="BW9" s="366">
        <v>33</v>
      </c>
    </row>
    <row r="10" spans="2:79" x14ac:dyDescent="0.35">
      <c r="B10" s="101" t="s">
        <v>181</v>
      </c>
      <c r="C10" s="99">
        <f>IF(AND(MONTH(C3)=1,DAY(C3)&gt;=1,DAY(C3)&lt;=20),0,VLOOKUP($C$6,M3:N15,2,FALSE))</f>
        <v>0</v>
      </c>
      <c r="M10" t="s">
        <v>182</v>
      </c>
      <c r="N10" s="44">
        <v>7</v>
      </c>
      <c r="O10">
        <v>6</v>
      </c>
      <c r="P10" t="s">
        <v>182</v>
      </c>
      <c r="S10" s="448" t="s">
        <v>181</v>
      </c>
      <c r="T10" s="449">
        <f>VLOOKUP($T$6,AE3:AF15,2,FALSE)</f>
        <v>0</v>
      </c>
      <c r="AE10" s="442" t="s">
        <v>182</v>
      </c>
      <c r="AF10" s="443">
        <v>7</v>
      </c>
      <c r="AG10">
        <v>6</v>
      </c>
      <c r="AH10" t="s">
        <v>182</v>
      </c>
      <c r="AJ10" s="96" t="s">
        <v>183</v>
      </c>
      <c r="AK10" s="97">
        <v>49</v>
      </c>
      <c r="AO10" s="365">
        <v>22</v>
      </c>
      <c r="AP10" s="95" t="s">
        <v>353</v>
      </c>
      <c r="AQ10" s="365">
        <v>27</v>
      </c>
      <c r="AR10" s="175" t="s">
        <v>436</v>
      </c>
      <c r="AS10" s="366">
        <v>27</v>
      </c>
      <c r="AW10" s="448" t="s">
        <v>181</v>
      </c>
      <c r="AX10" s="449">
        <f>VLOOKUP($AX$6,BI3:BJ15,2,FALSE)</f>
        <v>0</v>
      </c>
      <c r="BI10" s="442" t="s">
        <v>182</v>
      </c>
      <c r="BJ10" s="443">
        <v>7</v>
      </c>
      <c r="BK10">
        <v>6</v>
      </c>
      <c r="BL10" t="s">
        <v>182</v>
      </c>
      <c r="BN10" s="96" t="s">
        <v>183</v>
      </c>
      <c r="BO10" s="97">
        <v>49</v>
      </c>
      <c r="BS10" s="365">
        <v>22</v>
      </c>
      <c r="BT10" s="95" t="s">
        <v>353</v>
      </c>
      <c r="BU10" s="365">
        <v>27</v>
      </c>
      <c r="BV10" s="175" t="s">
        <v>436</v>
      </c>
      <c r="BW10" s="366">
        <v>27</v>
      </c>
    </row>
    <row r="11" spans="2:79" x14ac:dyDescent="0.35">
      <c r="B11" s="49"/>
      <c r="M11" t="s">
        <v>184</v>
      </c>
      <c r="N11" s="44">
        <v>8</v>
      </c>
      <c r="O11">
        <v>7</v>
      </c>
      <c r="P11" t="s">
        <v>184</v>
      </c>
      <c r="S11" s="416"/>
      <c r="AE11" s="442" t="s">
        <v>184</v>
      </c>
      <c r="AF11" s="443">
        <v>8</v>
      </c>
      <c r="AG11">
        <v>7</v>
      </c>
      <c r="AH11" t="s">
        <v>184</v>
      </c>
      <c r="AJ11" s="93" t="s">
        <v>185</v>
      </c>
      <c r="AK11" s="94">
        <v>41</v>
      </c>
      <c r="AO11" s="365">
        <v>23</v>
      </c>
      <c r="AP11" s="95" t="s">
        <v>509</v>
      </c>
      <c r="AQ11" s="365">
        <v>18</v>
      </c>
      <c r="AR11" s="175" t="s">
        <v>517</v>
      </c>
      <c r="AS11" s="366">
        <v>18</v>
      </c>
      <c r="AW11" s="416"/>
      <c r="BI11" s="442" t="s">
        <v>184</v>
      </c>
      <c r="BJ11" s="443">
        <v>8</v>
      </c>
      <c r="BK11">
        <v>7</v>
      </c>
      <c r="BL11" t="s">
        <v>184</v>
      </c>
      <c r="BN11" s="93" t="s">
        <v>185</v>
      </c>
      <c r="BO11" s="94">
        <v>41</v>
      </c>
      <c r="BS11" s="365">
        <v>23</v>
      </c>
      <c r="BT11" s="95" t="s">
        <v>509</v>
      </c>
      <c r="BU11" s="365">
        <v>18</v>
      </c>
      <c r="BV11" s="175" t="s">
        <v>517</v>
      </c>
      <c r="BW11" s="366">
        <v>18</v>
      </c>
    </row>
    <row r="12" spans="2:79" x14ac:dyDescent="0.35">
      <c r="B12" s="98" t="s">
        <v>186</v>
      </c>
      <c r="C12" s="103">
        <f>Zmiana_formy_kalkulator!C11</f>
        <v>0</v>
      </c>
      <c r="M12" t="s">
        <v>187</v>
      </c>
      <c r="N12" s="44">
        <v>9</v>
      </c>
      <c r="O12">
        <v>8</v>
      </c>
      <c r="P12" t="s">
        <v>187</v>
      </c>
      <c r="S12" s="447" t="s">
        <v>186</v>
      </c>
      <c r="T12" s="451">
        <f>Zmiana_formy_kalkulator!G11</f>
        <v>0</v>
      </c>
      <c r="AE12" s="442" t="s">
        <v>187</v>
      </c>
      <c r="AF12" s="443">
        <v>9</v>
      </c>
      <c r="AG12">
        <v>8</v>
      </c>
      <c r="AH12" t="s">
        <v>187</v>
      </c>
      <c r="AJ12" s="96" t="s">
        <v>188</v>
      </c>
      <c r="AK12" s="97">
        <v>69</v>
      </c>
      <c r="AO12" s="365">
        <v>25</v>
      </c>
      <c r="AP12" s="102" t="s">
        <v>354</v>
      </c>
      <c r="AQ12" s="365">
        <v>31</v>
      </c>
      <c r="AR12" s="175" t="s">
        <v>437</v>
      </c>
      <c r="AS12" s="366">
        <v>31</v>
      </c>
      <c r="AW12" s="447" t="s">
        <v>186</v>
      </c>
      <c r="AX12" s="451">
        <f>Zmiana_formy_kalkulator!L11</f>
        <v>0</v>
      </c>
      <c r="BI12" s="442" t="s">
        <v>187</v>
      </c>
      <c r="BJ12" s="443">
        <v>9</v>
      </c>
      <c r="BK12">
        <v>8</v>
      </c>
      <c r="BL12" t="s">
        <v>187</v>
      </c>
      <c r="BN12" s="96" t="s">
        <v>188</v>
      </c>
      <c r="BO12" s="97">
        <v>69</v>
      </c>
      <c r="BS12" s="365">
        <v>25</v>
      </c>
      <c r="BT12" s="102" t="s">
        <v>354</v>
      </c>
      <c r="BU12" s="365">
        <v>31</v>
      </c>
      <c r="BV12" s="175" t="s">
        <v>437</v>
      </c>
      <c r="BW12" s="366">
        <v>31</v>
      </c>
    </row>
    <row r="13" spans="2:79" x14ac:dyDescent="0.35">
      <c r="B13" s="98" t="s">
        <v>189</v>
      </c>
      <c r="C13" s="103">
        <f>Zmiana_formy_kalkulator!C12</f>
        <v>0</v>
      </c>
      <c r="M13" t="s">
        <v>190</v>
      </c>
      <c r="N13" s="44">
        <v>10</v>
      </c>
      <c r="O13">
        <v>9</v>
      </c>
      <c r="P13" t="s">
        <v>190</v>
      </c>
      <c r="S13" s="447" t="s">
        <v>189</v>
      </c>
      <c r="T13" s="451">
        <f>Zmiana_formy_kalkulator!G12</f>
        <v>0</v>
      </c>
      <c r="AE13" s="442" t="s">
        <v>190</v>
      </c>
      <c r="AF13" s="443">
        <v>10</v>
      </c>
      <c r="AG13">
        <v>9</v>
      </c>
      <c r="AH13" t="s">
        <v>190</v>
      </c>
      <c r="AJ13" s="96" t="s">
        <v>191</v>
      </c>
      <c r="AK13" s="97">
        <v>52</v>
      </c>
      <c r="AO13" s="365">
        <v>31</v>
      </c>
      <c r="AP13" s="102" t="s">
        <v>355</v>
      </c>
      <c r="AQ13" s="365">
        <v>22</v>
      </c>
      <c r="AR13" s="175" t="s">
        <v>438</v>
      </c>
      <c r="AS13" s="366">
        <v>22</v>
      </c>
      <c r="AW13" s="447" t="s">
        <v>189</v>
      </c>
      <c r="AX13" s="451">
        <f>Zmiana_formy_kalkulator!L12</f>
        <v>0</v>
      </c>
      <c r="BI13" s="442" t="s">
        <v>190</v>
      </c>
      <c r="BJ13" s="443">
        <v>10</v>
      </c>
      <c r="BK13">
        <v>9</v>
      </c>
      <c r="BL13" t="s">
        <v>190</v>
      </c>
      <c r="BN13" s="96" t="s">
        <v>191</v>
      </c>
      <c r="BO13" s="97">
        <v>52</v>
      </c>
      <c r="BS13" s="365">
        <v>31</v>
      </c>
      <c r="BT13" s="102" t="s">
        <v>355</v>
      </c>
      <c r="BU13" s="365">
        <v>22</v>
      </c>
      <c r="BV13" s="175" t="s">
        <v>438</v>
      </c>
      <c r="BW13" s="366">
        <v>22</v>
      </c>
    </row>
    <row r="14" spans="2:79" x14ac:dyDescent="0.35">
      <c r="B14" s="98" t="s">
        <v>241</v>
      </c>
      <c r="C14" s="103">
        <f>Zmiana_formy_kalkulator!C13</f>
        <v>0</v>
      </c>
      <c r="M14" t="s">
        <v>193</v>
      </c>
      <c r="N14" s="44">
        <v>11</v>
      </c>
      <c r="O14">
        <v>10</v>
      </c>
      <c r="P14" t="s">
        <v>193</v>
      </c>
      <c r="S14" s="447" t="s">
        <v>192</v>
      </c>
      <c r="T14" s="451" t="str">
        <f>Zmiana_formy_kalkulator!G14</f>
        <v>///</v>
      </c>
      <c r="AE14" s="442" t="s">
        <v>193</v>
      </c>
      <c r="AF14" s="443">
        <v>11</v>
      </c>
      <c r="AG14">
        <v>10</v>
      </c>
      <c r="AH14" t="s">
        <v>193</v>
      </c>
      <c r="AJ14" s="96" t="s">
        <v>194</v>
      </c>
      <c r="AK14" s="97">
        <v>63</v>
      </c>
      <c r="AO14" s="365">
        <v>32</v>
      </c>
      <c r="AP14" s="102" t="s">
        <v>429</v>
      </c>
      <c r="AQ14" s="365">
        <v>33</v>
      </c>
      <c r="AR14" s="175" t="s">
        <v>439</v>
      </c>
      <c r="AS14" s="366">
        <v>33</v>
      </c>
      <c r="AW14" s="447" t="s">
        <v>192</v>
      </c>
      <c r="AX14" s="451" t="str">
        <f>Zmiana_formy_kalkulator!L14</f>
        <v>///</v>
      </c>
      <c r="BI14" s="442" t="s">
        <v>193</v>
      </c>
      <c r="BJ14" s="443">
        <v>11</v>
      </c>
      <c r="BK14">
        <v>10</v>
      </c>
      <c r="BL14" t="s">
        <v>193</v>
      </c>
      <c r="BN14" s="96" t="s">
        <v>194</v>
      </c>
      <c r="BO14" s="97">
        <v>63</v>
      </c>
      <c r="BS14" s="365">
        <v>32</v>
      </c>
      <c r="BT14" s="102" t="s">
        <v>429</v>
      </c>
      <c r="BU14" s="365">
        <v>33</v>
      </c>
      <c r="BV14" s="175" t="s">
        <v>439</v>
      </c>
      <c r="BW14" s="366">
        <v>33</v>
      </c>
    </row>
    <row r="15" spans="2:79" ht="15" thickBot="1" x14ac:dyDescent="0.4">
      <c r="B15" s="98" t="s">
        <v>192</v>
      </c>
      <c r="C15" s="103">
        <f>Zmiana_formy_kalkulator!C14</f>
        <v>0</v>
      </c>
      <c r="M15" t="s">
        <v>195</v>
      </c>
      <c r="N15" s="44">
        <v>12</v>
      </c>
      <c r="O15">
        <v>11</v>
      </c>
      <c r="P15" t="s">
        <v>157</v>
      </c>
      <c r="S15" s="416"/>
      <c r="AE15" s="452" t="s">
        <v>195</v>
      </c>
      <c r="AF15" s="453">
        <v>12</v>
      </c>
      <c r="AG15">
        <v>11</v>
      </c>
      <c r="AH15" t="s">
        <v>157</v>
      </c>
      <c r="AJ15" s="96" t="s">
        <v>196</v>
      </c>
      <c r="AK15" s="97">
        <v>49</v>
      </c>
      <c r="AO15" s="365">
        <v>33</v>
      </c>
      <c r="AP15" s="102" t="s">
        <v>356</v>
      </c>
      <c r="AQ15" s="365">
        <v>38</v>
      </c>
      <c r="AR15" s="175" t="s">
        <v>440</v>
      </c>
      <c r="AS15" s="366">
        <v>38</v>
      </c>
      <c r="AW15" s="416"/>
      <c r="BI15" s="452" t="s">
        <v>195</v>
      </c>
      <c r="BJ15" s="453">
        <v>12</v>
      </c>
      <c r="BK15">
        <v>11</v>
      </c>
      <c r="BL15" t="s">
        <v>157</v>
      </c>
      <c r="BN15" s="96" t="s">
        <v>196</v>
      </c>
      <c r="BO15" s="97">
        <v>49</v>
      </c>
      <c r="BS15" s="365">
        <v>33</v>
      </c>
      <c r="BT15" s="102" t="s">
        <v>356</v>
      </c>
      <c r="BU15" s="365">
        <v>38</v>
      </c>
      <c r="BV15" s="175" t="s">
        <v>440</v>
      </c>
      <c r="BW15" s="366">
        <v>38</v>
      </c>
    </row>
    <row r="16" spans="2:79" x14ac:dyDescent="0.35">
      <c r="B16" s="49"/>
      <c r="S16" s="454" t="s">
        <v>197</v>
      </c>
      <c r="T16" s="455">
        <f>IF(T12-T13&lt;=0,0,0.19)</f>
        <v>0</v>
      </c>
      <c r="AO16" s="365">
        <v>38</v>
      </c>
      <c r="AP16" s="102" t="s">
        <v>474</v>
      </c>
      <c r="AQ16" s="365">
        <v>21</v>
      </c>
      <c r="AR16" s="175" t="s">
        <v>518</v>
      </c>
      <c r="AS16" s="366">
        <v>21</v>
      </c>
      <c r="AW16" s="454" t="s">
        <v>197</v>
      </c>
      <c r="AX16" s="455">
        <f>IF(AX12-AX13&lt;=0,0,0.19)</f>
        <v>0</v>
      </c>
      <c r="BS16" s="365">
        <v>38</v>
      </c>
      <c r="BT16" s="102" t="s">
        <v>474</v>
      </c>
      <c r="BU16" s="365">
        <v>21</v>
      </c>
      <c r="BV16" s="175" t="s">
        <v>518</v>
      </c>
      <c r="BW16" s="366">
        <v>21</v>
      </c>
    </row>
    <row r="17" spans="2:75" x14ac:dyDescent="0.35">
      <c r="B17" s="104" t="s">
        <v>197</v>
      </c>
      <c r="C17" s="30">
        <f>IF(C12-C13&lt;=0,0,0.19)</f>
        <v>0</v>
      </c>
      <c r="S17" s="416"/>
      <c r="AO17" s="365">
        <v>41</v>
      </c>
      <c r="AP17" s="102" t="s">
        <v>357</v>
      </c>
      <c r="AQ17" s="365">
        <v>27</v>
      </c>
      <c r="AR17" s="175" t="s">
        <v>441</v>
      </c>
      <c r="AS17" s="366">
        <v>27</v>
      </c>
      <c r="AW17" s="416"/>
      <c r="BS17" s="365">
        <v>41</v>
      </c>
      <c r="BT17" s="102" t="s">
        <v>357</v>
      </c>
      <c r="BU17" s="365">
        <v>27</v>
      </c>
      <c r="BV17" s="175" t="s">
        <v>441</v>
      </c>
      <c r="BW17" s="366">
        <v>27</v>
      </c>
    </row>
    <row r="18" spans="2:75" x14ac:dyDescent="0.35">
      <c r="B18" s="49"/>
      <c r="S18" s="447" t="s">
        <v>198</v>
      </c>
      <c r="T18" s="451">
        <f>Zmiana_formy_kalkulator!G16</f>
        <v>100000</v>
      </c>
      <c r="AJ18" s="105"/>
      <c r="AO18" s="365">
        <v>42</v>
      </c>
      <c r="AP18" s="102" t="s">
        <v>358</v>
      </c>
      <c r="AQ18" s="365">
        <v>26</v>
      </c>
      <c r="AR18" s="175" t="s">
        <v>442</v>
      </c>
      <c r="AS18" s="366">
        <v>26</v>
      </c>
      <c r="AW18" s="447" t="s">
        <v>198</v>
      </c>
      <c r="AX18" s="451">
        <f>Zmiana_formy_kalkulator!L16</f>
        <v>100000</v>
      </c>
      <c r="BN18" s="105"/>
      <c r="BS18" s="365">
        <v>42</v>
      </c>
      <c r="BT18" s="102" t="s">
        <v>358</v>
      </c>
      <c r="BU18" s="365">
        <v>26</v>
      </c>
      <c r="BV18" s="175" t="s">
        <v>442</v>
      </c>
      <c r="BW18" s="366">
        <v>26</v>
      </c>
    </row>
    <row r="19" spans="2:75" x14ac:dyDescent="0.35">
      <c r="B19" s="98" t="s">
        <v>198</v>
      </c>
      <c r="C19" s="103">
        <f>Zmiana_formy_kalkulator!C16</f>
        <v>100000</v>
      </c>
      <c r="S19" s="447" t="s">
        <v>199</v>
      </c>
      <c r="T19" s="493">
        <f>dochod_2022!$H$2*T9+Zmiana_formy_kalkulator!G17</f>
        <v>39757.64</v>
      </c>
      <c r="AJ19" s="105"/>
      <c r="AO19" s="365">
        <v>43</v>
      </c>
      <c r="AP19" s="95" t="s">
        <v>359</v>
      </c>
      <c r="AQ19" s="365">
        <v>30</v>
      </c>
      <c r="AR19" s="175" t="s">
        <v>443</v>
      </c>
      <c r="AS19" s="366">
        <v>30</v>
      </c>
      <c r="AW19" s="447" t="s">
        <v>199</v>
      </c>
      <c r="AX19" s="493">
        <f>dochod_2022!$H$2*AX9+Zmiana_formy_kalkulator!L17</f>
        <v>39757.64</v>
      </c>
      <c r="BN19" s="105"/>
      <c r="BS19" s="365">
        <v>43</v>
      </c>
      <c r="BT19" s="95" t="s">
        <v>359</v>
      </c>
      <c r="BU19" s="365">
        <v>30</v>
      </c>
      <c r="BV19" s="175" t="s">
        <v>443</v>
      </c>
      <c r="BW19" s="366">
        <v>30</v>
      </c>
    </row>
    <row r="20" spans="2:75" x14ac:dyDescent="0.35">
      <c r="B20" s="98" t="s">
        <v>199</v>
      </c>
      <c r="C20" s="492">
        <f>IF(Zmiana_formy_kalkulator!G42="tak",Zmiana_formy_kalkulator!C17,dochod_2022!$H$2*C9+Zmiana_formy_kalkulator!C17)</f>
        <v>39757.64</v>
      </c>
      <c r="S20" s="447" t="s">
        <v>200</v>
      </c>
      <c r="T20" s="451">
        <f>Zmiana_formy_kalkulator!G19</f>
        <v>0</v>
      </c>
      <c r="AJ20" s="105"/>
      <c r="AO20" s="365">
        <v>45</v>
      </c>
      <c r="AP20" s="95" t="s">
        <v>360</v>
      </c>
      <c r="AQ20" s="365">
        <v>23</v>
      </c>
      <c r="AR20" s="175" t="s">
        <v>444</v>
      </c>
      <c r="AS20" s="367">
        <v>23</v>
      </c>
      <c r="AW20" s="447" t="s">
        <v>200</v>
      </c>
      <c r="AX20" s="451">
        <f>Zmiana_formy_kalkulator!L19</f>
        <v>0</v>
      </c>
      <c r="BN20" s="105"/>
      <c r="BS20" s="365">
        <v>45</v>
      </c>
      <c r="BT20" s="95" t="s">
        <v>360</v>
      </c>
      <c r="BU20" s="365">
        <v>23</v>
      </c>
      <c r="BV20" s="175" t="s">
        <v>444</v>
      </c>
      <c r="BW20" s="367">
        <v>23</v>
      </c>
    </row>
    <row r="21" spans="2:75" x14ac:dyDescent="0.35">
      <c r="B21" s="98" t="s">
        <v>241</v>
      </c>
      <c r="C21" s="103">
        <f>Zmiana_formy_kalkulator!C18</f>
        <v>0</v>
      </c>
      <c r="S21" s="416"/>
      <c r="U21" s="456" t="s">
        <v>201</v>
      </c>
      <c r="V21" s="456" t="s">
        <v>202</v>
      </c>
      <c r="AO21" s="365">
        <v>46</v>
      </c>
      <c r="AP21" s="106" t="s">
        <v>361</v>
      </c>
      <c r="AQ21" s="365">
        <v>25</v>
      </c>
      <c r="AR21" s="175" t="s">
        <v>445</v>
      </c>
      <c r="AS21" s="366">
        <v>25</v>
      </c>
      <c r="AW21" s="416"/>
      <c r="AY21" s="456" t="s">
        <v>201</v>
      </c>
      <c r="AZ21" s="456" t="s">
        <v>202</v>
      </c>
      <c r="BS21" s="365">
        <v>46</v>
      </c>
      <c r="BT21" s="106" t="s">
        <v>361</v>
      </c>
      <c r="BU21" s="365">
        <v>25</v>
      </c>
      <c r="BV21" s="175" t="s">
        <v>445</v>
      </c>
      <c r="BW21" s="366">
        <v>25</v>
      </c>
    </row>
    <row r="22" spans="2:75" ht="15" thickBot="1" x14ac:dyDescent="0.4">
      <c r="B22" s="98" t="s">
        <v>200</v>
      </c>
      <c r="C22" s="103">
        <f>Zmiana_formy_kalkulator!C19</f>
        <v>0</v>
      </c>
      <c r="S22" s="448" t="s">
        <v>203</v>
      </c>
      <c r="U22" s="457">
        <f>((T18-T19)*(1-T27)+T20)/T9</f>
        <v>4066.3593000000001</v>
      </c>
      <c r="V22" s="457">
        <f>T18/T9</f>
        <v>8333.3333333333339</v>
      </c>
      <c r="AO22" s="365">
        <v>47</v>
      </c>
      <c r="AP22" s="95" t="s">
        <v>362</v>
      </c>
      <c r="AQ22" s="365">
        <v>18</v>
      </c>
      <c r="AR22" s="175" t="s">
        <v>446</v>
      </c>
      <c r="AS22" s="366">
        <v>18</v>
      </c>
      <c r="AW22" s="448" t="s">
        <v>203</v>
      </c>
      <c r="AY22" s="457">
        <f>((AX18-AX19)*(1-AX27)+AX20)/AX9</f>
        <v>4066.3593000000001</v>
      </c>
      <c r="AZ22" s="457">
        <f>AX18/AX9</f>
        <v>8333.3333333333339</v>
      </c>
      <c r="BS22" s="365">
        <v>47</v>
      </c>
      <c r="BT22" s="95" t="s">
        <v>362</v>
      </c>
      <c r="BU22" s="365">
        <v>18</v>
      </c>
      <c r="BV22" s="175" t="s">
        <v>446</v>
      </c>
      <c r="BW22" s="366">
        <v>18</v>
      </c>
    </row>
    <row r="23" spans="2:75" x14ac:dyDescent="0.35">
      <c r="B23" s="149" t="s">
        <v>240</v>
      </c>
      <c r="C23" s="151" t="s">
        <v>239</v>
      </c>
      <c r="D23" s="150" t="s">
        <v>238</v>
      </c>
      <c r="E23" s="147" t="s">
        <v>237</v>
      </c>
      <c r="G23" s="149" t="s">
        <v>236</v>
      </c>
      <c r="H23" s="148" t="s">
        <v>235</v>
      </c>
      <c r="I23" s="147" t="s">
        <v>202</v>
      </c>
      <c r="S23" s="448" t="s">
        <v>204</v>
      </c>
      <c r="U23" s="457" t="e">
        <f>((T12-T13)*(1-T16)+T14)/T10</f>
        <v>#VALUE!</v>
      </c>
      <c r="V23" s="457" t="e">
        <f>T12/T10</f>
        <v>#DIV/0!</v>
      </c>
      <c r="AO23" s="365">
        <v>49</v>
      </c>
      <c r="AP23" s="107" t="s">
        <v>363</v>
      </c>
      <c r="AQ23" s="565">
        <v>24</v>
      </c>
      <c r="AR23" s="175" t="s">
        <v>447</v>
      </c>
      <c r="AS23" s="366">
        <v>24</v>
      </c>
      <c r="AW23" s="448" t="s">
        <v>204</v>
      </c>
      <c r="AY23" s="457" t="e">
        <f>((AX12-AX13)*(1-AX16)+AX14)/AX10</f>
        <v>#VALUE!</v>
      </c>
      <c r="AZ23" s="457" t="e">
        <f>AX12/AX10</f>
        <v>#DIV/0!</v>
      </c>
      <c r="BS23" s="365">
        <v>49</v>
      </c>
      <c r="BT23" s="107" t="s">
        <v>363</v>
      </c>
      <c r="BU23" s="565">
        <v>24</v>
      </c>
      <c r="BV23" s="175" t="s">
        <v>447</v>
      </c>
      <c r="BW23" s="366">
        <v>24</v>
      </c>
    </row>
    <row r="24" spans="2:75" x14ac:dyDescent="0.35">
      <c r="B24" s="146" t="s">
        <v>203</v>
      </c>
      <c r="C24" s="119">
        <f>((C19-C20)*(1-C29)+C21+C22)/11</f>
        <v>4436.0283272727274</v>
      </c>
      <c r="D24" s="119">
        <f>((C19-C20)*(1-C29)+C21+C22)/12</f>
        <v>4066.3593000000001</v>
      </c>
      <c r="E24" s="145">
        <f>IF(AND(MONTH(C3)=1,DAY(C3)&lt;=20,C6="listopad"),C24,D24)</f>
        <v>4066.3593000000001</v>
      </c>
      <c r="G24" s="140" t="s">
        <v>203</v>
      </c>
      <c r="H24" s="139">
        <f>((C19-C20)*(1-C29)+C21+C22)/IF(AND(MONTH(C3)=1,DAY(C3)&lt;=20,C6="listopad"),C9-1,C9)</f>
        <v>4066.3593000000001</v>
      </c>
      <c r="I24" s="138">
        <f>C19/IF(AND(MONTH(C3)=1,DAY(C3)&lt;=20,C6="listopad"),C9-1,C9)</f>
        <v>8333.3333333333339</v>
      </c>
      <c r="S24" s="448" t="s">
        <v>205</v>
      </c>
      <c r="U24" s="457" t="e">
        <f>((U22*IF(T7="cały rok",12-T10,T9))+(U23*T10))/IF(T7="cały rok",12,(T9+T10))</f>
        <v>#VALUE!</v>
      </c>
      <c r="V24" s="457" t="e">
        <f>((V22*IF(T7="cały rok",12-T10,T9))+(V23*T10))/IF(T7="cały rok",12,(T9+T10))</f>
        <v>#DIV/0!</v>
      </c>
      <c r="AO24" s="365">
        <v>52</v>
      </c>
      <c r="AP24" s="107" t="s">
        <v>364</v>
      </c>
      <c r="AQ24" s="565">
        <v>36</v>
      </c>
      <c r="AR24" s="175" t="s">
        <v>448</v>
      </c>
      <c r="AS24" s="366">
        <v>36</v>
      </c>
      <c r="AW24" s="448" t="s">
        <v>205</v>
      </c>
      <c r="AY24" s="457" t="e">
        <f>((AY22*IF(AX7="cały rok",12-AX10,AX9))+(AY23*AX10))/IF(AX7="cały rok",12,(AX9+AX10))</f>
        <v>#VALUE!</v>
      </c>
      <c r="AZ24" s="457" t="e">
        <f>((AZ22*IF(AX7="cały rok",12-AX10,AX9))+(AZ23*AX10))/IF(AX7="cały rok",12,(AX9+AX10))</f>
        <v>#DIV/0!</v>
      </c>
      <c r="BS24" s="365">
        <v>52</v>
      </c>
      <c r="BT24" s="107" t="s">
        <v>364</v>
      </c>
      <c r="BU24" s="565">
        <v>36</v>
      </c>
      <c r="BV24" s="175" t="s">
        <v>448</v>
      </c>
      <c r="BW24" s="366">
        <v>36</v>
      </c>
    </row>
    <row r="25" spans="2:75" ht="15" thickBot="1" x14ac:dyDescent="0.4">
      <c r="B25" s="143" t="s">
        <v>204</v>
      </c>
      <c r="C25" s="144"/>
      <c r="D25" s="142" t="e">
        <f>((C12-C13)*(1-C17)+C14+C15)/C10</f>
        <v>#DIV/0!</v>
      </c>
      <c r="E25" s="141"/>
      <c r="G25" s="140" t="s">
        <v>204</v>
      </c>
      <c r="H25" s="139" t="e">
        <f>((C12-C13)*(1-C17)+C14+C15)/C10</f>
        <v>#DIV/0!</v>
      </c>
      <c r="I25" s="138" t="e">
        <f>C12/C10</f>
        <v>#DIV/0!</v>
      </c>
      <c r="S25" s="463" t="s">
        <v>206</v>
      </c>
      <c r="T25" s="239"/>
      <c r="U25" s="457">
        <f>IF(T10=0,U22,U24)</f>
        <v>4066.3593000000001</v>
      </c>
      <c r="V25" s="457">
        <f>IF(T10=0,V22,V24)</f>
        <v>8333.3333333333339</v>
      </c>
      <c r="AO25" s="365">
        <v>53</v>
      </c>
      <c r="AP25" s="102" t="s">
        <v>430</v>
      </c>
      <c r="AQ25" s="365">
        <v>39</v>
      </c>
      <c r="AR25" s="175" t="s">
        <v>449</v>
      </c>
      <c r="AS25" s="366">
        <v>39</v>
      </c>
      <c r="AW25" s="463" t="s">
        <v>206</v>
      </c>
      <c r="AX25" s="239"/>
      <c r="AY25" s="457">
        <f>IF(AX10=0,AY22,AY24)</f>
        <v>4066.3593000000001</v>
      </c>
      <c r="AZ25" s="457">
        <f>IF(AX10=0,AZ22,AZ24)</f>
        <v>8333.3333333333339</v>
      </c>
      <c r="BS25" s="365">
        <v>53</v>
      </c>
      <c r="BT25" s="102" t="s">
        <v>430</v>
      </c>
      <c r="BU25" s="365">
        <v>39</v>
      </c>
      <c r="BV25" s="175" t="s">
        <v>449</v>
      </c>
      <c r="BW25" s="366">
        <v>39</v>
      </c>
    </row>
    <row r="26" spans="2:75" ht="15" thickBot="1" x14ac:dyDescent="0.4">
      <c r="B26" s="143" t="s">
        <v>205</v>
      </c>
      <c r="D26" s="142" t="e">
        <f>((D24*(12-C10))+(D25*C10))/12</f>
        <v>#DIV/0!</v>
      </c>
      <c r="E26" s="141"/>
      <c r="G26" s="140" t="s">
        <v>205</v>
      </c>
      <c r="H26" s="139" t="e">
        <f>((H24*C9)+(H25*C10))/(C9+C10)</f>
        <v>#DIV/0!</v>
      </c>
      <c r="I26" s="138">
        <f>(C12+C19)/(C9+C10)</f>
        <v>8333.3333333333339</v>
      </c>
      <c r="S26" s="463" t="s">
        <v>207</v>
      </c>
      <c r="U26" s="465">
        <f>IF(T32&gt;U32,U32*V25/100,U25)</f>
        <v>2000</v>
      </c>
      <c r="V26" s="466"/>
      <c r="AO26" s="365">
        <v>55</v>
      </c>
      <c r="AP26" s="102" t="s">
        <v>475</v>
      </c>
      <c r="AQ26" s="365">
        <v>37</v>
      </c>
      <c r="AR26" s="175" t="s">
        <v>519</v>
      </c>
      <c r="AS26" s="366">
        <v>37</v>
      </c>
      <c r="AW26" s="463" t="s">
        <v>207</v>
      </c>
      <c r="AY26" s="465">
        <f>IF(AX32&gt;AY32,AY32*AZ25/100,AY25)</f>
        <v>2000</v>
      </c>
      <c r="AZ26" s="466"/>
      <c r="BS26" s="365">
        <v>55</v>
      </c>
      <c r="BT26" s="102" t="s">
        <v>475</v>
      </c>
      <c r="BU26" s="365">
        <v>37</v>
      </c>
      <c r="BV26" s="175" t="s">
        <v>519</v>
      </c>
      <c r="BW26" s="366">
        <v>37</v>
      </c>
    </row>
    <row r="27" spans="2:75" ht="15" thickBot="1" x14ac:dyDescent="0.4">
      <c r="B27" s="137" t="s">
        <v>234</v>
      </c>
      <c r="C27" s="136"/>
      <c r="D27" s="135">
        <f>IF(OR(C37="roczne",C37="brak badania"),E24,D26)</f>
        <v>4066.3593000000001</v>
      </c>
      <c r="E27" s="134"/>
      <c r="G27" s="133" t="s">
        <v>207</v>
      </c>
      <c r="H27" s="132">
        <f>IF(OR(MONTH(C3)=1,AND(MONTH(C3)=2,Zmiana_formy_kalkulator!C9="dane za ubiegły rok")),H24,H26)</f>
        <v>4066.3593000000001</v>
      </c>
      <c r="I27" s="131">
        <f>IF(OR(MONTH(C3)=1,AND(MONTH(C3)=2,Zmiana_formy_kalkulator!C9="dane za ubiegły rok")),I24,I26)</f>
        <v>8333.3333333333339</v>
      </c>
      <c r="S27" s="454" t="s">
        <v>208</v>
      </c>
      <c r="T27" s="455">
        <f>IF(T18-T19&lt;=0,0,0.19)</f>
        <v>0.19</v>
      </c>
      <c r="AO27" s="365">
        <v>56</v>
      </c>
      <c r="AP27" s="102" t="s">
        <v>365</v>
      </c>
      <c r="AQ27" s="365">
        <v>19</v>
      </c>
      <c r="AR27" s="175" t="s">
        <v>450</v>
      </c>
      <c r="AS27" s="366">
        <v>19</v>
      </c>
      <c r="AW27" s="454" t="s">
        <v>208</v>
      </c>
      <c r="AX27" s="455">
        <f>IF(AX18-AX19&lt;=0,0,0.19)</f>
        <v>0.19</v>
      </c>
      <c r="BS27" s="365">
        <v>56</v>
      </c>
      <c r="BT27" s="102" t="s">
        <v>365</v>
      </c>
      <c r="BU27" s="365">
        <v>19</v>
      </c>
      <c r="BV27" s="175" t="s">
        <v>450</v>
      </c>
      <c r="BW27" s="366">
        <v>19</v>
      </c>
    </row>
    <row r="28" spans="2:75" x14ac:dyDescent="0.35">
      <c r="B28" s="109"/>
      <c r="D28" s="130"/>
      <c r="S28" s="64" t="s">
        <v>209</v>
      </c>
      <c r="AO28" s="365">
        <v>59</v>
      </c>
      <c r="AP28" s="102" t="s">
        <v>431</v>
      </c>
      <c r="AQ28" s="365">
        <v>54</v>
      </c>
      <c r="AR28" s="175" t="s">
        <v>451</v>
      </c>
      <c r="AS28" s="366">
        <v>54</v>
      </c>
      <c r="AW28" s="64" t="s">
        <v>209</v>
      </c>
      <c r="BS28" s="365">
        <v>59</v>
      </c>
      <c r="BT28" s="102" t="s">
        <v>431</v>
      </c>
      <c r="BU28" s="365">
        <v>54</v>
      </c>
      <c r="BV28" s="175" t="s">
        <v>451</v>
      </c>
      <c r="BW28" s="366">
        <v>54</v>
      </c>
    </row>
    <row r="29" spans="2:75" x14ac:dyDescent="0.35">
      <c r="B29" s="104" t="s">
        <v>208</v>
      </c>
      <c r="C29" s="30">
        <f>IF(C19-C20&lt;=0,0,0.19)</f>
        <v>0.19</v>
      </c>
      <c r="S29" s="64" t="s">
        <v>210</v>
      </c>
      <c r="AO29" s="365">
        <v>61</v>
      </c>
      <c r="AP29" s="102" t="s">
        <v>185</v>
      </c>
      <c r="AQ29" s="365">
        <v>40</v>
      </c>
      <c r="AR29" s="175" t="s">
        <v>452</v>
      </c>
      <c r="AS29" s="366">
        <v>40</v>
      </c>
      <c r="AW29" s="64" t="s">
        <v>210</v>
      </c>
      <c r="BS29" s="365">
        <v>61</v>
      </c>
      <c r="BT29" s="102" t="s">
        <v>185</v>
      </c>
      <c r="BU29" s="365">
        <v>40</v>
      </c>
      <c r="BV29" s="175" t="s">
        <v>452</v>
      </c>
      <c r="BW29" s="366">
        <v>40</v>
      </c>
    </row>
    <row r="30" spans="2:75" x14ac:dyDescent="0.35">
      <c r="B30" s="101"/>
      <c r="S30" s="64" t="s">
        <v>211</v>
      </c>
      <c r="AO30" s="365">
        <v>62</v>
      </c>
      <c r="AP30" s="102" t="s">
        <v>366</v>
      </c>
      <c r="AQ30" s="365">
        <v>65</v>
      </c>
      <c r="AR30" s="175" t="s">
        <v>453</v>
      </c>
      <c r="AS30" s="366">
        <v>65</v>
      </c>
      <c r="AW30" s="64" t="s">
        <v>211</v>
      </c>
      <c r="BS30" s="365">
        <v>62</v>
      </c>
      <c r="BT30" s="102" t="s">
        <v>366</v>
      </c>
      <c r="BU30" s="365">
        <v>65</v>
      </c>
      <c r="BV30" s="175" t="s">
        <v>453</v>
      </c>
      <c r="BW30" s="366">
        <v>65</v>
      </c>
    </row>
    <row r="31" spans="2:75" x14ac:dyDescent="0.35">
      <c r="B31" s="109" t="s">
        <v>233</v>
      </c>
      <c r="C31" s="43" t="s">
        <v>232</v>
      </c>
      <c r="D31" s="43" t="s">
        <v>231</v>
      </c>
      <c r="E31" s="43" t="s">
        <v>230</v>
      </c>
      <c r="T31" s="239" t="s">
        <v>212</v>
      </c>
      <c r="U31" s="239" t="s">
        <v>213</v>
      </c>
      <c r="AO31" s="365">
        <v>63</v>
      </c>
      <c r="AP31" s="102" t="s">
        <v>432</v>
      </c>
      <c r="AQ31" s="365">
        <v>58</v>
      </c>
      <c r="AR31" s="175" t="s">
        <v>454</v>
      </c>
      <c r="AS31" s="366">
        <v>58</v>
      </c>
      <c r="AX31" s="239" t="s">
        <v>212</v>
      </c>
      <c r="AY31" s="239" t="s">
        <v>213</v>
      </c>
      <c r="BS31" s="365">
        <v>63</v>
      </c>
      <c r="BT31" s="102" t="s">
        <v>432</v>
      </c>
      <c r="BU31" s="365">
        <v>58</v>
      </c>
      <c r="BV31" s="175" t="s">
        <v>454</v>
      </c>
      <c r="BW31" s="366">
        <v>58</v>
      </c>
    </row>
    <row r="32" spans="2:75" x14ac:dyDescent="0.35">
      <c r="B32" s="101" t="s">
        <v>203</v>
      </c>
      <c r="C32" s="48">
        <f>C19/11</f>
        <v>9090.9090909090901</v>
      </c>
      <c r="D32" s="48">
        <f>C19/12</f>
        <v>8333.3333333333339</v>
      </c>
      <c r="E32" s="48">
        <f>IF(AND(MONTH(C3)=1,DAY(C3)&lt;=20,C6="listopad"),C32,D32)</f>
        <v>8333.3333333333339</v>
      </c>
      <c r="S32" s="473" t="s">
        <v>214</v>
      </c>
      <c r="T32" s="474">
        <f>U25/V25*100</f>
        <v>48.796311599999996</v>
      </c>
      <c r="U32" s="475">
        <f>IF(S5="branża",VLOOKUP(T5,AJ4:AK15,2,FALSE),VLOOKUP(T5,AR4:AS52,2,FALSE))</f>
        <v>24</v>
      </c>
      <c r="AO32" s="365">
        <v>64</v>
      </c>
      <c r="AP32" s="102" t="s">
        <v>476</v>
      </c>
      <c r="AQ32" s="365">
        <v>53</v>
      </c>
      <c r="AR32" s="175" t="s">
        <v>520</v>
      </c>
      <c r="AS32" s="366">
        <v>53</v>
      </c>
      <c r="AW32" s="473" t="s">
        <v>214</v>
      </c>
      <c r="AX32" s="474">
        <f>AY25/AZ25*100</f>
        <v>48.796311599999996</v>
      </c>
      <c r="AY32" s="475">
        <f>IF(AW5="branża",VLOOKUP(AX5,BN4:BO15,2,FALSE),VLOOKUP(AX5,BV4:BW52,2,FALSE))</f>
        <v>24</v>
      </c>
      <c r="BS32" s="365">
        <v>64</v>
      </c>
      <c r="BT32" s="102" t="s">
        <v>476</v>
      </c>
      <c r="BU32" s="365">
        <v>53</v>
      </c>
      <c r="BV32" s="175" t="s">
        <v>520</v>
      </c>
      <c r="BW32" s="366">
        <v>53</v>
      </c>
    </row>
    <row r="33" spans="1:75" x14ac:dyDescent="0.35">
      <c r="B33" t="s">
        <v>204</v>
      </c>
      <c r="E33" s="48" t="e">
        <f>C12/C10</f>
        <v>#DIV/0!</v>
      </c>
      <c r="AO33" s="365">
        <v>66</v>
      </c>
      <c r="AP33" s="102" t="s">
        <v>367</v>
      </c>
      <c r="AQ33" s="365">
        <v>58</v>
      </c>
      <c r="AR33" s="175" t="s">
        <v>455</v>
      </c>
      <c r="AS33" s="366">
        <v>58</v>
      </c>
      <c r="BS33" s="365">
        <v>66</v>
      </c>
      <c r="BT33" s="102" t="s">
        <v>367</v>
      </c>
      <c r="BU33" s="365">
        <v>58</v>
      </c>
      <c r="BV33" s="175" t="s">
        <v>455</v>
      </c>
      <c r="BW33" s="366">
        <v>58</v>
      </c>
    </row>
    <row r="34" spans="1:75" x14ac:dyDescent="0.35">
      <c r="B34" t="s">
        <v>205</v>
      </c>
      <c r="E34" s="48" t="e">
        <f>((D32*(12-C10))+(E33*C10))/12</f>
        <v>#DIV/0!</v>
      </c>
      <c r="AO34" s="365">
        <v>68</v>
      </c>
      <c r="AP34" s="102" t="s">
        <v>368</v>
      </c>
      <c r="AQ34" s="365">
        <v>48</v>
      </c>
      <c r="AR34" s="175" t="s">
        <v>456</v>
      </c>
      <c r="AS34" s="366">
        <v>48</v>
      </c>
      <c r="BS34" s="365">
        <v>68</v>
      </c>
      <c r="BT34" s="102" t="s">
        <v>368</v>
      </c>
      <c r="BU34" s="365">
        <v>48</v>
      </c>
      <c r="BV34" s="175" t="s">
        <v>456</v>
      </c>
      <c r="BW34" s="366">
        <v>48</v>
      </c>
    </row>
    <row r="35" spans="1:75" x14ac:dyDescent="0.35">
      <c r="B35" s="43" t="s">
        <v>229</v>
      </c>
      <c r="E35" s="129">
        <f>IF(OR(C37="roczne",C37="brak badania"),E32,E34)</f>
        <v>8333.3333333333339</v>
      </c>
      <c r="AO35" s="365">
        <v>69</v>
      </c>
      <c r="AP35" s="102" t="s">
        <v>369</v>
      </c>
      <c r="AQ35" s="365">
        <v>54</v>
      </c>
      <c r="AR35" s="175" t="s">
        <v>457</v>
      </c>
      <c r="AS35" s="366">
        <v>54</v>
      </c>
      <c r="BS35" s="365">
        <v>69</v>
      </c>
      <c r="BT35" s="102" t="s">
        <v>369</v>
      </c>
      <c r="BU35" s="365">
        <v>54</v>
      </c>
      <c r="BV35" s="175" t="s">
        <v>457</v>
      </c>
      <c r="BW35" s="366">
        <v>54</v>
      </c>
    </row>
    <row r="36" spans="1:75" ht="15" thickBot="1" x14ac:dyDescent="0.4">
      <c r="B36" s="43"/>
      <c r="C36" s="43"/>
      <c r="D36" s="43"/>
      <c r="AO36" s="365">
        <v>70</v>
      </c>
      <c r="AP36" s="102" t="s">
        <v>370</v>
      </c>
      <c r="AQ36" s="365">
        <v>60</v>
      </c>
      <c r="AR36" s="175" t="s">
        <v>458</v>
      </c>
      <c r="AS36" s="366">
        <v>60</v>
      </c>
      <c r="BS36" s="365">
        <v>70</v>
      </c>
      <c r="BT36" s="102" t="s">
        <v>370</v>
      </c>
      <c r="BU36" s="365">
        <v>60</v>
      </c>
      <c r="BV36" s="175" t="s">
        <v>458</v>
      </c>
      <c r="BW36" s="366">
        <v>60</v>
      </c>
    </row>
    <row r="37" spans="1:75" x14ac:dyDescent="0.35">
      <c r="A37" s="114"/>
      <c r="B37" s="121" t="s">
        <v>228</v>
      </c>
      <c r="C37" s="128" t="str">
        <f>IF(D41="","brak badania",IF(OR((D41/D40)&gt;1,(D41/D40)&lt;0),"roczne + bieżące","roczne + bieżące"))</f>
        <v>brak badania</v>
      </c>
      <c r="D37" s="127"/>
      <c r="E37" s="114"/>
      <c r="F37" s="114"/>
      <c r="H37" s="126" t="s">
        <v>227</v>
      </c>
      <c r="I37" s="125">
        <f>IF(C7="cały rok",D27,H27)</f>
        <v>4066.3593000000001</v>
      </c>
      <c r="AO37" s="365">
        <v>71</v>
      </c>
      <c r="AP37" s="102" t="s">
        <v>371</v>
      </c>
      <c r="AQ37" s="365">
        <v>52</v>
      </c>
      <c r="AR37" s="175" t="s">
        <v>459</v>
      </c>
      <c r="AS37" s="366">
        <v>52</v>
      </c>
      <c r="BS37" s="365">
        <v>71</v>
      </c>
      <c r="BT37" s="102" t="s">
        <v>371</v>
      </c>
      <c r="BU37" s="365">
        <v>52</v>
      </c>
      <c r="BV37" s="175" t="s">
        <v>459</v>
      </c>
      <c r="BW37" s="366">
        <v>52</v>
      </c>
    </row>
    <row r="38" spans="1:75" ht="15" thickBot="1" x14ac:dyDescent="0.4">
      <c r="A38" s="114"/>
      <c r="B38" s="114"/>
      <c r="C38" s="114"/>
      <c r="D38" s="114"/>
      <c r="E38" s="114"/>
      <c r="F38" s="114"/>
      <c r="H38" s="124" t="s">
        <v>226</v>
      </c>
      <c r="I38" s="123">
        <f>IF(C7="cały rok",E35,I27)</f>
        <v>8333.3333333333339</v>
      </c>
      <c r="AO38" s="365">
        <v>73</v>
      </c>
      <c r="AP38" s="102" t="s">
        <v>372</v>
      </c>
      <c r="AQ38" s="365">
        <v>52</v>
      </c>
      <c r="AR38" s="175" t="s">
        <v>460</v>
      </c>
      <c r="AS38" s="366">
        <v>52</v>
      </c>
      <c r="BS38" s="365">
        <v>73</v>
      </c>
      <c r="BT38" s="102" t="s">
        <v>372</v>
      </c>
      <c r="BU38" s="365">
        <v>52</v>
      </c>
      <c r="BV38" s="175" t="s">
        <v>460</v>
      </c>
      <c r="BW38" s="366">
        <v>52</v>
      </c>
    </row>
    <row r="39" spans="1:75" x14ac:dyDescent="0.35">
      <c r="A39" s="114"/>
      <c r="B39" s="153" t="s">
        <v>245</v>
      </c>
      <c r="C39" s="121"/>
      <c r="D39" s="122" t="s">
        <v>225</v>
      </c>
      <c r="E39" s="121"/>
      <c r="F39" s="114"/>
      <c r="AO39" s="365">
        <v>74</v>
      </c>
      <c r="AP39" s="102" t="s">
        <v>373</v>
      </c>
      <c r="AQ39" s="365">
        <v>58</v>
      </c>
      <c r="AR39" s="175" t="s">
        <v>461</v>
      </c>
      <c r="AS39" s="366">
        <v>58</v>
      </c>
      <c r="BS39" s="365">
        <v>74</v>
      </c>
      <c r="BT39" s="102" t="s">
        <v>373</v>
      </c>
      <c r="BU39" s="365">
        <v>58</v>
      </c>
      <c r="BV39" s="175" t="s">
        <v>461</v>
      </c>
      <c r="BW39" s="366">
        <v>58</v>
      </c>
    </row>
    <row r="40" spans="1:75" x14ac:dyDescent="0.35">
      <c r="A40" s="114"/>
      <c r="B40" s="120" t="s">
        <v>203</v>
      </c>
      <c r="C40" s="119"/>
      <c r="D40" s="118">
        <f>((C19-C20)*(1-C29)+C21+C22)/12</f>
        <v>4066.3593000000001</v>
      </c>
      <c r="E40" s="117"/>
      <c r="F40" s="116"/>
      <c r="AO40" s="365">
        <v>75</v>
      </c>
      <c r="AP40" s="102" t="s">
        <v>477</v>
      </c>
      <c r="AQ40" s="365">
        <v>28</v>
      </c>
      <c r="AR40" s="175" t="s">
        <v>521</v>
      </c>
      <c r="AS40" s="366">
        <v>28</v>
      </c>
      <c r="BS40" s="365">
        <v>75</v>
      </c>
      <c r="BT40" s="102" t="s">
        <v>477</v>
      </c>
      <c r="BU40" s="365">
        <v>28</v>
      </c>
      <c r="BV40" s="175" t="s">
        <v>521</v>
      </c>
      <c r="BW40" s="366">
        <v>28</v>
      </c>
    </row>
    <row r="41" spans="1:75" x14ac:dyDescent="0.35">
      <c r="A41" s="114"/>
      <c r="B41" s="114" t="s">
        <v>224</v>
      </c>
      <c r="C41" s="114"/>
      <c r="D41" s="115" t="str">
        <f>IF(C10&lt;&gt;0,((C12-C13)*(1-C17)+C14+C15)/C10,"")</f>
        <v/>
      </c>
      <c r="E41" s="114"/>
      <c r="F41" s="114"/>
      <c r="AO41" s="365">
        <v>77</v>
      </c>
      <c r="AP41" s="102" t="s">
        <v>374</v>
      </c>
      <c r="AQ41" s="365">
        <v>36</v>
      </c>
      <c r="AR41" s="175" t="s">
        <v>462</v>
      </c>
      <c r="AS41" s="366">
        <v>36</v>
      </c>
      <c r="BS41" s="365">
        <v>77</v>
      </c>
      <c r="BT41" s="102" t="s">
        <v>374</v>
      </c>
      <c r="BU41" s="365">
        <v>36</v>
      </c>
      <c r="BV41" s="175" t="s">
        <v>462</v>
      </c>
      <c r="BW41" s="366">
        <v>36</v>
      </c>
    </row>
    <row r="42" spans="1:75" x14ac:dyDescent="0.35">
      <c r="AO42" s="365">
        <v>79</v>
      </c>
      <c r="AP42" s="102" t="s">
        <v>510</v>
      </c>
      <c r="AQ42" s="365">
        <v>41</v>
      </c>
      <c r="AR42" s="175" t="s">
        <v>522</v>
      </c>
      <c r="AS42" s="366">
        <v>41</v>
      </c>
      <c r="BS42" s="365">
        <v>79</v>
      </c>
      <c r="BT42" s="102" t="s">
        <v>510</v>
      </c>
      <c r="BU42" s="365">
        <v>41</v>
      </c>
      <c r="BV42" s="175" t="s">
        <v>522</v>
      </c>
      <c r="BW42" s="366">
        <v>41</v>
      </c>
    </row>
    <row r="43" spans="1:75" x14ac:dyDescent="0.35">
      <c r="AO43" s="365">
        <v>81</v>
      </c>
      <c r="AP43" s="102" t="s">
        <v>375</v>
      </c>
      <c r="AQ43" s="365">
        <v>41</v>
      </c>
      <c r="AR43" s="175" t="s">
        <v>463</v>
      </c>
      <c r="AS43" s="366">
        <v>41</v>
      </c>
      <c r="BS43" s="365">
        <v>81</v>
      </c>
      <c r="BT43" s="102" t="s">
        <v>375</v>
      </c>
      <c r="BU43" s="365">
        <v>41</v>
      </c>
      <c r="BV43" s="175" t="s">
        <v>463</v>
      </c>
      <c r="BW43" s="366">
        <v>41</v>
      </c>
    </row>
    <row r="44" spans="1:75" x14ac:dyDescent="0.35">
      <c r="AO44" s="365">
        <v>82</v>
      </c>
      <c r="AP44" s="102" t="s">
        <v>376</v>
      </c>
      <c r="AQ44" s="365">
        <v>60</v>
      </c>
      <c r="AR44" s="175" t="s">
        <v>464</v>
      </c>
      <c r="AS44" s="366">
        <v>60</v>
      </c>
      <c r="BS44" s="365">
        <v>82</v>
      </c>
      <c r="BT44" s="102" t="s">
        <v>376</v>
      </c>
      <c r="BU44" s="365">
        <v>60</v>
      </c>
      <c r="BV44" s="175" t="s">
        <v>464</v>
      </c>
      <c r="BW44" s="366">
        <v>60</v>
      </c>
    </row>
    <row r="45" spans="1:75" x14ac:dyDescent="0.35">
      <c r="AO45" s="365">
        <v>85</v>
      </c>
      <c r="AP45" s="102" t="s">
        <v>191</v>
      </c>
      <c r="AQ45" s="365">
        <v>49</v>
      </c>
      <c r="AR45" s="175" t="s">
        <v>465</v>
      </c>
      <c r="AS45" s="366">
        <v>49</v>
      </c>
      <c r="BS45" s="365">
        <v>85</v>
      </c>
      <c r="BT45" s="102" t="s">
        <v>191</v>
      </c>
      <c r="BU45" s="365">
        <v>49</v>
      </c>
      <c r="BV45" s="175" t="s">
        <v>465</v>
      </c>
      <c r="BW45" s="366">
        <v>49</v>
      </c>
    </row>
    <row r="46" spans="1:75" x14ac:dyDescent="0.35">
      <c r="AO46" s="365">
        <v>86</v>
      </c>
      <c r="AP46" s="102" t="s">
        <v>194</v>
      </c>
      <c r="AQ46" s="365">
        <v>57</v>
      </c>
      <c r="AR46" s="175" t="s">
        <v>466</v>
      </c>
      <c r="AS46" s="366">
        <v>57</v>
      </c>
      <c r="BS46" s="365">
        <v>86</v>
      </c>
      <c r="BT46" s="102" t="s">
        <v>194</v>
      </c>
      <c r="BU46" s="365">
        <v>57</v>
      </c>
      <c r="BV46" s="175" t="s">
        <v>466</v>
      </c>
      <c r="BW46" s="366">
        <v>57</v>
      </c>
    </row>
    <row r="47" spans="1:75" x14ac:dyDescent="0.35">
      <c r="AO47" s="365">
        <v>88</v>
      </c>
      <c r="AP47" s="102" t="s">
        <v>511</v>
      </c>
      <c r="AQ47" s="365">
        <v>33</v>
      </c>
      <c r="AR47" s="175" t="s">
        <v>523</v>
      </c>
      <c r="AS47" s="366">
        <v>33</v>
      </c>
      <c r="BS47" s="365">
        <v>88</v>
      </c>
      <c r="BT47" s="102" t="s">
        <v>511</v>
      </c>
      <c r="BU47" s="365">
        <v>33</v>
      </c>
      <c r="BV47" s="175" t="s">
        <v>523</v>
      </c>
      <c r="BW47" s="366">
        <v>33</v>
      </c>
    </row>
    <row r="48" spans="1:75" x14ac:dyDescent="0.35">
      <c r="AO48" s="365">
        <v>90</v>
      </c>
      <c r="AP48" s="102" t="s">
        <v>512</v>
      </c>
      <c r="AQ48" s="365">
        <v>52</v>
      </c>
      <c r="AR48" s="175" t="s">
        <v>524</v>
      </c>
      <c r="AS48" s="366">
        <v>52</v>
      </c>
      <c r="BS48" s="365">
        <v>90</v>
      </c>
      <c r="BT48" s="102" t="s">
        <v>512</v>
      </c>
      <c r="BU48" s="365">
        <v>52</v>
      </c>
      <c r="BV48" s="175" t="s">
        <v>524</v>
      </c>
      <c r="BW48" s="366">
        <v>52</v>
      </c>
    </row>
    <row r="49" spans="41:75" x14ac:dyDescent="0.35">
      <c r="AO49" s="365">
        <v>93</v>
      </c>
      <c r="AP49" s="102" t="s">
        <v>513</v>
      </c>
      <c r="AQ49" s="365">
        <v>42</v>
      </c>
      <c r="AR49" s="175" t="s">
        <v>525</v>
      </c>
      <c r="AS49" s="366">
        <v>42</v>
      </c>
      <c r="BS49" s="365">
        <v>93</v>
      </c>
      <c r="BT49" s="102" t="s">
        <v>513</v>
      </c>
      <c r="BU49" s="365">
        <v>42</v>
      </c>
      <c r="BV49" s="175" t="s">
        <v>525</v>
      </c>
      <c r="BW49" s="366">
        <v>42</v>
      </c>
    </row>
    <row r="50" spans="41:75" x14ac:dyDescent="0.35">
      <c r="AO50" s="365">
        <v>95</v>
      </c>
      <c r="AP50" s="102" t="s">
        <v>433</v>
      </c>
      <c r="AQ50" s="365">
        <v>35</v>
      </c>
      <c r="AR50" s="175" t="s">
        <v>467</v>
      </c>
      <c r="AS50" s="366">
        <v>35</v>
      </c>
      <c r="BS50" s="365">
        <v>95</v>
      </c>
      <c r="BT50" s="102" t="s">
        <v>433</v>
      </c>
      <c r="BU50" s="365">
        <v>35</v>
      </c>
      <c r="BV50" s="175" t="s">
        <v>467</v>
      </c>
      <c r="BW50" s="366">
        <v>35</v>
      </c>
    </row>
    <row r="51" spans="41:75" x14ac:dyDescent="0.35">
      <c r="AO51" s="365">
        <v>96</v>
      </c>
      <c r="AP51" s="102" t="s">
        <v>377</v>
      </c>
      <c r="AQ51" s="365">
        <v>35</v>
      </c>
      <c r="AR51" s="175" t="s">
        <v>428</v>
      </c>
      <c r="AS51" s="366">
        <v>35</v>
      </c>
      <c r="BS51" s="365">
        <v>96</v>
      </c>
      <c r="BT51" s="102" t="s">
        <v>377</v>
      </c>
      <c r="BU51" s="365">
        <v>35</v>
      </c>
      <c r="BV51" s="175" t="s">
        <v>428</v>
      </c>
      <c r="BW51" s="366">
        <v>35</v>
      </c>
    </row>
    <row r="52" spans="41:75" x14ac:dyDescent="0.35">
      <c r="AO52" s="365" t="s">
        <v>378</v>
      </c>
      <c r="AP52" s="102"/>
      <c r="AQ52" s="365">
        <v>34</v>
      </c>
      <c r="AR52" s="175" t="s">
        <v>468</v>
      </c>
      <c r="AS52" s="366">
        <v>34</v>
      </c>
      <c r="BS52" s="365" t="s">
        <v>378</v>
      </c>
      <c r="BT52" s="102"/>
      <c r="BU52" s="365">
        <v>34</v>
      </c>
      <c r="BV52" s="175" t="s">
        <v>468</v>
      </c>
      <c r="BW52" s="366">
        <v>34</v>
      </c>
    </row>
  </sheetData>
  <sheetProtection algorithmName="SHA-512" hashValue="5rVzD9ZJE+sIvv9O6thA7xOGNjSIPmWipDiEDowJuYoOrStCeWEWW7QEqens1hcZTCus6Yf+9BddnfcuKniWUA==" saltValue="hRyrNLrl7N7HgqE6P7QCmA==" spinCount="100000" sheet="1" objects="1" scenarios="1"/>
  <pageMargins left="0.7" right="0.7" top="0.75" bottom="0.75" header="0.3" footer="0.3"/>
  <pageSetup paperSize="9" orientation="portrait" r:id="rId1"/>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Arkusz42">
    <tabColor rgb="FFFF9900"/>
  </sheetPr>
  <dimension ref="A1:CA52"/>
  <sheetViews>
    <sheetView zoomScale="50" zoomScaleNormal="50" workbookViewId="0">
      <selection activeCell="H2" sqref="H2"/>
    </sheetView>
  </sheetViews>
  <sheetFormatPr defaultRowHeight="14.5" x14ac:dyDescent="0.35"/>
  <cols>
    <col min="2" max="2" width="44" customWidth="1"/>
    <col min="3" max="3" width="18.453125" customWidth="1"/>
    <col min="4" max="4" width="18.1796875" customWidth="1"/>
    <col min="5" max="5" width="15.81640625" customWidth="1"/>
    <col min="6" max="6" width="20.1796875" customWidth="1"/>
    <col min="7" max="7" width="31" customWidth="1"/>
    <col min="8" max="8" width="24" customWidth="1"/>
    <col min="9" max="9" width="18.1796875" customWidth="1"/>
    <col min="10" max="10" width="15.81640625" customWidth="1"/>
    <col min="11" max="11" width="20.1796875" customWidth="1"/>
    <col min="17" max="17" width="2.81640625" style="437" customWidth="1"/>
    <col min="18" max="18" width="3.1796875" customWidth="1"/>
    <col min="19" max="19" width="51.1796875" style="64" customWidth="1"/>
    <col min="20" max="20" width="18.453125" style="64" customWidth="1"/>
    <col min="21" max="21" width="18.1796875" style="64" customWidth="1"/>
    <col min="22" max="22" width="15.81640625" style="64" customWidth="1"/>
    <col min="23" max="26" width="2.1796875" customWidth="1"/>
    <col min="27" max="27" width="10.453125" bestFit="1" customWidth="1"/>
    <col min="29" max="29" width="11.81640625" customWidth="1"/>
    <col min="31" max="35" width="9.1796875" customWidth="1"/>
    <col min="36" max="36" width="27.1796875" customWidth="1"/>
    <col min="37" max="40" width="9.1796875" customWidth="1"/>
    <col min="41" max="41" width="9.1796875" style="175" customWidth="1"/>
    <col min="42" max="42" width="12.453125" style="175" customWidth="1"/>
    <col min="43" max="43" width="9.1796875" style="175" customWidth="1"/>
    <col min="44" max="44" width="8.1796875" style="175" customWidth="1"/>
    <col min="45" max="45" width="9.1796875" style="175" customWidth="1"/>
    <col min="46" max="46" width="9.1796875" customWidth="1"/>
    <col min="47" max="47" width="2.81640625" style="437" customWidth="1"/>
    <col min="48" max="48" width="3.1796875" customWidth="1"/>
    <col min="49" max="49" width="51.1796875" style="64" customWidth="1"/>
    <col min="50" max="50" width="18.453125" style="64" customWidth="1"/>
    <col min="51" max="51" width="18.1796875" style="64" customWidth="1"/>
    <col min="52" max="52" width="15.81640625" style="64" customWidth="1"/>
    <col min="53" max="56" width="2.1796875" customWidth="1"/>
    <col min="57" max="57" width="10.453125" bestFit="1" customWidth="1"/>
    <col min="59" max="59" width="11.81640625" customWidth="1"/>
    <col min="66" max="66" width="27.1796875" customWidth="1"/>
    <col min="71" max="71" width="9.1796875" style="175"/>
    <col min="72" max="72" width="12.81640625" style="175" customWidth="1"/>
    <col min="73" max="73" width="9.1796875" style="175"/>
    <col min="74" max="74" width="9.81640625" style="175" customWidth="1"/>
    <col min="75" max="75" width="9.1796875" style="175"/>
    <col min="77" max="77" width="2.81640625" style="437" customWidth="1"/>
  </cols>
  <sheetData>
    <row r="1" spans="2:79" s="64" customFormat="1" ht="39.75" customHeight="1" x14ac:dyDescent="0.35">
      <c r="B1" s="239" t="s">
        <v>401</v>
      </c>
      <c r="I1" s="435"/>
      <c r="Q1" s="436"/>
      <c r="R1"/>
      <c r="S1" s="239" t="s">
        <v>402</v>
      </c>
      <c r="W1"/>
      <c r="X1"/>
      <c r="Y1"/>
      <c r="Z1"/>
      <c r="AA1" s="14"/>
      <c r="AB1"/>
      <c r="AC1"/>
      <c r="AJ1" s="87" t="s">
        <v>150</v>
      </c>
      <c r="AK1"/>
      <c r="AL1"/>
      <c r="AM1"/>
      <c r="AN1"/>
      <c r="AO1" s="175"/>
      <c r="AP1" s="177" t="s">
        <v>151</v>
      </c>
      <c r="AQ1" s="175"/>
      <c r="AR1" s="175"/>
      <c r="AS1" s="175"/>
      <c r="AU1" s="436"/>
      <c r="AV1"/>
      <c r="AW1" s="239" t="s">
        <v>55</v>
      </c>
      <c r="BA1"/>
      <c r="BB1"/>
      <c r="BC1"/>
      <c r="BD1"/>
      <c r="BE1" s="14"/>
      <c r="BF1"/>
      <c r="BG1"/>
      <c r="BN1" s="87" t="s">
        <v>150</v>
      </c>
      <c r="BO1"/>
      <c r="BP1"/>
      <c r="BQ1"/>
      <c r="BR1"/>
      <c r="BS1" s="175"/>
      <c r="BT1" s="177" t="s">
        <v>151</v>
      </c>
      <c r="BU1" s="175"/>
      <c r="BV1" s="175"/>
      <c r="BW1" s="175"/>
      <c r="BY1" s="436"/>
    </row>
    <row r="2" spans="2:79" ht="15" thickBot="1" x14ac:dyDescent="0.4">
      <c r="C2" s="88" t="s">
        <v>152</v>
      </c>
      <c r="D2" s="88" t="s">
        <v>153</v>
      </c>
      <c r="G2" t="s">
        <v>396</v>
      </c>
      <c r="H2" s="504">
        <v>1646.47</v>
      </c>
      <c r="T2" s="66" t="s">
        <v>152</v>
      </c>
      <c r="U2" s="66" t="s">
        <v>153</v>
      </c>
      <c r="AJ2" s="89" t="s">
        <v>380</v>
      </c>
      <c r="AP2" s="89" t="s">
        <v>507</v>
      </c>
      <c r="AX2" s="66" t="s">
        <v>152</v>
      </c>
      <c r="AY2" s="66" t="s">
        <v>153</v>
      </c>
      <c r="BN2" s="89" t="s">
        <v>380</v>
      </c>
      <c r="BT2" s="89" t="s">
        <v>507</v>
      </c>
    </row>
    <row r="3" spans="2:79" ht="29" x14ac:dyDescent="0.35">
      <c r="B3" s="42" t="s">
        <v>154</v>
      </c>
      <c r="C3" s="438">
        <f ca="1">Zmiana_formy_kalkulator!$C$53</f>
        <v>46083</v>
      </c>
      <c r="D3" s="88"/>
      <c r="I3" s="30" t="s">
        <v>155</v>
      </c>
      <c r="J3" s="30" t="s">
        <v>156</v>
      </c>
      <c r="M3" t="s">
        <v>157</v>
      </c>
      <c r="N3">
        <v>0</v>
      </c>
      <c r="S3" s="439" t="s">
        <v>154</v>
      </c>
      <c r="T3" s="438">
        <f ca="1">Zmiana_formy_kalkulator!$G$53</f>
        <v>46083</v>
      </c>
      <c r="U3" s="66"/>
      <c r="AA3" s="30" t="s">
        <v>155</v>
      </c>
      <c r="AB3" s="30" t="s">
        <v>156</v>
      </c>
      <c r="AE3" s="440" t="s">
        <v>157</v>
      </c>
      <c r="AF3" s="441">
        <v>0</v>
      </c>
      <c r="AJ3" s="91" t="s">
        <v>158</v>
      </c>
      <c r="AK3" s="92" t="s">
        <v>159</v>
      </c>
      <c r="AO3" s="363" t="s">
        <v>160</v>
      </c>
      <c r="AP3" s="363" t="s">
        <v>161</v>
      </c>
      <c r="AQ3" s="364" t="s">
        <v>379</v>
      </c>
      <c r="AW3" s="439" t="s">
        <v>154</v>
      </c>
      <c r="AX3" s="438">
        <f ca="1">Zmiana_formy_kalkulator!$L$53</f>
        <v>46083</v>
      </c>
      <c r="AY3" s="66"/>
      <c r="BE3" s="30" t="s">
        <v>155</v>
      </c>
      <c r="BF3" s="30" t="s">
        <v>156</v>
      </c>
      <c r="BI3" s="440" t="s">
        <v>157</v>
      </c>
      <c r="BJ3" s="441">
        <v>0</v>
      </c>
      <c r="BN3" s="91" t="s">
        <v>158</v>
      </c>
      <c r="BO3" s="92" t="s">
        <v>159</v>
      </c>
      <c r="BS3" s="363" t="s">
        <v>160</v>
      </c>
      <c r="BT3" s="363" t="s">
        <v>161</v>
      </c>
      <c r="BU3" s="364" t="s">
        <v>379</v>
      </c>
    </row>
    <row r="4" spans="2:79" ht="15" thickBot="1" x14ac:dyDescent="0.4">
      <c r="D4" s="88"/>
      <c r="I4" s="30">
        <f ca="1">DAY(C3)</f>
        <v>2</v>
      </c>
      <c r="J4" s="30">
        <f ca="1">MONTH(C3)</f>
        <v>3</v>
      </c>
      <c r="K4" t="str">
        <f ca="1">VLOOKUP($J$4,N4:P15,3)</f>
        <v>marzec</v>
      </c>
      <c r="M4" t="s">
        <v>163</v>
      </c>
      <c r="N4" s="44">
        <v>1</v>
      </c>
      <c r="O4">
        <v>12</v>
      </c>
      <c r="P4" t="s">
        <v>163</v>
      </c>
      <c r="S4" s="64" t="s">
        <v>162</v>
      </c>
      <c r="T4" s="64" t="s">
        <v>410</v>
      </c>
      <c r="U4" s="66"/>
      <c r="AA4" s="30">
        <f ca="1">DAY(T3)</f>
        <v>2</v>
      </c>
      <c r="AB4" s="30">
        <f ca="1">MONTH(T3)</f>
        <v>3</v>
      </c>
      <c r="AC4" t="str">
        <f ca="1">VLOOKUP($AB$4,AF4:AH15,3)</f>
        <v>marzec</v>
      </c>
      <c r="AE4" s="442" t="s">
        <v>163</v>
      </c>
      <c r="AF4" s="443">
        <v>1</v>
      </c>
      <c r="AG4">
        <v>12</v>
      </c>
      <c r="AH4" t="s">
        <v>163</v>
      </c>
      <c r="AJ4" s="93" t="s">
        <v>164</v>
      </c>
      <c r="AK4" s="94">
        <v>37</v>
      </c>
      <c r="AO4" s="365" t="s">
        <v>349</v>
      </c>
      <c r="AP4" s="95" t="s">
        <v>350</v>
      </c>
      <c r="AQ4" s="365">
        <v>32</v>
      </c>
      <c r="AR4" s="175" t="s">
        <v>434</v>
      </c>
      <c r="AS4" s="366">
        <v>32</v>
      </c>
      <c r="AW4" s="64" t="s">
        <v>162</v>
      </c>
      <c r="AX4" s="64" t="s">
        <v>410</v>
      </c>
      <c r="AY4" s="66"/>
      <c r="BE4" s="30">
        <f ca="1">DAY(AX3)</f>
        <v>2</v>
      </c>
      <c r="BF4" s="30">
        <f ca="1">MONTH(AX3)</f>
        <v>3</v>
      </c>
      <c r="BG4" t="str">
        <f ca="1">VLOOKUP($AB$4,BJ4:BL15,3)</f>
        <v>marzec</v>
      </c>
      <c r="BI4" s="442" t="s">
        <v>163</v>
      </c>
      <c r="BJ4" s="443">
        <v>1</v>
      </c>
      <c r="BK4">
        <v>12</v>
      </c>
      <c r="BL4" t="s">
        <v>163</v>
      </c>
      <c r="BN4" s="93" t="s">
        <v>164</v>
      </c>
      <c r="BO4" s="94">
        <v>37</v>
      </c>
      <c r="BS4" s="365" t="s">
        <v>349</v>
      </c>
      <c r="BT4" s="95" t="s">
        <v>350</v>
      </c>
      <c r="BU4" s="365">
        <v>32</v>
      </c>
      <c r="BV4" s="175" t="s">
        <v>434</v>
      </c>
      <c r="BW4" s="366">
        <v>32</v>
      </c>
      <c r="CA4" t="s">
        <v>401</v>
      </c>
    </row>
    <row r="5" spans="2:79" x14ac:dyDescent="0.35">
      <c r="D5" s="88"/>
      <c r="J5">
        <f ca="1">VLOOKUP(J4,N4:O15,2,FALSE)</f>
        <v>2</v>
      </c>
      <c r="K5" t="str">
        <f ca="1">VLOOKUP($J$5,N4:P16,3)</f>
        <v>luty</v>
      </c>
      <c r="M5" t="s">
        <v>165</v>
      </c>
      <c r="N5" s="44">
        <v>2</v>
      </c>
      <c r="O5">
        <v>1</v>
      </c>
      <c r="P5" t="s">
        <v>165</v>
      </c>
      <c r="S5" s="64" t="str">
        <f>Zmiana_formy_kalkulator!F6</f>
        <v>PKD</v>
      </c>
      <c r="T5" s="435" t="str">
        <f>Zmiana_formy_kalkulator!G54</f>
        <v>96 Pozostała indywidualna działalność usługowa</v>
      </c>
      <c r="U5" s="66"/>
      <c r="AB5">
        <f ca="1">VLOOKUP(AB4,AF4:AG15,2,FALSE)</f>
        <v>2</v>
      </c>
      <c r="AC5" s="444" t="str">
        <f ca="1">VLOOKUP($AB$5,AF4:AH16,3)</f>
        <v>luty</v>
      </c>
      <c r="AE5" s="442" t="s">
        <v>165</v>
      </c>
      <c r="AF5" s="443">
        <v>2</v>
      </c>
      <c r="AG5">
        <v>1</v>
      </c>
      <c r="AH5" t="s">
        <v>165</v>
      </c>
      <c r="AJ5" s="96" t="s">
        <v>166</v>
      </c>
      <c r="AK5" s="97">
        <v>26</v>
      </c>
      <c r="AO5" s="365">
        <v>10</v>
      </c>
      <c r="AP5" s="95" t="s">
        <v>351</v>
      </c>
      <c r="AQ5" s="365">
        <v>23</v>
      </c>
      <c r="AR5" s="175" t="s">
        <v>415</v>
      </c>
      <c r="AS5" s="366">
        <v>23</v>
      </c>
      <c r="AW5" s="64" t="s">
        <v>160</v>
      </c>
      <c r="AX5" s="435" t="str">
        <f>Zmiana_formy_kalkulator!L54</f>
        <v>96 Pozostała indywidualna działalność usługowa</v>
      </c>
      <c r="AY5" s="66"/>
      <c r="BF5">
        <f ca="1">VLOOKUP(BF4,BJ4:BK15,2,FALSE)</f>
        <v>2</v>
      </c>
      <c r="BG5" s="444" t="str">
        <f ca="1">VLOOKUP($AB$5,BJ4:BL16,3)</f>
        <v>luty</v>
      </c>
      <c r="BI5" s="442" t="s">
        <v>165</v>
      </c>
      <c r="BJ5" s="443">
        <v>2</v>
      </c>
      <c r="BK5">
        <v>1</v>
      </c>
      <c r="BL5" t="s">
        <v>165</v>
      </c>
      <c r="BN5" s="96" t="s">
        <v>166</v>
      </c>
      <c r="BO5" s="97">
        <v>26</v>
      </c>
      <c r="BS5" s="365">
        <v>10</v>
      </c>
      <c r="BT5" s="95" t="s">
        <v>351</v>
      </c>
      <c r="BU5" s="365">
        <v>23</v>
      </c>
      <c r="BV5" s="175" t="s">
        <v>415</v>
      </c>
      <c r="BW5" s="366">
        <v>23</v>
      </c>
      <c r="CA5" t="s">
        <v>402</v>
      </c>
    </row>
    <row r="6" spans="2:79" ht="15" thickBot="1" x14ac:dyDescent="0.4">
      <c r="B6" s="42" t="s">
        <v>167</v>
      </c>
      <c r="C6" s="445" t="str">
        <f>Zmiana_formy_kalkulator!$C$57</f>
        <v>luty</v>
      </c>
      <c r="D6" s="88"/>
      <c r="J6">
        <f ca="1">VLOOKUP(J5,N4:O15,2,FALSE)</f>
        <v>1</v>
      </c>
      <c r="K6" t="str">
        <f ca="1">VLOOKUP($J$6,N3:P17,3)</f>
        <v>styczeń</v>
      </c>
      <c r="M6" t="s">
        <v>168</v>
      </c>
      <c r="N6" s="44">
        <v>3</v>
      </c>
      <c r="O6">
        <v>2</v>
      </c>
      <c r="P6" t="s">
        <v>168</v>
      </c>
      <c r="S6" s="439" t="s">
        <v>167</v>
      </c>
      <c r="T6" s="445" t="str">
        <f>Zmiana_formy_kalkulator!$G$57</f>
        <v>luty</v>
      </c>
      <c r="U6" s="66"/>
      <c r="AB6">
        <f ca="1">VLOOKUP(AB5,AF4:AG15,2,FALSE)</f>
        <v>1</v>
      </c>
      <c r="AC6" s="446" t="str">
        <f ca="1">VLOOKUP($AB$6,AF3:AH17,3)</f>
        <v>styczeń</v>
      </c>
      <c r="AE6" s="442" t="s">
        <v>168</v>
      </c>
      <c r="AF6" s="443">
        <v>3</v>
      </c>
      <c r="AG6">
        <v>2</v>
      </c>
      <c r="AH6" t="s">
        <v>168</v>
      </c>
      <c r="AJ6" s="96" t="s">
        <v>169</v>
      </c>
      <c r="AK6" s="97">
        <v>34</v>
      </c>
      <c r="AO6" s="365">
        <v>13</v>
      </c>
      <c r="AP6" s="95" t="s">
        <v>508</v>
      </c>
      <c r="AQ6" s="365">
        <v>30</v>
      </c>
      <c r="AR6" s="175" t="s">
        <v>514</v>
      </c>
      <c r="AS6" s="366">
        <v>30</v>
      </c>
      <c r="AW6" s="439" t="s">
        <v>167</v>
      </c>
      <c r="AX6" s="445" t="str">
        <f>Zmiana_formy_kalkulator!$L$57</f>
        <v>luty</v>
      </c>
      <c r="AY6" s="66"/>
      <c r="BF6">
        <f ca="1">VLOOKUP(BF5,BJ4:BK15,2,FALSE)</f>
        <v>1</v>
      </c>
      <c r="BG6" s="446" t="str">
        <f ca="1">VLOOKUP($AB$6,BJ3:BL17,3)</f>
        <v>styczeń</v>
      </c>
      <c r="BI6" s="442" t="s">
        <v>168</v>
      </c>
      <c r="BJ6" s="443">
        <v>3</v>
      </c>
      <c r="BK6">
        <v>2</v>
      </c>
      <c r="BL6" t="s">
        <v>168</v>
      </c>
      <c r="BN6" s="96" t="s">
        <v>169</v>
      </c>
      <c r="BO6" s="97">
        <v>34</v>
      </c>
      <c r="BS6" s="365">
        <v>13</v>
      </c>
      <c r="BT6" s="95" t="s">
        <v>508</v>
      </c>
      <c r="BU6" s="365">
        <v>30</v>
      </c>
      <c r="BV6" s="175" t="s">
        <v>514</v>
      </c>
      <c r="BW6" s="366">
        <v>30</v>
      </c>
      <c r="CA6" t="s">
        <v>403</v>
      </c>
    </row>
    <row r="7" spans="2:79" x14ac:dyDescent="0.35">
      <c r="B7" s="98" t="s">
        <v>170</v>
      </c>
      <c r="C7" s="445" t="str">
        <f>Zmiana_formy_kalkulator!$C$55</f>
        <v>Nie cały rok</v>
      </c>
      <c r="E7" t="s">
        <v>172</v>
      </c>
      <c r="M7" t="s">
        <v>173</v>
      </c>
      <c r="N7" s="44">
        <v>4</v>
      </c>
      <c r="O7">
        <v>3</v>
      </c>
      <c r="P7" t="s">
        <v>173</v>
      </c>
      <c r="S7" s="447" t="s">
        <v>170</v>
      </c>
      <c r="T7" s="445" t="str">
        <f>Zmiana_formy_kalkulator!$G$55</f>
        <v>Nie cały rok</v>
      </c>
      <c r="V7" s="64" t="s">
        <v>172</v>
      </c>
      <c r="AE7" s="442" t="s">
        <v>173</v>
      </c>
      <c r="AF7" s="443">
        <v>4</v>
      </c>
      <c r="AG7">
        <v>3</v>
      </c>
      <c r="AH7" t="s">
        <v>173</v>
      </c>
      <c r="AJ7" s="96" t="s">
        <v>174</v>
      </c>
      <c r="AK7" s="97">
        <v>24</v>
      </c>
      <c r="AO7" s="365">
        <v>14</v>
      </c>
      <c r="AP7" s="95" t="s">
        <v>472</v>
      </c>
      <c r="AQ7" s="365">
        <v>25</v>
      </c>
      <c r="AR7" s="175" t="s">
        <v>515</v>
      </c>
      <c r="AS7" s="366">
        <v>25</v>
      </c>
      <c r="AW7" s="447" t="s">
        <v>170</v>
      </c>
      <c r="AX7" s="445" t="str">
        <f>Zmiana_formy_kalkulator!$L$55</f>
        <v>Nie cały rok</v>
      </c>
      <c r="AZ7" s="64" t="s">
        <v>172</v>
      </c>
      <c r="BI7" s="442" t="s">
        <v>173</v>
      </c>
      <c r="BJ7" s="443">
        <v>4</v>
      </c>
      <c r="BK7">
        <v>3</v>
      </c>
      <c r="BL7" t="s">
        <v>173</v>
      </c>
      <c r="BN7" s="96" t="s">
        <v>174</v>
      </c>
      <c r="BO7" s="97">
        <v>24</v>
      </c>
      <c r="BS7" s="365">
        <v>14</v>
      </c>
      <c r="BT7" s="95" t="s">
        <v>472</v>
      </c>
      <c r="BU7" s="365">
        <v>25</v>
      </c>
      <c r="BV7" s="175" t="s">
        <v>515</v>
      </c>
      <c r="BW7" s="366">
        <v>25</v>
      </c>
    </row>
    <row r="8" spans="2:79" x14ac:dyDescent="0.35">
      <c r="B8" s="98" t="s">
        <v>175</v>
      </c>
      <c r="C8" s="445">
        <f>Zmiana_formy_kalkulator!$C$56</f>
        <v>46022</v>
      </c>
      <c r="D8">
        <f>MONTH(C8)</f>
        <v>12</v>
      </c>
      <c r="E8" t="s">
        <v>171</v>
      </c>
      <c r="M8" t="s">
        <v>176</v>
      </c>
      <c r="N8" s="44">
        <v>5</v>
      </c>
      <c r="O8">
        <v>4</v>
      </c>
      <c r="P8" t="s">
        <v>176</v>
      </c>
      <c r="S8" s="447" t="s">
        <v>175</v>
      </c>
      <c r="T8" s="445">
        <f>Zmiana_formy_kalkulator!$G$56</f>
        <v>46022</v>
      </c>
      <c r="U8" s="64">
        <f>MONTH(T8)</f>
        <v>12</v>
      </c>
      <c r="V8" s="64" t="s">
        <v>171</v>
      </c>
      <c r="AE8" s="442" t="s">
        <v>176</v>
      </c>
      <c r="AF8" s="443">
        <v>5</v>
      </c>
      <c r="AG8">
        <v>4</v>
      </c>
      <c r="AH8" t="s">
        <v>176</v>
      </c>
      <c r="AJ8" s="96" t="s">
        <v>177</v>
      </c>
      <c r="AK8" s="97">
        <v>30</v>
      </c>
      <c r="AO8" s="365">
        <v>16</v>
      </c>
      <c r="AP8" s="95" t="s">
        <v>352</v>
      </c>
      <c r="AQ8" s="365">
        <v>28</v>
      </c>
      <c r="AR8" s="175" t="s">
        <v>435</v>
      </c>
      <c r="AS8" s="366">
        <v>28</v>
      </c>
      <c r="AW8" s="447" t="s">
        <v>175</v>
      </c>
      <c r="AX8" s="445">
        <f>Zmiana_formy_kalkulator!$L$56</f>
        <v>46022</v>
      </c>
      <c r="AY8" s="64">
        <f>MONTH(AX8)</f>
        <v>12</v>
      </c>
      <c r="AZ8" s="64" t="s">
        <v>171</v>
      </c>
      <c r="BI8" s="442" t="s">
        <v>176</v>
      </c>
      <c r="BJ8" s="443">
        <v>5</v>
      </c>
      <c r="BK8">
        <v>4</v>
      </c>
      <c r="BL8" t="s">
        <v>176</v>
      </c>
      <c r="BN8" s="96" t="s">
        <v>177</v>
      </c>
      <c r="BO8" s="97">
        <v>30</v>
      </c>
      <c r="BS8" s="365">
        <v>16</v>
      </c>
      <c r="BT8" s="95" t="s">
        <v>352</v>
      </c>
      <c r="BU8" s="365">
        <v>28</v>
      </c>
      <c r="BV8" s="175" t="s">
        <v>435</v>
      </c>
      <c r="BW8" s="366">
        <v>28</v>
      </c>
    </row>
    <row r="9" spans="2:79" x14ac:dyDescent="0.35">
      <c r="B9" s="101" t="s">
        <v>178</v>
      </c>
      <c r="C9" s="152">
        <f>13-D8</f>
        <v>1</v>
      </c>
      <c r="D9" s="99"/>
      <c r="E9" s="99"/>
      <c r="M9" t="s">
        <v>179</v>
      </c>
      <c r="N9" s="44">
        <v>6</v>
      </c>
      <c r="O9">
        <v>5</v>
      </c>
      <c r="P9" t="s">
        <v>179</v>
      </c>
      <c r="S9" s="448" t="s">
        <v>178</v>
      </c>
      <c r="T9" s="449">
        <f>IF(T7="cały rok",12,13-U8)</f>
        <v>1</v>
      </c>
      <c r="U9" s="64">
        <f>VLOOKUP(U8,AF4:AG15,2,FALSE)</f>
        <v>11</v>
      </c>
      <c r="AE9" s="442" t="s">
        <v>179</v>
      </c>
      <c r="AF9" s="443">
        <v>6</v>
      </c>
      <c r="AG9">
        <v>5</v>
      </c>
      <c r="AH9" t="s">
        <v>179</v>
      </c>
      <c r="AJ9" s="96" t="s">
        <v>180</v>
      </c>
      <c r="AK9" s="97">
        <v>62</v>
      </c>
      <c r="AO9" s="365">
        <v>18</v>
      </c>
      <c r="AP9" s="95" t="s">
        <v>473</v>
      </c>
      <c r="AQ9" s="365">
        <v>33</v>
      </c>
      <c r="AR9" s="175" t="s">
        <v>516</v>
      </c>
      <c r="AS9" s="366">
        <v>33</v>
      </c>
      <c r="AW9" s="448" t="s">
        <v>178</v>
      </c>
      <c r="AX9" s="449">
        <f>IF(AX7="cały rok",12,13-AY8)</f>
        <v>1</v>
      </c>
      <c r="AY9" s="64">
        <f>VLOOKUP(AY8,BJ4:BK15,2,FALSE)</f>
        <v>11</v>
      </c>
      <c r="BI9" s="442" t="s">
        <v>179</v>
      </c>
      <c r="BJ9" s="443">
        <v>6</v>
      </c>
      <c r="BK9">
        <v>5</v>
      </c>
      <c r="BL9" t="s">
        <v>179</v>
      </c>
      <c r="BN9" s="96" t="s">
        <v>180</v>
      </c>
      <c r="BO9" s="97">
        <v>62</v>
      </c>
      <c r="BS9" s="365">
        <v>18</v>
      </c>
      <c r="BT9" s="95" t="s">
        <v>473</v>
      </c>
      <c r="BU9" s="365">
        <v>33</v>
      </c>
      <c r="BV9" s="175" t="s">
        <v>516</v>
      </c>
      <c r="BW9" s="366">
        <v>33</v>
      </c>
    </row>
    <row r="10" spans="2:79" x14ac:dyDescent="0.35">
      <c r="B10" s="101" t="s">
        <v>181</v>
      </c>
      <c r="C10" s="99">
        <f ca="1">IF(AND(MONTH(T3)=1,DAY(T3)&gt;=1,DAY(T3)&lt;=20),0,VLOOKUP($T$6,M3:N15,2,FALSE))</f>
        <v>2</v>
      </c>
      <c r="M10" t="s">
        <v>182</v>
      </c>
      <c r="N10" s="44">
        <v>7</v>
      </c>
      <c r="O10">
        <v>6</v>
      </c>
      <c r="P10" t="s">
        <v>182</v>
      </c>
      <c r="S10" s="448" t="s">
        <v>181</v>
      </c>
      <c r="T10" s="449">
        <f>VLOOKUP($T$6,AE3:AF15,2,FALSE)</f>
        <v>2</v>
      </c>
      <c r="AE10" s="442" t="s">
        <v>182</v>
      </c>
      <c r="AF10" s="443">
        <v>7</v>
      </c>
      <c r="AG10">
        <v>6</v>
      </c>
      <c r="AH10" t="s">
        <v>182</v>
      </c>
      <c r="AJ10" s="96" t="s">
        <v>183</v>
      </c>
      <c r="AK10" s="97">
        <v>49</v>
      </c>
      <c r="AO10" s="365">
        <v>22</v>
      </c>
      <c r="AP10" s="95" t="s">
        <v>353</v>
      </c>
      <c r="AQ10" s="365">
        <v>27</v>
      </c>
      <c r="AR10" s="175" t="s">
        <v>436</v>
      </c>
      <c r="AS10" s="366">
        <v>27</v>
      </c>
      <c r="AW10" s="448" t="s">
        <v>181</v>
      </c>
      <c r="AX10" s="449">
        <f>VLOOKUP($AX$6,BI3:BJ15,2,FALSE)</f>
        <v>2</v>
      </c>
      <c r="BI10" s="442" t="s">
        <v>182</v>
      </c>
      <c r="BJ10" s="443">
        <v>7</v>
      </c>
      <c r="BK10">
        <v>6</v>
      </c>
      <c r="BL10" t="s">
        <v>182</v>
      </c>
      <c r="BN10" s="96" t="s">
        <v>183</v>
      </c>
      <c r="BO10" s="97">
        <v>49</v>
      </c>
      <c r="BS10" s="365">
        <v>22</v>
      </c>
      <c r="BT10" s="95" t="s">
        <v>353</v>
      </c>
      <c r="BU10" s="365">
        <v>27</v>
      </c>
      <c r="BV10" s="175" t="s">
        <v>436</v>
      </c>
      <c r="BW10" s="366">
        <v>27</v>
      </c>
    </row>
    <row r="11" spans="2:79" x14ac:dyDescent="0.35">
      <c r="B11" s="49"/>
      <c r="M11" t="s">
        <v>184</v>
      </c>
      <c r="N11" s="44">
        <v>8</v>
      </c>
      <c r="O11">
        <v>7</v>
      </c>
      <c r="P11" t="s">
        <v>184</v>
      </c>
      <c r="S11" s="416"/>
      <c r="AE11" s="442" t="s">
        <v>184</v>
      </c>
      <c r="AF11" s="443">
        <v>8</v>
      </c>
      <c r="AG11">
        <v>7</v>
      </c>
      <c r="AH11" t="s">
        <v>184</v>
      </c>
      <c r="AJ11" s="93" t="s">
        <v>185</v>
      </c>
      <c r="AK11" s="94">
        <v>41</v>
      </c>
      <c r="AO11" s="365">
        <v>23</v>
      </c>
      <c r="AP11" s="95" t="s">
        <v>509</v>
      </c>
      <c r="AQ11" s="365">
        <v>18</v>
      </c>
      <c r="AR11" s="175" t="s">
        <v>517</v>
      </c>
      <c r="AS11" s="366">
        <v>18</v>
      </c>
      <c r="AW11" s="416"/>
      <c r="BI11" s="442" t="s">
        <v>184</v>
      </c>
      <c r="BJ11" s="443">
        <v>8</v>
      </c>
      <c r="BK11">
        <v>7</v>
      </c>
      <c r="BL11" t="s">
        <v>184</v>
      </c>
      <c r="BN11" s="93" t="s">
        <v>185</v>
      </c>
      <c r="BO11" s="94">
        <v>41</v>
      </c>
      <c r="BS11" s="365">
        <v>23</v>
      </c>
      <c r="BT11" s="95" t="s">
        <v>509</v>
      </c>
      <c r="BU11" s="365">
        <v>18</v>
      </c>
      <c r="BV11" s="175" t="s">
        <v>517</v>
      </c>
      <c r="BW11" s="366">
        <v>18</v>
      </c>
    </row>
    <row r="12" spans="2:79" x14ac:dyDescent="0.35">
      <c r="B12" s="98" t="s">
        <v>186</v>
      </c>
      <c r="C12" s="103">
        <f>Zmiana_formy_kalkulator!$C59</f>
        <v>60000</v>
      </c>
      <c r="M12" t="s">
        <v>187</v>
      </c>
      <c r="N12" s="44">
        <v>9</v>
      </c>
      <c r="O12">
        <v>8</v>
      </c>
      <c r="P12" t="s">
        <v>187</v>
      </c>
      <c r="S12" s="447" t="s">
        <v>186</v>
      </c>
      <c r="T12" s="450">
        <f>Zmiana_formy_kalkulator!G59</f>
        <v>60000</v>
      </c>
      <c r="AE12" s="442" t="s">
        <v>187</v>
      </c>
      <c r="AF12" s="443">
        <v>9</v>
      </c>
      <c r="AG12">
        <v>8</v>
      </c>
      <c r="AH12" t="s">
        <v>187</v>
      </c>
      <c r="AJ12" s="96" t="s">
        <v>188</v>
      </c>
      <c r="AK12" s="97">
        <v>69</v>
      </c>
      <c r="AO12" s="365">
        <v>25</v>
      </c>
      <c r="AP12" s="102" t="s">
        <v>354</v>
      </c>
      <c r="AQ12" s="365">
        <v>31</v>
      </c>
      <c r="AR12" s="175" t="s">
        <v>437</v>
      </c>
      <c r="AS12" s="366">
        <v>31</v>
      </c>
      <c r="AW12" s="447" t="s">
        <v>186</v>
      </c>
      <c r="AX12" s="450">
        <f>Zmiana_formy_kalkulator!L59</f>
        <v>60000</v>
      </c>
      <c r="BI12" s="442" t="s">
        <v>187</v>
      </c>
      <c r="BJ12" s="443">
        <v>9</v>
      </c>
      <c r="BK12">
        <v>8</v>
      </c>
      <c r="BL12" t="s">
        <v>187</v>
      </c>
      <c r="BN12" s="96" t="s">
        <v>188</v>
      </c>
      <c r="BO12" s="97">
        <v>69</v>
      </c>
      <c r="BS12" s="365">
        <v>25</v>
      </c>
      <c r="BT12" s="102" t="s">
        <v>354</v>
      </c>
      <c r="BU12" s="365">
        <v>31</v>
      </c>
      <c r="BV12" s="175" t="s">
        <v>437</v>
      </c>
      <c r="BW12" s="366">
        <v>31</v>
      </c>
    </row>
    <row r="13" spans="2:79" x14ac:dyDescent="0.35">
      <c r="B13" s="98" t="s">
        <v>189</v>
      </c>
      <c r="C13" s="103">
        <f ca="1">IF(Zmiana_formy_kalkulator!$G$79="TAK",Zmiana_formy_kalkulator!C60,$H$2*C10+Zmiana_formy_kalkulator!C60)</f>
        <v>33292.94</v>
      </c>
      <c r="M13" t="s">
        <v>190</v>
      </c>
      <c r="N13" s="44">
        <v>10</v>
      </c>
      <c r="O13">
        <v>9</v>
      </c>
      <c r="P13" t="s">
        <v>190</v>
      </c>
      <c r="S13" s="447" t="s">
        <v>189</v>
      </c>
      <c r="T13" s="450">
        <f>$H$2*T10+Zmiana_formy_kalkulator!G60</f>
        <v>33292.94</v>
      </c>
      <c r="AE13" s="442" t="s">
        <v>190</v>
      </c>
      <c r="AF13" s="443">
        <v>10</v>
      </c>
      <c r="AG13">
        <v>9</v>
      </c>
      <c r="AH13" t="s">
        <v>190</v>
      </c>
      <c r="AJ13" s="96" t="s">
        <v>191</v>
      </c>
      <c r="AK13" s="97">
        <v>52</v>
      </c>
      <c r="AO13" s="365">
        <v>31</v>
      </c>
      <c r="AP13" s="102" t="s">
        <v>355</v>
      </c>
      <c r="AQ13" s="365">
        <v>22</v>
      </c>
      <c r="AR13" s="175" t="s">
        <v>438</v>
      </c>
      <c r="AS13" s="366">
        <v>22</v>
      </c>
      <c r="AW13" s="447" t="s">
        <v>189</v>
      </c>
      <c r="AX13" s="450">
        <f>$H$2*AX10+Zmiana_formy_kalkulator!L60</f>
        <v>33292.94</v>
      </c>
      <c r="BI13" s="442" t="s">
        <v>190</v>
      </c>
      <c r="BJ13" s="443">
        <v>10</v>
      </c>
      <c r="BK13">
        <v>9</v>
      </c>
      <c r="BL13" t="s">
        <v>190</v>
      </c>
      <c r="BN13" s="96" t="s">
        <v>191</v>
      </c>
      <c r="BO13" s="97">
        <v>52</v>
      </c>
      <c r="BS13" s="365">
        <v>31</v>
      </c>
      <c r="BT13" s="102" t="s">
        <v>355</v>
      </c>
      <c r="BU13" s="365">
        <v>22</v>
      </c>
      <c r="BV13" s="175" t="s">
        <v>438</v>
      </c>
      <c r="BW13" s="366">
        <v>22</v>
      </c>
    </row>
    <row r="14" spans="2:79" x14ac:dyDescent="0.35">
      <c r="B14" s="98" t="s">
        <v>241</v>
      </c>
      <c r="C14" s="492">
        <f>Zmiana_formy_kalkulator!$C61</f>
        <v>0</v>
      </c>
      <c r="D14" s="481"/>
      <c r="M14" t="s">
        <v>193</v>
      </c>
      <c r="N14" s="44">
        <v>11</v>
      </c>
      <c r="O14">
        <v>10</v>
      </c>
      <c r="P14" t="s">
        <v>193</v>
      </c>
      <c r="S14" s="447" t="s">
        <v>192</v>
      </c>
      <c r="T14" s="451">
        <f>Zmiana_formy_kalkulator!G62</f>
        <v>0</v>
      </c>
      <c r="AE14" s="442" t="s">
        <v>193</v>
      </c>
      <c r="AF14" s="443">
        <v>11</v>
      </c>
      <c r="AG14">
        <v>10</v>
      </c>
      <c r="AH14" t="s">
        <v>193</v>
      </c>
      <c r="AJ14" s="96" t="s">
        <v>194</v>
      </c>
      <c r="AK14" s="97">
        <v>63</v>
      </c>
      <c r="AO14" s="365">
        <v>32</v>
      </c>
      <c r="AP14" s="102" t="s">
        <v>429</v>
      </c>
      <c r="AQ14" s="365">
        <v>33</v>
      </c>
      <c r="AR14" s="175" t="s">
        <v>439</v>
      </c>
      <c r="AS14" s="366">
        <v>33</v>
      </c>
      <c r="AW14" s="447" t="s">
        <v>192</v>
      </c>
      <c r="AX14" s="450">
        <f>Zmiana_formy_kalkulator!L62</f>
        <v>0</v>
      </c>
      <c r="BI14" s="442" t="s">
        <v>193</v>
      </c>
      <c r="BJ14" s="443">
        <v>11</v>
      </c>
      <c r="BK14">
        <v>10</v>
      </c>
      <c r="BL14" t="s">
        <v>193</v>
      </c>
      <c r="BN14" s="96" t="s">
        <v>194</v>
      </c>
      <c r="BO14" s="97">
        <v>63</v>
      </c>
      <c r="BS14" s="365">
        <v>32</v>
      </c>
      <c r="BT14" s="102" t="s">
        <v>429</v>
      </c>
      <c r="BU14" s="365">
        <v>33</v>
      </c>
      <c r="BV14" s="175" t="s">
        <v>439</v>
      </c>
      <c r="BW14" s="366">
        <v>33</v>
      </c>
    </row>
    <row r="15" spans="2:79" ht="15" thickBot="1" x14ac:dyDescent="0.4">
      <c r="B15" s="98" t="s">
        <v>192</v>
      </c>
      <c r="C15" s="103">
        <f>Zmiana_formy_kalkulator!$C62</f>
        <v>0</v>
      </c>
      <c r="D15" s="481"/>
      <c r="M15" t="s">
        <v>195</v>
      </c>
      <c r="N15" s="44">
        <v>12</v>
      </c>
      <c r="O15">
        <v>11</v>
      </c>
      <c r="P15" t="s">
        <v>157</v>
      </c>
      <c r="S15" s="416"/>
      <c r="AE15" s="452" t="s">
        <v>195</v>
      </c>
      <c r="AF15" s="453">
        <v>12</v>
      </c>
      <c r="AG15">
        <v>11</v>
      </c>
      <c r="AH15" t="s">
        <v>157</v>
      </c>
      <c r="AJ15" s="96" t="s">
        <v>196</v>
      </c>
      <c r="AK15" s="97">
        <v>49</v>
      </c>
      <c r="AO15" s="365">
        <v>33</v>
      </c>
      <c r="AP15" s="102" t="s">
        <v>356</v>
      </c>
      <c r="AQ15" s="365">
        <v>38</v>
      </c>
      <c r="AR15" s="175" t="s">
        <v>440</v>
      </c>
      <c r="AS15" s="366">
        <v>38</v>
      </c>
      <c r="AW15" s="416"/>
      <c r="BI15" s="452" t="s">
        <v>195</v>
      </c>
      <c r="BJ15" s="453">
        <v>12</v>
      </c>
      <c r="BK15">
        <v>11</v>
      </c>
      <c r="BL15" t="s">
        <v>157</v>
      </c>
      <c r="BN15" s="96" t="s">
        <v>196</v>
      </c>
      <c r="BO15" s="97">
        <v>49</v>
      </c>
      <c r="BS15" s="365">
        <v>33</v>
      </c>
      <c r="BT15" s="102" t="s">
        <v>356</v>
      </c>
      <c r="BU15" s="365">
        <v>38</v>
      </c>
      <c r="BV15" s="175" t="s">
        <v>440</v>
      </c>
      <c r="BW15" s="366">
        <v>38</v>
      </c>
    </row>
    <row r="16" spans="2:79" x14ac:dyDescent="0.35">
      <c r="B16" s="49"/>
      <c r="S16" s="454" t="s">
        <v>197</v>
      </c>
      <c r="T16" s="455">
        <f>IF(T12-T13&lt;=0,0,0.19)</f>
        <v>0.19</v>
      </c>
      <c r="AO16" s="365">
        <v>38</v>
      </c>
      <c r="AP16" s="102" t="s">
        <v>474</v>
      </c>
      <c r="AQ16" s="365">
        <v>21</v>
      </c>
      <c r="AR16" s="175" t="s">
        <v>518</v>
      </c>
      <c r="AS16" s="366">
        <v>21</v>
      </c>
      <c r="AW16" s="454" t="s">
        <v>197</v>
      </c>
      <c r="AX16" s="455">
        <f>IF(AX12-AX13&lt;=0,0,0.19)</f>
        <v>0.19</v>
      </c>
      <c r="BS16" s="365">
        <v>38</v>
      </c>
      <c r="BT16" s="102" t="s">
        <v>474</v>
      </c>
      <c r="BU16" s="365">
        <v>21</v>
      </c>
      <c r="BV16" s="175" t="s">
        <v>518</v>
      </c>
      <c r="BW16" s="366">
        <v>21</v>
      </c>
    </row>
    <row r="17" spans="2:75" x14ac:dyDescent="0.35">
      <c r="B17" s="104" t="s">
        <v>197</v>
      </c>
      <c r="C17" s="30">
        <f ca="1">IF(C12-C13&lt;=0,0,0.19)</f>
        <v>0.19</v>
      </c>
      <c r="S17" s="416"/>
      <c r="AO17" s="365">
        <v>41</v>
      </c>
      <c r="AP17" s="102" t="s">
        <v>357</v>
      </c>
      <c r="AQ17" s="365">
        <v>27</v>
      </c>
      <c r="AR17" s="175" t="s">
        <v>441</v>
      </c>
      <c r="AS17" s="366">
        <v>27</v>
      </c>
      <c r="AW17" s="416"/>
      <c r="BS17" s="365">
        <v>41</v>
      </c>
      <c r="BT17" s="102" t="s">
        <v>357</v>
      </c>
      <c r="BU17" s="365">
        <v>27</v>
      </c>
      <c r="BV17" s="175" t="s">
        <v>441</v>
      </c>
      <c r="BW17" s="366">
        <v>27</v>
      </c>
    </row>
    <row r="18" spans="2:75" x14ac:dyDescent="0.35">
      <c r="B18" s="49"/>
      <c r="S18" s="447" t="s">
        <v>198</v>
      </c>
      <c r="T18" s="450">
        <f>Zmiana_formy_kalkulator!G64</f>
        <v>0</v>
      </c>
      <c r="AJ18" s="105"/>
      <c r="AO18" s="365">
        <v>42</v>
      </c>
      <c r="AP18" s="102" t="s">
        <v>358</v>
      </c>
      <c r="AQ18" s="365">
        <v>26</v>
      </c>
      <c r="AR18" s="175" t="s">
        <v>442</v>
      </c>
      <c r="AS18" s="366">
        <v>26</v>
      </c>
      <c r="AW18" s="447" t="s">
        <v>198</v>
      </c>
      <c r="AX18" s="450">
        <f>Zmiana_formy_kalkulator!L64</f>
        <v>0</v>
      </c>
      <c r="BN18" s="105"/>
      <c r="BS18" s="365">
        <v>42</v>
      </c>
      <c r="BT18" s="102" t="s">
        <v>358</v>
      </c>
      <c r="BU18" s="365">
        <v>26</v>
      </c>
      <c r="BV18" s="175" t="s">
        <v>442</v>
      </c>
      <c r="BW18" s="366">
        <v>26</v>
      </c>
    </row>
    <row r="19" spans="2:75" x14ac:dyDescent="0.35">
      <c r="B19" s="98" t="s">
        <v>198</v>
      </c>
      <c r="C19" s="103">
        <f>Zmiana_formy_kalkulator!$C64</f>
        <v>0</v>
      </c>
      <c r="S19" s="447" t="s">
        <v>199</v>
      </c>
      <c r="T19" s="450">
        <f>Zmiana_formy_kalkulator!G65</f>
        <v>0</v>
      </c>
      <c r="AJ19" s="105"/>
      <c r="AO19" s="365">
        <v>43</v>
      </c>
      <c r="AP19" s="95" t="s">
        <v>359</v>
      </c>
      <c r="AQ19" s="365">
        <v>30</v>
      </c>
      <c r="AR19" s="175" t="s">
        <v>443</v>
      </c>
      <c r="AS19" s="366">
        <v>30</v>
      </c>
      <c r="AW19" s="447" t="s">
        <v>199</v>
      </c>
      <c r="AX19" s="450">
        <f>Zmiana_formy_kalkulator!L65</f>
        <v>0</v>
      </c>
      <c r="BN19" s="105"/>
      <c r="BS19" s="365">
        <v>43</v>
      </c>
      <c r="BT19" s="95" t="s">
        <v>359</v>
      </c>
      <c r="BU19" s="365">
        <v>30</v>
      </c>
      <c r="BV19" s="175" t="s">
        <v>443</v>
      </c>
      <c r="BW19" s="366">
        <v>30</v>
      </c>
    </row>
    <row r="20" spans="2:75" x14ac:dyDescent="0.35">
      <c r="B20" s="98" t="s">
        <v>199</v>
      </c>
      <c r="C20" s="103">
        <f>Zmiana_formy_kalkulator!$C65</f>
        <v>0</v>
      </c>
      <c r="S20" s="447" t="s">
        <v>200</v>
      </c>
      <c r="T20" s="450">
        <f>Zmiana_formy_kalkulator!G66</f>
        <v>0</v>
      </c>
      <c r="AJ20" s="105"/>
      <c r="AO20" s="365">
        <v>45</v>
      </c>
      <c r="AP20" s="95" t="s">
        <v>360</v>
      </c>
      <c r="AQ20" s="365">
        <v>23</v>
      </c>
      <c r="AR20" s="175" t="s">
        <v>444</v>
      </c>
      <c r="AS20" s="367">
        <v>23</v>
      </c>
      <c r="AW20" s="447" t="s">
        <v>200</v>
      </c>
      <c r="AX20" s="450">
        <f>Zmiana_formy_kalkulator!L66</f>
        <v>0</v>
      </c>
      <c r="BN20" s="105"/>
      <c r="BS20" s="365">
        <v>45</v>
      </c>
      <c r="BT20" s="95" t="s">
        <v>360</v>
      </c>
      <c r="BU20" s="365">
        <v>23</v>
      </c>
      <c r="BV20" s="175" t="s">
        <v>444</v>
      </c>
      <c r="BW20" s="367">
        <v>23</v>
      </c>
    </row>
    <row r="21" spans="2:75" x14ac:dyDescent="0.35">
      <c r="B21" s="98" t="s">
        <v>241</v>
      </c>
      <c r="C21" s="103">
        <f>Zmiana_formy_kalkulator!$C66</f>
        <v>0</v>
      </c>
      <c r="S21" s="416"/>
      <c r="U21" s="456" t="s">
        <v>201</v>
      </c>
      <c r="V21" s="456" t="s">
        <v>202</v>
      </c>
      <c r="AO21" s="365">
        <v>46</v>
      </c>
      <c r="AP21" s="106" t="s">
        <v>361</v>
      </c>
      <c r="AQ21" s="365">
        <v>25</v>
      </c>
      <c r="AR21" s="175" t="s">
        <v>445</v>
      </c>
      <c r="AS21" s="366">
        <v>25</v>
      </c>
      <c r="AW21" s="416"/>
      <c r="AY21" s="456" t="s">
        <v>201</v>
      </c>
      <c r="AZ21" s="456" t="s">
        <v>202</v>
      </c>
      <c r="BS21" s="365">
        <v>46</v>
      </c>
      <c r="BT21" s="106" t="s">
        <v>361</v>
      </c>
      <c r="BU21" s="365">
        <v>25</v>
      </c>
      <c r="BV21" s="175" t="s">
        <v>445</v>
      </c>
      <c r="BW21" s="366">
        <v>25</v>
      </c>
    </row>
    <row r="22" spans="2:75" ht="15" thickBot="1" x14ac:dyDescent="0.4">
      <c r="B22" s="98" t="s">
        <v>200</v>
      </c>
      <c r="C22" s="103">
        <f>Zmiana_formy_kalkulator!$C67</f>
        <v>0</v>
      </c>
      <c r="S22" s="448" t="s">
        <v>203</v>
      </c>
      <c r="U22" s="457"/>
      <c r="V22" s="457"/>
      <c r="AO22" s="365">
        <v>47</v>
      </c>
      <c r="AP22" s="95" t="s">
        <v>362</v>
      </c>
      <c r="AQ22" s="365">
        <v>18</v>
      </c>
      <c r="AR22" s="175" t="s">
        <v>446</v>
      </c>
      <c r="AS22" s="366">
        <v>18</v>
      </c>
      <c r="AW22" s="448" t="s">
        <v>203</v>
      </c>
      <c r="AY22" s="457"/>
      <c r="AZ22" s="457"/>
      <c r="BS22" s="365">
        <v>47</v>
      </c>
      <c r="BT22" s="95" t="s">
        <v>362</v>
      </c>
      <c r="BU22" s="365">
        <v>18</v>
      </c>
      <c r="BV22" s="175" t="s">
        <v>446</v>
      </c>
      <c r="BW22" s="366">
        <v>18</v>
      </c>
    </row>
    <row r="23" spans="2:75" x14ac:dyDescent="0.35">
      <c r="B23" s="149" t="s">
        <v>240</v>
      </c>
      <c r="C23" s="151" t="s">
        <v>239</v>
      </c>
      <c r="D23" s="150" t="s">
        <v>238</v>
      </c>
      <c r="E23" s="147" t="s">
        <v>237</v>
      </c>
      <c r="G23" s="149" t="s">
        <v>236</v>
      </c>
      <c r="H23" s="148" t="s">
        <v>235</v>
      </c>
      <c r="I23" s="147" t="s">
        <v>202</v>
      </c>
      <c r="S23" s="448" t="s">
        <v>204</v>
      </c>
      <c r="U23" s="457">
        <f>((T12-T13)*(1-T16)+T14)/T10</f>
        <v>10816.3593</v>
      </c>
      <c r="V23" s="457">
        <f>T12/T10</f>
        <v>30000</v>
      </c>
      <c r="AO23" s="365">
        <v>49</v>
      </c>
      <c r="AP23" s="107" t="s">
        <v>363</v>
      </c>
      <c r="AQ23" s="565">
        <v>24</v>
      </c>
      <c r="AR23" s="175" t="s">
        <v>447</v>
      </c>
      <c r="AS23" s="366">
        <v>24</v>
      </c>
      <c r="AW23" s="448" t="s">
        <v>204</v>
      </c>
      <c r="AY23" s="457">
        <f>((AX12-AX13)*(1-AX16)+AX14)/AX10</f>
        <v>10816.3593</v>
      </c>
      <c r="AZ23" s="457">
        <f>AX12/AX10</f>
        <v>30000</v>
      </c>
      <c r="BS23" s="365">
        <v>49</v>
      </c>
      <c r="BT23" s="107" t="s">
        <v>363</v>
      </c>
      <c r="BU23" s="565">
        <v>24</v>
      </c>
      <c r="BV23" s="175" t="s">
        <v>447</v>
      </c>
      <c r="BW23" s="366">
        <v>24</v>
      </c>
    </row>
    <row r="24" spans="2:75" x14ac:dyDescent="0.35">
      <c r="B24" s="146" t="s">
        <v>203</v>
      </c>
      <c r="C24" s="458">
        <f>((C19-C20)*(1-C29)+C21+C22)/11</f>
        <v>0</v>
      </c>
      <c r="D24" s="458">
        <f>((C19-C20)*(1-C29)+C21+C22)/12</f>
        <v>0</v>
      </c>
      <c r="E24" s="459">
        <f ca="1">IF(AND(MONTH(C3)=1,DAY(C3)&lt;=20,C6="listopad"),C24,D24)</f>
        <v>0</v>
      </c>
      <c r="G24" s="140" t="s">
        <v>203</v>
      </c>
      <c r="H24" s="48">
        <f ca="1">((C19-C20)*(1-C29)+C21+C22)/IF(AND(MONTH(C3)=1,DAY(C3)&lt;=20,C6="listopad"),C9-1,C9)</f>
        <v>0</v>
      </c>
      <c r="I24" s="138">
        <f ca="1">C19/IF(AND(MONTH(C3)=1,DAY(C3)&lt;=20,C6="listopad"),C9-1,C9)</f>
        <v>0</v>
      </c>
      <c r="S24" s="448" t="s">
        <v>205</v>
      </c>
      <c r="U24" s="457"/>
      <c r="V24" s="457"/>
      <c r="AO24" s="365">
        <v>52</v>
      </c>
      <c r="AP24" s="107" t="s">
        <v>364</v>
      </c>
      <c r="AQ24" s="565">
        <v>36</v>
      </c>
      <c r="AR24" s="175" t="s">
        <v>448</v>
      </c>
      <c r="AS24" s="366">
        <v>36</v>
      </c>
      <c r="AW24" s="448" t="s">
        <v>205</v>
      </c>
      <c r="AY24" s="457"/>
      <c r="AZ24" s="457"/>
      <c r="BS24" s="365">
        <v>52</v>
      </c>
      <c r="BT24" s="107" t="s">
        <v>364</v>
      </c>
      <c r="BU24" s="565">
        <v>36</v>
      </c>
      <c r="BV24" s="175" t="s">
        <v>448</v>
      </c>
      <c r="BW24" s="366">
        <v>36</v>
      </c>
    </row>
    <row r="25" spans="2:75" ht="15" thickBot="1" x14ac:dyDescent="0.4">
      <c r="B25" s="143" t="s">
        <v>204</v>
      </c>
      <c r="C25" s="460"/>
      <c r="D25" s="461">
        <f ca="1">((C12-C13)*(1-C17)+C14+C15)/C10</f>
        <v>10816.3593</v>
      </c>
      <c r="E25" s="462"/>
      <c r="G25" s="140" t="s">
        <v>204</v>
      </c>
      <c r="H25" s="48">
        <f ca="1">((C12-C13)*(1-C17)+C14+C15)/C10</f>
        <v>10816.3593</v>
      </c>
      <c r="I25" s="138">
        <f ca="1">C12/C10</f>
        <v>30000</v>
      </c>
      <c r="S25" s="463" t="s">
        <v>206</v>
      </c>
      <c r="T25" s="239"/>
      <c r="U25" s="464">
        <f>U23</f>
        <v>10816.3593</v>
      </c>
      <c r="V25" s="464">
        <f>V23</f>
        <v>30000</v>
      </c>
      <c r="AA25" s="67" t="s">
        <v>411</v>
      </c>
      <c r="AO25" s="365">
        <v>53</v>
      </c>
      <c r="AP25" s="102" t="s">
        <v>430</v>
      </c>
      <c r="AQ25" s="365">
        <v>39</v>
      </c>
      <c r="AR25" s="175" t="s">
        <v>449</v>
      </c>
      <c r="AS25" s="366">
        <v>39</v>
      </c>
      <c r="AW25" s="463" t="s">
        <v>206</v>
      </c>
      <c r="AX25" s="239"/>
      <c r="AY25" s="464">
        <f>AY23</f>
        <v>10816.3593</v>
      </c>
      <c r="AZ25" s="464">
        <f>AZ23</f>
        <v>30000</v>
      </c>
      <c r="BE25" s="67" t="s">
        <v>411</v>
      </c>
      <c r="BS25" s="365">
        <v>53</v>
      </c>
      <c r="BT25" s="102" t="s">
        <v>430</v>
      </c>
      <c r="BU25" s="365">
        <v>39</v>
      </c>
      <c r="BV25" s="175" t="s">
        <v>449</v>
      </c>
      <c r="BW25" s="366">
        <v>39</v>
      </c>
    </row>
    <row r="26" spans="2:75" ht="15" thickBot="1" x14ac:dyDescent="0.4">
      <c r="B26" s="143" t="s">
        <v>205</v>
      </c>
      <c r="C26" s="308"/>
      <c r="D26" s="461">
        <f ca="1">((D24*(12-C10))+(D25*C10))/12</f>
        <v>1802.7265500000001</v>
      </c>
      <c r="E26" s="462"/>
      <c r="G26" s="140" t="s">
        <v>205</v>
      </c>
      <c r="H26" s="48">
        <f ca="1">((H24*C9)+(H25*C10))/(C9+C10)</f>
        <v>7210.9062000000004</v>
      </c>
      <c r="I26" s="138">
        <f ca="1">(C12+C19)/(C9+C10)</f>
        <v>20000</v>
      </c>
      <c r="S26" s="463" t="s">
        <v>207</v>
      </c>
      <c r="U26" s="465">
        <f>IF(T32&gt;U32,U32*V25/100,U25)</f>
        <v>10500</v>
      </c>
      <c r="V26" s="466"/>
      <c r="AO26" s="365">
        <v>55</v>
      </c>
      <c r="AP26" s="102" t="s">
        <v>475</v>
      </c>
      <c r="AQ26" s="365">
        <v>37</v>
      </c>
      <c r="AR26" s="175" t="s">
        <v>519</v>
      </c>
      <c r="AS26" s="366">
        <v>37</v>
      </c>
      <c r="AW26" s="463" t="s">
        <v>207</v>
      </c>
      <c r="AY26" s="465">
        <f>IF(AX32&gt;AY32,AY32*AZ25/100,AY25)</f>
        <v>10500</v>
      </c>
      <c r="AZ26" s="466"/>
      <c r="BS26" s="365">
        <v>55</v>
      </c>
      <c r="BT26" s="102" t="s">
        <v>475</v>
      </c>
      <c r="BU26" s="365">
        <v>37</v>
      </c>
      <c r="BV26" s="175" t="s">
        <v>519</v>
      </c>
      <c r="BW26" s="366">
        <v>37</v>
      </c>
    </row>
    <row r="27" spans="2:75" ht="15" thickBot="1" x14ac:dyDescent="0.4">
      <c r="B27" s="137" t="s">
        <v>234</v>
      </c>
      <c r="C27" s="467"/>
      <c r="D27" s="468" t="e">
        <f ca="1">IF(OR(C37="roczne",C37="brak badania"),E24,D26)</f>
        <v>#DIV/0!</v>
      </c>
      <c r="E27" s="469"/>
      <c r="G27" s="470" t="s">
        <v>207</v>
      </c>
      <c r="H27" s="471">
        <f ca="1">H25</f>
        <v>10816.3593</v>
      </c>
      <c r="I27" s="472">
        <f ca="1">I25</f>
        <v>30000</v>
      </c>
      <c r="J27" s="67" t="s">
        <v>411</v>
      </c>
      <c r="S27" s="454" t="s">
        <v>208</v>
      </c>
      <c r="T27" s="455">
        <f>IF(T18-T19&lt;=0,0,0.19)</f>
        <v>0</v>
      </c>
      <c r="AO27" s="365">
        <v>56</v>
      </c>
      <c r="AP27" s="102" t="s">
        <v>365</v>
      </c>
      <c r="AQ27" s="365">
        <v>19</v>
      </c>
      <c r="AR27" s="175" t="s">
        <v>450</v>
      </c>
      <c r="AS27" s="366">
        <v>19</v>
      </c>
      <c r="AW27" s="454" t="s">
        <v>208</v>
      </c>
      <c r="AX27" s="455">
        <f>IF(AX18-AX19&lt;=0,0,0.19)</f>
        <v>0</v>
      </c>
      <c r="BS27" s="365">
        <v>56</v>
      </c>
      <c r="BT27" s="102" t="s">
        <v>365</v>
      </c>
      <c r="BU27" s="365">
        <v>19</v>
      </c>
      <c r="BV27" s="175" t="s">
        <v>450</v>
      </c>
      <c r="BW27" s="366">
        <v>19</v>
      </c>
    </row>
    <row r="28" spans="2:75" x14ac:dyDescent="0.35">
      <c r="B28" s="109"/>
      <c r="D28" s="130"/>
      <c r="S28" s="64" t="s">
        <v>209</v>
      </c>
      <c r="AO28" s="365">
        <v>59</v>
      </c>
      <c r="AP28" s="102" t="s">
        <v>431</v>
      </c>
      <c r="AQ28" s="365">
        <v>54</v>
      </c>
      <c r="AR28" s="175" t="s">
        <v>451</v>
      </c>
      <c r="AS28" s="366">
        <v>54</v>
      </c>
      <c r="AW28" s="64" t="s">
        <v>209</v>
      </c>
      <c r="BS28" s="365">
        <v>59</v>
      </c>
      <c r="BT28" s="102" t="s">
        <v>431</v>
      </c>
      <c r="BU28" s="365">
        <v>54</v>
      </c>
      <c r="BV28" s="175" t="s">
        <v>451</v>
      </c>
      <c r="BW28" s="366">
        <v>54</v>
      </c>
    </row>
    <row r="29" spans="2:75" x14ac:dyDescent="0.35">
      <c r="B29" s="104" t="s">
        <v>208</v>
      </c>
      <c r="C29" s="30">
        <f>IF(C19-C20&lt;=0,0,0.19)</f>
        <v>0</v>
      </c>
      <c r="S29" s="64" t="s">
        <v>210</v>
      </c>
      <c r="AO29" s="365">
        <v>61</v>
      </c>
      <c r="AP29" s="102" t="s">
        <v>185</v>
      </c>
      <c r="AQ29" s="365">
        <v>40</v>
      </c>
      <c r="AR29" s="175" t="s">
        <v>452</v>
      </c>
      <c r="AS29" s="366">
        <v>40</v>
      </c>
      <c r="AW29" s="64" t="s">
        <v>210</v>
      </c>
      <c r="BS29" s="365">
        <v>61</v>
      </c>
      <c r="BT29" s="102" t="s">
        <v>185</v>
      </c>
      <c r="BU29" s="365">
        <v>40</v>
      </c>
      <c r="BV29" s="175" t="s">
        <v>452</v>
      </c>
      <c r="BW29" s="366">
        <v>40</v>
      </c>
    </row>
    <row r="30" spans="2:75" x14ac:dyDescent="0.35">
      <c r="B30" s="101"/>
      <c r="S30" s="64" t="s">
        <v>211</v>
      </c>
      <c r="AO30" s="365">
        <v>62</v>
      </c>
      <c r="AP30" s="102" t="s">
        <v>366</v>
      </c>
      <c r="AQ30" s="365">
        <v>65</v>
      </c>
      <c r="AR30" s="175" t="s">
        <v>453</v>
      </c>
      <c r="AS30" s="366">
        <v>65</v>
      </c>
      <c r="AW30" s="64" t="s">
        <v>211</v>
      </c>
      <c r="BS30" s="365">
        <v>62</v>
      </c>
      <c r="BT30" s="102" t="s">
        <v>366</v>
      </c>
      <c r="BU30" s="365">
        <v>65</v>
      </c>
      <c r="BV30" s="175" t="s">
        <v>453</v>
      </c>
      <c r="BW30" s="366">
        <v>65</v>
      </c>
    </row>
    <row r="31" spans="2:75" x14ac:dyDescent="0.35">
      <c r="B31" s="109" t="s">
        <v>233</v>
      </c>
      <c r="C31" s="43" t="s">
        <v>232</v>
      </c>
      <c r="D31" s="43" t="s">
        <v>231</v>
      </c>
      <c r="E31" s="43" t="s">
        <v>230</v>
      </c>
      <c r="T31" s="239" t="s">
        <v>212</v>
      </c>
      <c r="U31" s="239" t="s">
        <v>213</v>
      </c>
      <c r="AO31" s="365">
        <v>63</v>
      </c>
      <c r="AP31" s="102" t="s">
        <v>432</v>
      </c>
      <c r="AQ31" s="365">
        <v>58</v>
      </c>
      <c r="AR31" s="175" t="s">
        <v>454</v>
      </c>
      <c r="AS31" s="366">
        <v>58</v>
      </c>
      <c r="AX31" s="239" t="s">
        <v>212</v>
      </c>
      <c r="AY31" s="239" t="s">
        <v>213</v>
      </c>
      <c r="BS31" s="365">
        <v>63</v>
      </c>
      <c r="BT31" s="102" t="s">
        <v>432</v>
      </c>
      <c r="BU31" s="365">
        <v>58</v>
      </c>
      <c r="BV31" s="175" t="s">
        <v>454</v>
      </c>
      <c r="BW31" s="366">
        <v>58</v>
      </c>
    </row>
    <row r="32" spans="2:75" x14ac:dyDescent="0.35">
      <c r="B32" s="101" t="s">
        <v>203</v>
      </c>
      <c r="C32" s="48">
        <f>C19/11</f>
        <v>0</v>
      </c>
      <c r="D32" s="48">
        <f>C19/12</f>
        <v>0</v>
      </c>
      <c r="E32" s="48">
        <f ca="1">IF(AND(MONTH(C3)=1,DAY(C3)&lt;=20,C6="listopad"),C32,D32)</f>
        <v>0</v>
      </c>
      <c r="S32" s="473" t="s">
        <v>214</v>
      </c>
      <c r="T32" s="474">
        <f>U25/V25*100</f>
        <v>36.054530999999997</v>
      </c>
      <c r="U32" s="475">
        <f>IF(S5="branża",VLOOKUP(T5,AJ4:AK15,2,FALSE),VLOOKUP(T5,AR4:AS52,2,FALSE))</f>
        <v>35</v>
      </c>
      <c r="AO32" s="365">
        <v>64</v>
      </c>
      <c r="AP32" s="102" t="s">
        <v>476</v>
      </c>
      <c r="AQ32" s="365">
        <v>53</v>
      </c>
      <c r="AR32" s="175" t="s">
        <v>520</v>
      </c>
      <c r="AS32" s="366">
        <v>53</v>
      </c>
      <c r="AW32" s="473" t="s">
        <v>214</v>
      </c>
      <c r="AX32" s="474">
        <f>AY25/AZ25*100</f>
        <v>36.054530999999997</v>
      </c>
      <c r="AY32" s="475">
        <f>IF(AW5="branża",VLOOKUP(AX5,BN4:BO15,2,FALSE),VLOOKUP(AX5,BV4:BW52,2,FALSE))</f>
        <v>35</v>
      </c>
      <c r="BS32" s="365">
        <v>64</v>
      </c>
      <c r="BT32" s="102" t="s">
        <v>476</v>
      </c>
      <c r="BU32" s="365">
        <v>53</v>
      </c>
      <c r="BV32" s="175" t="s">
        <v>520</v>
      </c>
      <c r="BW32" s="366">
        <v>53</v>
      </c>
    </row>
    <row r="33" spans="1:75" x14ac:dyDescent="0.35">
      <c r="B33" t="s">
        <v>204</v>
      </c>
      <c r="E33" s="48">
        <f ca="1">C12/C10</f>
        <v>30000</v>
      </c>
      <c r="AO33" s="365">
        <v>66</v>
      </c>
      <c r="AP33" s="102" t="s">
        <v>367</v>
      </c>
      <c r="AQ33" s="365">
        <v>58</v>
      </c>
      <c r="AR33" s="175" t="s">
        <v>455</v>
      </c>
      <c r="AS33" s="366">
        <v>58</v>
      </c>
      <c r="BS33" s="365">
        <v>66</v>
      </c>
      <c r="BT33" s="102" t="s">
        <v>367</v>
      </c>
      <c r="BU33" s="365">
        <v>58</v>
      </c>
      <c r="BV33" s="175" t="s">
        <v>455</v>
      </c>
      <c r="BW33" s="366">
        <v>58</v>
      </c>
    </row>
    <row r="34" spans="1:75" x14ac:dyDescent="0.35">
      <c r="B34" t="s">
        <v>205</v>
      </c>
      <c r="E34" s="48">
        <f ca="1">((D32*(12-C10))+(E33*C10))/12</f>
        <v>5000</v>
      </c>
      <c r="U34" s="64">
        <f>14810.74</f>
        <v>14810.74</v>
      </c>
      <c r="V34" s="502">
        <f>100*U25/U34</f>
        <v>73.030512317412899</v>
      </c>
      <c r="AO34" s="365">
        <v>68</v>
      </c>
      <c r="AP34" s="102" t="s">
        <v>368</v>
      </c>
      <c r="AQ34" s="365">
        <v>48</v>
      </c>
      <c r="AR34" s="175" t="s">
        <v>456</v>
      </c>
      <c r="AS34" s="366">
        <v>48</v>
      </c>
      <c r="BS34" s="365">
        <v>68</v>
      </c>
      <c r="BT34" s="102" t="s">
        <v>368</v>
      </c>
      <c r="BU34" s="365">
        <v>48</v>
      </c>
      <c r="BV34" s="175" t="s">
        <v>456</v>
      </c>
      <c r="BW34" s="366">
        <v>48</v>
      </c>
    </row>
    <row r="35" spans="1:75" x14ac:dyDescent="0.35">
      <c r="B35" s="43" t="s">
        <v>229</v>
      </c>
      <c r="E35" s="129" t="e">
        <f ca="1">IF(OR(C37="roczne",C37="brak badania"),E32,E34)</f>
        <v>#DIV/0!</v>
      </c>
      <c r="AO35" s="365">
        <v>69</v>
      </c>
      <c r="AP35" s="102" t="s">
        <v>369</v>
      </c>
      <c r="AQ35" s="365">
        <v>54</v>
      </c>
      <c r="AR35" s="175" t="s">
        <v>457</v>
      </c>
      <c r="AS35" s="366">
        <v>54</v>
      </c>
      <c r="BS35" s="365">
        <v>69</v>
      </c>
      <c r="BT35" s="102" t="s">
        <v>369</v>
      </c>
      <c r="BU35" s="365">
        <v>54</v>
      </c>
      <c r="BV35" s="175" t="s">
        <v>457</v>
      </c>
      <c r="BW35" s="366">
        <v>54</v>
      </c>
    </row>
    <row r="36" spans="1:75" ht="15" thickBot="1" x14ac:dyDescent="0.4">
      <c r="B36" s="43"/>
      <c r="C36" s="43"/>
      <c r="D36" s="43"/>
      <c r="AO36" s="365">
        <v>70</v>
      </c>
      <c r="AP36" s="102" t="s">
        <v>370</v>
      </c>
      <c r="AQ36" s="365">
        <v>60</v>
      </c>
      <c r="AR36" s="175" t="s">
        <v>458</v>
      </c>
      <c r="AS36" s="366">
        <v>60</v>
      </c>
      <c r="BS36" s="365">
        <v>70</v>
      </c>
      <c r="BT36" s="102" t="s">
        <v>370</v>
      </c>
      <c r="BU36" s="365">
        <v>60</v>
      </c>
      <c r="BV36" s="175" t="s">
        <v>458</v>
      </c>
      <c r="BW36" s="366">
        <v>60</v>
      </c>
    </row>
    <row r="37" spans="1:75" x14ac:dyDescent="0.35">
      <c r="A37" s="114"/>
      <c r="B37" s="121" t="s">
        <v>228</v>
      </c>
      <c r="C37" s="128" t="e">
        <f ca="1">IF(D41="","brak badania",IF(OR((D41/D40)&gt;1,(D41/D40)&lt;0),"roczne + bieżące","roczne + bieżące"))</f>
        <v>#DIV/0!</v>
      </c>
      <c r="D37" s="127"/>
      <c r="E37" s="114"/>
      <c r="F37" s="114"/>
      <c r="H37" s="126" t="s">
        <v>227</v>
      </c>
      <c r="I37" s="125">
        <f ca="1">IF(C7="cały rok",D27,H27)</f>
        <v>10816.3593</v>
      </c>
      <c r="AO37" s="365">
        <v>71</v>
      </c>
      <c r="AP37" s="102" t="s">
        <v>371</v>
      </c>
      <c r="AQ37" s="365">
        <v>52</v>
      </c>
      <c r="AR37" s="175" t="s">
        <v>459</v>
      </c>
      <c r="AS37" s="366">
        <v>52</v>
      </c>
      <c r="BS37" s="365">
        <v>71</v>
      </c>
      <c r="BT37" s="102" t="s">
        <v>371</v>
      </c>
      <c r="BU37" s="365">
        <v>52</v>
      </c>
      <c r="BV37" s="175" t="s">
        <v>459</v>
      </c>
      <c r="BW37" s="366">
        <v>52</v>
      </c>
    </row>
    <row r="38" spans="1:75" ht="15" thickBot="1" x14ac:dyDescent="0.4">
      <c r="A38" s="114"/>
      <c r="B38" s="114"/>
      <c r="C38" s="114"/>
      <c r="D38" s="114"/>
      <c r="E38" s="114"/>
      <c r="F38" s="114"/>
      <c r="H38" s="124" t="s">
        <v>226</v>
      </c>
      <c r="I38" s="123">
        <f ca="1">IF(C7="cały rok",E35,I27)</f>
        <v>30000</v>
      </c>
      <c r="AO38" s="365">
        <v>73</v>
      </c>
      <c r="AP38" s="102" t="s">
        <v>372</v>
      </c>
      <c r="AQ38" s="365">
        <v>52</v>
      </c>
      <c r="AR38" s="175" t="s">
        <v>460</v>
      </c>
      <c r="AS38" s="366">
        <v>52</v>
      </c>
      <c r="BS38" s="365">
        <v>73</v>
      </c>
      <c r="BT38" s="102" t="s">
        <v>372</v>
      </c>
      <c r="BU38" s="365">
        <v>52</v>
      </c>
      <c r="BV38" s="175" t="s">
        <v>460</v>
      </c>
      <c r="BW38" s="366">
        <v>52</v>
      </c>
    </row>
    <row r="39" spans="1:75" x14ac:dyDescent="0.35">
      <c r="A39" s="114"/>
      <c r="B39" s="153" t="s">
        <v>245</v>
      </c>
      <c r="C39" s="121"/>
      <c r="D39" s="122" t="s">
        <v>225</v>
      </c>
      <c r="E39" s="121"/>
      <c r="F39" s="114"/>
      <c r="AO39" s="365">
        <v>74</v>
      </c>
      <c r="AP39" s="102" t="s">
        <v>373</v>
      </c>
      <c r="AQ39" s="365">
        <v>58</v>
      </c>
      <c r="AR39" s="175" t="s">
        <v>461</v>
      </c>
      <c r="AS39" s="366">
        <v>58</v>
      </c>
      <c r="BS39" s="365">
        <v>74</v>
      </c>
      <c r="BT39" s="102" t="s">
        <v>373</v>
      </c>
      <c r="BU39" s="365">
        <v>58</v>
      </c>
      <c r="BV39" s="175" t="s">
        <v>461</v>
      </c>
      <c r="BW39" s="366">
        <v>58</v>
      </c>
    </row>
    <row r="40" spans="1:75" x14ac:dyDescent="0.35">
      <c r="A40" s="114"/>
      <c r="B40" s="120" t="s">
        <v>203</v>
      </c>
      <c r="C40" s="119"/>
      <c r="D40" s="118">
        <f>((C19-C20)*(1-C29)+C21+C22)/12</f>
        <v>0</v>
      </c>
      <c r="E40" s="117"/>
      <c r="F40" s="116"/>
      <c r="AO40" s="365">
        <v>75</v>
      </c>
      <c r="AP40" s="102" t="s">
        <v>477</v>
      </c>
      <c r="AQ40" s="365">
        <v>28</v>
      </c>
      <c r="AR40" s="175" t="s">
        <v>521</v>
      </c>
      <c r="AS40" s="366">
        <v>28</v>
      </c>
      <c r="BS40" s="365">
        <v>75</v>
      </c>
      <c r="BT40" s="102" t="s">
        <v>477</v>
      </c>
      <c r="BU40" s="365">
        <v>28</v>
      </c>
      <c r="BV40" s="175" t="s">
        <v>521</v>
      </c>
      <c r="BW40" s="366">
        <v>28</v>
      </c>
    </row>
    <row r="41" spans="1:75" x14ac:dyDescent="0.35">
      <c r="A41" s="114"/>
      <c r="B41" s="114" t="s">
        <v>224</v>
      </c>
      <c r="C41" s="114"/>
      <c r="D41" s="476">
        <f ca="1">IF(C10&lt;&gt;0,((C12-C13)*(1-C17)+C14+C15)/C10,"")</f>
        <v>10816.3593</v>
      </c>
      <c r="E41" s="114"/>
      <c r="F41" s="114"/>
      <c r="AO41" s="365">
        <v>77</v>
      </c>
      <c r="AP41" s="102" t="s">
        <v>374</v>
      </c>
      <c r="AQ41" s="365">
        <v>36</v>
      </c>
      <c r="AR41" s="175" t="s">
        <v>462</v>
      </c>
      <c r="AS41" s="366">
        <v>36</v>
      </c>
      <c r="BS41" s="365">
        <v>77</v>
      </c>
      <c r="BT41" s="102" t="s">
        <v>374</v>
      </c>
      <c r="BU41" s="365">
        <v>36</v>
      </c>
      <c r="BV41" s="175" t="s">
        <v>462</v>
      </c>
      <c r="BW41" s="366">
        <v>36</v>
      </c>
    </row>
    <row r="42" spans="1:75" x14ac:dyDescent="0.35">
      <c r="AO42" s="365">
        <v>79</v>
      </c>
      <c r="AP42" s="102" t="s">
        <v>510</v>
      </c>
      <c r="AQ42" s="365">
        <v>41</v>
      </c>
      <c r="AR42" s="175" t="s">
        <v>522</v>
      </c>
      <c r="AS42" s="366">
        <v>41</v>
      </c>
      <c r="BS42" s="365">
        <v>79</v>
      </c>
      <c r="BT42" s="102" t="s">
        <v>510</v>
      </c>
      <c r="BU42" s="365">
        <v>41</v>
      </c>
      <c r="BV42" s="175" t="s">
        <v>522</v>
      </c>
      <c r="BW42" s="366">
        <v>41</v>
      </c>
    </row>
    <row r="43" spans="1:75" x14ac:dyDescent="0.35">
      <c r="AO43" s="365">
        <v>81</v>
      </c>
      <c r="AP43" s="102" t="s">
        <v>375</v>
      </c>
      <c r="AQ43" s="365">
        <v>41</v>
      </c>
      <c r="AR43" s="175" t="s">
        <v>463</v>
      </c>
      <c r="AS43" s="366">
        <v>41</v>
      </c>
      <c r="BS43" s="365">
        <v>81</v>
      </c>
      <c r="BT43" s="102" t="s">
        <v>375</v>
      </c>
      <c r="BU43" s="365">
        <v>41</v>
      </c>
      <c r="BV43" s="175" t="s">
        <v>463</v>
      </c>
      <c r="BW43" s="366">
        <v>41</v>
      </c>
    </row>
    <row r="44" spans="1:75" x14ac:dyDescent="0.35">
      <c r="AO44" s="365">
        <v>82</v>
      </c>
      <c r="AP44" s="102" t="s">
        <v>376</v>
      </c>
      <c r="AQ44" s="365">
        <v>60</v>
      </c>
      <c r="AR44" s="175" t="s">
        <v>464</v>
      </c>
      <c r="AS44" s="366">
        <v>60</v>
      </c>
      <c r="BS44" s="365">
        <v>82</v>
      </c>
      <c r="BT44" s="102" t="s">
        <v>376</v>
      </c>
      <c r="BU44" s="365">
        <v>60</v>
      </c>
      <c r="BV44" s="175" t="s">
        <v>464</v>
      </c>
      <c r="BW44" s="366">
        <v>60</v>
      </c>
    </row>
    <row r="45" spans="1:75" x14ac:dyDescent="0.35">
      <c r="AO45" s="365">
        <v>85</v>
      </c>
      <c r="AP45" s="102" t="s">
        <v>191</v>
      </c>
      <c r="AQ45" s="365">
        <v>49</v>
      </c>
      <c r="AR45" s="175" t="s">
        <v>465</v>
      </c>
      <c r="AS45" s="366">
        <v>49</v>
      </c>
      <c r="BS45" s="365">
        <v>85</v>
      </c>
      <c r="BT45" s="102" t="s">
        <v>191</v>
      </c>
      <c r="BU45" s="365">
        <v>49</v>
      </c>
      <c r="BV45" s="175" t="s">
        <v>465</v>
      </c>
      <c r="BW45" s="366">
        <v>49</v>
      </c>
    </row>
    <row r="46" spans="1:75" x14ac:dyDescent="0.35">
      <c r="AO46" s="365">
        <v>86</v>
      </c>
      <c r="AP46" s="102" t="s">
        <v>194</v>
      </c>
      <c r="AQ46" s="365">
        <v>57</v>
      </c>
      <c r="AR46" s="175" t="s">
        <v>466</v>
      </c>
      <c r="AS46" s="366">
        <v>57</v>
      </c>
      <c r="BS46" s="365">
        <v>86</v>
      </c>
      <c r="BT46" s="102" t="s">
        <v>194</v>
      </c>
      <c r="BU46" s="365">
        <v>57</v>
      </c>
      <c r="BV46" s="175" t="s">
        <v>466</v>
      </c>
      <c r="BW46" s="366">
        <v>57</v>
      </c>
    </row>
    <row r="47" spans="1:75" x14ac:dyDescent="0.35">
      <c r="AO47" s="365">
        <v>88</v>
      </c>
      <c r="AP47" s="102" t="s">
        <v>511</v>
      </c>
      <c r="AQ47" s="365">
        <v>33</v>
      </c>
      <c r="AR47" s="175" t="s">
        <v>523</v>
      </c>
      <c r="AS47" s="366">
        <v>33</v>
      </c>
      <c r="BS47" s="365">
        <v>88</v>
      </c>
      <c r="BT47" s="102" t="s">
        <v>511</v>
      </c>
      <c r="BU47" s="365">
        <v>33</v>
      </c>
      <c r="BV47" s="175" t="s">
        <v>523</v>
      </c>
      <c r="BW47" s="366">
        <v>33</v>
      </c>
    </row>
    <row r="48" spans="1:75" x14ac:dyDescent="0.35">
      <c r="AO48" s="365">
        <v>90</v>
      </c>
      <c r="AP48" s="102" t="s">
        <v>512</v>
      </c>
      <c r="AQ48" s="365">
        <v>52</v>
      </c>
      <c r="AR48" s="175" t="s">
        <v>524</v>
      </c>
      <c r="AS48" s="366">
        <v>52</v>
      </c>
      <c r="BS48" s="365">
        <v>90</v>
      </c>
      <c r="BT48" s="102" t="s">
        <v>512</v>
      </c>
      <c r="BU48" s="365">
        <v>52</v>
      </c>
      <c r="BV48" s="175" t="s">
        <v>524</v>
      </c>
      <c r="BW48" s="366">
        <v>52</v>
      </c>
    </row>
    <row r="49" spans="41:75" x14ac:dyDescent="0.35">
      <c r="AO49" s="365">
        <v>93</v>
      </c>
      <c r="AP49" s="102" t="s">
        <v>513</v>
      </c>
      <c r="AQ49" s="365">
        <v>42</v>
      </c>
      <c r="AR49" s="175" t="s">
        <v>525</v>
      </c>
      <c r="AS49" s="366">
        <v>42</v>
      </c>
      <c r="BS49" s="365">
        <v>93</v>
      </c>
      <c r="BT49" s="102" t="s">
        <v>513</v>
      </c>
      <c r="BU49" s="365">
        <v>42</v>
      </c>
      <c r="BV49" s="175" t="s">
        <v>525</v>
      </c>
      <c r="BW49" s="366">
        <v>42</v>
      </c>
    </row>
    <row r="50" spans="41:75" x14ac:dyDescent="0.35">
      <c r="AO50" s="365">
        <v>95</v>
      </c>
      <c r="AP50" s="102" t="s">
        <v>433</v>
      </c>
      <c r="AQ50" s="365">
        <v>35</v>
      </c>
      <c r="AR50" s="175" t="s">
        <v>467</v>
      </c>
      <c r="AS50" s="366">
        <v>35</v>
      </c>
      <c r="BS50" s="365">
        <v>95</v>
      </c>
      <c r="BT50" s="102" t="s">
        <v>433</v>
      </c>
      <c r="BU50" s="365">
        <v>35</v>
      </c>
      <c r="BV50" s="175" t="s">
        <v>467</v>
      </c>
      <c r="BW50" s="366">
        <v>35</v>
      </c>
    </row>
    <row r="51" spans="41:75" x14ac:dyDescent="0.35">
      <c r="AO51" s="365">
        <v>96</v>
      </c>
      <c r="AP51" s="102" t="s">
        <v>377</v>
      </c>
      <c r="AQ51" s="365">
        <v>35</v>
      </c>
      <c r="AR51" s="175" t="s">
        <v>428</v>
      </c>
      <c r="AS51" s="366">
        <v>35</v>
      </c>
      <c r="BS51" s="365">
        <v>96</v>
      </c>
      <c r="BT51" s="102" t="s">
        <v>377</v>
      </c>
      <c r="BU51" s="365">
        <v>35</v>
      </c>
      <c r="BV51" s="175" t="s">
        <v>428</v>
      </c>
      <c r="BW51" s="366">
        <v>35</v>
      </c>
    </row>
    <row r="52" spans="41:75" x14ac:dyDescent="0.35">
      <c r="AO52" s="365" t="s">
        <v>378</v>
      </c>
      <c r="AP52" s="102"/>
      <c r="AQ52" s="365">
        <v>34</v>
      </c>
      <c r="AR52" s="175" t="s">
        <v>468</v>
      </c>
      <c r="AS52" s="366">
        <v>34</v>
      </c>
      <c r="BS52" s="365" t="s">
        <v>378</v>
      </c>
      <c r="BT52" s="102"/>
      <c r="BU52" s="365">
        <v>34</v>
      </c>
      <c r="BV52" s="175" t="s">
        <v>468</v>
      </c>
      <c r="BW52" s="366">
        <v>34</v>
      </c>
    </row>
  </sheetData>
  <sheetProtection algorithmName="SHA-512" hashValue="L2yIxH7FbbuwIbKTsXdPIQ8iPkIvQgDyfzD1pfJGFT57EIOvGqyMhf1y9IJDJaCBLh4U7HTl+LkJ7e4cF5brPw==" saltValue="Brv1GHPBh8hYgE90Cs5OAQ==" spinCount="100000" sheet="1" objects="1" scenarios="1"/>
  <pageMargins left="0.7" right="0.7" top="0.75" bottom="0.75" header="0.3" footer="0.3"/>
  <pageSetup paperSize="9" orientation="portrait" r:id="rId1"/>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Arkusz20"/>
  <dimension ref="A1:DA589"/>
  <sheetViews>
    <sheetView showGridLines="0" showRowColHeaders="0" topLeftCell="B1" zoomScale="90" zoomScaleNormal="90" workbookViewId="0">
      <selection activeCell="D4" sqref="D4:E4"/>
    </sheetView>
  </sheetViews>
  <sheetFormatPr defaultColWidth="6.453125" defaultRowHeight="0" customHeight="1" zeroHeight="1" x14ac:dyDescent="0.35"/>
  <cols>
    <col min="1" max="1" width="8.81640625" hidden="1" customWidth="1"/>
    <col min="2" max="2" width="57.1796875" customWidth="1"/>
    <col min="3" max="3" width="1.453125" customWidth="1"/>
    <col min="4" max="5" width="23.81640625" customWidth="1"/>
    <col min="6" max="7" width="6.453125" hidden="1" customWidth="1"/>
    <col min="8" max="8" width="18.81640625" hidden="1" customWidth="1"/>
    <col min="9" max="9" width="39.81640625" hidden="1" customWidth="1"/>
    <col min="10" max="38" width="6.453125" hidden="1" customWidth="1"/>
    <col min="39" max="40" width="6.453125" style="342" hidden="1" customWidth="1"/>
    <col min="41" max="42" width="0" style="342" hidden="1" customWidth="1"/>
    <col min="43" max="105" width="6.453125" style="342"/>
  </cols>
  <sheetData>
    <row r="1" spans="1:105" ht="60" customHeight="1" thickTop="1" thickBot="1" x14ac:dyDescent="0.4">
      <c r="A1" s="41"/>
      <c r="B1" s="621" t="s">
        <v>348</v>
      </c>
      <c r="C1" s="622"/>
      <c r="D1" s="623"/>
      <c r="E1" s="624"/>
      <c r="F1" s="41"/>
      <c r="G1" s="346" t="s">
        <v>347</v>
      </c>
      <c r="H1" s="41"/>
      <c r="I1" s="41"/>
      <c r="J1" s="41"/>
      <c r="K1" s="41"/>
      <c r="M1" s="41"/>
    </row>
    <row r="2" spans="1:105" ht="15" thickTop="1" x14ac:dyDescent="0.35">
      <c r="A2" s="41"/>
      <c r="B2" s="41"/>
      <c r="C2" s="41"/>
      <c r="D2" s="41"/>
      <c r="E2" s="41"/>
      <c r="F2" s="41"/>
      <c r="G2" s="345" t="s">
        <v>346</v>
      </c>
      <c r="H2" s="41"/>
      <c r="I2" t="s">
        <v>323</v>
      </c>
      <c r="J2" s="41"/>
      <c r="K2" s="41"/>
      <c r="M2" s="41"/>
    </row>
    <row r="3" spans="1:105" ht="16.5" customHeight="1" x14ac:dyDescent="0.35">
      <c r="A3" s="41"/>
      <c r="B3" s="625" t="s">
        <v>345</v>
      </c>
      <c r="C3" s="626"/>
      <c r="D3" s="626"/>
      <c r="E3" s="627"/>
      <c r="F3" s="41"/>
      <c r="G3" s="345" t="s">
        <v>344</v>
      </c>
      <c r="H3" s="41"/>
      <c r="I3" t="s">
        <v>322</v>
      </c>
      <c r="J3" s="41"/>
      <c r="K3" s="41"/>
      <c r="M3" s="41"/>
    </row>
    <row r="4" spans="1:105" ht="15.75" customHeight="1" x14ac:dyDescent="0.35">
      <c r="A4" s="41"/>
      <c r="B4" s="347" t="s">
        <v>343</v>
      </c>
      <c r="C4" s="348"/>
      <c r="D4" s="628">
        <v>40</v>
      </c>
      <c r="E4" s="629"/>
      <c r="F4" s="41"/>
      <c r="G4" s="345" t="s">
        <v>342</v>
      </c>
      <c r="H4" s="41"/>
      <c r="I4" t="s">
        <v>332</v>
      </c>
      <c r="J4" s="41"/>
      <c r="K4" s="41"/>
      <c r="M4" s="41"/>
    </row>
    <row r="5" spans="1:105" ht="14.5" x14ac:dyDescent="0.35">
      <c r="A5" s="41"/>
      <c r="B5" s="347" t="s">
        <v>341</v>
      </c>
      <c r="C5" s="348"/>
      <c r="D5" s="630">
        <v>10</v>
      </c>
      <c r="E5" s="620"/>
      <c r="F5" s="41"/>
      <c r="G5" s="344" t="s">
        <v>340</v>
      </c>
      <c r="H5" s="41"/>
      <c r="I5" t="s">
        <v>319</v>
      </c>
      <c r="J5" s="41"/>
      <c r="K5" s="41"/>
      <c r="M5" s="41"/>
    </row>
    <row r="6" spans="1:105" ht="14.5" x14ac:dyDescent="0.35">
      <c r="A6" s="41"/>
      <c r="B6" s="349" t="s">
        <v>393</v>
      </c>
      <c r="C6" s="350"/>
      <c r="D6" s="351" t="s">
        <v>339</v>
      </c>
      <c r="E6" s="352" t="s">
        <v>338</v>
      </c>
      <c r="F6" s="41"/>
      <c r="G6" s="344" t="s">
        <v>337</v>
      </c>
      <c r="H6" s="41"/>
      <c r="I6" t="s">
        <v>318</v>
      </c>
      <c r="J6" s="41"/>
      <c r="K6" s="41"/>
      <c r="M6" s="41"/>
    </row>
    <row r="7" spans="1:105" ht="14.5" hidden="1" x14ac:dyDescent="0.35">
      <c r="A7" s="41"/>
      <c r="B7" s="353" t="s">
        <v>336</v>
      </c>
      <c r="C7" s="354"/>
      <c r="D7" s="355"/>
      <c r="E7" s="356"/>
      <c r="F7" s="41"/>
      <c r="G7" s="344" t="s">
        <v>335</v>
      </c>
      <c r="H7" s="41"/>
      <c r="I7" s="41"/>
      <c r="J7" s="41"/>
      <c r="K7" s="41"/>
      <c r="M7" s="41"/>
    </row>
    <row r="8" spans="1:105" ht="14.5" hidden="1" x14ac:dyDescent="0.35">
      <c r="A8" s="41"/>
      <c r="B8" s="357" t="s">
        <v>334</v>
      </c>
      <c r="C8" s="358"/>
      <c r="D8" s="355"/>
      <c r="E8" s="356"/>
      <c r="F8" s="41"/>
      <c r="G8" s="344" t="s">
        <v>333</v>
      </c>
      <c r="H8" s="41"/>
      <c r="I8" s="41"/>
      <c r="J8" s="41"/>
      <c r="K8" s="41"/>
      <c r="M8" s="41"/>
    </row>
    <row r="9" spans="1:105" ht="14.5" x14ac:dyDescent="0.35">
      <c r="A9" s="41"/>
      <c r="B9" s="359" t="s">
        <v>332</v>
      </c>
      <c r="C9" s="360" t="s">
        <v>131</v>
      </c>
      <c r="D9" s="355">
        <v>45000</v>
      </c>
      <c r="E9" s="356">
        <v>60000</v>
      </c>
      <c r="F9" s="41"/>
      <c r="G9" s="344" t="s">
        <v>331</v>
      </c>
      <c r="H9" s="41"/>
      <c r="I9" t="s">
        <v>321</v>
      </c>
      <c r="J9" s="41"/>
      <c r="K9" s="41"/>
      <c r="M9" s="41"/>
    </row>
    <row r="10" spans="1:105" ht="14.5" hidden="1" x14ac:dyDescent="0.35">
      <c r="A10" s="41"/>
      <c r="B10" s="357" t="s">
        <v>330</v>
      </c>
      <c r="C10" s="358"/>
      <c r="D10" s="355"/>
      <c r="E10" s="356"/>
      <c r="F10" s="41"/>
      <c r="G10" s="344" t="s">
        <v>329</v>
      </c>
      <c r="H10" s="41"/>
      <c r="I10" s="41"/>
      <c r="J10" s="41"/>
      <c r="K10" s="41"/>
      <c r="M10" s="41"/>
    </row>
    <row r="11" spans="1:105" ht="14.5" hidden="1" x14ac:dyDescent="0.35">
      <c r="A11" s="41"/>
      <c r="B11" s="357" t="s">
        <v>328</v>
      </c>
      <c r="C11" s="358"/>
      <c r="D11" s="355"/>
      <c r="E11" s="356"/>
      <c r="F11" s="41"/>
      <c r="G11" s="344" t="s">
        <v>327</v>
      </c>
      <c r="H11" s="41"/>
      <c r="I11" s="41"/>
      <c r="J11" s="41"/>
      <c r="K11" s="41"/>
      <c r="M11" s="41"/>
    </row>
    <row r="12" spans="1:105" ht="14.5" hidden="1" x14ac:dyDescent="0.35">
      <c r="A12" s="41"/>
      <c r="B12" s="357" t="s">
        <v>326</v>
      </c>
      <c r="C12" s="358"/>
      <c r="D12" s="355"/>
      <c r="E12" s="356"/>
      <c r="F12" s="41"/>
      <c r="H12" s="41"/>
      <c r="I12" s="41"/>
      <c r="J12" s="41"/>
      <c r="K12" s="615"/>
      <c r="L12" s="615"/>
      <c r="M12" s="41"/>
    </row>
    <row r="13" spans="1:105" ht="14.5" x14ac:dyDescent="0.35">
      <c r="A13" s="41"/>
      <c r="B13" s="359" t="s">
        <v>321</v>
      </c>
      <c r="C13" s="360" t="s">
        <v>131</v>
      </c>
      <c r="D13" s="355"/>
      <c r="E13" s="356"/>
      <c r="F13" s="41"/>
      <c r="H13" s="41"/>
      <c r="I13" s="41"/>
      <c r="J13" s="41"/>
      <c r="K13" s="343"/>
      <c r="L13" s="343"/>
      <c r="M13" s="41"/>
    </row>
    <row r="14" spans="1:105" ht="12.75" hidden="1" customHeight="1" x14ac:dyDescent="0.35">
      <c r="A14" s="41"/>
      <c r="B14" s="361" t="s">
        <v>325</v>
      </c>
      <c r="C14" s="362"/>
      <c r="D14" s="619">
        <v>3</v>
      </c>
      <c r="E14" s="620"/>
      <c r="F14" s="41"/>
      <c r="H14" s="41"/>
      <c r="I14" s="41"/>
      <c r="J14" s="41"/>
      <c r="K14" s="41"/>
      <c r="M14" s="41"/>
    </row>
    <row r="15" spans="1:105" s="64" customFormat="1" ht="18" customHeight="1" x14ac:dyDescent="0.35">
      <c r="A15" s="376"/>
      <c r="B15" s="377" t="s">
        <v>324</v>
      </c>
      <c r="C15" s="378"/>
      <c r="D15" s="616">
        <f>rycz3!E18</f>
        <v>1660.8552631578948</v>
      </c>
      <c r="E15" s="617"/>
      <c r="F15" s="376"/>
      <c r="H15" s="376"/>
      <c r="I15" s="376"/>
      <c r="J15" s="376"/>
      <c r="K15" s="376"/>
      <c r="M15" s="376"/>
      <c r="AM15" s="379"/>
      <c r="AN15" s="379"/>
      <c r="AO15" s="379"/>
      <c r="AP15" s="379"/>
      <c r="AQ15" s="379"/>
      <c r="AR15" s="379"/>
      <c r="AS15" s="379"/>
      <c r="AT15" s="379"/>
      <c r="AU15" s="379"/>
      <c r="AV15" s="379"/>
      <c r="AW15" s="379"/>
      <c r="AX15" s="379"/>
      <c r="AY15" s="379"/>
      <c r="AZ15" s="379"/>
      <c r="BA15" s="379"/>
      <c r="BB15" s="379"/>
      <c r="BC15" s="379"/>
      <c r="BD15" s="379"/>
      <c r="BE15" s="379"/>
      <c r="BF15" s="379"/>
      <c r="BG15" s="379"/>
      <c r="BH15" s="379"/>
      <c r="BI15" s="379"/>
      <c r="BJ15" s="379"/>
      <c r="BK15" s="379"/>
      <c r="BL15" s="379"/>
      <c r="BM15" s="379"/>
      <c r="BN15" s="379"/>
      <c r="BO15" s="379"/>
      <c r="BP15" s="379"/>
      <c r="BQ15" s="379"/>
      <c r="BR15" s="379"/>
      <c r="BS15" s="379"/>
      <c r="BT15" s="379"/>
      <c r="BU15" s="379"/>
      <c r="BV15" s="379"/>
      <c r="BW15" s="379"/>
      <c r="BX15" s="379"/>
      <c r="BY15" s="379"/>
      <c r="BZ15" s="379"/>
      <c r="CA15" s="379"/>
      <c r="CB15" s="379"/>
      <c r="CC15" s="379"/>
      <c r="CD15" s="379"/>
      <c r="CE15" s="379"/>
      <c r="CF15" s="379"/>
      <c r="CG15" s="379"/>
      <c r="CH15" s="379"/>
      <c r="CI15" s="379"/>
      <c r="CJ15" s="379"/>
      <c r="CK15" s="379"/>
      <c r="CL15" s="379"/>
      <c r="CM15" s="379"/>
      <c r="CN15" s="379"/>
      <c r="CO15" s="379"/>
      <c r="CP15" s="379"/>
      <c r="CQ15" s="379"/>
      <c r="CR15" s="379"/>
      <c r="CS15" s="379"/>
      <c r="CT15" s="379"/>
      <c r="CU15" s="379"/>
      <c r="CV15" s="379"/>
      <c r="CW15" s="379"/>
      <c r="CX15" s="379"/>
      <c r="CY15" s="379"/>
      <c r="CZ15" s="379"/>
      <c r="DA15" s="379"/>
    </row>
    <row r="16" spans="1:105" ht="17.25" hidden="1" customHeight="1" x14ac:dyDescent="0.35">
      <c r="A16" s="41"/>
      <c r="B16" s="618"/>
      <c r="C16" s="618"/>
      <c r="D16" s="618"/>
      <c r="E16" s="618"/>
      <c r="F16" s="41"/>
      <c r="H16" s="41"/>
      <c r="I16" s="41"/>
      <c r="J16" s="41"/>
      <c r="K16" s="41"/>
      <c r="M16" s="41"/>
    </row>
    <row r="17" spans="1:7" s="342" customFormat="1" ht="14.5" hidden="1" x14ac:dyDescent="0.35">
      <c r="A17" s="41"/>
      <c r="B17" s="41"/>
      <c r="C17" s="41"/>
      <c r="D17" s="41"/>
      <c r="E17" s="41"/>
      <c r="F17" s="41"/>
      <c r="G17"/>
    </row>
    <row r="18" spans="1:7" s="342" customFormat="1" ht="14.5" hidden="1" x14ac:dyDescent="0.35">
      <c r="A18" s="41"/>
      <c r="B18" s="41"/>
      <c r="C18" s="41"/>
      <c r="D18" s="41"/>
      <c r="E18" s="41"/>
      <c r="F18" s="41"/>
      <c r="G18"/>
    </row>
    <row r="19" spans="1:7" s="342" customFormat="1" ht="14.5" hidden="1" x14ac:dyDescent="0.35">
      <c r="G19"/>
    </row>
    <row r="20" spans="1:7" s="342" customFormat="1" ht="14.5" hidden="1" x14ac:dyDescent="0.35">
      <c r="G20"/>
    </row>
    <row r="21" spans="1:7" s="342" customFormat="1" ht="14.5" hidden="1" x14ac:dyDescent="0.35">
      <c r="G21"/>
    </row>
    <row r="22" spans="1:7" s="342" customFormat="1" ht="14.5" hidden="1" x14ac:dyDescent="0.35">
      <c r="G22"/>
    </row>
    <row r="23" spans="1:7" s="342" customFormat="1" ht="14.5" hidden="1" x14ac:dyDescent="0.35">
      <c r="G23"/>
    </row>
    <row r="24" spans="1:7" s="342" customFormat="1" ht="14.5" hidden="1" x14ac:dyDescent="0.35">
      <c r="G24"/>
    </row>
    <row r="25" spans="1:7" s="342" customFormat="1" ht="14.5" hidden="1" x14ac:dyDescent="0.35">
      <c r="G25"/>
    </row>
    <row r="26" spans="1:7" s="342" customFormat="1" ht="14.5" hidden="1" x14ac:dyDescent="0.35">
      <c r="G26"/>
    </row>
    <row r="27" spans="1:7" s="342" customFormat="1" ht="14.5" hidden="1" x14ac:dyDescent="0.35">
      <c r="G27"/>
    </row>
    <row r="28" spans="1:7" s="342" customFormat="1" ht="14.5" hidden="1" x14ac:dyDescent="0.35">
      <c r="G28"/>
    </row>
    <row r="29" spans="1:7" s="342" customFormat="1" ht="14.5" hidden="1" x14ac:dyDescent="0.35">
      <c r="G29"/>
    </row>
    <row r="30" spans="1:7" s="342" customFormat="1" ht="14.5" hidden="1" x14ac:dyDescent="0.35">
      <c r="G30"/>
    </row>
    <row r="31" spans="1:7" s="342" customFormat="1" ht="14.5" hidden="1" x14ac:dyDescent="0.35">
      <c r="G31"/>
    </row>
    <row r="32" spans="1:7" s="342" customFormat="1" ht="14.5" hidden="1" x14ac:dyDescent="0.35">
      <c r="G32"/>
    </row>
    <row r="33" spans="7:7" s="342" customFormat="1" ht="14.5" hidden="1" x14ac:dyDescent="0.35">
      <c r="G33"/>
    </row>
    <row r="34" spans="7:7" s="342" customFormat="1" ht="14.5" hidden="1" x14ac:dyDescent="0.35">
      <c r="G34"/>
    </row>
    <row r="35" spans="7:7" s="342" customFormat="1" ht="14.5" hidden="1" x14ac:dyDescent="0.35">
      <c r="G35"/>
    </row>
    <row r="36" spans="7:7" s="342" customFormat="1" ht="14.5" hidden="1" x14ac:dyDescent="0.35">
      <c r="G36"/>
    </row>
    <row r="37" spans="7:7" s="342" customFormat="1" ht="14.5" hidden="1" x14ac:dyDescent="0.35">
      <c r="G37"/>
    </row>
    <row r="38" spans="7:7" s="342" customFormat="1" ht="14.5" hidden="1" x14ac:dyDescent="0.35">
      <c r="G38"/>
    </row>
    <row r="39" spans="7:7" s="342" customFormat="1" ht="14.5" hidden="1" x14ac:dyDescent="0.35">
      <c r="G39"/>
    </row>
    <row r="40" spans="7:7" s="342" customFormat="1" ht="14.5" hidden="1" x14ac:dyDescent="0.35">
      <c r="G40"/>
    </row>
    <row r="41" spans="7:7" s="342" customFormat="1" ht="14.5" hidden="1" x14ac:dyDescent="0.35">
      <c r="G41"/>
    </row>
    <row r="42" spans="7:7" s="342" customFormat="1" ht="14.5" hidden="1" x14ac:dyDescent="0.35">
      <c r="G42"/>
    </row>
    <row r="43" spans="7:7" s="342" customFormat="1" ht="14.5" hidden="1" x14ac:dyDescent="0.35">
      <c r="G43"/>
    </row>
    <row r="44" spans="7:7" s="342" customFormat="1" ht="14.5" hidden="1" x14ac:dyDescent="0.35">
      <c r="G44"/>
    </row>
    <row r="45" spans="7:7" s="342" customFormat="1" ht="14.5" hidden="1" x14ac:dyDescent="0.35">
      <c r="G45"/>
    </row>
    <row r="46" spans="7:7" s="342" customFormat="1" ht="14.5" hidden="1" x14ac:dyDescent="0.35">
      <c r="G46"/>
    </row>
    <row r="47" spans="7:7" s="342" customFormat="1" ht="14.5" hidden="1" x14ac:dyDescent="0.35">
      <c r="G47"/>
    </row>
    <row r="48" spans="7:7" s="342" customFormat="1" ht="14.5" hidden="1" x14ac:dyDescent="0.35">
      <c r="G48"/>
    </row>
    <row r="49" spans="7:7" s="342" customFormat="1" ht="14.5" hidden="1" x14ac:dyDescent="0.35">
      <c r="G49"/>
    </row>
    <row r="50" spans="7:7" s="342" customFormat="1" ht="14.5" hidden="1" x14ac:dyDescent="0.35">
      <c r="G50"/>
    </row>
    <row r="51" spans="7:7" s="342" customFormat="1" ht="14.5" hidden="1" x14ac:dyDescent="0.35">
      <c r="G51"/>
    </row>
    <row r="52" spans="7:7" s="342" customFormat="1" ht="14.5" hidden="1" x14ac:dyDescent="0.35">
      <c r="G52"/>
    </row>
    <row r="53" spans="7:7" s="342" customFormat="1" ht="14.5" hidden="1" x14ac:dyDescent="0.35">
      <c r="G53"/>
    </row>
    <row r="54" spans="7:7" s="342" customFormat="1" ht="14.5" hidden="1" x14ac:dyDescent="0.35">
      <c r="G54"/>
    </row>
    <row r="55" spans="7:7" s="342" customFormat="1" ht="14.5" hidden="1" x14ac:dyDescent="0.35">
      <c r="G55"/>
    </row>
    <row r="56" spans="7:7" s="342" customFormat="1" ht="14.5" hidden="1" x14ac:dyDescent="0.35">
      <c r="G56"/>
    </row>
    <row r="57" spans="7:7" s="342" customFormat="1" ht="14.5" hidden="1" x14ac:dyDescent="0.35">
      <c r="G57"/>
    </row>
    <row r="58" spans="7:7" s="342" customFormat="1" ht="14.5" hidden="1" x14ac:dyDescent="0.35">
      <c r="G58"/>
    </row>
    <row r="59" spans="7:7" s="342" customFormat="1" ht="14.5" hidden="1" x14ac:dyDescent="0.35">
      <c r="G59"/>
    </row>
    <row r="60" spans="7:7" s="342" customFormat="1" ht="14.5" hidden="1" x14ac:dyDescent="0.35">
      <c r="G60"/>
    </row>
    <row r="61" spans="7:7" s="342" customFormat="1" ht="14.5" hidden="1" x14ac:dyDescent="0.35">
      <c r="G61"/>
    </row>
    <row r="62" spans="7:7" s="342" customFormat="1" ht="14.5" hidden="1" x14ac:dyDescent="0.35">
      <c r="G62"/>
    </row>
    <row r="63" spans="7:7" s="342" customFormat="1" ht="14.5" hidden="1" x14ac:dyDescent="0.35">
      <c r="G63"/>
    </row>
    <row r="64" spans="7:7" s="342" customFormat="1" ht="14.5" hidden="1" x14ac:dyDescent="0.35">
      <c r="G64"/>
    </row>
    <row r="65" spans="7:7" s="342" customFormat="1" ht="14.5" hidden="1" x14ac:dyDescent="0.35">
      <c r="G65"/>
    </row>
    <row r="66" spans="7:7" s="342" customFormat="1" ht="14.5" hidden="1" x14ac:dyDescent="0.35">
      <c r="G66"/>
    </row>
    <row r="67" spans="7:7" s="342" customFormat="1" ht="14.5" hidden="1" x14ac:dyDescent="0.35">
      <c r="G67"/>
    </row>
    <row r="68" spans="7:7" s="342" customFormat="1" ht="14.5" hidden="1" x14ac:dyDescent="0.35">
      <c r="G68"/>
    </row>
    <row r="69" spans="7:7" s="342" customFormat="1" ht="14.5" hidden="1" x14ac:dyDescent="0.35">
      <c r="G69"/>
    </row>
    <row r="70" spans="7:7" s="342" customFormat="1" ht="14.5" hidden="1" x14ac:dyDescent="0.35">
      <c r="G70"/>
    </row>
    <row r="71" spans="7:7" s="342" customFormat="1" ht="14.5" hidden="1" x14ac:dyDescent="0.35">
      <c r="G71"/>
    </row>
    <row r="72" spans="7:7" s="342" customFormat="1" ht="14.5" hidden="1" x14ac:dyDescent="0.35">
      <c r="G72"/>
    </row>
    <row r="73" spans="7:7" s="342" customFormat="1" ht="14.5" hidden="1" x14ac:dyDescent="0.35">
      <c r="G73"/>
    </row>
    <row r="74" spans="7:7" s="342" customFormat="1" ht="14.5" hidden="1" x14ac:dyDescent="0.35">
      <c r="G74"/>
    </row>
    <row r="75" spans="7:7" s="342" customFormat="1" ht="14.5" hidden="1" x14ac:dyDescent="0.35">
      <c r="G75"/>
    </row>
    <row r="76" spans="7:7" s="342" customFormat="1" ht="14.5" hidden="1" x14ac:dyDescent="0.35">
      <c r="G76"/>
    </row>
    <row r="77" spans="7:7" s="342" customFormat="1" ht="14.5" hidden="1" x14ac:dyDescent="0.35">
      <c r="G77"/>
    </row>
    <row r="78" spans="7:7" s="342" customFormat="1" ht="14.5" hidden="1" x14ac:dyDescent="0.35">
      <c r="G78"/>
    </row>
    <row r="79" spans="7:7" s="342" customFormat="1" ht="14.5" hidden="1" x14ac:dyDescent="0.35">
      <c r="G79"/>
    </row>
    <row r="80" spans="7:7" s="342" customFormat="1" ht="14.5" hidden="1" x14ac:dyDescent="0.35">
      <c r="G80"/>
    </row>
    <row r="81" spans="7:7" s="342" customFormat="1" ht="14.5" hidden="1" x14ac:dyDescent="0.35">
      <c r="G81"/>
    </row>
    <row r="82" spans="7:7" s="342" customFormat="1" ht="14.5" hidden="1" x14ac:dyDescent="0.35">
      <c r="G82"/>
    </row>
    <row r="83" spans="7:7" s="342" customFormat="1" ht="14.5" hidden="1" x14ac:dyDescent="0.35">
      <c r="G83"/>
    </row>
    <row r="84" spans="7:7" s="342" customFormat="1" ht="14.5" hidden="1" x14ac:dyDescent="0.35">
      <c r="G84"/>
    </row>
    <row r="85" spans="7:7" s="342" customFormat="1" ht="14.5" hidden="1" x14ac:dyDescent="0.35">
      <c r="G85"/>
    </row>
    <row r="86" spans="7:7" s="342" customFormat="1" ht="14.5" hidden="1" x14ac:dyDescent="0.35">
      <c r="G86"/>
    </row>
    <row r="87" spans="7:7" s="342" customFormat="1" ht="14.5" hidden="1" x14ac:dyDescent="0.35">
      <c r="G87"/>
    </row>
    <row r="88" spans="7:7" s="342" customFormat="1" ht="14.5" hidden="1" x14ac:dyDescent="0.35">
      <c r="G88"/>
    </row>
    <row r="89" spans="7:7" s="342" customFormat="1" ht="14.5" hidden="1" x14ac:dyDescent="0.35">
      <c r="G89"/>
    </row>
    <row r="90" spans="7:7" s="342" customFormat="1" ht="14.5" hidden="1" x14ac:dyDescent="0.35">
      <c r="G90"/>
    </row>
    <row r="91" spans="7:7" s="342" customFormat="1" ht="14.5" hidden="1" x14ac:dyDescent="0.35">
      <c r="G91"/>
    </row>
    <row r="92" spans="7:7" s="342" customFormat="1" ht="14.5" hidden="1" x14ac:dyDescent="0.35">
      <c r="G92"/>
    </row>
    <row r="93" spans="7:7" s="342" customFormat="1" ht="14.5" hidden="1" x14ac:dyDescent="0.35">
      <c r="G93"/>
    </row>
    <row r="94" spans="7:7" s="342" customFormat="1" ht="14.5" hidden="1" x14ac:dyDescent="0.35">
      <c r="G94"/>
    </row>
    <row r="95" spans="7:7" s="342" customFormat="1" ht="14.5" hidden="1" x14ac:dyDescent="0.35">
      <c r="G95"/>
    </row>
    <row r="96" spans="7:7" s="342" customFormat="1" ht="14.5" hidden="1" x14ac:dyDescent="0.35">
      <c r="G96"/>
    </row>
    <row r="97" spans="7:7" s="342" customFormat="1" ht="14.5" hidden="1" x14ac:dyDescent="0.35">
      <c r="G97"/>
    </row>
    <row r="98" spans="7:7" s="342" customFormat="1" ht="14.5" hidden="1" x14ac:dyDescent="0.35">
      <c r="G98"/>
    </row>
    <row r="99" spans="7:7" s="342" customFormat="1" ht="14.5" hidden="1" x14ac:dyDescent="0.35">
      <c r="G99"/>
    </row>
    <row r="100" spans="7:7" s="342" customFormat="1" ht="14.5" hidden="1" x14ac:dyDescent="0.35">
      <c r="G100"/>
    </row>
    <row r="101" spans="7:7" s="342" customFormat="1" ht="14.5" hidden="1" x14ac:dyDescent="0.35">
      <c r="G101"/>
    </row>
    <row r="102" spans="7:7" s="342" customFormat="1" ht="14.5" hidden="1" x14ac:dyDescent="0.35">
      <c r="G102"/>
    </row>
    <row r="103" spans="7:7" s="342" customFormat="1" ht="14.5" hidden="1" x14ac:dyDescent="0.35">
      <c r="G103"/>
    </row>
    <row r="104" spans="7:7" s="342" customFormat="1" ht="14.5" hidden="1" x14ac:dyDescent="0.35">
      <c r="G104"/>
    </row>
    <row r="105" spans="7:7" s="342" customFormat="1" ht="14.5" hidden="1" x14ac:dyDescent="0.35">
      <c r="G105"/>
    </row>
    <row r="106" spans="7:7" s="342" customFormat="1" ht="14.5" hidden="1" x14ac:dyDescent="0.35">
      <c r="G106"/>
    </row>
    <row r="107" spans="7:7" s="342" customFormat="1" ht="14.5" hidden="1" x14ac:dyDescent="0.35">
      <c r="G107"/>
    </row>
    <row r="108" spans="7:7" s="342" customFormat="1" ht="14.5" hidden="1" x14ac:dyDescent="0.35">
      <c r="G108"/>
    </row>
    <row r="109" spans="7:7" s="342" customFormat="1" ht="14.5" hidden="1" x14ac:dyDescent="0.35">
      <c r="G109"/>
    </row>
    <row r="110" spans="7:7" s="342" customFormat="1" ht="14.5" hidden="1" x14ac:dyDescent="0.35">
      <c r="G110"/>
    </row>
    <row r="111" spans="7:7" s="342" customFormat="1" ht="14.5" hidden="1" x14ac:dyDescent="0.35">
      <c r="G111"/>
    </row>
    <row r="112" spans="7:7" s="342" customFormat="1" ht="14.5" hidden="1" x14ac:dyDescent="0.35">
      <c r="G112"/>
    </row>
    <row r="113" spans="7:7" s="342" customFormat="1" ht="14.5" hidden="1" x14ac:dyDescent="0.35">
      <c r="G113"/>
    </row>
    <row r="114" spans="7:7" s="342" customFormat="1" ht="14.5" hidden="1" x14ac:dyDescent="0.35">
      <c r="G114"/>
    </row>
    <row r="115" spans="7:7" s="342" customFormat="1" ht="14.5" hidden="1" x14ac:dyDescent="0.35">
      <c r="G115"/>
    </row>
    <row r="116" spans="7:7" s="342" customFormat="1" ht="14.5" hidden="1" x14ac:dyDescent="0.35">
      <c r="G116"/>
    </row>
    <row r="117" spans="7:7" s="342" customFormat="1" ht="14.5" hidden="1" x14ac:dyDescent="0.35">
      <c r="G117"/>
    </row>
    <row r="118" spans="7:7" s="342" customFormat="1" ht="14.5" hidden="1" x14ac:dyDescent="0.35">
      <c r="G118"/>
    </row>
    <row r="119" spans="7:7" s="342" customFormat="1" ht="14.5" hidden="1" x14ac:dyDescent="0.35">
      <c r="G119"/>
    </row>
    <row r="120" spans="7:7" s="342" customFormat="1" ht="14.5" hidden="1" x14ac:dyDescent="0.35">
      <c r="G120"/>
    </row>
    <row r="121" spans="7:7" s="342" customFormat="1" ht="14.5" hidden="1" x14ac:dyDescent="0.35">
      <c r="G121"/>
    </row>
    <row r="122" spans="7:7" s="342" customFormat="1" ht="14.5" hidden="1" x14ac:dyDescent="0.35">
      <c r="G122"/>
    </row>
    <row r="123" spans="7:7" s="342" customFormat="1" ht="14.5" hidden="1" x14ac:dyDescent="0.35">
      <c r="G123"/>
    </row>
    <row r="124" spans="7:7" s="342" customFormat="1" ht="14.5" hidden="1" x14ac:dyDescent="0.35">
      <c r="G124"/>
    </row>
    <row r="125" spans="7:7" s="342" customFormat="1" ht="14.5" hidden="1" x14ac:dyDescent="0.35">
      <c r="G125"/>
    </row>
    <row r="126" spans="7:7" s="342" customFormat="1" ht="14.5" hidden="1" x14ac:dyDescent="0.35">
      <c r="G126"/>
    </row>
    <row r="127" spans="7:7" s="342" customFormat="1" ht="14.5" hidden="1" x14ac:dyDescent="0.35">
      <c r="G127"/>
    </row>
    <row r="128" spans="7:7" s="342" customFormat="1" ht="14.5" hidden="1" x14ac:dyDescent="0.35">
      <c r="G128"/>
    </row>
    <row r="129" spans="7:7" s="342" customFormat="1" ht="14.5" hidden="1" x14ac:dyDescent="0.35">
      <c r="G129"/>
    </row>
    <row r="130" spans="7:7" s="342" customFormat="1" ht="14.5" hidden="1" x14ac:dyDescent="0.35">
      <c r="G130"/>
    </row>
    <row r="131" spans="7:7" s="342" customFormat="1" ht="14.5" hidden="1" x14ac:dyDescent="0.35">
      <c r="G131"/>
    </row>
    <row r="132" spans="7:7" s="342" customFormat="1" ht="14.5" hidden="1" x14ac:dyDescent="0.35">
      <c r="G132"/>
    </row>
    <row r="133" spans="7:7" s="342" customFormat="1" ht="14.5" hidden="1" x14ac:dyDescent="0.35">
      <c r="G133"/>
    </row>
    <row r="134" spans="7:7" s="342" customFormat="1" ht="14.5" hidden="1" x14ac:dyDescent="0.35">
      <c r="G134"/>
    </row>
    <row r="135" spans="7:7" s="342" customFormat="1" ht="14.5" hidden="1" x14ac:dyDescent="0.35">
      <c r="G135"/>
    </row>
    <row r="136" spans="7:7" s="342" customFormat="1" ht="14.5" hidden="1" x14ac:dyDescent="0.35">
      <c r="G136"/>
    </row>
    <row r="137" spans="7:7" s="342" customFormat="1" ht="14.5" hidden="1" x14ac:dyDescent="0.35">
      <c r="G137"/>
    </row>
    <row r="138" spans="7:7" s="342" customFormat="1" ht="14.5" hidden="1" x14ac:dyDescent="0.35">
      <c r="G138"/>
    </row>
    <row r="139" spans="7:7" ht="14.5" hidden="1" x14ac:dyDescent="0.35"/>
    <row r="140" spans="7:7" ht="14.5" hidden="1" x14ac:dyDescent="0.35"/>
    <row r="141" spans="7:7" ht="14.5" hidden="1" x14ac:dyDescent="0.35"/>
    <row r="142" spans="7:7" ht="14.5" hidden="1" x14ac:dyDescent="0.35"/>
    <row r="143" spans="7:7" ht="14.5" hidden="1" x14ac:dyDescent="0.35"/>
    <row r="144" spans="7:7" ht="14.5" hidden="1" x14ac:dyDescent="0.35"/>
    <row r="145" ht="14.5" hidden="1" x14ac:dyDescent="0.35"/>
    <row r="146" ht="14.5" hidden="1" x14ac:dyDescent="0.35"/>
    <row r="147" ht="14.5" hidden="1" x14ac:dyDescent="0.35"/>
    <row r="148" ht="15" hidden="1" customHeight="1" x14ac:dyDescent="0.35"/>
    <row r="149" ht="15" hidden="1" customHeight="1" x14ac:dyDescent="0.35"/>
    <row r="150" ht="15" hidden="1" customHeight="1" x14ac:dyDescent="0.35"/>
    <row r="151" ht="15" hidden="1" customHeight="1" x14ac:dyDescent="0.35"/>
    <row r="152" ht="15" hidden="1" customHeight="1" x14ac:dyDescent="0.35"/>
    <row r="153" ht="15" hidden="1" customHeight="1" x14ac:dyDescent="0.35"/>
    <row r="154" ht="15" hidden="1" customHeight="1" x14ac:dyDescent="0.35"/>
    <row r="155" ht="15" hidden="1" customHeight="1" x14ac:dyDescent="0.35"/>
    <row r="156" ht="15" hidden="1" customHeight="1" x14ac:dyDescent="0.35"/>
    <row r="157" ht="15" hidden="1" customHeight="1" x14ac:dyDescent="0.35"/>
    <row r="158" ht="15" hidden="1" customHeight="1" x14ac:dyDescent="0.35"/>
    <row r="159" ht="15" hidden="1" customHeight="1" x14ac:dyDescent="0.35"/>
    <row r="160" ht="15" hidden="1" customHeight="1" x14ac:dyDescent="0.35"/>
    <row r="161" ht="15" hidden="1" customHeight="1" x14ac:dyDescent="0.35"/>
    <row r="162" ht="15" hidden="1" customHeight="1" x14ac:dyDescent="0.35"/>
    <row r="163" ht="15" hidden="1" customHeight="1" x14ac:dyDescent="0.35"/>
    <row r="164" ht="15" hidden="1" customHeight="1" x14ac:dyDescent="0.35"/>
    <row r="165" ht="15" hidden="1" customHeight="1" x14ac:dyDescent="0.35"/>
    <row r="166" ht="15" hidden="1" customHeight="1" x14ac:dyDescent="0.35"/>
    <row r="167" ht="15" hidden="1" customHeight="1" x14ac:dyDescent="0.35"/>
    <row r="168" ht="15" hidden="1" customHeight="1" x14ac:dyDescent="0.35"/>
    <row r="169" ht="15" hidden="1" customHeight="1" x14ac:dyDescent="0.35"/>
    <row r="170" ht="15" hidden="1" customHeight="1" x14ac:dyDescent="0.35"/>
    <row r="171" ht="15" hidden="1" customHeight="1" x14ac:dyDescent="0.35"/>
    <row r="172" ht="15" hidden="1" customHeight="1" x14ac:dyDescent="0.35"/>
    <row r="173" ht="15" hidden="1" customHeight="1" x14ac:dyDescent="0.35"/>
    <row r="174" ht="15" hidden="1" customHeight="1" x14ac:dyDescent="0.35"/>
    <row r="175" ht="15" hidden="1" customHeight="1" x14ac:dyDescent="0.35"/>
    <row r="176" ht="15" hidden="1" customHeight="1" x14ac:dyDescent="0.35"/>
    <row r="177" ht="15" hidden="1" customHeight="1" x14ac:dyDescent="0.35"/>
    <row r="178" ht="15" hidden="1" customHeight="1" x14ac:dyDescent="0.35"/>
    <row r="179" ht="15" hidden="1" customHeight="1" x14ac:dyDescent="0.35"/>
    <row r="180" ht="15" hidden="1" customHeight="1" x14ac:dyDescent="0.35"/>
    <row r="181" ht="15" hidden="1" customHeight="1" x14ac:dyDescent="0.35"/>
    <row r="182" ht="15" hidden="1" customHeight="1" x14ac:dyDescent="0.35"/>
    <row r="183" ht="15" hidden="1" customHeight="1" x14ac:dyDescent="0.35"/>
    <row r="184" ht="15" hidden="1" customHeight="1" x14ac:dyDescent="0.35"/>
    <row r="185" ht="15" hidden="1" customHeight="1" x14ac:dyDescent="0.35"/>
    <row r="186" ht="15" hidden="1" customHeight="1" x14ac:dyDescent="0.35"/>
    <row r="187" ht="15" hidden="1" customHeight="1" x14ac:dyDescent="0.35"/>
    <row r="188" ht="15" hidden="1" customHeight="1" x14ac:dyDescent="0.35"/>
    <row r="189" ht="15" hidden="1" customHeight="1" x14ac:dyDescent="0.35"/>
    <row r="190" ht="15" hidden="1" customHeight="1" x14ac:dyDescent="0.35"/>
    <row r="191" ht="15" hidden="1" customHeight="1" x14ac:dyDescent="0.35"/>
    <row r="192" ht="15" hidden="1" customHeight="1" x14ac:dyDescent="0.35"/>
    <row r="193" ht="15" hidden="1" customHeight="1" x14ac:dyDescent="0.35"/>
    <row r="194" ht="15" hidden="1" customHeight="1" x14ac:dyDescent="0.35"/>
    <row r="195" ht="15" hidden="1" customHeight="1" x14ac:dyDescent="0.35"/>
    <row r="196" ht="15" hidden="1" customHeight="1" x14ac:dyDescent="0.35"/>
    <row r="197" ht="15" hidden="1" customHeight="1" x14ac:dyDescent="0.35"/>
    <row r="198" ht="15" hidden="1" customHeight="1" x14ac:dyDescent="0.35"/>
    <row r="199" ht="15" hidden="1" customHeight="1" x14ac:dyDescent="0.35"/>
    <row r="200" ht="15" hidden="1" customHeight="1" x14ac:dyDescent="0.35"/>
    <row r="201" ht="15" hidden="1" customHeight="1" x14ac:dyDescent="0.35"/>
    <row r="202" ht="15" hidden="1" customHeight="1" x14ac:dyDescent="0.35"/>
    <row r="203" ht="15" hidden="1" customHeight="1" x14ac:dyDescent="0.35"/>
    <row r="204" ht="15" hidden="1" customHeight="1" x14ac:dyDescent="0.35"/>
    <row r="205" ht="15" hidden="1" customHeight="1" x14ac:dyDescent="0.35"/>
    <row r="206" ht="15" hidden="1" customHeight="1" x14ac:dyDescent="0.35"/>
    <row r="207" ht="15" hidden="1" customHeight="1" x14ac:dyDescent="0.35"/>
    <row r="208" ht="15" hidden="1" customHeight="1" x14ac:dyDescent="0.35"/>
    <row r="209" ht="15" hidden="1" customHeight="1" x14ac:dyDescent="0.35"/>
    <row r="210" ht="15" hidden="1" customHeight="1" x14ac:dyDescent="0.35"/>
    <row r="211" ht="15" hidden="1" customHeight="1" x14ac:dyDescent="0.35"/>
    <row r="212" ht="15" hidden="1" customHeight="1" x14ac:dyDescent="0.35"/>
    <row r="213" ht="15" hidden="1" customHeight="1" x14ac:dyDescent="0.35"/>
    <row r="214" ht="15" hidden="1" customHeight="1" x14ac:dyDescent="0.35"/>
    <row r="215" ht="15" hidden="1" customHeight="1" x14ac:dyDescent="0.35"/>
    <row r="216" ht="15" hidden="1" customHeight="1" x14ac:dyDescent="0.35"/>
    <row r="217" ht="15" hidden="1" customHeight="1" x14ac:dyDescent="0.35"/>
    <row r="218" ht="15" hidden="1" customHeight="1" x14ac:dyDescent="0.35"/>
    <row r="219" ht="15" hidden="1" customHeight="1" x14ac:dyDescent="0.35"/>
    <row r="220" ht="15" hidden="1" customHeight="1" x14ac:dyDescent="0.35"/>
    <row r="221" ht="15" hidden="1" customHeight="1" x14ac:dyDescent="0.35"/>
    <row r="222" ht="15" hidden="1" customHeight="1" x14ac:dyDescent="0.35"/>
    <row r="223" ht="15" hidden="1" customHeight="1" x14ac:dyDescent="0.35"/>
    <row r="224" ht="15" hidden="1" customHeight="1" x14ac:dyDescent="0.35"/>
    <row r="225" ht="15" hidden="1" customHeight="1" x14ac:dyDescent="0.35"/>
    <row r="226" ht="15" hidden="1" customHeight="1" x14ac:dyDescent="0.35"/>
    <row r="227" ht="15" hidden="1" customHeight="1" x14ac:dyDescent="0.35"/>
    <row r="228" ht="15" hidden="1" customHeight="1" x14ac:dyDescent="0.35"/>
    <row r="229" ht="15" hidden="1" customHeight="1" x14ac:dyDescent="0.35"/>
    <row r="230" ht="15" hidden="1" customHeight="1" x14ac:dyDescent="0.35"/>
    <row r="231" ht="15" hidden="1" customHeight="1" x14ac:dyDescent="0.35"/>
    <row r="232" ht="15" hidden="1" customHeight="1" x14ac:dyDescent="0.35"/>
    <row r="233" ht="15" hidden="1" customHeight="1" x14ac:dyDescent="0.35"/>
    <row r="234" ht="15" hidden="1" customHeight="1" x14ac:dyDescent="0.35"/>
    <row r="235" ht="15" hidden="1" customHeight="1" x14ac:dyDescent="0.35"/>
    <row r="236" ht="15" hidden="1" customHeight="1" x14ac:dyDescent="0.35"/>
    <row r="237" ht="15" hidden="1" customHeight="1" x14ac:dyDescent="0.35"/>
    <row r="238" ht="15" hidden="1" customHeight="1" x14ac:dyDescent="0.35"/>
    <row r="239" ht="15" hidden="1" customHeight="1" x14ac:dyDescent="0.35"/>
    <row r="240" ht="15" hidden="1" customHeight="1" x14ac:dyDescent="0.35"/>
    <row r="241" ht="15" customHeight="1" x14ac:dyDescent="0.35"/>
    <row r="242" ht="15" customHeight="1" x14ac:dyDescent="0.35"/>
    <row r="243" ht="15" customHeight="1" x14ac:dyDescent="0.35"/>
    <row r="244" ht="15" customHeight="1" x14ac:dyDescent="0.35"/>
    <row r="245" ht="15" customHeight="1" x14ac:dyDescent="0.35"/>
    <row r="246" ht="15" customHeight="1" x14ac:dyDescent="0.35"/>
    <row r="247" ht="15" customHeight="1" x14ac:dyDescent="0.35"/>
    <row r="248" ht="15" customHeight="1" x14ac:dyDescent="0.35"/>
    <row r="249" ht="15" customHeight="1" x14ac:dyDescent="0.35"/>
    <row r="250" ht="15" customHeight="1" x14ac:dyDescent="0.35"/>
    <row r="251" ht="15" customHeight="1" x14ac:dyDescent="0.35"/>
    <row r="252" ht="15" customHeight="1" x14ac:dyDescent="0.35"/>
    <row r="253" ht="15" customHeight="1" x14ac:dyDescent="0.35"/>
    <row r="254" ht="15" customHeight="1" x14ac:dyDescent="0.35"/>
    <row r="255" ht="15" customHeight="1" x14ac:dyDescent="0.35"/>
    <row r="256" ht="15" customHeight="1" x14ac:dyDescent="0.35"/>
    <row r="257" ht="15" customHeight="1" x14ac:dyDescent="0.35"/>
    <row r="258" ht="15" customHeight="1" x14ac:dyDescent="0.35"/>
    <row r="259" ht="15" customHeight="1" x14ac:dyDescent="0.35"/>
    <row r="260" ht="15" customHeight="1" x14ac:dyDescent="0.35"/>
    <row r="261" ht="15" customHeight="1" x14ac:dyDescent="0.35"/>
    <row r="262" ht="15" customHeight="1" x14ac:dyDescent="0.35"/>
    <row r="263" ht="15" customHeight="1" x14ac:dyDescent="0.35"/>
    <row r="264" ht="15" customHeight="1" x14ac:dyDescent="0.35"/>
    <row r="265" ht="15" customHeight="1" x14ac:dyDescent="0.35"/>
    <row r="266" ht="15" customHeight="1" x14ac:dyDescent="0.35"/>
    <row r="267" ht="15" customHeight="1" x14ac:dyDescent="0.35"/>
    <row r="268" ht="15" customHeight="1" x14ac:dyDescent="0.35"/>
    <row r="269" ht="15" customHeight="1" x14ac:dyDescent="0.35"/>
    <row r="270" ht="15" customHeight="1" x14ac:dyDescent="0.35"/>
    <row r="271" ht="15" customHeight="1" x14ac:dyDescent="0.35"/>
    <row r="272" ht="15" customHeight="1" x14ac:dyDescent="0.35"/>
    <row r="273" ht="15" customHeight="1" x14ac:dyDescent="0.35"/>
    <row r="274" ht="15" customHeight="1" x14ac:dyDescent="0.35"/>
    <row r="275" ht="15" customHeight="1" x14ac:dyDescent="0.35"/>
    <row r="276" ht="15" customHeight="1" x14ac:dyDescent="0.35"/>
    <row r="277" ht="15" customHeight="1" x14ac:dyDescent="0.35"/>
    <row r="278" ht="15" customHeight="1" x14ac:dyDescent="0.35"/>
    <row r="279" ht="15" customHeight="1" x14ac:dyDescent="0.35"/>
    <row r="280" ht="15" customHeight="1" x14ac:dyDescent="0.35"/>
    <row r="281" ht="15" customHeight="1" x14ac:dyDescent="0.35"/>
    <row r="282" ht="15" customHeight="1" x14ac:dyDescent="0.35"/>
    <row r="283" ht="15" customHeight="1" x14ac:dyDescent="0.35"/>
    <row r="284" ht="15" customHeight="1" x14ac:dyDescent="0.35"/>
    <row r="285" ht="15" customHeight="1" x14ac:dyDescent="0.35"/>
    <row r="286" ht="15" customHeight="1" x14ac:dyDescent="0.35"/>
    <row r="287" ht="15" customHeight="1" x14ac:dyDescent="0.35"/>
    <row r="288" ht="15" customHeight="1" x14ac:dyDescent="0.35"/>
    <row r="289" ht="15" customHeight="1" x14ac:dyDescent="0.35"/>
    <row r="290" ht="15" customHeight="1" x14ac:dyDescent="0.35"/>
    <row r="291" ht="15" customHeight="1" x14ac:dyDescent="0.35"/>
    <row r="292" ht="15" customHeight="1" x14ac:dyDescent="0.35"/>
    <row r="293" ht="15" customHeight="1" x14ac:dyDescent="0.35"/>
    <row r="294" ht="15" customHeight="1" x14ac:dyDescent="0.35"/>
    <row r="295" ht="15" customHeight="1" x14ac:dyDescent="0.35"/>
    <row r="296" ht="15" customHeight="1" x14ac:dyDescent="0.35"/>
    <row r="297" ht="15" customHeight="1" x14ac:dyDescent="0.35"/>
    <row r="298" ht="15" customHeight="1" x14ac:dyDescent="0.35"/>
    <row r="299" ht="15" customHeight="1" x14ac:dyDescent="0.35"/>
    <row r="300" ht="15" customHeight="1" x14ac:dyDescent="0.35"/>
    <row r="301" ht="15" customHeight="1" x14ac:dyDescent="0.35"/>
    <row r="302" ht="15" customHeight="1" x14ac:dyDescent="0.35"/>
    <row r="303" ht="15" customHeight="1" x14ac:dyDescent="0.35"/>
    <row r="304" ht="15" customHeight="1" x14ac:dyDescent="0.35"/>
    <row r="305" ht="15" customHeight="1" x14ac:dyDescent="0.35"/>
    <row r="306" ht="15" customHeight="1" x14ac:dyDescent="0.35"/>
    <row r="307" ht="15" customHeight="1" x14ac:dyDescent="0.35"/>
    <row r="308" ht="15" customHeight="1" x14ac:dyDescent="0.35"/>
    <row r="309" ht="15" customHeight="1" x14ac:dyDescent="0.35"/>
    <row r="310" ht="15" customHeight="1" x14ac:dyDescent="0.35"/>
    <row r="311" ht="15" customHeight="1" x14ac:dyDescent="0.35"/>
    <row r="312" ht="15" customHeight="1" x14ac:dyDescent="0.35"/>
    <row r="313" ht="15" customHeight="1" x14ac:dyDescent="0.35"/>
    <row r="314" ht="15" customHeight="1" x14ac:dyDescent="0.35"/>
    <row r="315" ht="15" customHeight="1" x14ac:dyDescent="0.35"/>
    <row r="316" ht="15" customHeight="1" x14ac:dyDescent="0.35"/>
    <row r="317" ht="15" customHeight="1" x14ac:dyDescent="0.35"/>
    <row r="318" ht="15" customHeight="1" x14ac:dyDescent="0.35"/>
    <row r="319" ht="15" customHeight="1" x14ac:dyDescent="0.35"/>
    <row r="320" ht="15" customHeight="1" x14ac:dyDescent="0.35"/>
    <row r="321" ht="15" customHeight="1" x14ac:dyDescent="0.35"/>
    <row r="322" ht="15" customHeight="1" x14ac:dyDescent="0.35"/>
    <row r="323" ht="15" customHeight="1" x14ac:dyDescent="0.35"/>
    <row r="324" ht="15" customHeight="1" x14ac:dyDescent="0.35"/>
    <row r="325" ht="15" customHeight="1" x14ac:dyDescent="0.35"/>
    <row r="326" ht="15" customHeight="1" x14ac:dyDescent="0.35"/>
    <row r="327" ht="15" customHeight="1" x14ac:dyDescent="0.35"/>
    <row r="328" ht="15" customHeight="1" x14ac:dyDescent="0.35"/>
    <row r="329" ht="15" customHeight="1" x14ac:dyDescent="0.35"/>
    <row r="330" ht="15" customHeight="1" x14ac:dyDescent="0.35"/>
    <row r="331" ht="15" customHeight="1" x14ac:dyDescent="0.35"/>
    <row r="332" ht="15" customHeight="1" x14ac:dyDescent="0.35"/>
    <row r="333" ht="15" customHeight="1" x14ac:dyDescent="0.35"/>
    <row r="334" ht="15" customHeight="1" x14ac:dyDescent="0.35"/>
    <row r="335" ht="15" customHeight="1" x14ac:dyDescent="0.35"/>
    <row r="336" ht="15" customHeight="1" x14ac:dyDescent="0.35"/>
    <row r="337" ht="15" customHeight="1" x14ac:dyDescent="0.35"/>
    <row r="338" ht="15" customHeight="1" x14ac:dyDescent="0.35"/>
    <row r="339" ht="15" customHeight="1" x14ac:dyDescent="0.35"/>
    <row r="340" ht="15" customHeight="1" x14ac:dyDescent="0.35"/>
    <row r="341" ht="15" customHeight="1" x14ac:dyDescent="0.35"/>
    <row r="342" ht="15" customHeight="1" x14ac:dyDescent="0.35"/>
    <row r="343" ht="15" customHeight="1" x14ac:dyDescent="0.35"/>
    <row r="344" ht="15" customHeight="1" x14ac:dyDescent="0.35"/>
    <row r="345" ht="15" customHeight="1" x14ac:dyDescent="0.35"/>
    <row r="346" ht="15" customHeight="1" x14ac:dyDescent="0.35"/>
    <row r="347" ht="15" customHeight="1" x14ac:dyDescent="0.35"/>
    <row r="348" ht="15" customHeight="1" x14ac:dyDescent="0.35"/>
    <row r="349" ht="15" customHeight="1" x14ac:dyDescent="0.35"/>
    <row r="350" ht="15" customHeight="1" x14ac:dyDescent="0.35"/>
    <row r="351" ht="15" customHeight="1" x14ac:dyDescent="0.35"/>
    <row r="352" ht="15" customHeight="1" x14ac:dyDescent="0.35"/>
    <row r="353" ht="15" customHeight="1" x14ac:dyDescent="0.35"/>
    <row r="354" ht="15" customHeight="1" x14ac:dyDescent="0.35"/>
    <row r="355" ht="15" customHeight="1" x14ac:dyDescent="0.35"/>
    <row r="356" ht="15" customHeight="1" x14ac:dyDescent="0.35"/>
    <row r="357" ht="15" customHeight="1" x14ac:dyDescent="0.35"/>
    <row r="358" ht="15" customHeight="1" x14ac:dyDescent="0.35"/>
    <row r="359" ht="15" customHeight="1" x14ac:dyDescent="0.35"/>
    <row r="360" ht="15" customHeight="1" x14ac:dyDescent="0.35"/>
    <row r="361" ht="15" customHeight="1" x14ac:dyDescent="0.35"/>
    <row r="362" ht="15" customHeight="1" x14ac:dyDescent="0.35"/>
    <row r="363" ht="15" customHeight="1" x14ac:dyDescent="0.35"/>
    <row r="364" ht="15" customHeight="1" x14ac:dyDescent="0.35"/>
    <row r="365" ht="15" customHeight="1" x14ac:dyDescent="0.35"/>
    <row r="366" ht="15" customHeight="1" x14ac:dyDescent="0.35"/>
    <row r="367" ht="15" customHeight="1" x14ac:dyDescent="0.35"/>
    <row r="368" ht="15" customHeight="1" x14ac:dyDescent="0.35"/>
    <row r="369" ht="15" customHeight="1" x14ac:dyDescent="0.35"/>
    <row r="370" ht="15" customHeight="1" x14ac:dyDescent="0.35"/>
    <row r="371" ht="15" customHeight="1" x14ac:dyDescent="0.35"/>
    <row r="372" ht="15" customHeight="1" x14ac:dyDescent="0.35"/>
    <row r="373" ht="15" customHeight="1" x14ac:dyDescent="0.35"/>
    <row r="374" ht="15" customHeight="1" x14ac:dyDescent="0.35"/>
    <row r="375" ht="15" customHeight="1" x14ac:dyDescent="0.35"/>
    <row r="376" ht="15" customHeight="1" x14ac:dyDescent="0.35"/>
    <row r="377" ht="15" customHeight="1" x14ac:dyDescent="0.35"/>
    <row r="378" ht="15" customHeight="1" x14ac:dyDescent="0.35"/>
    <row r="379" ht="15" customHeight="1" x14ac:dyDescent="0.35"/>
    <row r="380" ht="15" customHeight="1" x14ac:dyDescent="0.35"/>
    <row r="381" ht="15" customHeight="1" x14ac:dyDescent="0.35"/>
    <row r="382" ht="15" customHeight="1" x14ac:dyDescent="0.35"/>
    <row r="383" ht="15" customHeight="1" x14ac:dyDescent="0.35"/>
    <row r="384" ht="15" customHeight="1" x14ac:dyDescent="0.35"/>
    <row r="385" ht="15" customHeight="1" x14ac:dyDescent="0.35"/>
    <row r="386" ht="15" customHeight="1" x14ac:dyDescent="0.35"/>
    <row r="387" ht="15" customHeight="1" x14ac:dyDescent="0.35"/>
    <row r="388" ht="15" customHeight="1" x14ac:dyDescent="0.35"/>
    <row r="389" ht="15" customHeight="1" x14ac:dyDescent="0.35"/>
    <row r="390" ht="15" customHeight="1" x14ac:dyDescent="0.35"/>
    <row r="391" ht="15" customHeight="1" x14ac:dyDescent="0.35"/>
    <row r="392" ht="15" customHeight="1" x14ac:dyDescent="0.35"/>
    <row r="393" ht="15" customHeight="1" x14ac:dyDescent="0.35"/>
    <row r="394" ht="15" customHeight="1" x14ac:dyDescent="0.35"/>
    <row r="395" ht="15" customHeight="1" x14ac:dyDescent="0.35"/>
    <row r="396" ht="15" customHeight="1" x14ac:dyDescent="0.35"/>
    <row r="397" ht="15" customHeight="1" x14ac:dyDescent="0.35"/>
    <row r="398" ht="15" customHeight="1" x14ac:dyDescent="0.35"/>
    <row r="399" ht="15" customHeight="1" x14ac:dyDescent="0.35"/>
    <row r="400" ht="15" customHeight="1" x14ac:dyDescent="0.35"/>
    <row r="401" ht="15" customHeight="1" x14ac:dyDescent="0.35"/>
    <row r="402" ht="15" customHeight="1" x14ac:dyDescent="0.35"/>
    <row r="403" ht="15" customHeight="1" x14ac:dyDescent="0.35"/>
    <row r="404" ht="15" customHeight="1" x14ac:dyDescent="0.35"/>
    <row r="405" ht="15" customHeight="1" x14ac:dyDescent="0.35"/>
    <row r="406" ht="15" customHeight="1" x14ac:dyDescent="0.35"/>
    <row r="407" ht="15" customHeight="1" x14ac:dyDescent="0.35"/>
    <row r="408" ht="15" customHeight="1" x14ac:dyDescent="0.35"/>
    <row r="409" ht="15" customHeight="1" x14ac:dyDescent="0.35"/>
    <row r="410" ht="15" customHeight="1" x14ac:dyDescent="0.35"/>
    <row r="411" ht="15" customHeight="1" x14ac:dyDescent="0.35"/>
    <row r="412" ht="15" customHeight="1" x14ac:dyDescent="0.35"/>
    <row r="413" ht="15" customHeight="1" x14ac:dyDescent="0.35"/>
    <row r="414" ht="15" customHeight="1" x14ac:dyDescent="0.35"/>
    <row r="415" ht="15" customHeight="1" x14ac:dyDescent="0.35"/>
    <row r="416" ht="15" customHeight="1" x14ac:dyDescent="0.35"/>
    <row r="417" ht="15" customHeight="1" x14ac:dyDescent="0.35"/>
    <row r="418" ht="15" customHeight="1" x14ac:dyDescent="0.35"/>
    <row r="419" ht="15" customHeight="1" x14ac:dyDescent="0.35"/>
    <row r="420" ht="15" customHeight="1" x14ac:dyDescent="0.35"/>
    <row r="421" ht="15" customHeight="1" x14ac:dyDescent="0.35"/>
    <row r="422" ht="15" customHeight="1" x14ac:dyDescent="0.35"/>
    <row r="423" ht="15" customHeight="1" x14ac:dyDescent="0.35"/>
    <row r="424" ht="15" customHeight="1" x14ac:dyDescent="0.35"/>
    <row r="425" ht="15" customHeight="1" x14ac:dyDescent="0.35"/>
    <row r="426" ht="15" customHeight="1" x14ac:dyDescent="0.35"/>
    <row r="427" ht="15" customHeight="1" x14ac:dyDescent="0.35"/>
    <row r="428" ht="15" customHeight="1" x14ac:dyDescent="0.35"/>
    <row r="429" ht="15" customHeight="1" x14ac:dyDescent="0.35"/>
    <row r="430" ht="15" customHeight="1" x14ac:dyDescent="0.35"/>
    <row r="431" ht="15" customHeight="1" x14ac:dyDescent="0.35"/>
    <row r="432" ht="15" customHeight="1" x14ac:dyDescent="0.35"/>
    <row r="433" ht="15" customHeight="1" x14ac:dyDescent="0.35"/>
    <row r="434" ht="15" customHeight="1" x14ac:dyDescent="0.35"/>
    <row r="435" ht="15" customHeight="1" x14ac:dyDescent="0.35"/>
    <row r="436" ht="15" customHeight="1" x14ac:dyDescent="0.35"/>
    <row r="437" ht="15" customHeight="1" x14ac:dyDescent="0.35"/>
    <row r="438" ht="15" customHeight="1" x14ac:dyDescent="0.35"/>
    <row r="439" ht="15" customHeight="1" x14ac:dyDescent="0.35"/>
    <row r="440" ht="15" customHeight="1" x14ac:dyDescent="0.35"/>
    <row r="441" ht="15" customHeight="1" x14ac:dyDescent="0.35"/>
    <row r="442" ht="15" customHeight="1" x14ac:dyDescent="0.35"/>
    <row r="443" ht="15" customHeight="1" x14ac:dyDescent="0.35"/>
    <row r="444" ht="15" customHeight="1" x14ac:dyDescent="0.35"/>
    <row r="445" ht="15" customHeight="1" x14ac:dyDescent="0.35"/>
    <row r="446" ht="15" customHeight="1" x14ac:dyDescent="0.35"/>
    <row r="447" ht="15" customHeight="1" x14ac:dyDescent="0.35"/>
    <row r="448" ht="15" customHeight="1" x14ac:dyDescent="0.35"/>
    <row r="449" ht="15" customHeight="1" x14ac:dyDescent="0.35"/>
    <row r="450" ht="15" customHeight="1" x14ac:dyDescent="0.35"/>
    <row r="451" ht="15" customHeight="1" x14ac:dyDescent="0.35"/>
    <row r="452" ht="15" customHeight="1" x14ac:dyDescent="0.35"/>
    <row r="453" ht="15" customHeight="1" x14ac:dyDescent="0.35"/>
    <row r="454" ht="15" customHeight="1" x14ac:dyDescent="0.35"/>
    <row r="455" ht="15" customHeight="1" x14ac:dyDescent="0.35"/>
    <row r="456" ht="15" customHeight="1" x14ac:dyDescent="0.35"/>
    <row r="457" ht="15" customHeight="1" x14ac:dyDescent="0.35"/>
    <row r="458" ht="15" customHeight="1" x14ac:dyDescent="0.35"/>
    <row r="459" ht="15" customHeight="1" x14ac:dyDescent="0.35"/>
    <row r="460" ht="15" customHeight="1" x14ac:dyDescent="0.35"/>
    <row r="461" ht="15" customHeight="1" x14ac:dyDescent="0.35"/>
    <row r="462" ht="15" customHeight="1" x14ac:dyDescent="0.35"/>
    <row r="463" ht="15" customHeight="1" x14ac:dyDescent="0.35"/>
    <row r="464" ht="15" customHeight="1" x14ac:dyDescent="0.35"/>
    <row r="465" ht="15" customHeight="1" x14ac:dyDescent="0.35"/>
    <row r="466" ht="15" customHeight="1" x14ac:dyDescent="0.35"/>
    <row r="467" ht="15" customHeight="1" x14ac:dyDescent="0.35"/>
    <row r="468" ht="15" customHeight="1" x14ac:dyDescent="0.35"/>
    <row r="469" ht="15" customHeight="1" x14ac:dyDescent="0.35"/>
    <row r="470" ht="15" customHeight="1" x14ac:dyDescent="0.35"/>
    <row r="471" ht="15" customHeight="1" x14ac:dyDescent="0.35"/>
    <row r="472" ht="15" customHeight="1" x14ac:dyDescent="0.35"/>
    <row r="473" ht="15" customHeight="1" x14ac:dyDescent="0.35"/>
    <row r="474" ht="15" customHeight="1" x14ac:dyDescent="0.35"/>
    <row r="475" ht="15" customHeight="1" x14ac:dyDescent="0.35"/>
    <row r="476" ht="15" customHeight="1" x14ac:dyDescent="0.35"/>
    <row r="477" ht="15" customHeight="1" x14ac:dyDescent="0.35"/>
    <row r="478" ht="15" customHeight="1" x14ac:dyDescent="0.35"/>
    <row r="479" ht="15" customHeight="1" x14ac:dyDescent="0.35"/>
    <row r="480" ht="15" customHeight="1" x14ac:dyDescent="0.35"/>
    <row r="481" ht="15" customHeight="1" x14ac:dyDescent="0.35"/>
    <row r="482" ht="15" customHeight="1" x14ac:dyDescent="0.35"/>
    <row r="483" ht="15" customHeight="1" x14ac:dyDescent="0.35"/>
    <row r="484" ht="15" customHeight="1" x14ac:dyDescent="0.35"/>
    <row r="485" ht="15" customHeight="1" x14ac:dyDescent="0.35"/>
    <row r="486" ht="15" customHeight="1" x14ac:dyDescent="0.35"/>
    <row r="487" ht="15" customHeight="1" x14ac:dyDescent="0.35"/>
    <row r="488" ht="15" customHeight="1" x14ac:dyDescent="0.35"/>
    <row r="489" ht="15" customHeight="1" x14ac:dyDescent="0.35"/>
    <row r="490" ht="15" customHeight="1" x14ac:dyDescent="0.35"/>
    <row r="491" ht="15" customHeight="1" x14ac:dyDescent="0.35"/>
    <row r="492" ht="15" customHeight="1" x14ac:dyDescent="0.35"/>
    <row r="493" ht="15" customHeight="1" x14ac:dyDescent="0.35"/>
    <row r="494" ht="15" customHeight="1" x14ac:dyDescent="0.35"/>
    <row r="495" ht="15" customHeight="1" x14ac:dyDescent="0.35"/>
    <row r="496" ht="15" customHeight="1" x14ac:dyDescent="0.35"/>
    <row r="497" ht="15" customHeight="1" x14ac:dyDescent="0.35"/>
    <row r="498" ht="15" customHeight="1" x14ac:dyDescent="0.35"/>
    <row r="499" ht="15" customHeight="1" x14ac:dyDescent="0.35"/>
    <row r="500" ht="15" customHeight="1" x14ac:dyDescent="0.35"/>
    <row r="501" ht="15" customHeight="1" x14ac:dyDescent="0.35"/>
    <row r="502" ht="15" customHeight="1" x14ac:dyDescent="0.35"/>
    <row r="503" ht="15" customHeight="1" x14ac:dyDescent="0.35"/>
    <row r="504" ht="15" customHeight="1" x14ac:dyDescent="0.35"/>
    <row r="505" ht="15" customHeight="1" x14ac:dyDescent="0.35"/>
    <row r="506" ht="15" customHeight="1" x14ac:dyDescent="0.35"/>
    <row r="507" ht="15" customHeight="1" x14ac:dyDescent="0.35"/>
    <row r="508" ht="15" customHeight="1" x14ac:dyDescent="0.35"/>
    <row r="509" ht="15" customHeight="1" x14ac:dyDescent="0.35"/>
    <row r="510" ht="15" customHeight="1" x14ac:dyDescent="0.35"/>
    <row r="511" ht="15" customHeight="1" x14ac:dyDescent="0.35"/>
    <row r="512" ht="15" customHeight="1" x14ac:dyDescent="0.35"/>
    <row r="513" ht="15" customHeight="1" x14ac:dyDescent="0.35"/>
    <row r="514" ht="15" customHeight="1" x14ac:dyDescent="0.35"/>
    <row r="515" ht="15" customHeight="1" x14ac:dyDescent="0.35"/>
    <row r="516" ht="15" customHeight="1" x14ac:dyDescent="0.35"/>
    <row r="517" ht="15" customHeight="1" x14ac:dyDescent="0.35"/>
    <row r="518" ht="15" customHeight="1" x14ac:dyDescent="0.35"/>
    <row r="519" ht="15" customHeight="1" x14ac:dyDescent="0.35"/>
    <row r="520" ht="15" customHeight="1" x14ac:dyDescent="0.35"/>
    <row r="521" ht="15" customHeight="1" x14ac:dyDescent="0.35"/>
    <row r="522" ht="15" customHeight="1" x14ac:dyDescent="0.35"/>
    <row r="523" ht="15" customHeight="1" x14ac:dyDescent="0.35"/>
    <row r="524" ht="15" customHeight="1" x14ac:dyDescent="0.35"/>
    <row r="525" ht="15" customHeight="1" x14ac:dyDescent="0.35"/>
    <row r="526" ht="15" customHeight="1" x14ac:dyDescent="0.35"/>
    <row r="527" ht="15" customHeight="1" x14ac:dyDescent="0.35"/>
    <row r="528" ht="15" customHeight="1" x14ac:dyDescent="0.35"/>
    <row r="529" ht="15" customHeight="1" x14ac:dyDescent="0.35"/>
    <row r="530" ht="15" customHeight="1" x14ac:dyDescent="0.35"/>
    <row r="531" ht="15" customHeight="1" x14ac:dyDescent="0.35"/>
    <row r="532" ht="15" customHeight="1" x14ac:dyDescent="0.35"/>
    <row r="533" ht="15" customHeight="1" x14ac:dyDescent="0.35"/>
    <row r="534" ht="15" customHeight="1" x14ac:dyDescent="0.35"/>
    <row r="535" ht="15" customHeight="1" x14ac:dyDescent="0.35"/>
    <row r="536" ht="15" customHeight="1" x14ac:dyDescent="0.35"/>
    <row r="537" ht="15" customHeight="1" x14ac:dyDescent="0.35"/>
    <row r="538" ht="15" customHeight="1" x14ac:dyDescent="0.35"/>
    <row r="539" ht="15" customHeight="1" x14ac:dyDescent="0.35"/>
    <row r="540" ht="15" customHeight="1" x14ac:dyDescent="0.35"/>
    <row r="541" ht="15" customHeight="1" x14ac:dyDescent="0.35"/>
    <row r="542" ht="15" customHeight="1" x14ac:dyDescent="0.35"/>
    <row r="543" ht="15" customHeight="1" x14ac:dyDescent="0.35"/>
    <row r="544" ht="15" customHeight="1" x14ac:dyDescent="0.35"/>
    <row r="545" ht="15" customHeight="1" x14ac:dyDescent="0.35"/>
    <row r="546" ht="15" customHeight="1" x14ac:dyDescent="0.35"/>
    <row r="547" ht="15" customHeight="1" x14ac:dyDescent="0.35"/>
    <row r="548" ht="15" customHeight="1" x14ac:dyDescent="0.35"/>
    <row r="549" ht="15" customHeight="1" x14ac:dyDescent="0.35"/>
    <row r="550" ht="15" customHeight="1" x14ac:dyDescent="0.35"/>
    <row r="551" ht="15" customHeight="1" x14ac:dyDescent="0.35"/>
    <row r="552" ht="15" customHeight="1" x14ac:dyDescent="0.35"/>
    <row r="553" ht="15" customHeight="1" x14ac:dyDescent="0.35"/>
    <row r="554" ht="15" customHeight="1" x14ac:dyDescent="0.35"/>
    <row r="555" ht="15" customHeight="1" x14ac:dyDescent="0.35"/>
    <row r="556" ht="15" customHeight="1" x14ac:dyDescent="0.35"/>
    <row r="557" ht="15" customHeight="1" x14ac:dyDescent="0.35"/>
    <row r="558" ht="15" customHeight="1" x14ac:dyDescent="0.35"/>
    <row r="559" ht="15" customHeight="1" x14ac:dyDescent="0.35"/>
    <row r="560" ht="15" customHeight="1" x14ac:dyDescent="0.35"/>
    <row r="561" ht="15" customHeight="1" x14ac:dyDescent="0.35"/>
    <row r="562" ht="15" customHeight="1" x14ac:dyDescent="0.35"/>
    <row r="563" ht="15" customHeight="1" x14ac:dyDescent="0.35"/>
    <row r="564" ht="15" customHeight="1" x14ac:dyDescent="0.35"/>
    <row r="565" ht="15" customHeight="1" x14ac:dyDescent="0.35"/>
    <row r="566" ht="15" customHeight="1" x14ac:dyDescent="0.35"/>
    <row r="567" ht="15" customHeight="1" x14ac:dyDescent="0.35"/>
    <row r="568" ht="15" customHeight="1" x14ac:dyDescent="0.35"/>
    <row r="569" ht="15" customHeight="1" x14ac:dyDescent="0.35"/>
    <row r="570" ht="15" customHeight="1" x14ac:dyDescent="0.35"/>
    <row r="571" ht="15" customHeight="1" x14ac:dyDescent="0.35"/>
    <row r="572" ht="15" customHeight="1" x14ac:dyDescent="0.35"/>
    <row r="573" ht="15" customHeight="1" x14ac:dyDescent="0.35"/>
    <row r="574" ht="15" customHeight="1" x14ac:dyDescent="0.35"/>
    <row r="575" ht="15" customHeight="1" x14ac:dyDescent="0.35"/>
    <row r="576" ht="15" customHeight="1" x14ac:dyDescent="0.35"/>
    <row r="577" ht="15" customHeight="1" x14ac:dyDescent="0.35"/>
    <row r="578" ht="15" customHeight="1" x14ac:dyDescent="0.35"/>
    <row r="579" ht="15" customHeight="1" x14ac:dyDescent="0.35"/>
    <row r="580" ht="15" customHeight="1" x14ac:dyDescent="0.35"/>
    <row r="581" ht="15" customHeight="1" x14ac:dyDescent="0.35"/>
    <row r="582" ht="15" customHeight="1" x14ac:dyDescent="0.35"/>
    <row r="583" ht="15" customHeight="1" x14ac:dyDescent="0.35"/>
    <row r="584" ht="15" customHeight="1" x14ac:dyDescent="0.35"/>
    <row r="585" ht="15" customHeight="1" x14ac:dyDescent="0.35"/>
    <row r="586" ht="15" customHeight="1" x14ac:dyDescent="0.35"/>
    <row r="587" ht="15" customHeight="1" x14ac:dyDescent="0.35"/>
    <row r="588" ht="15" customHeight="1" x14ac:dyDescent="0.35"/>
    <row r="589" ht="15" customHeight="1" x14ac:dyDescent="0.35"/>
  </sheetData>
  <sheetProtection algorithmName="SHA-512" hashValue="e3agkfLkNC0jA4yI1AzWvYtavKhQGzVIUvDQC8Gpif474tmNfwwTfypzturqKt9ce1seezfhAeMuhH4XsYJwlA==" saltValue="+S8FZ4lXub8/GjFaLXHgiA==" spinCount="100000" sheet="1" objects="1" scenarios="1"/>
  <mergeCells count="8">
    <mergeCell ref="K12:L12"/>
    <mergeCell ref="D15:E15"/>
    <mergeCell ref="B16:E16"/>
    <mergeCell ref="D14:E14"/>
    <mergeCell ref="B1:E1"/>
    <mergeCell ref="B3:E3"/>
    <mergeCell ref="D4:E4"/>
    <mergeCell ref="D5:E5"/>
  </mergeCells>
  <dataValidations count="6">
    <dataValidation type="list" allowBlank="1" showInputMessage="1" showErrorMessage="1" sqref="B13" xr:uid="{00000000-0002-0000-0D00-000000000000}">
      <formula1>$I$9</formula1>
    </dataValidation>
    <dataValidation type="list" allowBlank="1" showInputMessage="1" showErrorMessage="1" sqref="B9" xr:uid="{00000000-0002-0000-0D00-000001000000}">
      <formula1>$I$2:$I$6</formula1>
    </dataValidation>
    <dataValidation type="whole" operator="greaterThanOrEqual" allowBlank="1" showInputMessage="1" showErrorMessage="1" sqref="D4" xr:uid="{00000000-0002-0000-0D00-000002000000}">
      <formula1>1</formula1>
    </dataValidation>
    <dataValidation type="whole" allowBlank="1" showInputMessage="1" showErrorMessage="1" sqref="D5" xr:uid="{00000000-0002-0000-0D00-000003000000}">
      <formula1>0</formula1>
      <formula2>11</formula2>
    </dataValidation>
    <dataValidation type="whole" operator="greaterThanOrEqual" showInputMessage="1" showErrorMessage="1" sqref="D14" xr:uid="{00000000-0002-0000-0D00-000004000000}">
      <formula1>1</formula1>
    </dataValidation>
    <dataValidation type="decimal" allowBlank="1" showInputMessage="1" showErrorMessage="1" sqref="D7:E13" xr:uid="{00000000-0002-0000-0D00-000005000000}">
      <formula1>0</formula1>
      <formula2>9999999.99</formula2>
    </dataValidation>
  </dataValidations>
  <hyperlinks>
    <hyperlink ref="G2" location="'Dane pracownika'!A1" display="___Dane pracownika na wydrukach___" xr:uid="{00000000-0004-0000-0D00-000000000000}"/>
    <hyperlink ref="G4" location="'Dane do harmonogramu'!A1" display="Harmonogram pełny - tylko produkt podstawowy" xr:uid="{00000000-0004-0000-0D00-000001000000}"/>
    <hyperlink ref="G3" location="Dokumenty!A1" display="___Dokumenty___" xr:uid="{00000000-0004-0000-0D00-000002000000}"/>
    <hyperlink ref="G5" location="'Harmonogram spłat pożyczki'!A1" display="Harmonogram pełny - tylko produkt podstawowy" xr:uid="{00000000-0004-0000-0D00-000003000000}"/>
    <hyperlink ref="G6" location="'Harmonogram spłat pożyczki sk'!A1" display="Harmonogram skrócony - z opcjami" xr:uid="{00000000-0004-0000-0D00-000004000000}"/>
    <hyperlink ref="G7" location="Ubezpieczenie!A1" display="Dane do wydruku harmonogramu spłaty - ubezpieczenie" xr:uid="{00000000-0004-0000-0D00-000005000000}"/>
    <hyperlink ref="G8" location="'Harmonogram ubezp'!A1" display="Harmonogram skrócony - ubezpieczenie" xr:uid="{00000000-0004-0000-0D00-000006000000}"/>
    <hyperlink ref="G11" location="'Symulacja zdolności'!A1" display="Symulacja zdolności" xr:uid="{00000000-0004-0000-0D00-000007000000}"/>
    <hyperlink ref="G9" location="KPiR_kalkulator!A1" display="Symulacja dochodu - KPiR" xr:uid="{00000000-0004-0000-0D00-000008000000}"/>
    <hyperlink ref="G10" location="Ryczałt_kalkulator!A1" display="Symulacja dochodu - Ryczałt" xr:uid="{00000000-0004-0000-0D00-000009000000}"/>
  </hyperlinks>
  <pageMargins left="0.11811023622047245" right="0.11811023622047245" top="0.74803149606299213" bottom="0.74803149606299213" header="0.31496062992125984" footer="0.31496062992125984"/>
  <pageSetup paperSize="9" scale="65" orientation="portrait"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Arkusz2"/>
  <dimension ref="A1:AB60"/>
  <sheetViews>
    <sheetView showGridLines="0" showRowColHeaders="0" zoomScale="80" zoomScaleNormal="80" workbookViewId="0">
      <selection activeCell="C4" sqref="C4"/>
    </sheetView>
  </sheetViews>
  <sheetFormatPr defaultRowHeight="14.5" zeroHeight="1" x14ac:dyDescent="0.35"/>
  <cols>
    <col min="1" max="1" width="6.54296875" style="385" customWidth="1"/>
    <col min="2" max="2" width="106.1796875" customWidth="1"/>
    <col min="3" max="3" width="26.54296875" customWidth="1"/>
    <col min="4" max="4" width="2.81640625" customWidth="1"/>
    <col min="5" max="5" width="19.08984375" bestFit="1" customWidth="1"/>
    <col min="6" max="6" width="18.36328125" customWidth="1"/>
    <col min="7" max="7" width="15" customWidth="1"/>
    <col min="8" max="8" width="19.81640625" customWidth="1"/>
    <col min="9" max="11" width="9.1796875" customWidth="1"/>
    <col min="12" max="12" width="10" hidden="1" customWidth="1"/>
    <col min="13" max="17" width="9.1796875" hidden="1" customWidth="1"/>
    <col min="18" max="18" width="12.81640625" hidden="1" customWidth="1"/>
    <col min="19" max="19" width="14.453125" hidden="1" customWidth="1"/>
    <col min="20" max="20" width="18.54296875" hidden="1" customWidth="1"/>
    <col min="21" max="21" width="16.1796875" hidden="1" customWidth="1"/>
    <col min="22" max="22" width="9.1796875" hidden="1" customWidth="1"/>
    <col min="23" max="23" width="9.453125" hidden="1" customWidth="1"/>
    <col min="24" max="24" width="9.54296875" hidden="1" customWidth="1"/>
    <col min="25" max="27" width="9.1796875" hidden="1" customWidth="1"/>
    <col min="28" max="28" width="27" hidden="1" customWidth="1"/>
    <col min="29" max="128" width="9.1796875" customWidth="1"/>
  </cols>
  <sheetData>
    <row r="1" spans="1:28" ht="50.15" customHeight="1" x14ac:dyDescent="0.35">
      <c r="A1" s="399"/>
      <c r="B1" s="631" t="s">
        <v>469</v>
      </c>
      <c r="C1" s="631"/>
      <c r="E1" s="550"/>
      <c r="F1" s="68" t="s">
        <v>131</v>
      </c>
      <c r="G1" s="59"/>
      <c r="L1" s="53"/>
      <c r="Q1" s="324" t="b">
        <v>1</v>
      </c>
      <c r="R1" s="289" t="s">
        <v>298</v>
      </c>
      <c r="S1" s="290" t="str">
        <f>IF($Q$1=TRUE,U1,T1)</f>
        <v>z zabezpieczeniem</v>
      </c>
      <c r="T1" s="572" t="s">
        <v>117</v>
      </c>
      <c r="U1" s="573" t="s">
        <v>118</v>
      </c>
      <c r="W1" s="291" t="s">
        <v>299</v>
      </c>
    </row>
    <row r="2" spans="1:28" ht="15" customHeight="1" thickBot="1" x14ac:dyDescent="0.4">
      <c r="A2" s="496" t="s">
        <v>394</v>
      </c>
      <c r="B2" s="635" t="s">
        <v>285</v>
      </c>
      <c r="C2" s="636" t="s">
        <v>470</v>
      </c>
      <c r="D2" s="638" t="s">
        <v>35</v>
      </c>
      <c r="E2" s="640" t="s">
        <v>36</v>
      </c>
      <c r="G2" s="59"/>
      <c r="H2" s="26"/>
      <c r="L2" s="53"/>
      <c r="R2" s="292" t="s">
        <v>46</v>
      </c>
      <c r="S2" s="293" t="s">
        <v>47</v>
      </c>
      <c r="T2" s="570" t="s">
        <v>47</v>
      </c>
      <c r="U2" s="571" t="s">
        <v>47</v>
      </c>
      <c r="W2" s="294" t="s">
        <v>300</v>
      </c>
      <c r="X2" s="294"/>
      <c r="Y2" s="338" t="s">
        <v>301</v>
      </c>
      <c r="Z2" s="294" t="s">
        <v>302</v>
      </c>
    </row>
    <row r="3" spans="1:28" x14ac:dyDescent="0.35">
      <c r="A3" s="496" t="s">
        <v>395</v>
      </c>
      <c r="B3" s="635"/>
      <c r="C3" s="637"/>
      <c r="D3" s="639"/>
      <c r="E3" s="641"/>
      <c r="G3" s="59"/>
      <c r="L3" s="53"/>
      <c r="R3" s="292">
        <v>1</v>
      </c>
      <c r="S3" s="329">
        <f t="shared" ref="S3:S12" si="0">IF($Q$1=TRUE,U3,T3)</f>
        <v>1926</v>
      </c>
      <c r="T3" s="330">
        <v>1926</v>
      </c>
      <c r="U3" s="331">
        <v>1926</v>
      </c>
      <c r="V3" s="209"/>
      <c r="W3" s="294" t="s">
        <v>527</v>
      </c>
      <c r="X3" s="296">
        <v>3500</v>
      </c>
      <c r="Y3" s="340">
        <v>0.43</v>
      </c>
      <c r="Z3" s="383">
        <v>996</v>
      </c>
    </row>
    <row r="4" spans="1:28" x14ac:dyDescent="0.35">
      <c r="A4" s="386">
        <v>1</v>
      </c>
      <c r="B4" s="241" t="s">
        <v>388</v>
      </c>
      <c r="C4" s="268">
        <v>12000</v>
      </c>
      <c r="D4" s="545"/>
      <c r="E4" s="540"/>
      <c r="G4" s="59"/>
      <c r="L4" s="53"/>
      <c r="R4" s="292">
        <v>2</v>
      </c>
      <c r="S4" s="329">
        <f t="shared" si="0"/>
        <v>3253</v>
      </c>
      <c r="T4" s="332">
        <v>3253</v>
      </c>
      <c r="U4" s="333">
        <v>3253</v>
      </c>
      <c r="V4" s="209"/>
      <c r="W4" s="294" t="s">
        <v>488</v>
      </c>
      <c r="X4" s="296">
        <v>4500</v>
      </c>
      <c r="Y4" s="341">
        <v>0.35</v>
      </c>
      <c r="Z4" s="383">
        <v>1500</v>
      </c>
    </row>
    <row r="5" spans="1:28" x14ac:dyDescent="0.35">
      <c r="A5" s="387">
        <v>2</v>
      </c>
      <c r="B5" s="174" t="s">
        <v>389</v>
      </c>
      <c r="C5" s="269">
        <v>0</v>
      </c>
      <c r="D5" s="545"/>
      <c r="E5" s="540"/>
      <c r="G5" s="59"/>
      <c r="L5" s="53"/>
      <c r="R5" s="292">
        <v>3</v>
      </c>
      <c r="S5" s="329">
        <f t="shared" si="0"/>
        <v>4930</v>
      </c>
      <c r="T5" s="334">
        <v>4930</v>
      </c>
      <c r="U5" s="335">
        <v>4930</v>
      </c>
      <c r="V5" s="209"/>
      <c r="W5" s="294" t="s">
        <v>528</v>
      </c>
      <c r="X5" s="296">
        <v>6000</v>
      </c>
      <c r="Y5" s="341">
        <v>0.3</v>
      </c>
      <c r="Z5" s="383">
        <v>1597</v>
      </c>
    </row>
    <row r="6" spans="1:28" x14ac:dyDescent="0.35">
      <c r="A6" s="388"/>
      <c r="B6" s="196"/>
      <c r="C6" s="197"/>
      <c r="D6" s="546"/>
      <c r="E6" s="541"/>
      <c r="G6" s="59"/>
      <c r="L6" s="53"/>
      <c r="R6" s="292">
        <v>4</v>
      </c>
      <c r="S6" s="329">
        <f t="shared" si="0"/>
        <v>6191</v>
      </c>
      <c r="T6" s="332">
        <v>6191</v>
      </c>
      <c r="U6" s="333">
        <v>6191</v>
      </c>
      <c r="V6" s="209"/>
      <c r="W6" s="294" t="s">
        <v>529</v>
      </c>
      <c r="X6" s="296">
        <v>8500</v>
      </c>
      <c r="Y6" s="341">
        <v>0.25</v>
      </c>
      <c r="Z6" s="383">
        <v>1819</v>
      </c>
    </row>
    <row r="7" spans="1:28" ht="15" hidden="1" customHeight="1" thickBot="1" x14ac:dyDescent="0.4">
      <c r="A7" s="389"/>
      <c r="B7" s="380" t="s">
        <v>48</v>
      </c>
      <c r="C7" s="198">
        <v>1</v>
      </c>
      <c r="D7" s="547"/>
      <c r="E7" s="542"/>
      <c r="G7" s="59"/>
      <c r="L7" s="53"/>
      <c r="P7" t="s">
        <v>147</v>
      </c>
      <c r="R7" s="292">
        <v>5</v>
      </c>
      <c r="S7" s="329">
        <f t="shared" si="0"/>
        <v>7652</v>
      </c>
      <c r="T7" s="336">
        <v>7652</v>
      </c>
      <c r="U7" s="337">
        <v>7652</v>
      </c>
      <c r="V7" s="209"/>
      <c r="W7" s="294" t="s">
        <v>530</v>
      </c>
      <c r="X7" s="296"/>
      <c r="Y7" s="339">
        <v>0.25</v>
      </c>
      <c r="Z7" s="383">
        <v>2108</v>
      </c>
    </row>
    <row r="8" spans="1:28" ht="15" hidden="1" customHeight="1" x14ac:dyDescent="0.35">
      <c r="A8" s="389"/>
      <c r="B8" s="166" t="s">
        <v>39</v>
      </c>
      <c r="C8" s="198">
        <v>1</v>
      </c>
      <c r="D8" s="547"/>
      <c r="E8" s="542"/>
      <c r="G8" s="59"/>
      <c r="P8" t="s">
        <v>147</v>
      </c>
      <c r="R8" s="292">
        <v>6</v>
      </c>
      <c r="S8" s="295">
        <f t="shared" si="0"/>
        <v>9182.4</v>
      </c>
      <c r="T8" s="569">
        <f>$R8*T$7/$R$7</f>
        <v>9182.4</v>
      </c>
      <c r="U8" s="569">
        <f>$R8*U$7/$R$7</f>
        <v>9182.4</v>
      </c>
      <c r="W8" s="294" t="s">
        <v>530</v>
      </c>
      <c r="X8" s="296"/>
      <c r="Y8" s="339">
        <v>0.25</v>
      </c>
      <c r="Z8" s="383"/>
      <c r="AB8" s="328" t="s">
        <v>489</v>
      </c>
    </row>
    <row r="9" spans="1:28" ht="15" customHeight="1" x14ac:dyDescent="0.35">
      <c r="A9" s="389">
        <v>3</v>
      </c>
      <c r="B9" s="166" t="s">
        <v>471</v>
      </c>
      <c r="C9" s="199">
        <v>1</v>
      </c>
      <c r="D9" s="548"/>
      <c r="E9" s="543"/>
      <c r="G9" s="59"/>
      <c r="P9" t="s">
        <v>147</v>
      </c>
      <c r="R9" s="292">
        <v>7</v>
      </c>
      <c r="S9" s="295">
        <f t="shared" si="0"/>
        <v>10712.8</v>
      </c>
      <c r="T9" s="567">
        <f t="shared" ref="T9:U12" si="1">$R9*T$7/$R$7</f>
        <v>10712.8</v>
      </c>
      <c r="U9" s="567">
        <f t="shared" si="1"/>
        <v>10712.8</v>
      </c>
      <c r="Y9">
        <f>S17</f>
        <v>0.25</v>
      </c>
    </row>
    <row r="10" spans="1:28" ht="15" customHeight="1" x14ac:dyDescent="0.35">
      <c r="A10" s="389">
        <v>4</v>
      </c>
      <c r="B10" s="166" t="s">
        <v>381</v>
      </c>
      <c r="C10" s="269">
        <v>0</v>
      </c>
      <c r="D10" s="545"/>
      <c r="E10" s="540"/>
      <c r="G10" s="59"/>
      <c r="R10" s="292">
        <v>8</v>
      </c>
      <c r="S10" s="295">
        <f t="shared" si="0"/>
        <v>12243.2</v>
      </c>
      <c r="T10" s="567">
        <f t="shared" si="1"/>
        <v>12243.2</v>
      </c>
      <c r="U10" s="567">
        <f t="shared" si="1"/>
        <v>12243.2</v>
      </c>
      <c r="W10" s="297"/>
    </row>
    <row r="11" spans="1:28" ht="15" customHeight="1" x14ac:dyDescent="0.35">
      <c r="A11" s="389">
        <v>5</v>
      </c>
      <c r="B11" s="166" t="s">
        <v>110</v>
      </c>
      <c r="C11" s="269">
        <v>0</v>
      </c>
      <c r="D11" s="545"/>
      <c r="E11" s="540"/>
      <c r="G11" s="59"/>
      <c r="R11" s="292">
        <v>9</v>
      </c>
      <c r="S11" s="295">
        <f t="shared" si="0"/>
        <v>13773.6</v>
      </c>
      <c r="T11" s="568">
        <f t="shared" si="1"/>
        <v>13773.6</v>
      </c>
      <c r="U11" s="568">
        <f t="shared" si="1"/>
        <v>13773.6</v>
      </c>
      <c r="X11" s="21" t="s">
        <v>303</v>
      </c>
      <c r="Y11" s="21" t="s">
        <v>304</v>
      </c>
      <c r="Z11" s="21" t="s">
        <v>305</v>
      </c>
    </row>
    <row r="12" spans="1:28" ht="15" customHeight="1" x14ac:dyDescent="0.35">
      <c r="A12" s="389">
        <v>6</v>
      </c>
      <c r="B12" s="166" t="s">
        <v>149</v>
      </c>
      <c r="C12" s="269">
        <v>0</v>
      </c>
      <c r="D12" s="545"/>
      <c r="E12" s="540"/>
      <c r="F12" s="642" t="s">
        <v>532</v>
      </c>
      <c r="G12" s="59"/>
      <c r="R12" s="292">
        <v>10</v>
      </c>
      <c r="S12" s="295">
        <f t="shared" si="0"/>
        <v>15304</v>
      </c>
      <c r="T12" s="567">
        <f t="shared" si="1"/>
        <v>15304</v>
      </c>
      <c r="U12" s="567">
        <f t="shared" si="1"/>
        <v>15304</v>
      </c>
      <c r="W12" s="294" t="s">
        <v>301</v>
      </c>
      <c r="X12" s="326">
        <f>IF((C$4*C$7+C$5)&lt;=$X$3,$Y$3,IF((C$4*C$7+C$5)&lt;=$X$4,$Y$4,IF((C$4*C$7+C$5)&lt;=$X$5,$Y$5,IF((C$4*C$7+C$5)&lt;=$X$6,$Y$6,IF((C$4*C$7+C$5)&lt;=$X$7,$Y$7,$Y$8)))))</f>
        <v>0.25</v>
      </c>
      <c r="Y12" s="326">
        <f t="shared" ref="Y12" si="2">IF((D$4*D$7+D$5)&lt;=$X$3,$Y$3,IF((D$4*D$7+D$5)&lt;=$X$4,$Y$4,IF((D$4*D$7+D$5)&lt;=$X$5,$Y$5,IF((D$4*D$7+D$5)&lt;=$X$6,$Y$6,IF((D$4*D$7+D$5)&lt;=$X$7,$Y$7,$Y$8)))))</f>
        <v>0.43</v>
      </c>
      <c r="Z12" s="326">
        <f>IF((E$4*E$7+E$5)&lt;=$X$3,$Y$3,IF((E$4*E$7+E$5)&lt;=$X$4,$Y$4,IF((E$4*E$7+E$5)&lt;=$X$5,$Y$5,IF((E$4*E$7+E$5)&lt;=$X$6,$Y$6,IF((E$4*E$7+E$5)&lt;=$X$7,$Y$7,$Y$8)))))</f>
        <v>0.43</v>
      </c>
    </row>
    <row r="13" spans="1:28" ht="30" hidden="1" customHeight="1" x14ac:dyDescent="0.35">
      <c r="A13" s="390"/>
      <c r="B13" s="370" t="s">
        <v>280</v>
      </c>
      <c r="C13" s="369">
        <v>0</v>
      </c>
      <c r="D13" s="545"/>
      <c r="E13" s="540"/>
      <c r="F13" s="642"/>
      <c r="G13" s="59"/>
      <c r="R13" s="292" t="s">
        <v>306</v>
      </c>
      <c r="S13" s="298">
        <f>IF($Q$1=TRUE,U13,T13)</f>
        <v>2.5000000000000001E-2</v>
      </c>
      <c r="T13" s="299">
        <v>1.4999999999999999E-2</v>
      </c>
      <c r="U13" s="299">
        <v>2.5000000000000001E-2</v>
      </c>
      <c r="X13" s="327" t="s">
        <v>315</v>
      </c>
    </row>
    <row r="14" spans="1:28" ht="30" hidden="1" customHeight="1" x14ac:dyDescent="0.35">
      <c r="A14" s="390"/>
      <c r="B14" s="370" t="s">
        <v>281</v>
      </c>
      <c r="C14" s="369">
        <v>0</v>
      </c>
      <c r="D14" s="545"/>
      <c r="E14" s="540"/>
      <c r="F14" s="642"/>
      <c r="G14" s="59"/>
      <c r="X14" s="49" t="s">
        <v>316</v>
      </c>
    </row>
    <row r="15" spans="1:28" ht="14.5" customHeight="1" x14ac:dyDescent="0.35">
      <c r="A15" s="391">
        <v>7</v>
      </c>
      <c r="B15" s="200" t="s">
        <v>121</v>
      </c>
      <c r="C15" s="269">
        <v>0</v>
      </c>
      <c r="D15" s="545"/>
      <c r="E15" s="540"/>
      <c r="F15" s="642"/>
      <c r="G15" s="59"/>
      <c r="R15" t="s">
        <v>307</v>
      </c>
      <c r="S15" s="300">
        <v>0.01</v>
      </c>
      <c r="T15" t="s">
        <v>314</v>
      </c>
    </row>
    <row r="16" spans="1:28" ht="14.5" customHeight="1" x14ac:dyDescent="0.35">
      <c r="A16" s="559">
        <v>8</v>
      </c>
      <c r="B16" s="560" t="s">
        <v>487</v>
      </c>
      <c r="C16" s="269">
        <v>0</v>
      </c>
      <c r="D16" s="545"/>
      <c r="E16" s="540"/>
      <c r="F16" s="642"/>
      <c r="G16" s="59"/>
    </row>
    <row r="17" spans="1:24" ht="15" customHeight="1" x14ac:dyDescent="0.35">
      <c r="A17" s="389">
        <v>9</v>
      </c>
      <c r="B17" s="166" t="s">
        <v>382</v>
      </c>
      <c r="C17" s="269">
        <v>0</v>
      </c>
      <c r="D17" s="545"/>
      <c r="E17" s="540"/>
      <c r="F17" s="642"/>
      <c r="G17" s="59"/>
      <c r="R17" s="101" t="s">
        <v>34</v>
      </c>
      <c r="S17" s="101">
        <f>1-0.75</f>
        <v>0.25</v>
      </c>
    </row>
    <row r="18" spans="1:24" ht="15" customHeight="1" x14ac:dyDescent="0.35">
      <c r="A18" s="389">
        <v>10</v>
      </c>
      <c r="B18" s="166" t="s">
        <v>49</v>
      </c>
      <c r="C18" s="269">
        <v>0</v>
      </c>
      <c r="D18" s="545"/>
      <c r="E18" s="540"/>
      <c r="F18" s="642"/>
      <c r="G18" s="59"/>
      <c r="R18" t="s">
        <v>37</v>
      </c>
      <c r="S18" s="209">
        <f>IF(C26="standard",2*C23,IF(C26="4+",3*C23,12*C23))</f>
        <v>0</v>
      </c>
    </row>
    <row r="19" spans="1:24" ht="15" customHeight="1" x14ac:dyDescent="0.35">
      <c r="A19" s="389">
        <v>11</v>
      </c>
      <c r="B19" s="166" t="s">
        <v>398</v>
      </c>
      <c r="C19" s="269">
        <v>0</v>
      </c>
      <c r="D19" s="545"/>
      <c r="E19" s="540"/>
      <c r="F19" s="642"/>
      <c r="G19" s="59"/>
      <c r="R19" s="30" t="s">
        <v>124</v>
      </c>
      <c r="S19" s="301">
        <f>S13</f>
        <v>2.5000000000000001E-2</v>
      </c>
      <c r="T19" s="302" t="s">
        <v>308</v>
      </c>
    </row>
    <row r="20" spans="1:24" ht="12.5" customHeight="1" x14ac:dyDescent="0.35">
      <c r="A20" s="392">
        <v>12</v>
      </c>
      <c r="B20" s="201" t="s">
        <v>40</v>
      </c>
      <c r="C20" s="325">
        <f>(C4*C7+C5)-(C8*MAX(VLOOKUP(C9,$R$2:$S$12,2,0),X12*((C4*C7+C5)/C8),C16))-C19-C17*(1+$S$15)-(5%*C18)-(C7*C10*(1+$S$15))*100%-(C7*3%*C12)*100% - (C7*2.2%*C11)</f>
        <v>9000</v>
      </c>
      <c r="D20" s="549" t="e">
        <f t="shared" ref="D20" si="3">(D4*D7+D5)-(D8*MAX(VLOOKUP(D9,$R$2:$S$12,2,0),Y12*((D4*D7+D5)/D8)))-D19-D17*(1+$S$15)-(3%*D18)-(D7*D10*(1+$S$15))*100%-(D7*3%*D12)*100% - (D7*2.1%*D11)</f>
        <v>#N/A</v>
      </c>
      <c r="E20" s="544" t="e">
        <f>(E4*E7+E5)-(E8*MAX(VLOOKUP(E9,$R$2:$S$12,2,0),Z12*((E4*E7+E5)/E8)))-E19-E17*(1+$S$15)-(3%*E18)-(E7*E10*(1+$S$15))*100%-(E7*3%*E12)*100% - (E7*2.1%*E11)</f>
        <v>#N/A</v>
      </c>
      <c r="G20" s="59"/>
      <c r="L20" t="s">
        <v>275</v>
      </c>
      <c r="M20" s="15">
        <v>1.2</v>
      </c>
      <c r="R20" s="30" t="s">
        <v>123</v>
      </c>
      <c r="S20" s="301">
        <v>0</v>
      </c>
    </row>
    <row r="21" spans="1:24" ht="15" customHeight="1" x14ac:dyDescent="0.35">
      <c r="A21" s="389">
        <v>13</v>
      </c>
      <c r="B21" s="166" t="s">
        <v>390</v>
      </c>
      <c r="C21" s="269">
        <v>0</v>
      </c>
      <c r="D21" s="202"/>
      <c r="E21" s="202"/>
      <c r="F21" s="68" t="s">
        <v>131</v>
      </c>
      <c r="L21" t="s">
        <v>276</v>
      </c>
      <c r="M21" s="15">
        <v>1.2</v>
      </c>
      <c r="P21" s="154" t="s">
        <v>55</v>
      </c>
      <c r="R21" s="309" t="s">
        <v>54</v>
      </c>
    </row>
    <row r="22" spans="1:24" ht="15" hidden="1" customHeight="1" x14ac:dyDescent="0.35">
      <c r="A22" s="393"/>
      <c r="B22" s="380" t="s">
        <v>279</v>
      </c>
      <c r="C22" s="369">
        <v>0</v>
      </c>
      <c r="D22" s="202"/>
      <c r="E22" s="202"/>
      <c r="L22" t="s">
        <v>277</v>
      </c>
      <c r="M22" s="15">
        <v>1.2</v>
      </c>
      <c r="P22" s="156">
        <f>IF(OR(C27&lt;=0,(C27/3%)&lt;1000),"-",IF((C27/3%)&gt;50000,50000,(C27/3%)))</f>
        <v>50000</v>
      </c>
      <c r="R22" s="310">
        <f>IF(C24&lt;6,"-",IF(OR(C27&lt;=0,(C27/1.88%)&lt;2500),"-",IF((C27/(1.88%))&gt;500000,500000,(C27/(1.88%)))))</f>
        <v>478723.40425531921</v>
      </c>
      <c r="T22" t="s">
        <v>53</v>
      </c>
      <c r="W22" s="155"/>
      <c r="X22" s="155"/>
    </row>
    <row r="23" spans="1:24" ht="15" customHeight="1" x14ac:dyDescent="0.35">
      <c r="A23" s="389">
        <v>14</v>
      </c>
      <c r="B23" s="166" t="s">
        <v>399</v>
      </c>
      <c r="C23" s="269">
        <v>0</v>
      </c>
      <c r="D23" s="202"/>
      <c r="E23" s="203"/>
      <c r="R23" s="311">
        <f>IF(OR(R22="-",C24&lt;12),"-",IF(AND(C26="standard",C24&gt;12,C24&lt;24),MIN((C21),C23,200000),IF(AND(C26="standard",C24&gt;=24),MIN(2*(C21),2*C23,200000),MIN(3*(C21),3*C23,200000))))</f>
        <v>0</v>
      </c>
      <c r="T23" t="s">
        <v>257</v>
      </c>
      <c r="V23" s="271" t="s">
        <v>294</v>
      </c>
    </row>
    <row r="24" spans="1:24" ht="15" customHeight="1" x14ac:dyDescent="0.35">
      <c r="A24" s="389">
        <v>15</v>
      </c>
      <c r="B24" s="166" t="s">
        <v>30</v>
      </c>
      <c r="C24" s="199">
        <v>12</v>
      </c>
      <c r="D24" s="202"/>
      <c r="H24" s="633" t="s">
        <v>309</v>
      </c>
      <c r="I24" s="634"/>
      <c r="L24" s="307">
        <f>I27*I28</f>
        <v>455.99999999999994</v>
      </c>
      <c r="P24" s="101">
        <f>IF(P22="-","-",IF(C26="standard",MIN(MAX(MIN(10*C21,S18),10*((C4*C7)+(D4*D7)+(E4*E7))),250000),IF(C26="4+",MIN(MAX(MIN(10*C21,S18),20*((C4*C7)+(D4*D7)+(E4*E7))),350000),MIN(MAX(S18,30*((C4*C7)+(D4*D7)+(E4*E7))),400000)))-$C$13)</f>
        <v>360000</v>
      </c>
      <c r="R24" s="312">
        <f>IF(R23="-","-",IF(C26="standard",MIN(MAX(MIN(10*(C21),S18),10*((C4*C7)+(D4*D7)+(E4*E7))),250000),IF(C26="4+",MIN(MAX(MIN(10*(C21),S18),20*((C4*C7)+(D4*D7)+(E4*E7))),350000),MIN(MAX(S18,30*((C4*C7)+(D4*D7)+(E4*E7))),500000)))-$C$13)</f>
        <v>360000</v>
      </c>
      <c r="T24" t="s">
        <v>255</v>
      </c>
    </row>
    <row r="25" spans="1:24" ht="15" customHeight="1" x14ac:dyDescent="0.35">
      <c r="A25" s="389">
        <v>16</v>
      </c>
      <c r="B25" s="166" t="s">
        <v>531</v>
      </c>
      <c r="C25" s="204">
        <f>'Dane do harmonogramu'!C13</f>
        <v>6.4000000000000001E-2</v>
      </c>
      <c r="D25" s="202"/>
      <c r="H25" s="303" t="s">
        <v>310</v>
      </c>
      <c r="I25" s="167" t="s">
        <v>277</v>
      </c>
      <c r="L25" s="308">
        <f>VLOOKUP(I25,L20:M22,2,0)*L24</f>
        <v>547.19999999999993</v>
      </c>
      <c r="P25">
        <f>IF(MIN(P22,P24)&lt;=1000,"-",MIN(P22,P24))</f>
        <v>50000</v>
      </c>
      <c r="R25" s="313" t="str">
        <f>IF(C24&lt;12,"-",IF(MIN(R22,R23,R24)&lt;=2500,"-",MIN(R22,R23,R24,200000)))</f>
        <v>-</v>
      </c>
      <c r="T25" t="s">
        <v>256</v>
      </c>
      <c r="V25" s="272" t="s">
        <v>296</v>
      </c>
      <c r="W25" t="s">
        <v>297</v>
      </c>
    </row>
    <row r="26" spans="1:24" ht="15" hidden="1" customHeight="1" x14ac:dyDescent="0.35">
      <c r="A26" s="394"/>
      <c r="B26" s="240" t="s">
        <v>287</v>
      </c>
      <c r="C26" s="205" t="s">
        <v>147</v>
      </c>
      <c r="D26" s="249"/>
      <c r="R26" s="314"/>
    </row>
    <row r="27" spans="1:24" ht="15" customHeight="1" x14ac:dyDescent="0.35">
      <c r="A27" s="392">
        <v>17</v>
      </c>
      <c r="B27" s="201" t="s">
        <v>52</v>
      </c>
      <c r="C27" s="270">
        <f>C20+IF(ISERROR(D20)=TRUE,0,D20)+IF(ISERROR(E20)=TRUE,0,E20)</f>
        <v>9000</v>
      </c>
      <c r="D27" s="202"/>
      <c r="H27" s="289" t="s">
        <v>311</v>
      </c>
      <c r="I27" s="323">
        <v>100</v>
      </c>
      <c r="R27" s="315" t="str">
        <f>IF(R22="-","-",IF(MIN(3*(C21),3*C23,500000,R22)&lt;=2500,"-",MIN(3*(C21),3*C23,500000,R22)))</f>
        <v>-</v>
      </c>
      <c r="T27" t="s">
        <v>38</v>
      </c>
    </row>
    <row r="28" spans="1:24" ht="15" customHeight="1" x14ac:dyDescent="0.35">
      <c r="A28" s="389">
        <v>18</v>
      </c>
      <c r="B28" s="207" t="s">
        <v>33</v>
      </c>
      <c r="C28" s="208">
        <v>120</v>
      </c>
      <c r="F28" s="68" t="s">
        <v>131</v>
      </c>
      <c r="H28" s="304" t="s">
        <v>312</v>
      </c>
      <c r="I28" s="566">
        <v>4.5599999999999996</v>
      </c>
    </row>
    <row r="29" spans="1:24" ht="15" customHeight="1" x14ac:dyDescent="0.35">
      <c r="A29" s="395">
        <v>19</v>
      </c>
      <c r="B29" s="195" t="str">
        <f xml:space="preserve"> "POŻYCZKA BEZ ZABEZPIECZENIA - max kwota:"</f>
        <v>POŻYCZKA BEZ ZABEZPIECZENIA - max kwota:</v>
      </c>
      <c r="C29" s="322" t="str">
        <f>IF($Q$1=TRUE,"",IF(C24&lt;12,"-",IF(C26="standard",R34,IF(C26="4+",P39,R39))))</f>
        <v/>
      </c>
      <c r="E29" s="203"/>
      <c r="F29" s="632" t="s">
        <v>317</v>
      </c>
      <c r="H29" s="305" t="s">
        <v>313</v>
      </c>
      <c r="I29" s="306">
        <f>L25</f>
        <v>547.19999999999993</v>
      </c>
    </row>
    <row r="30" spans="1:24" ht="15" customHeight="1" x14ac:dyDescent="0.35">
      <c r="A30" s="395">
        <v>20</v>
      </c>
      <c r="B30" s="195" t="str">
        <f xml:space="preserve"> "POŻYCZKA Z GWARANCJĄ BGK - max kwota:"</f>
        <v>POŻYCZKA Z GWARANCJĄ BGK - max kwota:</v>
      </c>
      <c r="C30" s="322">
        <f>IF($Q$1=TRUE,IF(C24&lt;6,"-",R45),"")</f>
        <v>713520.03164206154</v>
      </c>
      <c r="E30" s="538" t="str">
        <f>IF(AND(C30&gt;=1200000,C30&lt;&gt;""),"dla kwot powyżej 1,2 mln zł konieczna konsultacja z koordynatorem","")</f>
        <v/>
      </c>
      <c r="F30" s="632"/>
      <c r="G30" s="538"/>
      <c r="H30" s="538"/>
      <c r="I30" s="538"/>
      <c r="R30" s="154" t="s">
        <v>254</v>
      </c>
    </row>
    <row r="31" spans="1:24" ht="15" customHeight="1" x14ac:dyDescent="0.35">
      <c r="A31" s="395">
        <v>21</v>
      </c>
      <c r="B31" s="195" t="s">
        <v>50</v>
      </c>
      <c r="C31" s="322" t="str">
        <f>IF($Q$1=TRUE,"",R25)</f>
        <v/>
      </c>
      <c r="E31" s="203"/>
      <c r="F31" s="632"/>
      <c r="R31" t="e">
        <f>IF(C27&lt;=0,"-",IF(OR(ISBLANK(C25)=TRUE,ISBLANK(C28)=TRUE),"-",IF(C27*(((1+(C25+$S$19)/12)^C28)-1)/(((1+(C25+$S$19)/12)^C28)*((C25+$S$19)/12))&lt;10000,"-",IF(OR(ISBLANK(C21)=TRUE,ISBLANK(C23)=TRUE,ISBLANK(C24)=TRUE),MIN(C27*(((1+(C25+$S$19)/12)^C28)-1)/(((1+(C25+$S$19)/12)^C28)*((C25+$S$19)/12)),250000),MIN(C27*(((1+(C25+$S$19)/12)^C28)-1)/(((1+(C25+$S$19)/12)^C28)*((C25+$S$19)/12)),MAX(MIN(10*C21,IF(C26="standard",S18,"")),10*((C4*C7)+(D4*D7)+(E4*E7)))-$C$13,250000)))))</f>
        <v>#VALUE!</v>
      </c>
      <c r="T31" t="s">
        <v>23</v>
      </c>
    </row>
    <row r="32" spans="1:24" ht="15" customHeight="1" x14ac:dyDescent="0.35">
      <c r="A32" s="395">
        <v>22</v>
      </c>
      <c r="B32" s="195" t="s">
        <v>533</v>
      </c>
      <c r="C32" s="322" t="str">
        <f>IF($Q$1=TRUE,R27,"")</f>
        <v>-</v>
      </c>
      <c r="E32" s="203"/>
      <c r="F32" s="632"/>
      <c r="L32" s="17"/>
      <c r="R32" t="e">
        <f>IF(R31="-","-",250000-$C$13)</f>
        <v>#VALUE!</v>
      </c>
      <c r="T32" t="s">
        <v>41</v>
      </c>
    </row>
    <row r="33" spans="1:20" ht="15" hidden="1" customHeight="1" x14ac:dyDescent="0.35">
      <c r="A33" s="396"/>
      <c r="B33" s="371" t="s">
        <v>51</v>
      </c>
      <c r="C33" s="372">
        <f>P25</f>
        <v>50000</v>
      </c>
      <c r="D33" s="373"/>
      <c r="E33" s="368" t="s">
        <v>384</v>
      </c>
      <c r="L33" s="17"/>
      <c r="R33" t="e">
        <f>IF(R32="-","-",MIN(R31,R32))</f>
        <v>#VALUE!</v>
      </c>
      <c r="T33" t="s">
        <v>42</v>
      </c>
    </row>
    <row r="34" spans="1:20" ht="15" hidden="1" customHeight="1" x14ac:dyDescent="0.35">
      <c r="A34" s="396"/>
      <c r="B34" s="371" t="s">
        <v>282</v>
      </c>
      <c r="C34" s="372">
        <f>IF(C24&lt;12,"-",MAX(0,MIN(200000,(C21/2)*3-C14-C16)-C13))</f>
        <v>0</v>
      </c>
      <c r="D34" s="374"/>
      <c r="E34" s="368" t="s">
        <v>384</v>
      </c>
      <c r="R34" s="43" t="e">
        <f>IF(R33&lt;=10000,"-",R33)</f>
        <v>#VALUE!</v>
      </c>
      <c r="S34" s="43"/>
      <c r="T34" s="43" t="s">
        <v>45</v>
      </c>
    </row>
    <row r="35" spans="1:20" ht="27.75" customHeight="1" x14ac:dyDescent="0.35">
      <c r="A35" s="397"/>
      <c r="B35" s="245" t="s">
        <v>292</v>
      </c>
      <c r="P35" s="316" t="s">
        <v>147</v>
      </c>
      <c r="Q35" s="66"/>
      <c r="R35" s="317" t="s">
        <v>147</v>
      </c>
    </row>
    <row r="36" spans="1:20" ht="3" customHeight="1" x14ac:dyDescent="0.35">
      <c r="L36" s="24"/>
      <c r="P36" t="e">
        <f>IF(C27&lt;=0,"-",IF(OR(ISBLANK(C25)=TRUE,ISBLANK(C28)=TRUE),"-",IF(C27*(((1+(C25+$S$19)/12)^C28)-1)/(((1+(C25+$S$19)/12)^C28)*((C25+$S$19)/12))&lt;10000,"-",IF(OR(ISBLANK(C21)=TRUE,ISBLANK(C23)=TRUE,ISBLANK(C24)=TRUE),MIN(C27*(((1+(C25+$S$19)/12)^C28)-1)/(((1+(C25+$S$19)/12)^C28)*((C25+$S$19)/12)),350000),MIN(C27*(((1+(C25+$S$19)/12)^C28)-1)/(((1+(C25+$S$19)/12)^C28)*((C25+$S$19)/12)),MAX(MIN(10*C21,IF(C26="4+",S18,"")),20*((C4*C7)+(D4*D7)+(E4*E7)))- $C$13,350000)))))</f>
        <v>#VALUE!</v>
      </c>
      <c r="R36" s="313">
        <f>IF(C27&lt;=0,"-",IF(OR(ISBLANK(C25)=TRUE,ISBLANK(C28)=TRUE),"-",IF(C27*(((1+(C25+$S$19)/12)^C28)-1)/(((1+(C25+$S$19)/12)^C28)*((C25+$S$19)/12))&lt;10000,"-",IF(OR(ISBLANK(C21)=TRUE,ISBLANK(C23)=TRUE,ISBLANK(C24)=TRUE),MIN(C27*(((1+(C25+$S$19)/12)^C28)-1)/(((1+(C25+$S$19)/12)^C28)*((C25+$S$19)/12)),400000),MIN(C27*(((1+(C25+$S$19)/12)^C28)-1)/(((1+(C25+$S$19)/12)^C28)*((C25+$S$19)/12)),MAX(S18,30*((C4*C7)+(D4*D7)+(E4*E7)))- $C$13,400000)))))</f>
        <v>360000</v>
      </c>
      <c r="T36" t="s">
        <v>23</v>
      </c>
    </row>
    <row r="37" spans="1:20" ht="7.5" customHeight="1" x14ac:dyDescent="0.35">
      <c r="A37" s="398"/>
      <c r="B37" s="253"/>
      <c r="C37" s="254"/>
      <c r="D37" s="254"/>
      <c r="E37" s="255"/>
      <c r="L37" s="25"/>
      <c r="P37" t="e">
        <f>IF(P36="-","-",350000-$C$13)</f>
        <v>#VALUE!</v>
      </c>
      <c r="R37" s="313">
        <f>IF(R36="-","-",400000-C13)</f>
        <v>400000</v>
      </c>
      <c r="T37" t="s">
        <v>41</v>
      </c>
    </row>
    <row r="38" spans="1:20" x14ac:dyDescent="0.35">
      <c r="A38" s="392">
        <v>23</v>
      </c>
      <c r="B38" s="201" t="s">
        <v>391</v>
      </c>
      <c r="C38" s="242"/>
      <c r="D38" s="22"/>
      <c r="L38" s="24"/>
      <c r="P38" t="e">
        <f>IF(P37="-","-",MIN(P36,P37))</f>
        <v>#VALUE!</v>
      </c>
      <c r="R38" s="313">
        <f>IF(R37="-","-",MIN(R36,R37))</f>
        <v>360000</v>
      </c>
      <c r="T38" t="s">
        <v>42</v>
      </c>
    </row>
    <row r="39" spans="1:20" x14ac:dyDescent="0.35">
      <c r="A39" s="389">
        <v>24</v>
      </c>
      <c r="B39" s="207" t="s">
        <v>385</v>
      </c>
      <c r="C39" s="269">
        <v>0</v>
      </c>
      <c r="P39" s="43" t="e">
        <f>IF(P38&lt;=10000,"-",P38)</f>
        <v>#VALUE!</v>
      </c>
      <c r="R39" s="319">
        <f>IF(R38&lt;=10000,"-",R38)</f>
        <v>360000</v>
      </c>
      <c r="S39" s="43"/>
      <c r="T39" s="43" t="s">
        <v>45</v>
      </c>
    </row>
    <row r="40" spans="1:20" x14ac:dyDescent="0.35">
      <c r="A40" s="389">
        <v>25</v>
      </c>
      <c r="B40" s="207" t="s">
        <v>383</v>
      </c>
      <c r="C40" s="269">
        <v>0</v>
      </c>
      <c r="R40" s="309" t="s">
        <v>44</v>
      </c>
    </row>
    <row r="41" spans="1:20" x14ac:dyDescent="0.35">
      <c r="A41" s="389">
        <v>26</v>
      </c>
      <c r="B41" s="207" t="s">
        <v>392</v>
      </c>
      <c r="C41" s="269">
        <v>0</v>
      </c>
      <c r="R41" s="318"/>
    </row>
    <row r="42" spans="1:20" ht="15.5" x14ac:dyDescent="0.35">
      <c r="A42" s="395">
        <v>27</v>
      </c>
      <c r="B42" s="195" t="s">
        <v>283</v>
      </c>
      <c r="C42" s="206" t="str">
        <f>IFERROR((C39+C40)/C41,"")</f>
        <v/>
      </c>
      <c r="D42" s="256" t="str">
        <f>IF(C42="","",IF(C42&gt;1,"Uwaga: kwota kredytu może zostać obniżona",""))</f>
        <v/>
      </c>
      <c r="R42" s="320">
        <f>IF(C27&lt;=0,"-",IF(OR(ISBLANK(C25)=TRUE,ISBLANK(C28)=TRUE),"-",IF(C27*(((1+(C25+$S$19)/12)^C28)-1)/(((1+(C25+$S$19)/12)^C28)*((C25+$S$19)/12))&lt;10000,"-",IF(OR(ISBLANK(C21)=TRUE,ISBLANK(C23)=TRUE,ISBLANK(C24)=TRUE),MIN(C27*(((1+(C25+$S$19)/12)^C28)-1)/(((1+(C25+$S$19)/12)^C28)*((C25+$S$19)/12)),2000000),MIN(C27*(((1+(C25+$S$19)/12)^C28)-1)/(((1+(C25+$S$19)/12)^C28)*((C25+$S$19)/12)),2000000)))))</f>
        <v>713520.03164206154</v>
      </c>
      <c r="T42" t="s">
        <v>23</v>
      </c>
    </row>
    <row r="43" spans="1:20" ht="15.5" x14ac:dyDescent="0.35">
      <c r="B43" s="243" t="s">
        <v>291</v>
      </c>
      <c r="C43" s="244"/>
      <c r="D43" s="246"/>
      <c r="R43" s="320">
        <f>IF(R42="-","-",IF(OR(C26="standard",AND(C26="premium",C24&lt;48)),2000000,2000000)-C15)</f>
        <v>2000000</v>
      </c>
      <c r="T43" t="s">
        <v>252</v>
      </c>
    </row>
    <row r="44" spans="1:20" ht="29.25" customHeight="1" x14ac:dyDescent="0.35">
      <c r="B44" s="245" t="s">
        <v>295</v>
      </c>
      <c r="C44" s="157"/>
      <c r="D44" s="246"/>
      <c r="R44" s="320">
        <f>IF(R43="-","-",MIN(R42,R43))</f>
        <v>713520.03164206154</v>
      </c>
      <c r="T44" t="s">
        <v>253</v>
      </c>
    </row>
    <row r="45" spans="1:20" ht="44.25" customHeight="1" x14ac:dyDescent="0.35">
      <c r="B45" s="245" t="s">
        <v>526</v>
      </c>
      <c r="C45" s="157"/>
      <c r="D45" s="246"/>
      <c r="L45" s="29"/>
      <c r="R45" s="321">
        <f>IF(R44&lt;=10000,"-",R44)</f>
        <v>713520.03164206154</v>
      </c>
      <c r="S45" s="43"/>
      <c r="T45" s="239" t="s">
        <v>45</v>
      </c>
    </row>
    <row r="46" spans="1:20" x14ac:dyDescent="0.35">
      <c r="C46" s="157"/>
      <c r="R46" s="157"/>
    </row>
    <row r="47" spans="1:20" x14ac:dyDescent="0.35">
      <c r="C47" s="157"/>
    </row>
    <row r="48" spans="1:20" x14ac:dyDescent="0.35">
      <c r="C48" s="157"/>
    </row>
    <row r="49" spans="3:3" x14ac:dyDescent="0.35">
      <c r="C49" s="157"/>
    </row>
    <row r="50" spans="3:3" x14ac:dyDescent="0.35">
      <c r="C50" s="157"/>
    </row>
    <row r="51" spans="3:3" x14ac:dyDescent="0.35">
      <c r="C51" s="157"/>
    </row>
    <row r="52" spans="3:3" x14ac:dyDescent="0.35">
      <c r="C52" s="157"/>
    </row>
    <row r="53" spans="3:3" x14ac:dyDescent="0.35">
      <c r="C53" s="157"/>
    </row>
    <row r="54" spans="3:3" x14ac:dyDescent="0.35"/>
    <row r="55" spans="3:3" x14ac:dyDescent="0.35"/>
    <row r="56" spans="3:3" x14ac:dyDescent="0.35"/>
    <row r="57" spans="3:3" x14ac:dyDescent="0.35"/>
    <row r="58" spans="3:3" x14ac:dyDescent="0.35"/>
    <row r="59" spans="3:3" x14ac:dyDescent="0.35"/>
    <row r="60" spans="3:3" x14ac:dyDescent="0.35"/>
  </sheetData>
  <sheetProtection algorithmName="SHA-512" hashValue="/pnK8RuinPFjEAj/m/c1lb+Gk3wCPTWXTZPvXo/cvdkPyovcquATWOu9JY5/VbNrBcNVwTintxrto5pJHNqrQg==" saltValue="+8mblwY0NoNYauX1aPYu2w==" spinCount="100000" sheet="1" objects="1" scenarios="1"/>
  <mergeCells count="8">
    <mergeCell ref="B1:C1"/>
    <mergeCell ref="F29:F32"/>
    <mergeCell ref="H24:I24"/>
    <mergeCell ref="B2:B3"/>
    <mergeCell ref="C2:C3"/>
    <mergeCell ref="D2:D3"/>
    <mergeCell ref="E2:E3"/>
    <mergeCell ref="F12:F19"/>
  </mergeCells>
  <phoneticPr fontId="99" type="noConversion"/>
  <dataValidations count="5">
    <dataValidation type="textLength" allowBlank="1" showInputMessage="1" showErrorMessage="1" sqref="D13:E16" xr:uid="{00000000-0002-0000-0E00-000000000000}">
      <formula1>0</formula1>
      <formula2>0</formula2>
    </dataValidation>
    <dataValidation type="decimal" operator="greaterThanOrEqual" allowBlank="1" showInputMessage="1" showErrorMessage="1" error="Minimalny dochód Przedsiębiorcy wynosi 1500zł" sqref="C4:E4" xr:uid="{00000000-0002-0000-0E00-000001000000}">
      <formula1>1500</formula1>
    </dataValidation>
    <dataValidation type="whole" operator="lessThanOrEqual" allowBlank="1" showInputMessage="1" showErrorMessage="1" error="Maksymalny okres kredytowania wynosi 120 m-cy_x000a_" sqref="C28" xr:uid="{00000000-0002-0000-0E00-000002000000}">
      <formula1>120</formula1>
    </dataValidation>
    <dataValidation type="list" allowBlank="1" showInputMessage="1" showErrorMessage="1" sqref="C26" xr:uid="{00000000-0002-0000-0E00-000003000000}">
      <formula1>$P$9</formula1>
    </dataValidation>
    <dataValidation type="list" allowBlank="1" showInputMessage="1" showErrorMessage="1" sqref="I25" xr:uid="{00000000-0002-0000-0E00-000004000000}">
      <formula1>$L$20:$L$22</formula1>
    </dataValidation>
  </dataValidations>
  <pageMargins left="0.7" right="0.7" top="0.75" bottom="0.75" header="0.3" footer="0.3"/>
  <pageSetup paperSize="9" orientation="portrait" r:id="rId1"/>
  <ignoredErrors>
    <ignoredError sqref="D20:E20"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132106" r:id="rId4" name="ProwizjaKredytowana">
              <controlPr defaultSize="0" autoFill="0" autoLine="0" autoPict="0" altText="">
                <anchor moveWithCells="1">
                  <from>
                    <xdr:col>1</xdr:col>
                    <xdr:colOff>806450</xdr:colOff>
                    <xdr:row>0</xdr:row>
                    <xdr:rowOff>76200</xdr:rowOff>
                  </from>
                  <to>
                    <xdr:col>1</xdr:col>
                    <xdr:colOff>2724150</xdr:colOff>
                    <xdr:row>0</xdr:row>
                    <xdr:rowOff>571500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Arkusz6"/>
  <dimension ref="A1:O44"/>
  <sheetViews>
    <sheetView showGridLines="0" showRowColHeaders="0" zoomScale="90" zoomScaleNormal="90" workbookViewId="0">
      <selection activeCell="B2" sqref="B2"/>
    </sheetView>
  </sheetViews>
  <sheetFormatPr defaultColWidth="0" defaultRowHeight="14.5" zeroHeight="1" x14ac:dyDescent="0.35"/>
  <cols>
    <col min="1" max="1" width="1" customWidth="1"/>
    <col min="2" max="2" width="73.1796875" customWidth="1"/>
    <col min="3" max="3" width="32.81640625" customWidth="1"/>
    <col min="4" max="6" width="9.1796875" customWidth="1"/>
    <col min="7" max="7" width="44.1796875" bestFit="1" customWidth="1"/>
    <col min="8" max="8" width="11.54296875" customWidth="1"/>
    <col min="9" max="10" width="9.1796875" customWidth="1"/>
    <col min="11" max="11" width="9.1796875" hidden="1" customWidth="1"/>
    <col min="12" max="12" width="9.1796875" style="175" hidden="1" customWidth="1"/>
    <col min="13" max="13" width="27.1796875" style="282" hidden="1" customWidth="1"/>
    <col min="14" max="14" width="9.1796875" style="177" hidden="1" customWidth="1"/>
    <col min="15" max="32" width="9.1796875" hidden="1" customWidth="1"/>
    <col min="33" max="16384" width="9.1796875" hidden="1"/>
  </cols>
  <sheetData>
    <row r="1" spans="2:15" ht="25" customHeight="1" x14ac:dyDescent="0.45">
      <c r="B1" s="646" t="s">
        <v>127</v>
      </c>
      <c r="C1" s="647"/>
      <c r="F1" s="43"/>
    </row>
    <row r="2" spans="2:15" ht="30.75" customHeight="1" x14ac:dyDescent="0.35">
      <c r="B2" s="210" t="s">
        <v>265</v>
      </c>
      <c r="C2" s="257" t="s">
        <v>269</v>
      </c>
      <c r="D2" s="68" t="s">
        <v>131</v>
      </c>
      <c r="G2" s="220" t="s">
        <v>259</v>
      </c>
      <c r="H2" s="221" t="s">
        <v>260</v>
      </c>
      <c r="L2" s="175" t="s">
        <v>3</v>
      </c>
    </row>
    <row r="3" spans="2:15" x14ac:dyDescent="0.35">
      <c r="B3" s="211" t="str">
        <f>IF(C2="Linia kredytowa","Wysokość linii kredytowej", "Wysokość limitu karty kredytowej")</f>
        <v>Wysokość limitu karty kredytowej</v>
      </c>
      <c r="C3" s="261">
        <v>10000</v>
      </c>
      <c r="G3" s="649" t="s">
        <v>261</v>
      </c>
      <c r="H3" s="649"/>
      <c r="L3" s="175" t="s">
        <v>4</v>
      </c>
      <c r="M3" s="283" t="s">
        <v>262</v>
      </c>
      <c r="N3" s="281">
        <v>8.1000000000000003E-2</v>
      </c>
    </row>
    <row r="4" spans="2:15" ht="23.5" x14ac:dyDescent="0.35">
      <c r="B4" s="211" t="s">
        <v>133</v>
      </c>
      <c r="C4" s="212">
        <f>M19/100</f>
        <v>7.8E-2</v>
      </c>
      <c r="D4" s="68"/>
      <c r="G4" s="222" t="s">
        <v>116</v>
      </c>
      <c r="H4" s="223">
        <v>7.8E-2</v>
      </c>
      <c r="M4" s="283" t="s">
        <v>269</v>
      </c>
      <c r="N4" s="281">
        <v>7.8E-2</v>
      </c>
    </row>
    <row r="5" spans="2:15" ht="23.5" x14ac:dyDescent="0.35">
      <c r="B5" s="211" t="str">
        <f>IF(C2="Linia kredytowa","Stopa procentowa (WIBOR 1M)","Stopa procentowa (stopa referencyjna NBP)")</f>
        <v>Stopa procentowa (stopa referencyjna NBP)</v>
      </c>
      <c r="C5" s="213">
        <v>6.93E-2</v>
      </c>
      <c r="D5" s="68" t="s">
        <v>131</v>
      </c>
      <c r="E5" s="64"/>
      <c r="F5" s="38"/>
      <c r="G5" s="222" t="s">
        <v>263</v>
      </c>
      <c r="H5" s="223">
        <v>0.06</v>
      </c>
      <c r="I5" s="38"/>
      <c r="J5" s="38"/>
      <c r="K5" s="38"/>
      <c r="L5" s="225"/>
      <c r="M5" s="283" t="s">
        <v>270</v>
      </c>
      <c r="N5" s="281">
        <v>0.06</v>
      </c>
    </row>
    <row r="6" spans="2:15" ht="23.5" x14ac:dyDescent="0.35">
      <c r="B6" s="207" t="s">
        <v>65</v>
      </c>
      <c r="C6" s="213" t="s">
        <v>4</v>
      </c>
      <c r="D6" s="68"/>
      <c r="E6" s="64"/>
      <c r="F6" s="38"/>
      <c r="G6" s="224" t="s">
        <v>264</v>
      </c>
      <c r="H6" s="223">
        <v>0.04</v>
      </c>
      <c r="I6" s="38"/>
      <c r="J6" s="38"/>
      <c r="K6" s="38"/>
      <c r="L6" s="225"/>
      <c r="M6" s="283" t="s">
        <v>271</v>
      </c>
      <c r="N6" s="281">
        <v>0.04</v>
      </c>
    </row>
    <row r="7" spans="2:15" ht="15.75" customHeight="1" x14ac:dyDescent="0.35">
      <c r="B7" s="211" t="s">
        <v>134</v>
      </c>
      <c r="C7" s="214">
        <f>(C4+C5)</f>
        <v>0.14729999999999999</v>
      </c>
      <c r="E7" s="38"/>
      <c r="F7" s="38"/>
      <c r="G7" s="643"/>
      <c r="H7" s="643"/>
      <c r="I7" s="38"/>
      <c r="J7" s="38"/>
      <c r="K7" s="38"/>
      <c r="L7" s="225"/>
      <c r="M7" s="284"/>
    </row>
    <row r="8" spans="2:15" x14ac:dyDescent="0.35">
      <c r="B8" s="211" t="s">
        <v>268</v>
      </c>
      <c r="C8" s="215">
        <f>IF(C6="TAK",C3*0.09643%,0)</f>
        <v>0</v>
      </c>
      <c r="E8" s="38"/>
      <c r="F8" s="38"/>
      <c r="G8" s="644"/>
      <c r="H8" s="644"/>
      <c r="I8" s="38"/>
      <c r="J8" s="38"/>
      <c r="K8" s="38"/>
      <c r="L8" s="225"/>
      <c r="M8" s="284"/>
    </row>
    <row r="9" spans="2:15" ht="84.75" customHeight="1" x14ac:dyDescent="0.35">
      <c r="B9" s="653" t="s">
        <v>273</v>
      </c>
      <c r="C9" s="653"/>
      <c r="E9" s="38"/>
      <c r="F9" s="38"/>
      <c r="G9" s="286"/>
      <c r="H9" s="287"/>
      <c r="I9" s="38"/>
      <c r="J9" s="38"/>
      <c r="K9" s="38"/>
      <c r="L9" s="225"/>
      <c r="M9" s="284"/>
    </row>
    <row r="10" spans="2:15" x14ac:dyDescent="0.35">
      <c r="B10" s="648" t="s">
        <v>128</v>
      </c>
      <c r="C10" s="648"/>
      <c r="E10" s="38"/>
      <c r="F10" s="38"/>
      <c r="G10" s="288"/>
      <c r="H10" s="288"/>
      <c r="I10" s="38"/>
      <c r="J10" s="38"/>
      <c r="K10" s="38"/>
      <c r="L10" s="225"/>
    </row>
    <row r="11" spans="2:15" ht="15" customHeight="1" x14ac:dyDescent="0.35">
      <c r="B11" s="216" t="s">
        <v>143</v>
      </c>
      <c r="C11" s="258">
        <f>C3*C7/12</f>
        <v>122.74999999999999</v>
      </c>
      <c r="E11" s="38"/>
      <c r="F11" s="38"/>
      <c r="G11" s="288"/>
      <c r="H11" s="288"/>
      <c r="I11" s="38"/>
      <c r="J11" s="38"/>
      <c r="K11" s="38"/>
      <c r="L11" s="225"/>
      <c r="M11" s="283" t="s">
        <v>262</v>
      </c>
      <c r="N11" s="285">
        <f>N3</f>
        <v>8.1000000000000003E-2</v>
      </c>
      <c r="O11">
        <f>IF(C6="TAK",N3-0.5%,N3)</f>
        <v>8.1000000000000003E-2</v>
      </c>
    </row>
    <row r="12" spans="2:15" ht="15" customHeight="1" x14ac:dyDescent="0.35">
      <c r="B12" s="216" t="str">
        <f>" wzroście"&amp;IF(C2="karta kredytowa"," stopy referencyjnej NBP "," WIBOR 1M ")&amp;"o 4 punkty procentowe"</f>
        <v xml:space="preserve"> wzroście WIBOR 1M o 4 punkty procentowe</v>
      </c>
      <c r="C12" s="258">
        <f>C3*(C7+4%)/12</f>
        <v>156.08333333333334</v>
      </c>
      <c r="E12" s="38"/>
      <c r="F12" s="38"/>
      <c r="G12" s="38"/>
      <c r="H12" s="38"/>
      <c r="I12" s="38"/>
      <c r="J12" s="38"/>
      <c r="K12" s="38"/>
      <c r="L12" s="225"/>
      <c r="M12" s="283" t="s">
        <v>269</v>
      </c>
      <c r="N12" s="285">
        <f t="shared" ref="N12:N14" si="0">N4</f>
        <v>7.8E-2</v>
      </c>
    </row>
    <row r="13" spans="2:15" ht="28.5" customHeight="1" x14ac:dyDescent="0.6">
      <c r="B13" s="211" t="s">
        <v>126</v>
      </c>
      <c r="C13" s="217">
        <v>0.01</v>
      </c>
      <c r="D13" s="39"/>
      <c r="E13" s="38"/>
      <c r="F13" s="38"/>
      <c r="G13" s="38"/>
      <c r="H13" s="38"/>
      <c r="I13" s="38"/>
      <c r="J13" s="38"/>
      <c r="K13" s="38"/>
      <c r="L13" s="225"/>
      <c r="M13" s="283" t="s">
        <v>270</v>
      </c>
      <c r="N13" s="285">
        <f t="shared" si="0"/>
        <v>0.06</v>
      </c>
    </row>
    <row r="14" spans="2:15" ht="39" x14ac:dyDescent="0.35">
      <c r="B14" s="216" t="str">
        <f>" wzroście" &amp;IF(C2="karta kredytowa"," stopy referencyjnej NBP "," WIBOR 1M ")&amp;"o różnicę pomiędzy maksymalnym a minimalnym poziomem tej stawki z ostatnich 12 miesięcy."&amp;" Jako różnicę pomiędzy minimalnym a maksymalnym poziomem przyjęto 1p.p."</f>
        <v xml:space="preserve"> wzroście WIBOR 1M o różnicę pomiędzy maksymalnym a minimalnym poziomem tej stawki z ostatnich 12 miesięcy. Jako różnicę pomiędzy minimalnym a maksymalnym poziomem przyjęto 1p.p.</v>
      </c>
      <c r="C14" s="258">
        <f>C3*(C7+1%)/12</f>
        <v>131.08333333333334</v>
      </c>
      <c r="E14" s="38"/>
      <c r="F14" s="38"/>
      <c r="I14" s="38"/>
      <c r="J14" s="38"/>
      <c r="K14" s="38"/>
      <c r="L14" s="225"/>
      <c r="M14" s="283" t="s">
        <v>271</v>
      </c>
      <c r="N14" s="285">
        <f t="shared" si="0"/>
        <v>0.04</v>
      </c>
    </row>
    <row r="15" spans="2:15" ht="15" customHeight="1" x14ac:dyDescent="0.35">
      <c r="B15" s="218" t="str">
        <f>IF($C$2="karta kredytowa"," stopie referencyjnej NBP = "," WIBOR 1M &lt;= ")&amp;"0%"</f>
        <v xml:space="preserve"> WIBOR 1M &lt;= 0%</v>
      </c>
      <c r="C15" s="258">
        <f>$C$3*($C$4+0%)/12</f>
        <v>65</v>
      </c>
      <c r="E15" s="38"/>
      <c r="F15" s="38"/>
      <c r="I15" s="38"/>
      <c r="J15" s="38"/>
      <c r="K15" s="38"/>
      <c r="L15" s="225"/>
    </row>
    <row r="16" spans="2:15" ht="15" customHeight="1" x14ac:dyDescent="0.35">
      <c r="B16" s="219" t="str">
        <f>IF($C$2="karta kredytowa"," stopie referencyjnej NBP = "," WIBOR 1M = ")&amp;"3%"</f>
        <v xml:space="preserve"> WIBOR 1M = 3%</v>
      </c>
      <c r="C16" s="258">
        <f>$C$3*($C$4+3%)/12</f>
        <v>90</v>
      </c>
      <c r="E16" s="38"/>
      <c r="F16" s="38"/>
      <c r="I16" s="38"/>
      <c r="J16" s="38"/>
      <c r="K16" s="38"/>
      <c r="L16" s="225"/>
    </row>
    <row r="17" spans="2:13" ht="15" customHeight="1" x14ac:dyDescent="0.35">
      <c r="B17" s="219" t="str">
        <f>IF($C$2="karta kredytowa"," stopie referencyjnej NBP = "," WIBOR 1M = ")&amp;"5%"</f>
        <v xml:space="preserve"> WIBOR 1M = 5%</v>
      </c>
      <c r="C17" s="258">
        <f>$C$3*($C$4+5%)/12</f>
        <v>106.66666666666667</v>
      </c>
      <c r="E17" s="38"/>
      <c r="F17" s="38"/>
      <c r="I17" s="38"/>
      <c r="J17" s="38"/>
      <c r="K17" s="38"/>
      <c r="L17" s="225"/>
    </row>
    <row r="18" spans="2:13" ht="15" customHeight="1" x14ac:dyDescent="0.35">
      <c r="B18" s="219" t="str">
        <f>IF($C$2="karta kredytowa"," stopie referencyjnej NBP = "," WIBOR 1M = ")&amp;"10%"</f>
        <v xml:space="preserve"> WIBOR 1M = 10%</v>
      </c>
      <c r="C18" s="258">
        <f>$C$3*($C$4+10%)/12</f>
        <v>148.33333333333334</v>
      </c>
      <c r="E18" s="38"/>
      <c r="F18" s="38"/>
      <c r="I18" s="38"/>
      <c r="J18" s="38"/>
      <c r="K18" s="38"/>
      <c r="L18" s="225"/>
    </row>
    <row r="19" spans="2:13" hidden="1" x14ac:dyDescent="0.35">
      <c r="E19" s="38"/>
      <c r="F19" s="38"/>
      <c r="I19" s="38"/>
      <c r="J19" s="38"/>
      <c r="K19" s="38"/>
      <c r="L19" s="225"/>
      <c r="M19" s="282">
        <f>IF(C2="Linia kredytowa na start",N11*100,IF(C2="Linia do 50 k PLN",N12*100,IF(C2="Linia kredytowa z zabezpieczeniem",N14*100,IF(C2="Linia powyżej 50 k PLN ",N13*100))))</f>
        <v>7.8</v>
      </c>
    </row>
    <row r="20" spans="2:13" hidden="1" x14ac:dyDescent="0.35">
      <c r="E20" s="38"/>
      <c r="F20" s="38"/>
      <c r="I20" s="38"/>
      <c r="J20" s="38"/>
      <c r="K20" s="38"/>
      <c r="L20" s="225"/>
    </row>
    <row r="21" spans="2:13" hidden="1" x14ac:dyDescent="0.35">
      <c r="E21" s="38"/>
      <c r="F21" s="38"/>
      <c r="G21" s="38"/>
      <c r="H21" s="38"/>
      <c r="I21" s="38"/>
      <c r="J21" s="38"/>
      <c r="K21" s="38"/>
      <c r="L21" s="225"/>
    </row>
    <row r="22" spans="2:13" hidden="1" x14ac:dyDescent="0.35">
      <c r="E22" s="38"/>
      <c r="F22" s="38"/>
      <c r="G22" s="38"/>
      <c r="H22" s="38"/>
      <c r="I22" s="38"/>
      <c r="J22" s="38"/>
      <c r="K22" s="38"/>
      <c r="L22" s="225"/>
    </row>
    <row r="23" spans="2:13" x14ac:dyDescent="0.35">
      <c r="B23" s="31"/>
      <c r="C23" s="31"/>
      <c r="E23" s="38"/>
      <c r="F23" s="38"/>
      <c r="G23" s="38"/>
      <c r="H23" s="38"/>
      <c r="I23" s="38"/>
      <c r="J23" s="38"/>
      <c r="K23" s="38"/>
      <c r="L23" s="225"/>
    </row>
    <row r="24" spans="2:13" ht="23.5" x14ac:dyDescent="0.35">
      <c r="B24" s="651" t="s">
        <v>135</v>
      </c>
      <c r="C24" s="651"/>
      <c r="D24" s="69"/>
      <c r="E24" s="38"/>
      <c r="F24" s="38"/>
      <c r="G24" s="163"/>
      <c r="H24" s="38"/>
      <c r="I24" s="38"/>
      <c r="J24" s="38"/>
      <c r="K24" s="38"/>
      <c r="L24" s="225"/>
    </row>
    <row r="25" spans="2:13" x14ac:dyDescent="0.35">
      <c r="B25" s="652" t="s">
        <v>140</v>
      </c>
      <c r="C25" s="652"/>
      <c r="D25" s="31"/>
      <c r="E25" s="38"/>
      <c r="F25" s="38"/>
      <c r="G25" s="38"/>
      <c r="H25" s="38"/>
      <c r="I25" s="38"/>
      <c r="J25" s="38"/>
      <c r="K25" s="38"/>
      <c r="L25" s="225"/>
    </row>
    <row r="26" spans="2:13" ht="7.5" customHeight="1" x14ac:dyDescent="0.35">
      <c r="B26" s="31"/>
      <c r="C26" s="31"/>
      <c r="D26" s="31"/>
    </row>
    <row r="27" spans="2:13" x14ac:dyDescent="0.35">
      <c r="B27" s="73" t="s">
        <v>132</v>
      </c>
      <c r="C27" s="72" t="str">
        <f>$C$2</f>
        <v>Linia do 50 k PLN</v>
      </c>
      <c r="D27" s="31"/>
    </row>
    <row r="28" spans="2:13" x14ac:dyDescent="0.35">
      <c r="B28" s="73" t="str">
        <f>B3</f>
        <v>Wysokość limitu karty kredytowej</v>
      </c>
      <c r="C28" s="72">
        <f>$C$3</f>
        <v>10000</v>
      </c>
      <c r="D28" s="31"/>
    </row>
    <row r="29" spans="2:13" x14ac:dyDescent="0.35">
      <c r="B29" s="164" t="s">
        <v>25</v>
      </c>
      <c r="C29" s="70">
        <f>C7</f>
        <v>0.14729999999999999</v>
      </c>
      <c r="D29" s="31"/>
    </row>
    <row r="30" spans="2:13" x14ac:dyDescent="0.35">
      <c r="B30" s="650" t="str">
        <f>"w tym stała marża = "&amp;C4*100&amp;IF(C2="karta kredytowa","% stopa referencyjna NBP = ","% i WIBOR 1M = ")&amp;C5*100&amp;"%"</f>
        <v>w tym stała marża = 7,8% i WIBOR 1M = 6,93%</v>
      </c>
      <c r="C30" s="650"/>
      <c r="D30" s="31"/>
    </row>
    <row r="31" spans="2:13" ht="6" customHeight="1" x14ac:dyDescent="0.35">
      <c r="B31" s="31"/>
      <c r="C31" s="31"/>
    </row>
    <row r="32" spans="2:13" ht="17.25" customHeight="1" x14ac:dyDescent="0.35">
      <c r="B32" s="226" t="s">
        <v>139</v>
      </c>
      <c r="C32" s="227"/>
    </row>
    <row r="33" spans="2:3" ht="15" customHeight="1" x14ac:dyDescent="0.35">
      <c r="B33" s="228" t="s">
        <v>136</v>
      </c>
      <c r="C33" s="259">
        <f>C11</f>
        <v>122.74999999999999</v>
      </c>
    </row>
    <row r="34" spans="2:3" ht="15" customHeight="1" x14ac:dyDescent="0.35">
      <c r="B34" s="229" t="str">
        <f>"wzroście"&amp;IF(C2="karta kredytowa"," stopy referencyjnej NBP "," WIBOR 1M ")&amp;"o 4 punkty procentowe"</f>
        <v>wzroście WIBOR 1M o 4 punkty procentowe</v>
      </c>
      <c r="C34" s="260">
        <f>C12</f>
        <v>156.08333333333334</v>
      </c>
    </row>
    <row r="35" spans="2:3" ht="26" x14ac:dyDescent="0.35">
      <c r="B35" s="230" t="str">
        <f>"wzroście" &amp;IF(C2="karta kredytowa"," stopy referencyjnej NBP "," WIBOR 1M ")&amp;"o różnicę pomiędzy maksymalnym a minimalnym poziomem tej stawki z ostatnich 12 miesięcy"</f>
        <v>wzroście WIBOR 1M o różnicę pomiędzy maksymalnym a minimalnym poziomem tej stawki z ostatnich 12 miesięcy</v>
      </c>
      <c r="C35" s="260">
        <f>C14</f>
        <v>131.08333333333334</v>
      </c>
    </row>
    <row r="36" spans="2:3" ht="15" customHeight="1" x14ac:dyDescent="0.35">
      <c r="B36" s="229" t="str">
        <f>IF(C2="karta kredytowa"," stopie referencyjnej NBP = "," WIBOR 1M = ")&amp;"0%"</f>
        <v xml:space="preserve"> WIBOR 1M = 0%</v>
      </c>
      <c r="C36" s="260">
        <f>C15</f>
        <v>65</v>
      </c>
    </row>
    <row r="37" spans="2:3" ht="15" customHeight="1" x14ac:dyDescent="0.35">
      <c r="B37" s="229" t="str">
        <f>IF(C2="karta kredytowa"," stopie referencyjnej NBP = "," WIBOR 1M = ")&amp;"3%"</f>
        <v xml:space="preserve"> WIBOR 1M = 3%</v>
      </c>
      <c r="C37" s="260">
        <f>C16</f>
        <v>90</v>
      </c>
    </row>
    <row r="38" spans="2:3" ht="15" customHeight="1" x14ac:dyDescent="0.35">
      <c r="B38" s="229" t="str">
        <f>IF(C2="karta kredytowa"," stopie referencyjnej NBP = "," WIBOR 1M = ")&amp;"5%"</f>
        <v xml:space="preserve"> WIBOR 1M = 5%</v>
      </c>
      <c r="C38" s="260">
        <f>C17</f>
        <v>106.66666666666667</v>
      </c>
    </row>
    <row r="39" spans="2:3" ht="15" customHeight="1" x14ac:dyDescent="0.35">
      <c r="B39" s="229" t="str">
        <f>IF(C2="karta kredytowa"," stopie referencyjnej NBP = "," WIBOR 1M = ")&amp;"10%"</f>
        <v xml:space="preserve"> WIBOR 1M = 10%</v>
      </c>
      <c r="C39" s="260">
        <f>C18</f>
        <v>148.33333333333334</v>
      </c>
    </row>
    <row r="40" spans="2:3" x14ac:dyDescent="0.35">
      <c r="B40" s="645"/>
      <c r="C40" s="645"/>
    </row>
    <row r="41" spans="2:3" x14ac:dyDescent="0.35">
      <c r="B41" s="645"/>
      <c r="C41" s="645"/>
    </row>
    <row r="42" spans="2:3" x14ac:dyDescent="0.35">
      <c r="B42" s="71" t="s">
        <v>141</v>
      </c>
      <c r="C42" s="71"/>
    </row>
    <row r="43" spans="2:3" x14ac:dyDescent="0.35">
      <c r="B43" s="71" t="s">
        <v>142</v>
      </c>
      <c r="C43" s="71"/>
    </row>
    <row r="44" spans="2:3" x14ac:dyDescent="0.35"/>
  </sheetData>
  <sheetProtection algorithmName="SHA-512" hashValue="cEqcjbLd07f9RYVgPYoQQJGxY8v4R7Dbu6PEBB7t1T4Qe2ufEr+f19S27YyDD1uSoTznwzpKb0lzhbErPZZKnQ==" saltValue="m9u6V6iKzxCIegpN9x8INQ==" spinCount="100000" sheet="1" objects="1" scenarios="1"/>
  <protectedRanges>
    <protectedRange sqref="C3 C5" name="Rozstęp1"/>
    <protectedRange sqref="C6" name="Rozstęp1_1"/>
  </protectedRanges>
  <mergeCells count="10">
    <mergeCell ref="B41:C41"/>
    <mergeCell ref="B30:C30"/>
    <mergeCell ref="B24:C24"/>
    <mergeCell ref="B25:C25"/>
    <mergeCell ref="B9:C9"/>
    <mergeCell ref="G7:H8"/>
    <mergeCell ref="B40:C40"/>
    <mergeCell ref="B1:C1"/>
    <mergeCell ref="B10:C10"/>
    <mergeCell ref="G3:H3"/>
  </mergeCells>
  <dataValidations count="3">
    <dataValidation type="list" allowBlank="1" showInputMessage="1" showErrorMessage="1" sqref="C2" xr:uid="{00000000-0002-0000-0F00-000000000000}">
      <formula1>$M$4:$M$6</formula1>
    </dataValidation>
    <dataValidation type="list" allowBlank="1" showInputMessage="1" showErrorMessage="1" sqref="C6" xr:uid="{00000000-0002-0000-0F00-000001000000}">
      <formula1>$L$2:$L$3</formula1>
    </dataValidation>
    <dataValidation type="whole" allowBlank="1" showInputMessage="1" showErrorMessage="1" sqref="C13" xr:uid="{00000000-0002-0000-0F00-000002000000}">
      <formula1>1</formula1>
      <formula2>1</formula2>
    </dataValidation>
  </dataValidations>
  <pageMargins left="0.7" right="0.7" top="0.75" bottom="0.75" header="0.3" footer="0.3"/>
  <drawing r:id="rId1"/>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Arkusz21">
    <pageSetUpPr fitToPage="1"/>
  </sheetPr>
  <dimension ref="A1:Q1048576"/>
  <sheetViews>
    <sheetView zoomScale="90" zoomScaleNormal="90" workbookViewId="0">
      <selection activeCell="B8" sqref="B8"/>
    </sheetView>
  </sheetViews>
  <sheetFormatPr defaultColWidth="9.1796875" defaultRowHeight="14.5" zeroHeight="1" x14ac:dyDescent="0.35"/>
  <cols>
    <col min="1" max="1" width="48.1796875" customWidth="1"/>
    <col min="2" max="2" width="36.81640625" customWidth="1"/>
    <col min="3" max="3" width="2.1796875" style="250" customWidth="1"/>
    <col min="4" max="4" width="8.54296875" customWidth="1"/>
    <col min="5" max="5" width="18.81640625" customWidth="1"/>
    <col min="6" max="17" width="9.1796875" customWidth="1"/>
    <col min="16384" max="16384" width="3.453125" customWidth="1"/>
  </cols>
  <sheetData>
    <row r="1" spans="1:17" ht="25" customHeight="1" x14ac:dyDescent="0.35">
      <c r="A1" s="654" t="s">
        <v>127</v>
      </c>
      <c r="B1" s="655"/>
    </row>
    <row r="2" spans="1:17" ht="25" customHeight="1" x14ac:dyDescent="0.35">
      <c r="A2" s="231" t="s">
        <v>265</v>
      </c>
      <c r="B2" s="232" t="s">
        <v>1</v>
      </c>
      <c r="D2" s="252" t="s">
        <v>68</v>
      </c>
      <c r="E2" s="239" t="s">
        <v>129</v>
      </c>
    </row>
    <row r="3" spans="1:17" x14ac:dyDescent="0.35">
      <c r="A3" s="211" t="str">
        <f>IF(B2="pożyczka dla przedsiębiorcy",IF(ProwizjaKredytowana=TRUE,"Kwota pożyczki z kredytowaną prowizją.","Kwota pożyczki"),"Kwota kredytu")</f>
        <v>Kwota pożyczki z kredytowaną prowizją.</v>
      </c>
      <c r="B3" s="262">
        <f>IF(B2="Pożyczka dla Przedsiębiorcy",WarOneKw,#REF!)</f>
        <v>1230000</v>
      </c>
      <c r="E3" s="67" t="s">
        <v>286</v>
      </c>
    </row>
    <row r="4" spans="1:17" x14ac:dyDescent="0.35">
      <c r="A4" s="211" t="s">
        <v>2</v>
      </c>
      <c r="B4" s="234">
        <f>IF(B2="Pożyczka dla Przedsiębiorcy",'Dane do harmonogramu'!$C$7,#REF!)</f>
        <v>120</v>
      </c>
      <c r="F4" s="37"/>
      <c r="G4" s="37"/>
      <c r="H4" s="37"/>
      <c r="I4" s="37"/>
      <c r="J4" s="37"/>
      <c r="K4" s="37"/>
      <c r="L4" s="37"/>
      <c r="M4" s="37"/>
      <c r="N4" s="37"/>
      <c r="O4" s="37"/>
      <c r="P4" s="37"/>
      <c r="Q4" s="37"/>
    </row>
    <row r="5" spans="1:17" x14ac:dyDescent="0.35">
      <c r="A5" s="211" t="s">
        <v>22</v>
      </c>
      <c r="B5" s="233">
        <f>IF(B2="Pożyczka dla Przedsiębiorcy",'Dane do harmonogramu'!C12,"")</f>
        <v>2.5</v>
      </c>
      <c r="E5" s="67"/>
    </row>
    <row r="6" spans="1:17" ht="17.25" customHeight="1" x14ac:dyDescent="0.35">
      <c r="A6" s="211" t="s">
        <v>478</v>
      </c>
      <c r="B6" s="215">
        <f>IF(B2="Pożyczka dla Przedsiębiorcy",'Dane do harmonogramu'!$C$11,#REF!)</f>
        <v>3.9</v>
      </c>
      <c r="E6" s="36"/>
      <c r="F6" s="36"/>
      <c r="G6" s="36"/>
      <c r="H6" s="36"/>
      <c r="I6" s="36"/>
      <c r="J6" s="36"/>
      <c r="K6" s="36"/>
      <c r="L6" s="36"/>
      <c r="M6" s="36"/>
      <c r="N6" s="36"/>
      <c r="O6" s="36"/>
      <c r="P6" s="37"/>
      <c r="Q6" s="37"/>
    </row>
    <row r="7" spans="1:17" x14ac:dyDescent="0.35">
      <c r="A7" s="211" t="s">
        <v>479</v>
      </c>
      <c r="B7" s="214">
        <f>(B5+B6)%</f>
        <v>6.4000000000000001E-2</v>
      </c>
      <c r="E7" s="37"/>
      <c r="F7" s="37"/>
      <c r="G7" s="37"/>
      <c r="H7" s="37"/>
      <c r="I7" s="37"/>
      <c r="J7" s="37"/>
      <c r="K7" s="37"/>
      <c r="L7" s="37"/>
      <c r="M7" s="37"/>
      <c r="N7" s="37"/>
      <c r="O7" s="37"/>
      <c r="P7" s="37"/>
      <c r="Q7" s="37"/>
    </row>
    <row r="8" spans="1:17" x14ac:dyDescent="0.35">
      <c r="A8" s="211" t="s">
        <v>5</v>
      </c>
      <c r="B8" s="233">
        <f>IF(B2="Pożyczka dla Przedsiębiorcy",'Dane do harmonogramu'!$C$17,IF(#REF!="TAK",#REF!*1%,0))</f>
        <v>30000</v>
      </c>
      <c r="E8" s="37"/>
      <c r="F8" s="37"/>
      <c r="G8" s="37"/>
      <c r="H8" s="37"/>
      <c r="I8" s="37"/>
      <c r="J8" s="37"/>
      <c r="K8" s="37"/>
      <c r="L8" s="37"/>
      <c r="M8" s="37"/>
      <c r="N8" s="37"/>
      <c r="O8" s="37"/>
      <c r="P8" s="37"/>
      <c r="Q8" s="37"/>
    </row>
    <row r="9" spans="1:17" x14ac:dyDescent="0.35">
      <c r="A9" s="211" t="s">
        <v>65</v>
      </c>
      <c r="B9" s="214" t="str">
        <f>IF($B$2="Pożyczka dla Przedsiębiorcy",'Dane do harmonogramu'!C10,"nie dotyczy")</f>
        <v>NIE</v>
      </c>
      <c r="E9" s="37"/>
      <c r="F9" s="37"/>
      <c r="G9" s="37"/>
      <c r="H9" s="37"/>
      <c r="I9" s="37"/>
      <c r="J9" s="37"/>
      <c r="K9" s="37"/>
      <c r="L9" s="37"/>
      <c r="M9" s="37"/>
      <c r="N9" s="37"/>
      <c r="O9" s="37"/>
      <c r="P9" s="37"/>
      <c r="Q9" s="37"/>
    </row>
    <row r="10" spans="1:17" x14ac:dyDescent="0.35">
      <c r="A10" s="211" t="s">
        <v>69</v>
      </c>
      <c r="B10" s="235">
        <f ca="1">IF(B2="Pożyczka dla Przedsiębiorcy",'Dane do harmonogramu'!C14,#REF!)</f>
        <v>46083</v>
      </c>
      <c r="E10" s="37"/>
      <c r="F10" s="37"/>
      <c r="G10" s="37"/>
      <c r="H10" s="37"/>
      <c r="I10" s="37"/>
      <c r="J10" s="37"/>
      <c r="K10" s="37"/>
      <c r="L10" s="37"/>
      <c r="M10" s="37"/>
      <c r="N10" s="37"/>
      <c r="O10" s="37"/>
      <c r="P10" s="37"/>
      <c r="Q10" s="37"/>
    </row>
    <row r="11" spans="1:17" x14ac:dyDescent="0.35">
      <c r="A11" s="211" t="s">
        <v>70</v>
      </c>
      <c r="B11" s="235">
        <f ca="1">IF(B2="Pożyczka dla Przedsiębiorcy",'Dane do harmonogramu'!C15,"")</f>
        <v>46098</v>
      </c>
      <c r="E11" s="37"/>
      <c r="F11" s="37"/>
      <c r="G11" s="37"/>
      <c r="H11" s="37"/>
      <c r="I11" s="37"/>
      <c r="J11" s="37"/>
      <c r="K11" s="37"/>
      <c r="L11" s="37"/>
      <c r="M11" s="37"/>
      <c r="N11" s="37"/>
      <c r="O11" s="37"/>
      <c r="P11" s="37"/>
      <c r="Q11" s="37"/>
    </row>
    <row r="12" spans="1:17" ht="117" customHeight="1" x14ac:dyDescent="0.35">
      <c r="A12" s="656" t="s">
        <v>480</v>
      </c>
      <c r="B12" s="656"/>
      <c r="E12" s="37"/>
      <c r="F12" s="37"/>
      <c r="G12" s="37"/>
      <c r="H12" s="37"/>
      <c r="I12" s="37"/>
      <c r="J12" s="37"/>
      <c r="K12" s="37"/>
      <c r="L12" s="37"/>
      <c r="M12" s="37"/>
      <c r="N12" s="37"/>
      <c r="O12" s="37"/>
      <c r="P12" s="37"/>
      <c r="Q12" s="37"/>
    </row>
    <row r="13" spans="1:17" x14ac:dyDescent="0.35">
      <c r="A13" s="236" t="s">
        <v>130</v>
      </c>
      <c r="B13" s="237"/>
      <c r="E13" s="38"/>
      <c r="F13" s="38"/>
      <c r="G13" s="38"/>
      <c r="H13" s="38"/>
      <c r="I13" s="38"/>
      <c r="J13" s="38"/>
      <c r="K13" s="38"/>
      <c r="L13" s="63"/>
      <c r="M13" s="38"/>
      <c r="N13" s="38"/>
      <c r="O13" s="38"/>
      <c r="P13" s="38"/>
    </row>
    <row r="14" spans="1:17" x14ac:dyDescent="0.35">
      <c r="A14" s="216" t="s">
        <v>136</v>
      </c>
      <c r="B14" s="262">
        <f ca="1">B3/VLOOKUP('Symulacja Pożyczka'!B4,Arkusz1!$A$1:$O$182,13,1)</f>
        <v>13869.160872339731</v>
      </c>
      <c r="E14" s="37"/>
      <c r="F14" s="37"/>
      <c r="G14" s="37"/>
      <c r="H14" s="37"/>
      <c r="I14" s="37"/>
      <c r="J14" s="37"/>
      <c r="K14" s="37"/>
      <c r="L14" s="37"/>
      <c r="M14" s="37"/>
      <c r="N14" s="37"/>
      <c r="O14" s="37"/>
      <c r="P14" s="37"/>
      <c r="Q14" s="37"/>
    </row>
    <row r="15" spans="1:17" x14ac:dyDescent="0.35">
      <c r="A15" s="216" t="s">
        <v>481</v>
      </c>
      <c r="B15" s="262">
        <f ca="1">'Arkusz1 (2)'!N2</f>
        <v>16461.281548369465</v>
      </c>
      <c r="E15" s="37"/>
      <c r="F15" s="37"/>
      <c r="G15" s="37"/>
      <c r="H15" s="37"/>
      <c r="I15" s="37"/>
      <c r="J15" s="37"/>
      <c r="K15" s="37"/>
      <c r="L15" s="37"/>
      <c r="M15" s="37"/>
      <c r="N15" s="37"/>
      <c r="O15" s="37"/>
      <c r="P15" s="37"/>
      <c r="Q15" s="37"/>
    </row>
    <row r="16" spans="1:17" ht="12" hidden="1" customHeight="1" x14ac:dyDescent="0.35">
      <c r="A16" s="211" t="s">
        <v>71</v>
      </c>
      <c r="B16" s="263">
        <v>0.01</v>
      </c>
      <c r="C16" s="251" t="s">
        <v>68</v>
      </c>
      <c r="D16" s="35" t="s">
        <v>68</v>
      </c>
      <c r="E16" s="36"/>
      <c r="F16" s="38"/>
      <c r="G16" s="38"/>
      <c r="H16" s="38"/>
      <c r="I16" s="38"/>
      <c r="J16" s="38"/>
      <c r="K16" s="38"/>
      <c r="L16" s="38"/>
      <c r="M16" s="38"/>
      <c r="N16" s="38"/>
      <c r="O16" s="38"/>
      <c r="P16" s="21"/>
      <c r="Q16" s="21"/>
    </row>
    <row r="17" spans="1:17" ht="54.75" customHeight="1" x14ac:dyDescent="0.35">
      <c r="A17" s="216" t="s">
        <v>482</v>
      </c>
      <c r="B17" s="262">
        <f ca="1">'Arkusz1 (3)'!N2</f>
        <v>14494.236471898763</v>
      </c>
      <c r="E17" s="38"/>
      <c r="F17" s="38"/>
      <c r="G17" s="38"/>
      <c r="H17" s="38"/>
      <c r="I17" s="38"/>
      <c r="J17" s="38"/>
      <c r="K17" s="38"/>
      <c r="L17" s="38"/>
      <c r="M17" s="38"/>
      <c r="N17" s="38"/>
      <c r="O17" s="38"/>
      <c r="P17" s="21"/>
      <c r="Q17" s="21"/>
    </row>
    <row r="18" spans="1:17" ht="15.75" customHeight="1" x14ac:dyDescent="0.35">
      <c r="A18" s="238" t="s">
        <v>483</v>
      </c>
      <c r="B18" s="264">
        <f ca="1">'Arkusz1 (+0)'!N2</f>
        <v>11583.851739827893</v>
      </c>
      <c r="C18" s="250">
        <v>0</v>
      </c>
      <c r="E18" s="38"/>
      <c r="F18" s="38"/>
      <c r="G18" s="38"/>
      <c r="H18" s="38"/>
      <c r="I18" s="38"/>
      <c r="J18" s="38"/>
      <c r="K18" s="38"/>
      <c r="L18" s="38"/>
      <c r="M18" s="38"/>
      <c r="N18" s="38"/>
      <c r="O18" s="38"/>
      <c r="P18" s="21"/>
      <c r="Q18" s="21"/>
    </row>
    <row r="19" spans="1:17" ht="15.75" customHeight="1" x14ac:dyDescent="0.35">
      <c r="A19" s="238" t="s">
        <v>484</v>
      </c>
      <c r="B19" s="264">
        <f ca="1">'Arkusz1 (+3)'!N2</f>
        <v>13320.053506348993</v>
      </c>
      <c r="C19" s="250">
        <v>3</v>
      </c>
      <c r="E19" s="38"/>
      <c r="F19" s="38"/>
      <c r="G19" s="38"/>
      <c r="H19" s="38"/>
      <c r="I19" s="38"/>
      <c r="J19" s="38"/>
      <c r="K19" s="38"/>
      <c r="L19" s="38"/>
      <c r="M19" s="38"/>
      <c r="N19" s="38"/>
      <c r="O19" s="38"/>
      <c r="P19" s="21"/>
      <c r="Q19" s="21"/>
    </row>
    <row r="20" spans="1:17" ht="17.25" customHeight="1" x14ac:dyDescent="0.35">
      <c r="A20" s="238" t="s">
        <v>485</v>
      </c>
      <c r="B20" s="264">
        <f ca="1">'Arkusz1 (+5)'!N2</f>
        <v>14557.600724632557</v>
      </c>
      <c r="C20" s="250">
        <v>5</v>
      </c>
      <c r="E20" s="38"/>
      <c r="F20" s="38"/>
      <c r="G20" s="38"/>
      <c r="H20" s="38"/>
      <c r="I20" s="38"/>
      <c r="J20" s="38"/>
      <c r="K20" s="38"/>
      <c r="L20" s="38"/>
      <c r="M20" s="38"/>
      <c r="N20" s="38"/>
      <c r="O20" s="38"/>
      <c r="P20" s="21"/>
      <c r="Q20" s="21"/>
    </row>
    <row r="21" spans="1:17" x14ac:dyDescent="0.35">
      <c r="A21" s="238" t="s">
        <v>486</v>
      </c>
      <c r="B21" s="264">
        <f ca="1">'Arkusz1 (+10)'!N2</f>
        <v>17916.766450754702</v>
      </c>
      <c r="C21" s="250">
        <v>10</v>
      </c>
      <c r="E21" s="38"/>
      <c r="F21" s="38"/>
      <c r="G21" s="38"/>
      <c r="H21" s="38"/>
      <c r="I21" s="38"/>
      <c r="J21" s="38"/>
      <c r="K21" s="38"/>
      <c r="L21" s="38"/>
      <c r="M21" s="38"/>
      <c r="N21" s="38"/>
      <c r="O21" s="38"/>
      <c r="P21" s="21"/>
      <c r="Q21" s="21"/>
    </row>
    <row r="22" spans="1:17" x14ac:dyDescent="0.35">
      <c r="E22" s="21"/>
      <c r="F22" s="21"/>
      <c r="G22" s="21"/>
      <c r="H22" s="21"/>
      <c r="I22" s="21"/>
      <c r="J22" s="21"/>
      <c r="K22" s="21"/>
      <c r="L22" s="21"/>
      <c r="M22" s="21"/>
      <c r="N22" s="21"/>
      <c r="O22" s="21"/>
      <c r="P22" s="21"/>
      <c r="Q22" s="21"/>
    </row>
    <row r="23" spans="1:17" x14ac:dyDescent="0.35">
      <c r="A23" s="65" t="s">
        <v>72</v>
      </c>
      <c r="E23" s="21"/>
      <c r="F23" s="21"/>
      <c r="G23" s="21"/>
      <c r="H23" s="21"/>
      <c r="I23" s="21"/>
      <c r="J23" s="21"/>
      <c r="K23" s="21"/>
      <c r="L23" s="21"/>
      <c r="M23" s="21"/>
      <c r="N23" s="21"/>
      <c r="O23" s="21"/>
      <c r="P23" s="21"/>
      <c r="Q23" s="21"/>
    </row>
    <row r="24" spans="1:17" x14ac:dyDescent="0.35">
      <c r="E24" s="21"/>
      <c r="F24" s="21"/>
      <c r="G24" s="21"/>
      <c r="H24" s="21"/>
      <c r="I24" s="21"/>
      <c r="J24" s="21"/>
      <c r="K24" s="21"/>
      <c r="L24" s="21"/>
      <c r="M24" s="21"/>
      <c r="N24" s="21"/>
      <c r="O24" s="21"/>
      <c r="P24" s="21"/>
      <c r="Q24" s="21"/>
    </row>
    <row r="25" spans="1:17" x14ac:dyDescent="0.35"/>
    <row r="26" spans="1:17" x14ac:dyDescent="0.35">
      <c r="A26" s="66"/>
    </row>
    <row r="27" spans="1:17" x14ac:dyDescent="0.35"/>
    <row r="28" spans="1:17" x14ac:dyDescent="0.35"/>
    <row r="29" spans="1:17" x14ac:dyDescent="0.35"/>
    <row r="30" spans="1:17" x14ac:dyDescent="0.35"/>
    <row r="31" spans="1:17" x14ac:dyDescent="0.35"/>
    <row r="32" spans="1:17" x14ac:dyDescent="0.35"/>
    <row r="1048560" x14ac:dyDescent="0.35"/>
    <row r="1048576" x14ac:dyDescent="0.35"/>
  </sheetData>
  <protectedRanges>
    <protectedRange sqref="B2" name="Rozstęp1_1"/>
  </protectedRanges>
  <mergeCells count="2">
    <mergeCell ref="A1:B1"/>
    <mergeCell ref="A12:B12"/>
  </mergeCells>
  <dataValidations count="2">
    <dataValidation type="date" allowBlank="1" showInputMessage="1" showErrorMessage="1" errorTitle="Niepoprawna wartość" error="Data powinna być podana w formacie rrrr-mm-dd" sqref="B10:B11" xr:uid="{00000000-0002-0000-1000-000000000000}">
      <formula1>1</formula1>
      <formula2>109575</formula2>
    </dataValidation>
    <dataValidation type="custom" allowBlank="1" showInputMessage="1" showErrorMessage="1" sqref="B9" xr:uid="{00000000-0002-0000-1000-000001000000}">
      <formula1>"tak;nie;nie dotyczy"</formula1>
    </dataValidation>
  </dataValidations>
  <hyperlinks>
    <hyperlink ref="A23" location="'Harmonogram Pożyczka'!start_wydruku" display="_Przejdź do harmonogramu_" xr:uid="{00000000-0004-0000-1000-000000000000}"/>
  </hyperlinks>
  <pageMargins left="0.7" right="0.7" top="0.75" bottom="0.75" header="0.3" footer="0.3"/>
  <pageSetup paperSize="9" fitToHeight="0" orientation="portrait" r:id="rId1"/>
  <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Arkusz25"/>
  <dimension ref="A1:N215"/>
  <sheetViews>
    <sheetView showGridLines="0" showRowColHeaders="0" zoomScale="90" zoomScaleNormal="90" workbookViewId="0">
      <selection activeCell="F5" sqref="F5:H5"/>
    </sheetView>
  </sheetViews>
  <sheetFormatPr defaultColWidth="9.1796875" defaultRowHeight="14.5" zeroHeight="1" x14ac:dyDescent="0.35"/>
  <cols>
    <col min="1" max="1" width="5.453125" customWidth="1"/>
    <col min="2" max="2" width="15.81640625" customWidth="1"/>
    <col min="3" max="3" width="9.1796875" customWidth="1"/>
    <col min="4" max="4" width="11.453125" customWidth="1"/>
    <col min="5" max="5" width="0.1796875" customWidth="1"/>
    <col min="6" max="6" width="13" customWidth="1"/>
    <col min="7" max="7" width="13.453125" customWidth="1"/>
    <col min="8" max="8" width="12.1796875" customWidth="1"/>
    <col min="9" max="9" width="14.453125" customWidth="1"/>
    <col min="10" max="10" width="9.1796875" customWidth="1"/>
    <col min="11" max="14" width="9.1796875" hidden="1" customWidth="1"/>
    <col min="15" max="20" width="9.1796875" customWidth="1"/>
  </cols>
  <sheetData>
    <row r="1" spans="1:9" x14ac:dyDescent="0.35"/>
    <row r="2" spans="1:9" x14ac:dyDescent="0.35"/>
    <row r="3" spans="1:9" ht="40.5" customHeight="1" x14ac:dyDescent="0.35">
      <c r="A3" s="671" t="str">
        <f>"Symulacja wpływu zmiany stopy procentowej 
wraz z harmonogramem spłat - "&amp;'Symulacja Pożyczka'!B2</f>
        <v>Symulacja wpływu zmiany stopy procentowej 
wraz z harmonogramem spłat - Pożyczka dla Przedsiębiorcy</v>
      </c>
      <c r="B3" s="671"/>
      <c r="C3" s="671"/>
      <c r="D3" s="671"/>
      <c r="E3" s="671"/>
      <c r="F3" s="671"/>
      <c r="G3" s="671"/>
      <c r="H3" s="671"/>
    </row>
    <row r="4" spans="1:9" ht="15" customHeight="1" x14ac:dyDescent="0.35">
      <c r="A4" s="31"/>
      <c r="B4" s="31"/>
      <c r="C4" s="31"/>
      <c r="D4" s="74"/>
      <c r="E4" s="31"/>
      <c r="F4" s="31"/>
      <c r="G4" s="31"/>
    </row>
    <row r="5" spans="1:9" ht="15" customHeight="1" x14ac:dyDescent="0.35">
      <c r="A5" s="31"/>
      <c r="B5" s="664" t="s">
        <v>132</v>
      </c>
      <c r="C5" s="664"/>
      <c r="D5" s="664"/>
      <c r="E5" s="664"/>
      <c r="F5" s="672" t="str">
        <f>'Symulacja Pożyczka'!B2</f>
        <v>Pożyczka dla Przedsiębiorcy</v>
      </c>
      <c r="G5" s="672"/>
      <c r="H5" s="672"/>
    </row>
    <row r="6" spans="1:9" ht="15" customHeight="1" x14ac:dyDescent="0.35">
      <c r="A6" s="31"/>
      <c r="B6" s="664" t="str">
        <f>'Symulacja Pożyczka'!A3</f>
        <v>Kwota pożyczki z kredytowaną prowizją.</v>
      </c>
      <c r="C6" s="664"/>
      <c r="D6" s="664"/>
      <c r="E6" s="664"/>
      <c r="F6" s="672">
        <f>'Symulacja Pożyczka'!B3</f>
        <v>1230000</v>
      </c>
      <c r="G6" s="672"/>
      <c r="H6" s="672"/>
    </row>
    <row r="7" spans="1:9" ht="15" customHeight="1" x14ac:dyDescent="0.35">
      <c r="A7" s="31"/>
      <c r="B7" s="73"/>
      <c r="C7" s="73"/>
      <c r="D7" s="73" t="s">
        <v>137</v>
      </c>
      <c r="E7" s="73"/>
      <c r="F7" s="673">
        <f>'Symulacja Pożyczka'!B4</f>
        <v>120</v>
      </c>
      <c r="G7" s="673"/>
      <c r="H7" s="673"/>
    </row>
    <row r="8" spans="1:9" ht="15" customHeight="1" x14ac:dyDescent="0.35">
      <c r="A8" s="31"/>
      <c r="B8" s="73"/>
      <c r="C8" s="73"/>
      <c r="D8" s="73" t="s">
        <v>148</v>
      </c>
      <c r="E8" s="73"/>
      <c r="F8" s="85"/>
      <c r="G8" s="85"/>
      <c r="H8" s="86">
        <f>'Symulacja Pożyczka'!B8</f>
        <v>30000</v>
      </c>
    </row>
    <row r="9" spans="1:9" ht="15" customHeight="1" x14ac:dyDescent="0.35">
      <c r="A9" s="31"/>
      <c r="B9" s="665" t="s">
        <v>25</v>
      </c>
      <c r="C9" s="665"/>
      <c r="D9" s="665"/>
      <c r="E9" s="665"/>
      <c r="F9" s="674">
        <f>'Symulacja Pożyczka'!B7</f>
        <v>6.4000000000000001E-2</v>
      </c>
      <c r="G9" s="674"/>
      <c r="H9" s="674"/>
    </row>
    <row r="10" spans="1:9" ht="15" customHeight="1" x14ac:dyDescent="0.35">
      <c r="A10" s="31"/>
      <c r="B10" s="675" t="str">
        <f>"w tym stała marża = "&amp;'Symulacja Pożyczka'!B5&amp;IF(F7&lt;=12,"% i WIBOR 1M = ","% i WIBOR 1M = ")&amp;'Symulacja Pożyczka'!B6&amp;"%"</f>
        <v>w tym stała marża = 2,5% i WIBOR 1M = 3,9%</v>
      </c>
      <c r="C10" s="675"/>
      <c r="D10" s="675"/>
      <c r="E10" s="675"/>
      <c r="F10" s="675"/>
      <c r="G10" s="675"/>
      <c r="H10" s="675"/>
    </row>
    <row r="11" spans="1:9" ht="15" customHeight="1" x14ac:dyDescent="0.35">
      <c r="A11" s="31"/>
      <c r="B11" s="76"/>
      <c r="C11" s="76"/>
      <c r="D11" s="77" t="s">
        <v>65</v>
      </c>
      <c r="E11" s="76"/>
      <c r="F11" s="686" t="str">
        <f>'Symulacja Pożyczka'!B9</f>
        <v>NIE</v>
      </c>
      <c r="G11" s="687"/>
      <c r="H11" s="687"/>
    </row>
    <row r="12" spans="1:9" ht="161.15" customHeight="1" x14ac:dyDescent="0.35">
      <c r="A12" s="681" t="s">
        <v>497</v>
      </c>
      <c r="B12" s="682"/>
      <c r="C12" s="682"/>
      <c r="D12" s="682"/>
      <c r="E12" s="682"/>
      <c r="F12" s="682"/>
      <c r="G12" s="682"/>
      <c r="H12" s="682"/>
      <c r="I12" s="682"/>
    </row>
    <row r="13" spans="1:9" ht="15" customHeight="1" x14ac:dyDescent="0.35">
      <c r="A13" s="676" t="s">
        <v>146</v>
      </c>
      <c r="B13" s="677"/>
      <c r="C13" s="677"/>
      <c r="D13" s="677"/>
      <c r="E13" s="677"/>
      <c r="F13" s="677"/>
      <c r="G13" s="677"/>
      <c r="H13" s="677"/>
    </row>
    <row r="14" spans="1:9" ht="15" customHeight="1" x14ac:dyDescent="0.35">
      <c r="A14" s="666" t="s">
        <v>130</v>
      </c>
      <c r="B14" s="667"/>
      <c r="C14" s="667"/>
      <c r="D14" s="667"/>
      <c r="E14" s="667"/>
      <c r="F14" s="678"/>
      <c r="G14" s="678"/>
      <c r="H14" s="679"/>
    </row>
    <row r="15" spans="1:9" ht="23.25" customHeight="1" x14ac:dyDescent="0.35">
      <c r="A15" s="688" t="s">
        <v>136</v>
      </c>
      <c r="B15" s="689"/>
      <c r="C15" s="689"/>
      <c r="D15" s="689"/>
      <c r="E15" s="689"/>
      <c r="F15" s="689"/>
      <c r="G15" s="680">
        <f ca="1">'Symulacja Pożyczka'!B14</f>
        <v>13869.160872339731</v>
      </c>
      <c r="H15" s="680"/>
    </row>
    <row r="16" spans="1:9" ht="23.25" customHeight="1" x14ac:dyDescent="0.35">
      <c r="A16" s="690" t="s">
        <v>499</v>
      </c>
      <c r="B16" s="691"/>
      <c r="C16" s="691"/>
      <c r="D16" s="691"/>
      <c r="E16" s="691"/>
      <c r="F16" s="691"/>
      <c r="G16" s="685">
        <f ca="1">'Symulacja Pożyczka'!B15</f>
        <v>16461.281548369465</v>
      </c>
      <c r="H16" s="685"/>
    </row>
    <row r="17" spans="1:12" ht="29.25" customHeight="1" x14ac:dyDescent="0.35">
      <c r="A17" s="692" t="s">
        <v>500</v>
      </c>
      <c r="B17" s="693"/>
      <c r="C17" s="693"/>
      <c r="D17" s="693"/>
      <c r="E17" s="693"/>
      <c r="F17" s="693"/>
      <c r="G17" s="685">
        <f ca="1">'Symulacja Pożyczka'!B17</f>
        <v>14494.236471898763</v>
      </c>
      <c r="H17" s="685"/>
    </row>
    <row r="18" spans="1:12" ht="29.25" customHeight="1" x14ac:dyDescent="0.35">
      <c r="A18" s="694" t="s">
        <v>501</v>
      </c>
      <c r="B18" s="695"/>
      <c r="C18" s="695"/>
      <c r="D18" s="695"/>
      <c r="E18" s="695"/>
      <c r="F18" s="696"/>
      <c r="G18" s="697">
        <f ca="1">'Symulacja Pożyczka'!B18</f>
        <v>11583.851739827893</v>
      </c>
      <c r="H18" s="698"/>
    </row>
    <row r="19" spans="1:12" ht="15" customHeight="1" x14ac:dyDescent="0.35">
      <c r="A19" s="694" t="s">
        <v>502</v>
      </c>
      <c r="B19" s="695"/>
      <c r="C19" s="695"/>
      <c r="D19" s="695"/>
      <c r="E19" s="695"/>
      <c r="F19" s="695"/>
      <c r="G19" s="685">
        <f ca="1">'Symulacja Pożyczka'!B19</f>
        <v>13320.053506348993</v>
      </c>
      <c r="H19" s="685"/>
    </row>
    <row r="20" spans="1:12" ht="15" customHeight="1" x14ac:dyDescent="0.35">
      <c r="A20" s="694" t="s">
        <v>503</v>
      </c>
      <c r="B20" s="695"/>
      <c r="C20" s="695"/>
      <c r="D20" s="695"/>
      <c r="E20" s="695"/>
      <c r="F20" s="695"/>
      <c r="G20" s="685">
        <f ca="1">'Symulacja Pożyczka'!B20</f>
        <v>14557.600724632557</v>
      </c>
      <c r="H20" s="685"/>
    </row>
    <row r="21" spans="1:12" ht="15" customHeight="1" x14ac:dyDescent="0.35">
      <c r="A21" s="694" t="s">
        <v>504</v>
      </c>
      <c r="B21" s="695"/>
      <c r="C21" s="695"/>
      <c r="D21" s="695"/>
      <c r="E21" s="695"/>
      <c r="F21" s="695"/>
      <c r="G21" s="685">
        <f ca="1">'Symulacja Pożyczka'!B21</f>
        <v>17916.766450754702</v>
      </c>
      <c r="H21" s="685"/>
      <c r="I21" s="505"/>
      <c r="J21" s="505"/>
    </row>
    <row r="22" spans="1:12" ht="15.75" customHeight="1" x14ac:dyDescent="0.35">
      <c r="A22" s="75"/>
      <c r="B22" s="75"/>
      <c r="C22" s="75"/>
      <c r="D22" s="75"/>
      <c r="E22" s="75"/>
      <c r="F22" s="75"/>
      <c r="G22" s="75"/>
      <c r="J22" s="40"/>
      <c r="K22" s="40"/>
    </row>
    <row r="23" spans="1:12" x14ac:dyDescent="0.35">
      <c r="A23" s="670" t="s">
        <v>145</v>
      </c>
      <c r="B23" s="670"/>
      <c r="C23" s="670"/>
      <c r="D23" s="670"/>
      <c r="E23" s="670"/>
      <c r="F23" s="670"/>
      <c r="G23" s="670"/>
      <c r="H23" s="670"/>
      <c r="I23" s="670"/>
      <c r="J23" s="505"/>
      <c r="K23" s="505"/>
      <c r="L23" s="506" t="s">
        <v>423</v>
      </c>
    </row>
    <row r="24" spans="1:12" ht="15" thickBot="1" x14ac:dyDescent="0.4">
      <c r="A24" s="668" t="s">
        <v>138</v>
      </c>
      <c r="B24" s="669"/>
      <c r="C24" s="507"/>
      <c r="D24" s="507">
        <f ca="1">SUM(C28:D207)</f>
        <v>434299.30468076759</v>
      </c>
      <c r="E24" s="507"/>
      <c r="F24" s="507">
        <f ca="1">SUM(E28:F207)</f>
        <v>1664299.3046807682</v>
      </c>
      <c r="G24" s="78"/>
      <c r="H24" s="82">
        <f>SUM(H28:H207)</f>
        <v>0</v>
      </c>
      <c r="I24" s="517">
        <f ca="1">IF(L25="BGK",SUM(I27:I207),"")</f>
        <v>15514.837199718129</v>
      </c>
      <c r="L24" s="506" t="str">
        <f>'Dane do harmonogramu'!C6</f>
        <v>Pożyczka z BGK</v>
      </c>
    </row>
    <row r="25" spans="1:12" ht="15" thickTop="1" x14ac:dyDescent="0.35">
      <c r="A25" s="508" t="s">
        <v>6</v>
      </c>
      <c r="B25" s="79" t="s">
        <v>20</v>
      </c>
      <c r="C25" s="509"/>
      <c r="D25" s="79" t="s">
        <v>19</v>
      </c>
      <c r="E25" s="509"/>
      <c r="F25" s="79" t="s">
        <v>18</v>
      </c>
      <c r="G25" s="79" t="s">
        <v>21</v>
      </c>
      <c r="H25" s="79" t="s">
        <v>144</v>
      </c>
      <c r="I25" s="683" t="str">
        <f>IF(L25="BGK","Prowizja na rzecz BGK","")</f>
        <v>Prowizja na rzecz BGK</v>
      </c>
      <c r="L25" t="str">
        <f>IF((L24=L23),"BGK","-")</f>
        <v>BGK</v>
      </c>
    </row>
    <row r="26" spans="1:12" x14ac:dyDescent="0.35">
      <c r="A26" s="510"/>
      <c r="B26" s="511"/>
      <c r="C26" s="512"/>
      <c r="D26" s="512"/>
      <c r="E26" s="512"/>
      <c r="F26" s="512"/>
      <c r="G26" s="80">
        <f>'Symulacja Pożyczka'!B3</f>
        <v>1230000</v>
      </c>
      <c r="H26" s="84" t="str">
        <f>IF(F11="tak","","Nie dotyczy")</f>
        <v>Nie dotyczy</v>
      </c>
      <c r="I26" s="684"/>
    </row>
    <row r="27" spans="1:12" ht="15.65" customHeight="1" x14ac:dyDescent="0.35">
      <c r="A27" s="657" t="s">
        <v>490</v>
      </c>
      <c r="B27" s="658"/>
      <c r="C27" s="658"/>
      <c r="D27" s="658"/>
      <c r="E27" s="658"/>
      <c r="F27" s="658"/>
      <c r="G27" s="658"/>
      <c r="H27" s="659"/>
      <c r="I27" s="518">
        <f>IFERROR(IF($L$25="BGK",G26*60%*0.5%,""),"")</f>
        <v>3690</v>
      </c>
      <c r="J27" s="539" t="s">
        <v>131</v>
      </c>
    </row>
    <row r="28" spans="1:12" x14ac:dyDescent="0.35">
      <c r="A28" s="513">
        <f>IF('Harmonogram Pożyczka'!L28&lt;='Symulacja Pożyczka'!$B$4,'Harmonogram Pożyczka'!L28,"")</f>
        <v>1</v>
      </c>
      <c r="B28" s="81">
        <f ca="1">IF(A28&lt;='Symulacja Pożyczka'!$B$4,E28-C28,"")</f>
        <v>10634.092379189091</v>
      </c>
      <c r="C28" s="660">
        <f ca="1">IF(A28&lt;='Symulacja Pożyczka'!$B$4,VLOOKUP(A28,Arkusz1!$A$1:$O$182,15,0),"")</f>
        <v>3235.0684931506403</v>
      </c>
      <c r="D28" s="661"/>
      <c r="E28" s="660">
        <f ca="1">IF(A28&lt;='Symulacja Pożyczka'!$B$4,'Symulacja Pożyczka'!$B$14,"")</f>
        <v>13869.160872339731</v>
      </c>
      <c r="F28" s="661"/>
      <c r="G28" s="81">
        <f ca="1">IF(A28&lt;='Symulacja Pożyczka'!$B$4,G26-B28,"")</f>
        <v>1219365.9076208109</v>
      </c>
      <c r="H28" s="83" t="str">
        <f>IF($F$11="TAK",IF(A28&lt;=$F$7,G26*0.12%,""),"")</f>
        <v/>
      </c>
      <c r="I28" s="518"/>
      <c r="L28">
        <v>1</v>
      </c>
    </row>
    <row r="29" spans="1:12" x14ac:dyDescent="0.35">
      <c r="A29" s="513">
        <f>IF('Harmonogram Pożyczka'!L29&lt;='Symulacja Pożyczka'!$B$4,'Harmonogram Pożyczka'!L29,"")</f>
        <v>2</v>
      </c>
      <c r="B29" s="81">
        <f ca="1">IF(A29&lt;='Symulacja Pożyczka'!$B$4,E29-C29,"")</f>
        <v>7241.1555005048813</v>
      </c>
      <c r="C29" s="660">
        <f ca="1">IF(A29&lt;='Symulacja Pożyczka'!$B$4,VLOOKUP(A29,Arkusz1!$A$1:$O$182,15,0),"")</f>
        <v>6628.0053718348499</v>
      </c>
      <c r="D29" s="661"/>
      <c r="E29" s="660">
        <f ca="1">IF(A29&lt;='Symulacja Pożyczka'!$B$4,'Symulacja Pożyczka'!$B$14,"")</f>
        <v>13869.160872339731</v>
      </c>
      <c r="F29" s="661"/>
      <c r="G29" s="81">
        <f ca="1">IF(A29&lt;='Symulacja Pożyczka'!$B$4,G28-B29,"")</f>
        <v>1212124.752120306</v>
      </c>
      <c r="H29" s="83" t="str">
        <f t="shared" ref="H29:H92" si="0">IF($F$11="TAK",IF(A29&lt;=$F$7,G28*0.12%,""),"")</f>
        <v/>
      </c>
      <c r="I29" s="518"/>
      <c r="L29">
        <v>2</v>
      </c>
    </row>
    <row r="30" spans="1:12" x14ac:dyDescent="0.35">
      <c r="A30" s="513">
        <f>IF('Harmonogram Pożyczka'!L30&lt;='Symulacja Pożyczka'!$B$4,'Harmonogram Pożyczka'!L30,"")</f>
        <v>3</v>
      </c>
      <c r="B30" s="81">
        <f ca="1">IF(A30&lt;='Symulacja Pożyczka'!$B$4,E30-C30,"")</f>
        <v>7493.0525872139206</v>
      </c>
      <c r="C30" s="660">
        <f ca="1">IF(A30&lt;='Symulacja Pożyczka'!$B$4,VLOOKUP(A30,Arkusz1!$A$1:$O$182,15,0),"")</f>
        <v>6376.1082851258107</v>
      </c>
      <c r="D30" s="661"/>
      <c r="E30" s="660">
        <f ca="1">IF(A30&lt;='Symulacja Pożyczka'!$B$4,'Symulacja Pożyczka'!$B$14,"")</f>
        <v>13869.160872339731</v>
      </c>
      <c r="F30" s="661"/>
      <c r="G30" s="81">
        <f ca="1">IF(A30&lt;='Symulacja Pożyczka'!$B$4,G29-B30,"")</f>
        <v>1204631.6995330921</v>
      </c>
      <c r="H30" s="83" t="str">
        <f t="shared" si="0"/>
        <v/>
      </c>
      <c r="I30" s="518"/>
      <c r="L30">
        <v>3</v>
      </c>
    </row>
    <row r="31" spans="1:12" x14ac:dyDescent="0.35">
      <c r="A31" s="513">
        <f>IF('Harmonogram Pożyczka'!L31&lt;='Symulacja Pożyczka'!$B$4,'Harmonogram Pożyczka'!L31,"")</f>
        <v>4</v>
      </c>
      <c r="B31" s="81">
        <f ca="1">IF(A31&lt;='Symulacja Pożyczka'!$B$4,E31-C31,"")</f>
        <v>7321.2450041926877</v>
      </c>
      <c r="C31" s="660">
        <f ca="1">IF(A31&lt;='Symulacja Pożyczka'!$B$4,VLOOKUP(A31,Arkusz1!$A$1:$O$182,15,0),"")</f>
        <v>6547.9158681470435</v>
      </c>
      <c r="D31" s="661"/>
      <c r="E31" s="660">
        <f ca="1">IF(A31&lt;='Symulacja Pożyczka'!$B$4,'Symulacja Pożyczka'!$B$14,"")</f>
        <v>13869.160872339731</v>
      </c>
      <c r="F31" s="661"/>
      <c r="G31" s="81">
        <f ca="1">IF(A31&lt;='Symulacja Pożyczka'!$B$4,G30-B31,"")</f>
        <v>1197310.4545288994</v>
      </c>
      <c r="H31" s="83" t="str">
        <f t="shared" si="0"/>
        <v/>
      </c>
      <c r="I31" s="518"/>
      <c r="L31">
        <v>4</v>
      </c>
    </row>
    <row r="32" spans="1:12" x14ac:dyDescent="0.35">
      <c r="A32" s="513">
        <f>IF('Harmonogram Pożyczka'!L32&lt;='Symulacja Pożyczka'!$B$4,'Harmonogram Pożyczka'!L32,"")</f>
        <v>5</v>
      </c>
      <c r="B32" s="81">
        <f ca="1">IF(A32&lt;='Symulacja Pożyczka'!$B$4,E32-C32,"")</f>
        <v>7570.979851256352</v>
      </c>
      <c r="C32" s="660">
        <f ca="1">IF(A32&lt;='Symulacja Pożyczka'!$B$4,VLOOKUP(A32,Arkusz1!$A$1:$O$182,15,0),"")</f>
        <v>6298.1810210833792</v>
      </c>
      <c r="D32" s="661"/>
      <c r="E32" s="660">
        <f ca="1">IF(A32&lt;='Symulacja Pożyczka'!$B$4,'Symulacja Pożyczka'!$B$14,"")</f>
        <v>13869.160872339731</v>
      </c>
      <c r="F32" s="661"/>
      <c r="G32" s="81">
        <f ca="1">IF(A32&lt;='Symulacja Pożyczka'!$B$4,G31-B32,"")</f>
        <v>1189739.474677643</v>
      </c>
      <c r="H32" s="83" t="str">
        <f t="shared" si="0"/>
        <v/>
      </c>
      <c r="I32" s="518"/>
      <c r="L32">
        <v>5</v>
      </c>
    </row>
    <row r="33" spans="1:12" x14ac:dyDescent="0.35">
      <c r="A33" s="513">
        <f>IF('Harmonogram Pożyczka'!L33&lt;='Symulacja Pożyczka'!$B$4,'Harmonogram Pożyczka'!L33,"")</f>
        <v>6</v>
      </c>
      <c r="B33" s="81">
        <f ca="1">IF(A33&lt;='Symulacja Pożyczka'!$B$4,E33-C33,"")</f>
        <v>7402.1934264206739</v>
      </c>
      <c r="C33" s="660">
        <f ca="1">IF(A33&lt;='Symulacja Pożyczka'!$B$4,VLOOKUP(A33,Arkusz1!$A$1:$O$182,15,0),"")</f>
        <v>6466.9674459190574</v>
      </c>
      <c r="D33" s="661"/>
      <c r="E33" s="660">
        <f ca="1">IF(A33&lt;='Symulacja Pożyczka'!$B$4,'Symulacja Pożyczka'!$B$14,"")</f>
        <v>13869.160872339731</v>
      </c>
      <c r="F33" s="661"/>
      <c r="G33" s="81">
        <f ca="1">IF(A33&lt;='Symulacja Pożyczka'!$B$4,G32-B33,"")</f>
        <v>1182337.2812512224</v>
      </c>
      <c r="H33" s="83" t="str">
        <f t="shared" si="0"/>
        <v/>
      </c>
      <c r="I33" s="518"/>
      <c r="L33">
        <v>6</v>
      </c>
    </row>
    <row r="34" spans="1:12" x14ac:dyDescent="0.35">
      <c r="A34" s="513">
        <f>IF('Harmonogram Pożyczka'!L34&lt;='Symulacja Pożyczka'!$B$4,'Harmonogram Pożyczka'!L34,"")</f>
        <v>7</v>
      </c>
      <c r="B34" s="81">
        <f ca="1">IF(A34&lt;='Symulacja Pożyczka'!$B$4,E34-C34,"")</f>
        <v>7442.4289106891902</v>
      </c>
      <c r="C34" s="660">
        <f ca="1">IF(A34&lt;='Symulacja Pożyczka'!$B$4,VLOOKUP(A34,Arkusz1!$A$1:$O$182,15,0),"")</f>
        <v>6426.7319616505411</v>
      </c>
      <c r="D34" s="661"/>
      <c r="E34" s="660">
        <f ca="1">IF(A34&lt;='Symulacja Pożyczka'!$B$4,'Symulacja Pożyczka'!$B$14,"")</f>
        <v>13869.160872339731</v>
      </c>
      <c r="F34" s="661"/>
      <c r="G34" s="81">
        <f ca="1">IF(A34&lt;='Symulacja Pożyczka'!$B$4,G33-B34,"")</f>
        <v>1174894.8523405332</v>
      </c>
      <c r="H34" s="83" t="str">
        <f t="shared" si="0"/>
        <v/>
      </c>
      <c r="I34" s="518"/>
      <c r="L34">
        <v>7</v>
      </c>
    </row>
    <row r="35" spans="1:12" x14ac:dyDescent="0.35">
      <c r="A35" s="513">
        <f>IF('Harmonogram Pożyczka'!L35&lt;='Symulacja Pożyczka'!$B$4,'Harmonogram Pożyczka'!L35,"")</f>
        <v>8</v>
      </c>
      <c r="B35" s="81">
        <f ca="1">IF(A35&lt;='Symulacja Pożyczka'!$B$4,E35-C35,"")</f>
        <v>7688.892060027918</v>
      </c>
      <c r="C35" s="660">
        <f ca="1">IF(A35&lt;='Symulacja Pożyczka'!$B$4,VLOOKUP(A35,Arkusz1!$A$1:$O$182,15,0),"")</f>
        <v>6180.2688123118132</v>
      </c>
      <c r="D35" s="661"/>
      <c r="E35" s="660">
        <f ca="1">IF(A35&lt;='Symulacja Pożyczka'!$B$4,'Symulacja Pożyczka'!$B$14,"")</f>
        <v>13869.160872339731</v>
      </c>
      <c r="F35" s="661"/>
      <c r="G35" s="81">
        <f ca="1">IF(A35&lt;='Symulacja Pożyczka'!$B$4,G34-B35,"")</f>
        <v>1167205.9602805052</v>
      </c>
      <c r="H35" s="83" t="str">
        <f t="shared" si="0"/>
        <v/>
      </c>
      <c r="I35" s="518"/>
      <c r="L35">
        <v>8</v>
      </c>
    </row>
    <row r="36" spans="1:12" x14ac:dyDescent="0.35">
      <c r="A36" s="513">
        <f>IF('Harmonogram Pożyczka'!L36&lt;='Symulacja Pożyczka'!$B$4,'Harmonogram Pożyczka'!L36,"")</f>
        <v>9</v>
      </c>
      <c r="B36" s="81">
        <f ca="1">IF(A36&lt;='Symulacja Pożyczka'!$B$4,E36-C36,"")</f>
        <v>7524.6769676916247</v>
      </c>
      <c r="C36" s="660">
        <f ca="1">IF(A36&lt;='Symulacja Pożyczka'!$B$4,VLOOKUP(A36,Arkusz1!$A$1:$O$182,15,0),"")</f>
        <v>6344.4839046481065</v>
      </c>
      <c r="D36" s="661"/>
      <c r="E36" s="660">
        <f ca="1">IF(A36&lt;='Symulacja Pożyczka'!$B$4,'Symulacja Pożyczka'!$B$14,"")</f>
        <v>13869.160872339731</v>
      </c>
      <c r="F36" s="661"/>
      <c r="G36" s="81">
        <f ca="1">IF(A36&lt;='Symulacja Pożyczka'!$B$4,G35-B36,"")</f>
        <v>1159681.2833128136</v>
      </c>
      <c r="H36" s="83" t="str">
        <f t="shared" si="0"/>
        <v/>
      </c>
      <c r="I36" s="518"/>
      <c r="L36">
        <v>9</v>
      </c>
    </row>
    <row r="37" spans="1:12" x14ac:dyDescent="0.35">
      <c r="A37" s="513">
        <f>IF('Harmonogram Pożyczka'!L37&lt;='Symulacja Pożyczka'!$B$4,'Harmonogram Pożyczka'!L37,"")</f>
        <v>10</v>
      </c>
      <c r="B37" s="81">
        <f ca="1">IF(A37&lt;='Symulacja Pożyczka'!$B$4,E37-C37,"")</f>
        <v>7768.9196012148113</v>
      </c>
      <c r="C37" s="660">
        <f ca="1">IF(A37&lt;='Symulacja Pożyczka'!$B$4,VLOOKUP(A37,Arkusz1!$A$1:$O$182,15,0),"")</f>
        <v>6100.2412711249199</v>
      </c>
      <c r="D37" s="661"/>
      <c r="E37" s="660">
        <f ca="1">IF(A37&lt;='Symulacja Pożyczka'!$B$4,'Symulacja Pożyczka'!$B$14,"")</f>
        <v>13869.160872339731</v>
      </c>
      <c r="F37" s="661"/>
      <c r="G37" s="81">
        <f ca="1">IF(A37&lt;='Symulacja Pożyczka'!$B$4,G36-B37,"")</f>
        <v>1151912.3637115988</v>
      </c>
      <c r="H37" s="83" t="str">
        <f t="shared" si="0"/>
        <v/>
      </c>
      <c r="I37" s="518"/>
      <c r="L37">
        <v>10</v>
      </c>
    </row>
    <row r="38" spans="1:12" x14ac:dyDescent="0.35">
      <c r="A38" s="513">
        <f>IF('Harmonogram Pożyczka'!L38&lt;='Symulacja Pożyczka'!$B$4,'Harmonogram Pożyczka'!L38,"")</f>
        <v>11</v>
      </c>
      <c r="B38" s="81">
        <f ca="1">IF(A38&lt;='Symulacja Pożyczka'!$B$4,E38-C38,"")</f>
        <v>7607.8070926032906</v>
      </c>
      <c r="C38" s="660">
        <f ca="1">IF(A38&lt;='Symulacja Pożyczka'!$B$4,VLOOKUP(A38,Arkusz1!$A$1:$O$182,15,0),"")</f>
        <v>6261.3537797364406</v>
      </c>
      <c r="D38" s="661"/>
      <c r="E38" s="660">
        <f ca="1">IF(A38&lt;='Symulacja Pożyczka'!$B$4,'Symulacja Pożyczka'!$B$14,"")</f>
        <v>13869.160872339731</v>
      </c>
      <c r="F38" s="661"/>
      <c r="G38" s="81">
        <f ca="1">IF(A38&lt;='Symulacja Pożyczka'!$B$4,G37-B38,"")</f>
        <v>1144304.5566189955</v>
      </c>
      <c r="H38" s="83" t="str">
        <f t="shared" si="0"/>
        <v/>
      </c>
      <c r="I38" s="518"/>
      <c r="L38">
        <v>11</v>
      </c>
    </row>
    <row r="39" spans="1:12" x14ac:dyDescent="0.35">
      <c r="A39" s="513">
        <f>IF('Harmonogram Pożyczka'!L39&lt;='Symulacja Pożyczka'!$B$4,'Harmonogram Pożyczka'!L39,"")</f>
        <v>12</v>
      </c>
      <c r="B39" s="81">
        <f ca="1">IF(A39&lt;='Symulacja Pożyczka'!$B$4,E39-C39,"")</f>
        <v>7649.1602138956023</v>
      </c>
      <c r="C39" s="660">
        <f ca="1">IF(A39&lt;='Symulacja Pożyczka'!$B$4,VLOOKUP(A39,Arkusz1!$A$1:$O$182,15,0),"")</f>
        <v>6220.0006584441289</v>
      </c>
      <c r="D39" s="661"/>
      <c r="E39" s="660">
        <f ca="1">IF(A39&lt;='Symulacja Pożyczka'!$B$4,'Symulacja Pożyczka'!$B$14,"")</f>
        <v>13869.160872339731</v>
      </c>
      <c r="F39" s="661"/>
      <c r="G39" s="81">
        <f ca="1">IF(A39&lt;='Symulacja Pożyczka'!$B$4,G38-B39,"")</f>
        <v>1136655.3964050999</v>
      </c>
      <c r="H39" s="83" t="str">
        <f t="shared" si="0"/>
        <v/>
      </c>
      <c r="I39" s="518">
        <f ca="1">IFERROR(IF($L$25="BGK",G39*60%*0.5%,""),"")</f>
        <v>3409.9661892152999</v>
      </c>
      <c r="L39">
        <v>12</v>
      </c>
    </row>
    <row r="40" spans="1:12" x14ac:dyDescent="0.35">
      <c r="A40" s="513">
        <f>IF('Harmonogram Pożyczka'!L40&lt;='Symulacja Pożyczka'!$B$4,'Harmonogram Pożyczka'!L40,"")</f>
        <v>13</v>
      </c>
      <c r="B40" s="81">
        <f ca="1">IF(A40&lt;='Symulacja Pożyczka'!$B$4,E40-C40,"")</f>
        <v>8288.6499946466593</v>
      </c>
      <c r="C40" s="660">
        <f ca="1">IF(A40&lt;='Symulacja Pożyczka'!$B$4,VLOOKUP(A40,Arkusz1!$A$1:$O$182,15,0),"")</f>
        <v>5580.510877693072</v>
      </c>
      <c r="D40" s="661"/>
      <c r="E40" s="660">
        <f ca="1">IF(A40&lt;='Symulacja Pożyczka'!$B$4,'Symulacja Pożyczka'!$B$14,"")</f>
        <v>13869.160872339731</v>
      </c>
      <c r="F40" s="661"/>
      <c r="G40" s="81">
        <f ca="1">IF(A40&lt;='Symulacja Pożyczka'!$B$4,G39-B40,"")</f>
        <v>1128366.7464104532</v>
      </c>
      <c r="H40" s="83" t="str">
        <f t="shared" si="0"/>
        <v/>
      </c>
      <c r="I40" s="518"/>
      <c r="L40">
        <v>13</v>
      </c>
    </row>
    <row r="41" spans="1:12" x14ac:dyDescent="0.35">
      <c r="A41" s="513">
        <f>IF('Harmonogram Pożyczka'!L41&lt;='Symulacja Pożyczka'!$B$4,'Harmonogram Pożyczka'!L41,"")</f>
        <v>14</v>
      </c>
      <c r="B41" s="81">
        <f ca="1">IF(A41&lt;='Symulacja Pożyczka'!$B$4,E41-C41,"")</f>
        <v>7735.7920370565207</v>
      </c>
      <c r="C41" s="660">
        <f ca="1">IF(A41&lt;='Symulacja Pożyczka'!$B$4,VLOOKUP(A41,Arkusz1!$A$1:$O$182,15,0),"")</f>
        <v>6133.3688352832105</v>
      </c>
      <c r="D41" s="661"/>
      <c r="E41" s="660">
        <f ca="1">IF(A41&lt;='Symulacja Pożyczka'!$B$4,'Symulacja Pożyczka'!$B$14,"")</f>
        <v>13869.160872339731</v>
      </c>
      <c r="F41" s="661"/>
      <c r="G41" s="81">
        <f ca="1">IF(A41&lt;='Symulacja Pożyczka'!$B$4,G40-B41,"")</f>
        <v>1120630.9543733967</v>
      </c>
      <c r="H41" s="83" t="str">
        <f t="shared" si="0"/>
        <v/>
      </c>
      <c r="I41" s="518"/>
      <c r="L41">
        <v>14</v>
      </c>
    </row>
    <row r="42" spans="1:12" x14ac:dyDescent="0.35">
      <c r="A42" s="513">
        <f>IF('Harmonogram Pożyczka'!L42&lt;='Symulacja Pożyczka'!$B$4,'Harmonogram Pożyczka'!L42,"")</f>
        <v>15</v>
      </c>
      <c r="B42" s="81">
        <f ca="1">IF(A42&lt;='Symulacja Pożyczka'!$B$4,E42-C42,"")</f>
        <v>7974.3350301564151</v>
      </c>
      <c r="C42" s="660">
        <f ca="1">IF(A42&lt;='Symulacja Pożyczka'!$B$4,VLOOKUP(A42,Arkusz1!$A$1:$O$182,15,0),"")</f>
        <v>5894.8258421833161</v>
      </c>
      <c r="D42" s="661"/>
      <c r="E42" s="660">
        <f ca="1">IF(A42&lt;='Symulacja Pożyczka'!$B$4,'Symulacja Pożyczka'!$B$14,"")</f>
        <v>13869.160872339731</v>
      </c>
      <c r="F42" s="661"/>
      <c r="G42" s="81">
        <f ca="1">IF(A42&lt;='Symulacja Pożyczka'!$B$4,G41-B42,"")</f>
        <v>1112656.6193432403</v>
      </c>
      <c r="H42" s="83" t="str">
        <f t="shared" si="0"/>
        <v/>
      </c>
      <c r="I42" s="518"/>
      <c r="L42">
        <v>15</v>
      </c>
    </row>
    <row r="43" spans="1:12" x14ac:dyDescent="0.35">
      <c r="A43" s="513">
        <f>IF('Harmonogram Pożyczka'!L43&lt;='Symulacja Pożyczka'!$B$4,'Harmonogram Pożyczka'!L43,"")</f>
        <v>16</v>
      </c>
      <c r="B43" s="81">
        <f ca="1">IF(A43&lt;='Symulacja Pożyczka'!$B$4,E43-C43,"")</f>
        <v>7821.186261991732</v>
      </c>
      <c r="C43" s="660">
        <f ca="1">IF(A43&lt;='Symulacja Pożyczka'!$B$4,VLOOKUP(A43,Arkusz1!$A$1:$O$182,15,0),"")</f>
        <v>6047.9746103479993</v>
      </c>
      <c r="D43" s="661"/>
      <c r="E43" s="660">
        <f ca="1">IF(A43&lt;='Symulacja Pożyczka'!$B$4,'Symulacja Pożyczka'!$B$14,"")</f>
        <v>13869.160872339731</v>
      </c>
      <c r="F43" s="661"/>
      <c r="G43" s="81">
        <f ca="1">IF(A43&lt;='Symulacja Pożyczka'!$B$4,G42-B43,"")</f>
        <v>1104835.4330812485</v>
      </c>
      <c r="H43" s="83" t="str">
        <f t="shared" si="0"/>
        <v/>
      </c>
      <c r="I43" s="518"/>
      <c r="L43">
        <v>16</v>
      </c>
    </row>
    <row r="44" spans="1:12" x14ac:dyDescent="0.35">
      <c r="A44" s="513">
        <f>IF('Harmonogram Pożyczka'!L44&lt;='Symulacja Pożyczka'!$B$4,'Harmonogram Pożyczka'!L44,"")</f>
        <v>17</v>
      </c>
      <c r="B44" s="81">
        <f ca="1">IF(A44&lt;='Symulacja Pożyczka'!$B$4,E44-C44,"")</f>
        <v>8057.4237996933462</v>
      </c>
      <c r="C44" s="660">
        <f ca="1">IF(A44&lt;='Symulacja Pożyczka'!$B$4,VLOOKUP(A44,Arkusz1!$A$1:$O$182,15,0),"")</f>
        <v>5811.7370726463851</v>
      </c>
      <c r="D44" s="661"/>
      <c r="E44" s="660">
        <f ca="1">IF(A44&lt;='Symulacja Pożyczka'!$B$4,'Symulacja Pożyczka'!$B$14,"")</f>
        <v>13869.160872339731</v>
      </c>
      <c r="F44" s="661"/>
      <c r="G44" s="81">
        <f ca="1">IF(A44&lt;='Symulacja Pożyczka'!$B$4,G43-B44,"")</f>
        <v>1096778.0092815552</v>
      </c>
      <c r="H44" s="83" t="str">
        <f t="shared" si="0"/>
        <v/>
      </c>
      <c r="I44" s="518"/>
      <c r="L44">
        <v>17</v>
      </c>
    </row>
    <row r="45" spans="1:12" x14ac:dyDescent="0.35">
      <c r="A45" s="513">
        <f>IF('Harmonogram Pożyczka'!L45&lt;='Symulacja Pożyczka'!$B$4,'Harmonogram Pożyczka'!L45,"")</f>
        <v>18</v>
      </c>
      <c r="B45" s="81">
        <f ca="1">IF(A45&lt;='Symulacja Pożyczka'!$B$4,E45-C45,"")</f>
        <v>7907.4962958611959</v>
      </c>
      <c r="C45" s="660">
        <f ca="1">IF(A45&lt;='Symulacja Pożyczka'!$B$4,VLOOKUP(A45,Arkusz1!$A$1:$O$182,15,0),"")</f>
        <v>5961.6645764785353</v>
      </c>
      <c r="D45" s="661"/>
      <c r="E45" s="660">
        <f ca="1">IF(A45&lt;='Symulacja Pożyczka'!$B$4,'Symulacja Pożyczka'!$B$14,"")</f>
        <v>13869.160872339731</v>
      </c>
      <c r="F45" s="661"/>
      <c r="G45" s="81">
        <f ca="1">IF(A45&lt;='Symulacja Pożyczka'!$B$4,G44-B45,"")</f>
        <v>1088870.512985694</v>
      </c>
      <c r="H45" s="83" t="str">
        <f t="shared" si="0"/>
        <v/>
      </c>
      <c r="I45" s="518"/>
      <c r="L45">
        <v>18</v>
      </c>
    </row>
    <row r="46" spans="1:12" x14ac:dyDescent="0.35">
      <c r="A46" s="513">
        <f>IF('Harmonogram Pożyczka'!L46&lt;='Symulacja Pożyczka'!$B$4,'Harmonogram Pożyczka'!L46,"")</f>
        <v>19</v>
      </c>
      <c r="B46" s="81">
        <f ca="1">IF(A46&lt;='Symulacja Pożyczka'!$B$4,E46-C46,"")</f>
        <v>7950.4784127133844</v>
      </c>
      <c r="C46" s="660">
        <f ca="1">IF(A46&lt;='Symulacja Pożyczka'!$B$4,VLOOKUP(A46,Arkusz1!$A$1:$O$182,15,0),"")</f>
        <v>5918.6824596263468</v>
      </c>
      <c r="D46" s="661"/>
      <c r="E46" s="660">
        <f ca="1">IF(A46&lt;='Symulacja Pożyczka'!$B$4,'Symulacja Pożyczka'!$B$14,"")</f>
        <v>13869.160872339731</v>
      </c>
      <c r="F46" s="661"/>
      <c r="G46" s="81">
        <f ca="1">IF(A46&lt;='Symulacja Pożyczka'!$B$4,G45-B46,"")</f>
        <v>1080920.0345729806</v>
      </c>
      <c r="H46" s="83" t="str">
        <f t="shared" si="0"/>
        <v/>
      </c>
      <c r="I46" s="518"/>
      <c r="L46">
        <v>19</v>
      </c>
    </row>
    <row r="47" spans="1:12" x14ac:dyDescent="0.35">
      <c r="A47" s="513">
        <f>IF('Harmonogram Pożyczka'!L47&lt;='Symulacja Pożyczka'!$B$4,'Harmonogram Pożyczka'!L47,"")</f>
        <v>20</v>
      </c>
      <c r="B47" s="81">
        <f ca="1">IF(A47&lt;='Symulacja Pożyczka'!$B$4,E47-C47,"")</f>
        <v>8183.2253480106538</v>
      </c>
      <c r="C47" s="660">
        <f ca="1">IF(A47&lt;='Symulacja Pożyczka'!$B$4,VLOOKUP(A47,Arkusz1!$A$1:$O$182,15,0),"")</f>
        <v>5685.9355243290775</v>
      </c>
      <c r="D47" s="661"/>
      <c r="E47" s="660">
        <f ca="1">IF(A47&lt;='Symulacja Pożyczka'!$B$4,'Symulacja Pożyczka'!$B$14,"")</f>
        <v>13869.160872339731</v>
      </c>
      <c r="F47" s="661"/>
      <c r="G47" s="81">
        <f ca="1">IF(A47&lt;='Symulacja Pożyczka'!$B$4,G46-B47,"")</f>
        <v>1072736.8092249699</v>
      </c>
      <c r="H47" s="83" t="str">
        <f t="shared" si="0"/>
        <v/>
      </c>
      <c r="I47" s="518"/>
      <c r="L47">
        <v>20</v>
      </c>
    </row>
    <row r="48" spans="1:12" x14ac:dyDescent="0.35">
      <c r="A48" s="513">
        <f>IF('Harmonogram Pożyczka'!L48&lt;='Symulacja Pożyczka'!$B$4,'Harmonogram Pożyczka'!L48,"")</f>
        <v>21</v>
      </c>
      <c r="B48" s="81">
        <f ca="1">IF(A48&lt;='Symulacja Pożyczka'!$B$4,E48-C48,"")</f>
        <v>8038.1750380867106</v>
      </c>
      <c r="C48" s="660">
        <f ca="1">IF(A48&lt;='Symulacja Pożyczka'!$B$4,VLOOKUP(A48,Arkusz1!$A$1:$O$182,15,0),"")</f>
        <v>5830.9858342530206</v>
      </c>
      <c r="D48" s="661"/>
      <c r="E48" s="660">
        <f ca="1">IF(A48&lt;='Symulacja Pożyczka'!$B$4,'Symulacja Pożyczka'!$B$14,"")</f>
        <v>13869.160872339731</v>
      </c>
      <c r="F48" s="661"/>
      <c r="G48" s="81">
        <f ca="1">IF(A48&lt;='Symulacja Pożyczka'!$B$4,G47-B48,"")</f>
        <v>1064698.6341868832</v>
      </c>
      <c r="H48" s="83" t="str">
        <f t="shared" si="0"/>
        <v/>
      </c>
      <c r="I48" s="518"/>
      <c r="L48">
        <v>21</v>
      </c>
    </row>
    <row r="49" spans="1:12" x14ac:dyDescent="0.35">
      <c r="A49" s="513">
        <f>IF('Harmonogram Pożyczka'!L49&lt;='Symulacja Pożyczka'!$B$4,'Harmonogram Pożyczka'!L49,"")</f>
        <v>22</v>
      </c>
      <c r="B49" s="81">
        <f ca="1">IF(A49&lt;='Symulacja Pożyczka'!$B$4,E49-C49,"")</f>
        <v>8268.5543582609334</v>
      </c>
      <c r="C49" s="660">
        <f ca="1">IF(A49&lt;='Symulacja Pożyczka'!$B$4,VLOOKUP(A49,Arkusz1!$A$1:$O$182,15,0),"")</f>
        <v>5600.6065140787978</v>
      </c>
      <c r="D49" s="661"/>
      <c r="E49" s="660">
        <f ca="1">IF(A49&lt;='Symulacja Pożyczka'!$B$4,'Symulacja Pożyczka'!$B$14,"")</f>
        <v>13869.160872339731</v>
      </c>
      <c r="F49" s="661"/>
      <c r="G49" s="81">
        <f ca="1">IF(A49&lt;='Symulacja Pożyczka'!$B$4,G48-B49,"")</f>
        <v>1056430.0798286223</v>
      </c>
      <c r="H49" s="83" t="str">
        <f t="shared" si="0"/>
        <v/>
      </c>
      <c r="I49" s="518"/>
      <c r="L49">
        <v>22</v>
      </c>
    </row>
    <row r="50" spans="1:12" x14ac:dyDescent="0.35">
      <c r="A50" s="513">
        <f>IF('Harmonogram Pożyczka'!L50&lt;='Symulacja Pożyczka'!$B$4,'Harmonogram Pożyczka'!L50,"")</f>
        <v>23</v>
      </c>
      <c r="B50" s="81">
        <f ca="1">IF(A50&lt;='Symulacja Pożyczka'!$B$4,E50-C50,"")</f>
        <v>8135.4160713797846</v>
      </c>
      <c r="C50" s="660">
        <f ca="1">IF(A50&lt;='Symulacja Pożyczka'!$B$4,VLOOKUP(A50,Arkusz1!$A$1:$O$182,15,0),"")</f>
        <v>5733.7448009599466</v>
      </c>
      <c r="D50" s="661"/>
      <c r="E50" s="660">
        <f ca="1">IF(A50&lt;='Symulacja Pożyczka'!$B$4,'Symulacja Pożyczka'!$B$14,"")</f>
        <v>13869.160872339731</v>
      </c>
      <c r="F50" s="661"/>
      <c r="G50" s="81">
        <f ca="1">IF(A50&lt;='Symulacja Pożyczka'!$B$4,G49-B50,"")</f>
        <v>1048294.6637572425</v>
      </c>
      <c r="H50" s="83" t="str">
        <f t="shared" si="0"/>
        <v/>
      </c>
      <c r="I50" s="518"/>
      <c r="L50">
        <v>23</v>
      </c>
    </row>
    <row r="51" spans="1:12" x14ac:dyDescent="0.35">
      <c r="A51" s="513">
        <f>IF('Harmonogram Pożyczka'!L51&lt;='Symulacja Pożyczka'!$B$4,'Harmonogram Pożyczka'!L51,"")</f>
        <v>24</v>
      </c>
      <c r="B51" s="81">
        <f ca="1">IF(A51&lt;='Symulacja Pożyczka'!$B$4,E51-C51,"")</f>
        <v>8186.6018207159304</v>
      </c>
      <c r="C51" s="660">
        <f ca="1">IF(A51&lt;='Symulacja Pożyczka'!$B$4,VLOOKUP(A51,Arkusz1!$A$1:$O$182,15,0),"")</f>
        <v>5682.5590516238008</v>
      </c>
      <c r="D51" s="661"/>
      <c r="E51" s="660">
        <f ca="1">IF(A51&lt;='Symulacja Pożyczka'!$B$4,'Symulacja Pożyczka'!$B$14,"")</f>
        <v>13869.160872339731</v>
      </c>
      <c r="F51" s="661"/>
      <c r="G51" s="81">
        <f ca="1">IF(A51&lt;='Symulacja Pożyczka'!$B$4,G50-B51,"")</f>
        <v>1040108.0619365266</v>
      </c>
      <c r="H51" s="83" t="str">
        <f t="shared" si="0"/>
        <v/>
      </c>
      <c r="I51" s="518">
        <f ca="1">IFERROR(IF($L$25="BGK",G51*60%*0.5%,""),"")</f>
        <v>3120.3241858095798</v>
      </c>
      <c r="L51">
        <v>24</v>
      </c>
    </row>
    <row r="52" spans="1:12" x14ac:dyDescent="0.35">
      <c r="A52" s="513">
        <f>IF('Harmonogram Pożyczka'!L52&lt;='Symulacja Pożyczka'!$B$4,'Harmonogram Pożyczka'!L52,"")</f>
        <v>25</v>
      </c>
      <c r="B52" s="81">
        <f ca="1">IF(A52&lt;='Symulacja Pożyczka'!$B$4,E52-C52,"")</f>
        <v>8594.7331047053394</v>
      </c>
      <c r="C52" s="660">
        <f ca="1">IF(A52&lt;='Symulacja Pożyczka'!$B$4,VLOOKUP(A52,Arkusz1!$A$1:$O$182,15,0),"")</f>
        <v>5274.4277676343918</v>
      </c>
      <c r="D52" s="661"/>
      <c r="E52" s="660">
        <f ca="1">IF(A52&lt;='Symulacja Pożyczka'!$B$4,'Symulacja Pożyczka'!$B$14,"")</f>
        <v>13869.160872339731</v>
      </c>
      <c r="F52" s="661"/>
      <c r="G52" s="81">
        <f ca="1">IF(A52&lt;='Symulacja Pożyczka'!$B$4,G51-B52,"")</f>
        <v>1031513.3288318212</v>
      </c>
      <c r="H52" s="83" t="str">
        <f t="shared" si="0"/>
        <v/>
      </c>
      <c r="I52" s="518"/>
      <c r="L52">
        <v>25</v>
      </c>
    </row>
    <row r="53" spans="1:12" x14ac:dyDescent="0.35">
      <c r="A53" s="513">
        <f>IF('Harmonogram Pożyczka'!L53&lt;='Symulacja Pożyczka'!$B$4,'Harmonogram Pożyczka'!L53,"")</f>
        <v>26</v>
      </c>
      <c r="B53" s="81">
        <f ca="1">IF(A53&lt;='Symulacja Pożyczka'!$B$4,E53-C53,"")</f>
        <v>8277.5694941913189</v>
      </c>
      <c r="C53" s="660">
        <f ca="1">IF(A53&lt;='Symulacja Pożyczka'!$B$4,VLOOKUP(A53,Arkusz1!$A$1:$O$182,15,0),"")</f>
        <v>5591.5913781484123</v>
      </c>
      <c r="D53" s="661"/>
      <c r="E53" s="660">
        <f ca="1">IF(A53&lt;='Symulacja Pożyczka'!$B$4,'Symulacja Pożyczka'!$B$14,"")</f>
        <v>13869.160872339731</v>
      </c>
      <c r="F53" s="661"/>
      <c r="G53" s="81">
        <f ca="1">IF(A53&lt;='Symulacja Pożyczka'!$B$4,G52-B53,"")</f>
        <v>1023235.7593376299</v>
      </c>
      <c r="H53" s="83" t="str">
        <f t="shared" si="0"/>
        <v/>
      </c>
      <c r="I53" s="518"/>
      <c r="L53">
        <v>26</v>
      </c>
    </row>
    <row r="54" spans="1:12" x14ac:dyDescent="0.35">
      <c r="A54" s="513">
        <f>IF('Harmonogram Pożyczka'!L54&lt;='Symulacja Pożyczka'!$B$4,'Harmonogram Pożyczka'!L54,"")</f>
        <v>27</v>
      </c>
      <c r="B54" s="81">
        <f ca="1">IF(A54&lt;='Symulacja Pożyczka'!$B$4,E54-C54,"")</f>
        <v>8501.366724994843</v>
      </c>
      <c r="C54" s="660">
        <f ca="1">IF(A54&lt;='Symulacja Pożyczka'!$B$4,VLOOKUP(A54,Arkusz1!$A$1:$O$182,15,0),"")</f>
        <v>5367.7941473448882</v>
      </c>
      <c r="D54" s="661"/>
      <c r="E54" s="660">
        <f ca="1">IF(A54&lt;='Symulacja Pożyczka'!$B$4,'Symulacja Pożyczka'!$B$14,"")</f>
        <v>13869.160872339731</v>
      </c>
      <c r="F54" s="661"/>
      <c r="G54" s="81">
        <f ca="1">IF(A54&lt;='Symulacja Pożyczka'!$B$4,G53-B54,"")</f>
        <v>1014734.392612635</v>
      </c>
      <c r="H54" s="83" t="str">
        <f t="shared" si="0"/>
        <v/>
      </c>
      <c r="I54" s="518"/>
      <c r="L54">
        <v>27</v>
      </c>
    </row>
    <row r="55" spans="1:12" x14ac:dyDescent="0.35">
      <c r="A55" s="513">
        <f>IF('Harmonogram Pożyczka'!L55&lt;='Symulacja Pożyczka'!$B$4,'Harmonogram Pożyczka'!L55,"")</f>
        <v>28</v>
      </c>
      <c r="B55" s="81">
        <f ca="1">IF(A55&lt;='Symulacja Pożyczka'!$B$4,E55-C55,"")</f>
        <v>8368.5241648439496</v>
      </c>
      <c r="C55" s="660">
        <f ca="1">IF(A55&lt;='Symulacja Pożyczka'!$B$4,VLOOKUP(A55,Arkusz1!$A$1:$O$182,15,0),"")</f>
        <v>5500.6367074957816</v>
      </c>
      <c r="D55" s="661"/>
      <c r="E55" s="660">
        <f ca="1">IF(A55&lt;='Symulacja Pożyczka'!$B$4,'Symulacja Pożyczka'!$B$14,"")</f>
        <v>13869.160872339731</v>
      </c>
      <c r="F55" s="661"/>
      <c r="G55" s="81">
        <f ca="1">IF(A55&lt;='Symulacja Pożyczka'!$B$4,G54-B55,"")</f>
        <v>1006365.8684477911</v>
      </c>
      <c r="H55" s="83" t="str">
        <f t="shared" si="0"/>
        <v/>
      </c>
      <c r="I55" s="518"/>
      <c r="L55">
        <v>28</v>
      </c>
    </row>
    <row r="56" spans="1:12" x14ac:dyDescent="0.35">
      <c r="A56" s="513">
        <f>IF('Harmonogram Pożyczka'!L56&lt;='Symulacja Pożyczka'!$B$4,'Harmonogram Pożyczka'!L56,"")</f>
        <v>29</v>
      </c>
      <c r="B56" s="81">
        <f ca="1">IF(A56&lt;='Symulacja Pożyczka'!$B$4,E56-C56,"")</f>
        <v>8589.8645132693873</v>
      </c>
      <c r="C56" s="660">
        <f ca="1">IF(A56&lt;='Symulacja Pożyczka'!$B$4,VLOOKUP(A56,Arkusz1!$A$1:$O$182,15,0),"")</f>
        <v>5279.2963590703439</v>
      </c>
      <c r="D56" s="661"/>
      <c r="E56" s="660">
        <f ca="1">IF(A56&lt;='Symulacja Pożyczka'!$B$4,'Symulacja Pożyczka'!$B$14,"")</f>
        <v>13869.160872339731</v>
      </c>
      <c r="F56" s="661"/>
      <c r="G56" s="81">
        <f ca="1">IF(A56&lt;='Symulacja Pożyczka'!$B$4,G55-B56,"")</f>
        <v>997776.00393452169</v>
      </c>
      <c r="H56" s="83" t="str">
        <f t="shared" si="0"/>
        <v/>
      </c>
      <c r="I56" s="518"/>
      <c r="L56">
        <v>29</v>
      </c>
    </row>
    <row r="57" spans="1:12" x14ac:dyDescent="0.35">
      <c r="A57" s="513">
        <f>IF('Harmonogram Pożyczka'!L57&lt;='Symulacja Pożyczka'!$B$4,'Harmonogram Pożyczka'!L57,"")</f>
        <v>30</v>
      </c>
      <c r="B57" s="81">
        <f ca="1">IF(A57&lt;='Symulacja Pożyczka'!$B$4,E57-C57,"")</f>
        <v>8460.4516051100745</v>
      </c>
      <c r="C57" s="660">
        <f ca="1">IF(A57&lt;='Symulacja Pożyczka'!$B$4,VLOOKUP(A57,Arkusz1!$A$1:$O$182,15,0),"")</f>
        <v>5408.7092672296567</v>
      </c>
      <c r="D57" s="661"/>
      <c r="E57" s="660">
        <f ca="1">IF(A57&lt;='Symulacja Pożyczka'!$B$4,'Symulacja Pożyczka'!$B$14,"")</f>
        <v>13869.160872339731</v>
      </c>
      <c r="F57" s="661"/>
      <c r="G57" s="81">
        <f ca="1">IF(A57&lt;='Symulacja Pożyczka'!$B$4,G56-B57,"")</f>
        <v>989315.55232941161</v>
      </c>
      <c r="H57" s="83" t="str">
        <f t="shared" si="0"/>
        <v/>
      </c>
      <c r="I57" s="518"/>
      <c r="L57">
        <v>30</v>
      </c>
    </row>
    <row r="58" spans="1:12" x14ac:dyDescent="0.35">
      <c r="A58" s="513">
        <f>IF('Harmonogram Pożyczka'!L58&lt;='Symulacja Pożyczka'!$B$4,'Harmonogram Pożyczka'!L58,"")</f>
        <v>31</v>
      </c>
      <c r="B58" s="81">
        <f ca="1">IF(A58&lt;='Symulacja Pożyczka'!$B$4,E58-C58,"")</f>
        <v>8506.3137252863908</v>
      </c>
      <c r="C58" s="660">
        <f ca="1">IF(A58&lt;='Symulacja Pożyczka'!$B$4,VLOOKUP(A58,Arkusz1!$A$1:$O$182,15,0),"")</f>
        <v>5362.8471470533404</v>
      </c>
      <c r="D58" s="661"/>
      <c r="E58" s="660">
        <f ca="1">IF(A58&lt;='Symulacja Pożyczka'!$B$4,'Symulacja Pożyczka'!$B$14,"")</f>
        <v>13869.160872339731</v>
      </c>
      <c r="F58" s="661"/>
      <c r="G58" s="81">
        <f ca="1">IF(A58&lt;='Symulacja Pożyczka'!$B$4,G57-B58,"")</f>
        <v>980809.23860412522</v>
      </c>
      <c r="H58" s="83" t="str">
        <f t="shared" si="0"/>
        <v/>
      </c>
      <c r="I58" s="518"/>
      <c r="L58">
        <v>31</v>
      </c>
    </row>
    <row r="59" spans="1:12" x14ac:dyDescent="0.35">
      <c r="A59" s="513">
        <f>IF('Harmonogram Pożyczka'!L59&lt;='Symulacja Pożyczka'!$B$4,'Harmonogram Pożyczka'!L59,"")</f>
        <v>32</v>
      </c>
      <c r="B59" s="81">
        <f ca="1">IF(A59&lt;='Symulacja Pożyczka'!$B$4,E59-C59,"")</f>
        <v>8723.9320796623306</v>
      </c>
      <c r="C59" s="660">
        <f ca="1">IF(A59&lt;='Symulacja Pożyczka'!$B$4,VLOOKUP(A59,Arkusz1!$A$1:$O$182,15,0),"")</f>
        <v>5145.2287926774006</v>
      </c>
      <c r="D59" s="661"/>
      <c r="E59" s="660">
        <f ca="1">IF(A59&lt;='Symulacja Pożyczka'!$B$4,'Symulacja Pożyczka'!$B$14,"")</f>
        <v>13869.160872339731</v>
      </c>
      <c r="F59" s="661"/>
      <c r="G59" s="81">
        <f ca="1">IF(A59&lt;='Symulacja Pożyczka'!$B$4,G58-B59,"")</f>
        <v>972085.30652446288</v>
      </c>
      <c r="H59" s="83" t="str">
        <f t="shared" si="0"/>
        <v/>
      </c>
      <c r="I59" s="518"/>
      <c r="L59">
        <v>32</v>
      </c>
    </row>
    <row r="60" spans="1:12" x14ac:dyDescent="0.35">
      <c r="A60" s="513">
        <f>IF('Harmonogram Pożyczka'!L60&lt;='Symulacja Pożyczka'!$B$4,'Harmonogram Pożyczka'!L60,"")</f>
        <v>33</v>
      </c>
      <c r="B60" s="81">
        <f ca="1">IF(A60&lt;='Symulacja Pożyczka'!$B$4,E60-C60,"")</f>
        <v>8599.7148391579922</v>
      </c>
      <c r="C60" s="660">
        <f ca="1">IF(A60&lt;='Symulacja Pożyczka'!$B$4,VLOOKUP(A60,Arkusz1!$A$1:$O$182,15,0),"")</f>
        <v>5269.446033181739</v>
      </c>
      <c r="D60" s="661"/>
      <c r="E60" s="660">
        <f ca="1">IF(A60&lt;='Symulacja Pożyczka'!$B$4,'Symulacja Pożyczka'!$B$14,"")</f>
        <v>13869.160872339731</v>
      </c>
      <c r="F60" s="661"/>
      <c r="G60" s="81">
        <f ca="1">IF(A60&lt;='Symulacja Pożyczka'!$B$4,G59-B60,"")</f>
        <v>963485.59168530488</v>
      </c>
      <c r="H60" s="83" t="str">
        <f t="shared" si="0"/>
        <v/>
      </c>
      <c r="I60" s="518"/>
      <c r="L60">
        <v>33</v>
      </c>
    </row>
    <row r="61" spans="1:12" x14ac:dyDescent="0.35">
      <c r="A61" s="513">
        <f>IF('Harmonogram Pożyczka'!L61&lt;='Symulacja Pożyczka'!$B$4,'Harmonogram Pożyczka'!L61,"")</f>
        <v>34</v>
      </c>
      <c r="B61" s="81">
        <f ca="1">IF(A61&lt;='Symulacja Pożyczka'!$B$4,E61-C61,"")</f>
        <v>8814.8102274332141</v>
      </c>
      <c r="C61" s="660">
        <f ca="1">IF(A61&lt;='Symulacja Pożyczka'!$B$4,VLOOKUP(A61,Arkusz1!$A$1:$O$182,15,0),"")</f>
        <v>5054.3506449065171</v>
      </c>
      <c r="D61" s="661"/>
      <c r="E61" s="660">
        <f ca="1">IF(A61&lt;='Symulacja Pożyczka'!$B$4,'Symulacja Pożyczka'!$B$14,"")</f>
        <v>13869.160872339731</v>
      </c>
      <c r="F61" s="661"/>
      <c r="G61" s="81">
        <f ca="1">IF(A61&lt;='Symulacja Pożyczka'!$B$4,G60-B61,"")</f>
        <v>954670.78145787166</v>
      </c>
      <c r="H61" s="83" t="str">
        <f t="shared" si="0"/>
        <v/>
      </c>
      <c r="I61" s="518"/>
      <c r="L61">
        <v>34</v>
      </c>
    </row>
    <row r="62" spans="1:12" x14ac:dyDescent="0.35">
      <c r="A62" s="513">
        <f>IF('Harmonogram Pożyczka'!L62&lt;='Symulacja Pożyczka'!$B$4,'Harmonogram Pożyczka'!L62,"")</f>
        <v>35</v>
      </c>
      <c r="B62" s="81">
        <f ca="1">IF(A62&lt;='Symulacja Pożyczka'!$B$4,E62-C62,"")</f>
        <v>8686.3397411865826</v>
      </c>
      <c r="C62" s="660">
        <f ca="1">IF(A62&lt;='Symulacja Pożyczka'!$B$4,VLOOKUP(A62,Arkusz1!$A$1:$O$182,15,0),"")</f>
        <v>5182.8211311531486</v>
      </c>
      <c r="D62" s="661"/>
      <c r="E62" s="660">
        <f ca="1">IF(A62&lt;='Symulacja Pożyczka'!$B$4,'Symulacja Pożyczka'!$B$14,"")</f>
        <v>13869.160872339731</v>
      </c>
      <c r="F62" s="661"/>
      <c r="G62" s="81">
        <f ca="1">IF(A62&lt;='Symulacja Pożyczka'!$B$4,G61-B62,"")</f>
        <v>945984.44171668508</v>
      </c>
      <c r="H62" s="83" t="str">
        <f t="shared" si="0"/>
        <v/>
      </c>
      <c r="I62" s="518"/>
      <c r="L62">
        <v>35</v>
      </c>
    </row>
    <row r="63" spans="1:12" x14ac:dyDescent="0.35">
      <c r="A63" s="513">
        <f>IF('Harmonogram Pożyczka'!L63&lt;='Symulacja Pożyczka'!$B$4,'Harmonogram Pożyczka'!L63,"")</f>
        <v>36</v>
      </c>
      <c r="B63" s="81">
        <f ca="1">IF(A63&lt;='Symulacja Pożyczka'!$B$4,E63-C63,"")</f>
        <v>8727.1522905152469</v>
      </c>
      <c r="C63" s="660">
        <f ca="1">IF(A63&lt;='Symulacja Pożyczka'!$B$4,VLOOKUP(A63,Arkusz1!$A$1:$O$182,15,0),"")</f>
        <v>5142.0085818244843</v>
      </c>
      <c r="D63" s="661"/>
      <c r="E63" s="660">
        <f ca="1">IF(A63&lt;='Symulacja Pożyczka'!$B$4,'Symulacja Pożyczka'!$B$14,"")</f>
        <v>13869.160872339731</v>
      </c>
      <c r="F63" s="661"/>
      <c r="G63" s="81">
        <f ca="1">IF(A63&lt;='Symulacja Pożyczka'!$B$4,G62-B63,"")</f>
        <v>937257.28942616982</v>
      </c>
      <c r="H63" s="83" t="str">
        <f t="shared" si="0"/>
        <v/>
      </c>
      <c r="I63" s="518">
        <f ca="1">IFERROR(IF($L$25="BGK",G63*60%*0.5%,""),"")</f>
        <v>2811.7718682785094</v>
      </c>
      <c r="L63">
        <v>36</v>
      </c>
    </row>
    <row r="64" spans="1:12" x14ac:dyDescent="0.35">
      <c r="A64" s="513">
        <f>IF('Harmonogram Pożyczka'!L64&lt;='Symulacja Pożyczka'!$B$4,'Harmonogram Pożyczka'!L64,"")</f>
        <v>37</v>
      </c>
      <c r="B64" s="81">
        <f ca="1">IF(A64&lt;='Symulacja Pożyczka'!$B$4,E64-C64,"")</f>
        <v>9267.6127554856885</v>
      </c>
      <c r="C64" s="660">
        <f ca="1">IF(A64&lt;='Symulacja Pożyczka'!$B$4,VLOOKUP(A64,Arkusz1!$A$1:$O$182,15,0),"")</f>
        <v>4601.5481168540427</v>
      </c>
      <c r="D64" s="661"/>
      <c r="E64" s="660">
        <f ca="1">IF(A64&lt;='Symulacja Pożyczka'!$B$4,'Symulacja Pożyczka'!$B$14,"")</f>
        <v>13869.160872339731</v>
      </c>
      <c r="F64" s="661"/>
      <c r="G64" s="81">
        <f ca="1">IF(A64&lt;='Symulacja Pożyczka'!$B$4,G63-B64,"")</f>
        <v>927989.67667068413</v>
      </c>
      <c r="H64" s="83" t="str">
        <f t="shared" si="0"/>
        <v/>
      </c>
      <c r="I64" s="518"/>
      <c r="L64">
        <v>37</v>
      </c>
    </row>
    <row r="65" spans="1:12" x14ac:dyDescent="0.35">
      <c r="A65" s="513">
        <f>IF('Harmonogram Pożyczka'!L65&lt;='Symulacja Pożyczka'!$B$4,'Harmonogram Pożyczka'!L65,"")</f>
        <v>38</v>
      </c>
      <c r="B65" s="81">
        <f ca="1">IF(A65&lt;='Symulacja Pożyczka'!$B$4,E65-C65,"")</f>
        <v>8824.9649312037454</v>
      </c>
      <c r="C65" s="660">
        <f ca="1">IF(A65&lt;='Symulacja Pożyczka'!$B$4,VLOOKUP(A65,Arkusz1!$A$1:$O$182,15,0),"")</f>
        <v>5044.1959411359858</v>
      </c>
      <c r="D65" s="661"/>
      <c r="E65" s="660">
        <f ca="1">IF(A65&lt;='Symulacja Pożyczka'!$B$4,'Symulacja Pożyczka'!$B$14,"")</f>
        <v>13869.160872339731</v>
      </c>
      <c r="F65" s="661"/>
      <c r="G65" s="81">
        <f ca="1">IF(A65&lt;='Symulacja Pożyczka'!$B$4,G64-B65,"")</f>
        <v>919164.71173948038</v>
      </c>
      <c r="H65" s="83" t="str">
        <f t="shared" si="0"/>
        <v/>
      </c>
      <c r="I65" s="518"/>
      <c r="L65">
        <v>38</v>
      </c>
    </row>
    <row r="66" spans="1:12" x14ac:dyDescent="0.35">
      <c r="A66" s="513">
        <f>IF('Harmonogram Pożyczka'!L66&lt;='Symulacja Pożyczka'!$B$4,'Harmonogram Pożyczka'!L66,"")</f>
        <v>39</v>
      </c>
      <c r="B66" s="81">
        <f ca="1">IF(A66&lt;='Symulacja Pożyczka'!$B$4,E66-C66,"")</f>
        <v>9034.1026626417824</v>
      </c>
      <c r="C66" s="660">
        <f ca="1">IF(A66&lt;='Symulacja Pożyczka'!$B$4,VLOOKUP(A66,Arkusz1!$A$1:$O$182,15,0),"")</f>
        <v>4835.0582096979488</v>
      </c>
      <c r="D66" s="661"/>
      <c r="E66" s="660">
        <f ca="1">IF(A66&lt;='Symulacja Pożyczka'!$B$4,'Symulacja Pożyczka'!$B$14,"")</f>
        <v>13869.160872339731</v>
      </c>
      <c r="F66" s="661"/>
      <c r="G66" s="81">
        <f ca="1">IF(A66&lt;='Symulacja Pożyczka'!$B$4,G65-B66,"")</f>
        <v>910130.60907683859</v>
      </c>
      <c r="H66" s="83" t="str">
        <f t="shared" si="0"/>
        <v/>
      </c>
      <c r="I66" s="518"/>
      <c r="L66">
        <v>39</v>
      </c>
    </row>
    <row r="67" spans="1:12" x14ac:dyDescent="0.35">
      <c r="A67" s="513">
        <f>IF('Harmonogram Pożyczka'!L67&lt;='Symulacja Pożyczka'!$B$4,'Harmonogram Pożyczka'!L67,"")</f>
        <v>40</v>
      </c>
      <c r="B67" s="81">
        <f ca="1">IF(A67&lt;='Symulacja Pożyczka'!$B$4,E67-C67,"")</f>
        <v>8922.0399725905099</v>
      </c>
      <c r="C67" s="660">
        <f ca="1">IF(A67&lt;='Symulacja Pożyczka'!$B$4,VLOOKUP(A67,Arkusz1!$A$1:$O$182,15,0),"")</f>
        <v>4947.1208997492213</v>
      </c>
      <c r="D67" s="661"/>
      <c r="E67" s="660">
        <f ca="1">IF(A67&lt;='Symulacja Pożyczka'!$B$4,'Symulacja Pożyczka'!$B$14,"")</f>
        <v>13869.160872339731</v>
      </c>
      <c r="F67" s="661"/>
      <c r="G67" s="81">
        <f ca="1">IF(A67&lt;='Symulacja Pożyczka'!$B$4,G66-B67,"")</f>
        <v>901208.56910424808</v>
      </c>
      <c r="H67" s="83" t="str">
        <f t="shared" si="0"/>
        <v/>
      </c>
      <c r="I67" s="518"/>
      <c r="L67">
        <v>40</v>
      </c>
    </row>
    <row r="68" spans="1:12" x14ac:dyDescent="0.35">
      <c r="A68" s="513">
        <f>IF('Harmonogram Pożyczka'!L68&lt;='Symulacja Pożyczka'!$B$4,'Harmonogram Pożyczka'!L68,"")</f>
        <v>41</v>
      </c>
      <c r="B68" s="81">
        <f ca="1">IF(A68&lt;='Symulacja Pożyczka'!$B$4,E68-C68,"")</f>
        <v>9128.5568923941992</v>
      </c>
      <c r="C68" s="660">
        <f ca="1">IF(A68&lt;='Symulacja Pożyczka'!$B$4,VLOOKUP(A68,Arkusz1!$A$1:$O$182,15,0),"")</f>
        <v>4740.603979945532</v>
      </c>
      <c r="D68" s="661"/>
      <c r="E68" s="660">
        <f ca="1">IF(A68&lt;='Symulacja Pożyczka'!$B$4,'Symulacja Pożyczka'!$B$14,"")</f>
        <v>13869.160872339731</v>
      </c>
      <c r="F68" s="661"/>
      <c r="G68" s="81">
        <f ca="1">IF(A68&lt;='Symulacja Pożyczka'!$B$4,G67-B68,"")</f>
        <v>892080.01221185387</v>
      </c>
      <c r="H68" s="83" t="str">
        <f t="shared" si="0"/>
        <v/>
      </c>
      <c r="I68" s="518"/>
      <c r="L68">
        <v>41</v>
      </c>
    </row>
    <row r="69" spans="1:12" x14ac:dyDescent="0.35">
      <c r="A69" s="513">
        <f>IF('Harmonogram Pożyczka'!L69&lt;='Symulacja Pożyczka'!$B$4,'Harmonogram Pożyczka'!L69,"")</f>
        <v>42</v>
      </c>
      <c r="B69" s="81">
        <f ca="1">IF(A69&lt;='Symulacja Pożyczka'!$B$4,E69-C69,"")</f>
        <v>9020.156093631982</v>
      </c>
      <c r="C69" s="660">
        <f ca="1">IF(A69&lt;='Symulacja Pożyczka'!$B$4,VLOOKUP(A69,Arkusz1!$A$1:$O$182,15,0),"")</f>
        <v>4849.0047787077492</v>
      </c>
      <c r="D69" s="661"/>
      <c r="E69" s="660">
        <f ca="1">IF(A69&lt;='Symulacja Pożyczka'!$B$4,'Symulacja Pożyczka'!$B$14,"")</f>
        <v>13869.160872339731</v>
      </c>
      <c r="F69" s="661"/>
      <c r="G69" s="81">
        <f ca="1">IF(A69&lt;='Symulacja Pożyczka'!$B$4,G68-B69,"")</f>
        <v>883059.85611822188</v>
      </c>
      <c r="H69" s="83" t="str">
        <f t="shared" si="0"/>
        <v/>
      </c>
      <c r="I69" s="518"/>
      <c r="L69">
        <v>42</v>
      </c>
    </row>
    <row r="70" spans="1:12" x14ac:dyDescent="0.35">
      <c r="A70" s="513">
        <f>IF('Harmonogram Pożyczka'!L70&lt;='Symulacja Pożyczka'!$B$4,'Harmonogram Pożyczka'!L70,"")</f>
        <v>43</v>
      </c>
      <c r="B70" s="81">
        <f ca="1">IF(A70&lt;='Symulacja Pożyczka'!$B$4,E70-C70,"")</f>
        <v>9069.1862023710219</v>
      </c>
      <c r="C70" s="660">
        <f ca="1">IF(A70&lt;='Symulacja Pożyczka'!$B$4,VLOOKUP(A70,Arkusz1!$A$1:$O$182,15,0),"")</f>
        <v>4799.9746699687093</v>
      </c>
      <c r="D70" s="661"/>
      <c r="E70" s="660">
        <f ca="1">IF(A70&lt;='Symulacja Pożyczka'!$B$4,'Symulacja Pożyczka'!$B$14,"")</f>
        <v>13869.160872339731</v>
      </c>
      <c r="F70" s="661"/>
      <c r="G70" s="81">
        <f ca="1">IF(A70&lt;='Symulacja Pożyczka'!$B$4,G69-B70,"")</f>
        <v>873990.66991585086</v>
      </c>
      <c r="H70" s="83" t="str">
        <f t="shared" si="0"/>
        <v/>
      </c>
      <c r="I70" s="518"/>
      <c r="L70">
        <v>43</v>
      </c>
    </row>
    <row r="71" spans="1:12" x14ac:dyDescent="0.35">
      <c r="A71" s="513">
        <f>IF('Harmonogram Pożyczka'!L71&lt;='Symulacja Pożyczka'!$B$4,'Harmonogram Pożyczka'!L71,"")</f>
        <v>44</v>
      </c>
      <c r="B71" s="81">
        <f ca="1">IF(A71&lt;='Symulacja Pożyczka'!$B$4,E71-C71,"")</f>
        <v>9271.7304990838693</v>
      </c>
      <c r="C71" s="660">
        <f ca="1">IF(A71&lt;='Symulacja Pożyczka'!$B$4,VLOOKUP(A71,Arkusz1!$A$1:$O$182,15,0),"")</f>
        <v>4597.4303732558619</v>
      </c>
      <c r="D71" s="661"/>
      <c r="E71" s="660">
        <f ca="1">IF(A71&lt;='Symulacja Pożyczka'!$B$4,'Symulacja Pożyczka'!$B$14,"")</f>
        <v>13869.160872339731</v>
      </c>
      <c r="F71" s="661"/>
      <c r="G71" s="81">
        <f ca="1">IF(A71&lt;='Symulacja Pożyczka'!$B$4,G70-B71,"")</f>
        <v>864718.93941676698</v>
      </c>
      <c r="H71" s="83" t="str">
        <f t="shared" si="0"/>
        <v/>
      </c>
      <c r="I71" s="518"/>
      <c r="L71">
        <v>44</v>
      </c>
    </row>
    <row r="72" spans="1:12" x14ac:dyDescent="0.35">
      <c r="A72" s="513">
        <f>IF('Harmonogram Pożyczka'!L72&lt;='Symulacja Pożyczka'!$B$4,'Harmonogram Pożyczka'!L72,"")</f>
        <v>45</v>
      </c>
      <c r="B72" s="81">
        <f ca="1">IF(A72&lt;='Symulacja Pożyczka'!$B$4,E72-C72,"")</f>
        <v>9168.8803906879566</v>
      </c>
      <c r="C72" s="660">
        <f ca="1">IF(A72&lt;='Symulacja Pożyczka'!$B$4,VLOOKUP(A72,Arkusz1!$A$1:$O$182,15,0),"")</f>
        <v>4700.2804816517746</v>
      </c>
      <c r="D72" s="661"/>
      <c r="E72" s="660">
        <f ca="1">IF(A72&lt;='Symulacja Pożyczka'!$B$4,'Symulacja Pożyczka'!$B$14,"")</f>
        <v>13869.160872339731</v>
      </c>
      <c r="F72" s="661"/>
      <c r="G72" s="81">
        <f ca="1">IF(A72&lt;='Symulacja Pożyczka'!$B$4,G71-B72,"")</f>
        <v>855550.05902607902</v>
      </c>
      <c r="H72" s="83" t="str">
        <f t="shared" si="0"/>
        <v/>
      </c>
      <c r="I72" s="518"/>
      <c r="L72">
        <v>45</v>
      </c>
    </row>
    <row r="73" spans="1:12" x14ac:dyDescent="0.35">
      <c r="A73" s="513">
        <f>IF('Harmonogram Pożyczka'!L73&lt;='Symulacja Pożyczka'!$B$4,'Harmonogram Pożyczka'!L73,"")</f>
        <v>46</v>
      </c>
      <c r="B73" s="81">
        <f ca="1">IF(A73&lt;='Symulacja Pożyczka'!$B$4,E73-C73,"")</f>
        <v>9368.7331645862378</v>
      </c>
      <c r="C73" s="660">
        <f ca="1">IF(A73&lt;='Symulacja Pożyczka'!$B$4,VLOOKUP(A73,Arkusz1!$A$1:$O$182,15,0),"")</f>
        <v>4500.4277077534935</v>
      </c>
      <c r="D73" s="661"/>
      <c r="E73" s="660">
        <f ca="1">IF(A73&lt;='Symulacja Pożyczka'!$B$4,'Symulacja Pożyczka'!$B$14,"")</f>
        <v>13869.160872339731</v>
      </c>
      <c r="F73" s="661"/>
      <c r="G73" s="81">
        <f ca="1">IF(A73&lt;='Symulacja Pożyczka'!$B$4,G72-B73,"")</f>
        <v>846181.32586149278</v>
      </c>
      <c r="H73" s="83" t="str">
        <f t="shared" si="0"/>
        <v/>
      </c>
      <c r="I73" s="518"/>
      <c r="L73">
        <v>46</v>
      </c>
    </row>
    <row r="74" spans="1:12" x14ac:dyDescent="0.35">
      <c r="A74" s="513">
        <f>IF('Harmonogram Pożyczka'!L74&lt;='Symulacja Pożyczka'!$B$4,'Harmonogram Pożyczka'!L74,"")</f>
        <v>47</v>
      </c>
      <c r="B74" s="81">
        <f ca="1">IF(A74&lt;='Symulacja Pożyczka'!$B$4,E74-C74,"")</f>
        <v>9269.6437476569499</v>
      </c>
      <c r="C74" s="660">
        <f ca="1">IF(A74&lt;='Symulacja Pożyczka'!$B$4,VLOOKUP(A74,Arkusz1!$A$1:$O$182,15,0),"")</f>
        <v>4599.5171246827813</v>
      </c>
      <c r="D74" s="661"/>
      <c r="E74" s="660">
        <f ca="1">IF(A74&lt;='Symulacja Pożyczka'!$B$4,'Symulacja Pożyczka'!$B$14,"")</f>
        <v>13869.160872339731</v>
      </c>
      <c r="F74" s="661"/>
      <c r="G74" s="81">
        <f ca="1">IF(A74&lt;='Symulacja Pożyczka'!$B$4,G73-B74,"")</f>
        <v>836911.68211383582</v>
      </c>
      <c r="H74" s="83" t="str">
        <f t="shared" si="0"/>
        <v/>
      </c>
      <c r="I74" s="518"/>
      <c r="L74">
        <v>47</v>
      </c>
    </row>
    <row r="75" spans="1:12" x14ac:dyDescent="0.35">
      <c r="A75" s="513">
        <f>IF('Harmonogram Pożyczka'!L75&lt;='Symulacja Pożyczka'!$B$4,'Harmonogram Pożyczka'!L75,"")</f>
        <v>48</v>
      </c>
      <c r="B75" s="81">
        <f ca="1">IF(A75&lt;='Symulacja Pożyczka'!$B$4,E75-C75,"")</f>
        <v>9320.0299755893593</v>
      </c>
      <c r="C75" s="660">
        <f ca="1">IF(A75&lt;='Symulacja Pożyczka'!$B$4,VLOOKUP(A75,Arkusz1!$A$1:$O$182,15,0),"")</f>
        <v>4549.1308967503719</v>
      </c>
      <c r="D75" s="661"/>
      <c r="E75" s="660">
        <f ca="1">IF(A75&lt;='Symulacja Pożyczka'!$B$4,'Symulacja Pożyczka'!$B$14,"")</f>
        <v>13869.160872339731</v>
      </c>
      <c r="F75" s="661"/>
      <c r="G75" s="81">
        <f ca="1">IF(A75&lt;='Symulacja Pożyczka'!$B$4,G74-B75,"")</f>
        <v>827591.65213824646</v>
      </c>
      <c r="H75" s="83" t="str">
        <f t="shared" si="0"/>
        <v/>
      </c>
      <c r="I75" s="518">
        <f ca="1">IFERROR(IF($L$25="BGK",G75*60%*0.5%,""),"")</f>
        <v>2482.7749564147393</v>
      </c>
      <c r="L75">
        <v>48</v>
      </c>
    </row>
    <row r="76" spans="1:12" x14ac:dyDescent="0.35">
      <c r="A76" s="513">
        <f>IF('Harmonogram Pożyczka'!L76&lt;='Symulacja Pożyczka'!$B$4,'Harmonogram Pożyczka'!L76,"")</f>
        <v>49</v>
      </c>
      <c r="B76" s="81">
        <f ca="1">IF(A76&lt;='Symulacja Pożyczka'!$B$4,E76-C76,"")</f>
        <v>9806.0259664993446</v>
      </c>
      <c r="C76" s="660">
        <f ca="1">IF(A76&lt;='Symulacja Pożyczka'!$B$4,VLOOKUP(A76,Arkusz1!$A$1:$O$182,15,0),"")</f>
        <v>4063.1349058403866</v>
      </c>
      <c r="D76" s="661"/>
      <c r="E76" s="660">
        <f ca="1">IF(A76&lt;='Symulacja Pożyczka'!$B$4,'Symulacja Pożyczka'!$B$14,"")</f>
        <v>13869.160872339731</v>
      </c>
      <c r="F76" s="661"/>
      <c r="G76" s="81">
        <f ca="1">IF(A76&lt;='Symulacja Pożyczka'!$B$4,G75-B76,"")</f>
        <v>817785.62617174711</v>
      </c>
      <c r="H76" s="83" t="str">
        <f t="shared" si="0"/>
        <v/>
      </c>
      <c r="I76" s="518"/>
      <c r="L76">
        <v>49</v>
      </c>
    </row>
    <row r="77" spans="1:12" x14ac:dyDescent="0.35">
      <c r="A77" s="513">
        <f>IF('Harmonogram Pożyczka'!L77&lt;='Symulacja Pożyczka'!$B$4,'Harmonogram Pożyczka'!L77,"")</f>
        <v>50</v>
      </c>
      <c r="B77" s="81">
        <f ca="1">IF(A77&lt;='Symulacja Pożyczka'!$B$4,E77-C77,"")</f>
        <v>9423.991879669129</v>
      </c>
      <c r="C77" s="660">
        <f ca="1">IF(A77&lt;='Symulacja Pożyczka'!$B$4,VLOOKUP(A77,Arkusz1!$A$1:$O$182,15,0),"")</f>
        <v>4445.1689926706022</v>
      </c>
      <c r="D77" s="661"/>
      <c r="E77" s="660">
        <f ca="1">IF(A77&lt;='Symulacja Pożyczka'!$B$4,'Symulacja Pożyczka'!$B$14,"")</f>
        <v>13869.160872339731</v>
      </c>
      <c r="F77" s="661"/>
      <c r="G77" s="81">
        <f ca="1">IF(A77&lt;='Symulacja Pożyczka'!$B$4,G76-B77,"")</f>
        <v>808361.63429207797</v>
      </c>
      <c r="H77" s="83" t="str">
        <f t="shared" si="0"/>
        <v/>
      </c>
      <c r="I77" s="518"/>
      <c r="L77">
        <v>50</v>
      </c>
    </row>
    <row r="78" spans="1:12" x14ac:dyDescent="0.35">
      <c r="A78" s="513">
        <f>IF('Harmonogram Pożyczka'!L78&lt;='Symulacja Pożyczka'!$B$4,'Harmonogram Pożyczka'!L78,"")</f>
        <v>51</v>
      </c>
      <c r="B78" s="81">
        <f ca="1">IF(A78&lt;='Symulacja Pożyczka'!$B$4,E78-C78,"")</f>
        <v>9616.9572070225786</v>
      </c>
      <c r="C78" s="660">
        <f ca="1">IF(A78&lt;='Symulacja Pożyczka'!$B$4,VLOOKUP(A78,Arkusz1!$A$1:$O$182,15,0),"")</f>
        <v>4252.2036653171526</v>
      </c>
      <c r="D78" s="661"/>
      <c r="E78" s="660">
        <f ca="1">IF(A78&lt;='Symulacja Pożyczka'!$B$4,'Symulacja Pożyczka'!$B$14,"")</f>
        <v>13869.160872339731</v>
      </c>
      <c r="F78" s="661"/>
      <c r="G78" s="81">
        <f ca="1">IF(A78&lt;='Symulacja Pożyczka'!$B$4,G77-B78,"")</f>
        <v>798744.67708505539</v>
      </c>
      <c r="H78" s="83" t="str">
        <f t="shared" si="0"/>
        <v/>
      </c>
      <c r="I78" s="518"/>
      <c r="L78">
        <v>51</v>
      </c>
    </row>
    <row r="79" spans="1:12" x14ac:dyDescent="0.35">
      <c r="A79" s="513">
        <f>IF('Harmonogram Pożyczka'!L79&lt;='Symulacja Pożyczka'!$B$4,'Harmonogram Pożyczka'!L79,"")</f>
        <v>52</v>
      </c>
      <c r="B79" s="81">
        <f ca="1">IF(A79&lt;='Symulacja Pożyczka'!$B$4,E79-C79,"")</f>
        <v>9527.4911755266312</v>
      </c>
      <c r="C79" s="660">
        <f ca="1">IF(A79&lt;='Symulacja Pożyczka'!$B$4,VLOOKUP(A79,Arkusz1!$A$1:$O$182,15,0),"")</f>
        <v>4341.6696968131</v>
      </c>
      <c r="D79" s="661"/>
      <c r="E79" s="660">
        <f ca="1">IF(A79&lt;='Symulacja Pożyczka'!$B$4,'Symulacja Pożyczka'!$B$14,"")</f>
        <v>13869.160872339731</v>
      </c>
      <c r="F79" s="661"/>
      <c r="G79" s="81">
        <f ca="1">IF(A79&lt;='Symulacja Pożyczka'!$B$4,G78-B79,"")</f>
        <v>789217.18590952875</v>
      </c>
      <c r="H79" s="83" t="str">
        <f t="shared" si="0"/>
        <v/>
      </c>
      <c r="I79" s="518"/>
      <c r="L79">
        <v>52</v>
      </c>
    </row>
    <row r="80" spans="1:12" x14ac:dyDescent="0.35">
      <c r="A80" s="513">
        <f>IF('Harmonogram Pożyczka'!L80&lt;='Symulacja Pożyczka'!$B$4,'Harmonogram Pożyczka'!L80,"")</f>
        <v>53</v>
      </c>
      <c r="B80" s="81">
        <f ca="1">IF(A80&lt;='Symulacja Pożyczka'!$B$4,E80-C80,"")</f>
        <v>9717.6622505690848</v>
      </c>
      <c r="C80" s="660">
        <f ca="1">IF(A80&lt;='Symulacja Pożyczka'!$B$4,VLOOKUP(A80,Arkusz1!$A$1:$O$182,15,0),"")</f>
        <v>4151.4986217706464</v>
      </c>
      <c r="D80" s="661"/>
      <c r="E80" s="660">
        <f ca="1">IF(A80&lt;='Symulacja Pożyczka'!$B$4,'Symulacja Pożyczka'!$B$14,"")</f>
        <v>13869.160872339731</v>
      </c>
      <c r="F80" s="661"/>
      <c r="G80" s="81">
        <f ca="1">IF(A80&lt;='Symulacja Pożyczka'!$B$4,G79-B80,"")</f>
        <v>779499.52365895966</v>
      </c>
      <c r="H80" s="83" t="str">
        <f t="shared" si="0"/>
        <v/>
      </c>
      <c r="I80" s="518"/>
      <c r="L80">
        <v>53</v>
      </c>
    </row>
    <row r="81" spans="1:12" x14ac:dyDescent="0.35">
      <c r="A81" s="513">
        <f>IF('Harmonogram Pożyczka'!L81&lt;='Symulacja Pożyczka'!$B$4,'Harmonogram Pożyczka'!L81,"")</f>
        <v>54</v>
      </c>
      <c r="B81" s="81">
        <f ca="1">IF(A81&lt;='Symulacja Pożyczka'!$B$4,E81-C81,"")</f>
        <v>9632.1004478482009</v>
      </c>
      <c r="C81" s="660">
        <f ca="1">IF(A81&lt;='Symulacja Pożyczka'!$B$4,VLOOKUP(A81,Arkusz1!$A$1:$O$182,15,0),"")</f>
        <v>4237.0604244915303</v>
      </c>
      <c r="D81" s="661"/>
      <c r="E81" s="660">
        <f ca="1">IF(A81&lt;='Symulacja Pożyczka'!$B$4,'Symulacja Pożyczka'!$B$14,"")</f>
        <v>13869.160872339731</v>
      </c>
      <c r="F81" s="661"/>
      <c r="G81" s="81">
        <f ca="1">IF(A81&lt;='Symulacja Pożyczka'!$B$4,G80-B81,"")</f>
        <v>769867.42321111145</v>
      </c>
      <c r="H81" s="83" t="str">
        <f t="shared" si="0"/>
        <v/>
      </c>
      <c r="I81" s="518"/>
      <c r="L81">
        <v>54</v>
      </c>
    </row>
    <row r="82" spans="1:12" x14ac:dyDescent="0.35">
      <c r="A82" s="513">
        <f>IF('Harmonogram Pożyczka'!L82&lt;='Symulacja Pożyczka'!$B$4,'Harmonogram Pożyczka'!L82,"")</f>
        <v>55</v>
      </c>
      <c r="B82" s="81">
        <f ca="1">IF(A82&lt;='Symulacja Pożyczka'!$B$4,E82-C82,"")</f>
        <v>9684.456851378427</v>
      </c>
      <c r="C82" s="660">
        <f ca="1">IF(A82&lt;='Symulacja Pożyczka'!$B$4,VLOOKUP(A82,Arkusz1!$A$1:$O$182,15,0),"")</f>
        <v>4184.7040209613042</v>
      </c>
      <c r="D82" s="661"/>
      <c r="E82" s="660">
        <f ca="1">IF(A82&lt;='Symulacja Pożyczka'!$B$4,'Symulacja Pożyczka'!$B$14,"")</f>
        <v>13869.160872339731</v>
      </c>
      <c r="F82" s="661"/>
      <c r="G82" s="81">
        <f ca="1">IF(A82&lt;='Symulacja Pożyczka'!$B$4,G81-B82,"")</f>
        <v>760182.96635973302</v>
      </c>
      <c r="H82" s="83" t="str">
        <f t="shared" si="0"/>
        <v/>
      </c>
      <c r="I82" s="518"/>
      <c r="L82">
        <v>55</v>
      </c>
    </row>
    <row r="83" spans="1:12" x14ac:dyDescent="0.35">
      <c r="A83" s="513">
        <f>IF('Harmonogram Pożyczka'!L83&lt;='Symulacja Pożyczka'!$B$4,'Harmonogram Pożyczka'!L83,"")</f>
        <v>56</v>
      </c>
      <c r="B83" s="81">
        <f ca="1">IF(A83&lt;='Symulacja Pożyczka'!$B$4,E83-C83,"")</f>
        <v>9870.3901999817408</v>
      </c>
      <c r="C83" s="660">
        <f ca="1">IF(A83&lt;='Symulacja Pożyczka'!$B$4,VLOOKUP(A83,Arkusz1!$A$1:$O$182,15,0),"")</f>
        <v>3998.7706723579904</v>
      </c>
      <c r="D83" s="661"/>
      <c r="E83" s="660">
        <f ca="1">IF(A83&lt;='Symulacja Pożyczka'!$B$4,'Symulacja Pożyczka'!$B$14,"")</f>
        <v>13869.160872339731</v>
      </c>
      <c r="F83" s="661"/>
      <c r="G83" s="81">
        <f ca="1">IF(A83&lt;='Symulacja Pożyczka'!$B$4,G82-B83,"")</f>
        <v>750312.57615975128</v>
      </c>
      <c r="H83" s="83" t="str">
        <f t="shared" si="0"/>
        <v/>
      </c>
      <c r="I83" s="518"/>
      <c r="L83">
        <v>56</v>
      </c>
    </row>
    <row r="84" spans="1:12" x14ac:dyDescent="0.35">
      <c r="A84" s="513">
        <f>IF('Harmonogram Pożyczka'!L84&lt;='Symulacja Pożyczka'!$B$4,'Harmonogram Pożyczka'!L84,"")</f>
        <v>57</v>
      </c>
      <c r="B84" s="81">
        <f ca="1">IF(A84&lt;='Symulacja Pożyczka'!$B$4,E84-C84,"")</f>
        <v>9790.749499460444</v>
      </c>
      <c r="C84" s="660">
        <f ca="1">IF(A84&lt;='Symulacja Pożyczka'!$B$4,VLOOKUP(A84,Arkusz1!$A$1:$O$182,15,0),"")</f>
        <v>4078.4113728792872</v>
      </c>
      <c r="D84" s="661"/>
      <c r="E84" s="660">
        <f ca="1">IF(A84&lt;='Symulacja Pożyczka'!$B$4,'Symulacja Pożyczka'!$B$14,"")</f>
        <v>13869.160872339731</v>
      </c>
      <c r="F84" s="661"/>
      <c r="G84" s="81">
        <f ca="1">IF(A84&lt;='Symulacja Pożyczka'!$B$4,G83-B84,"")</f>
        <v>740521.82666029083</v>
      </c>
      <c r="H84" s="83" t="str">
        <f t="shared" si="0"/>
        <v/>
      </c>
      <c r="I84" s="518"/>
      <c r="L84">
        <v>57</v>
      </c>
    </row>
    <row r="85" spans="1:12" x14ac:dyDescent="0.35">
      <c r="A85" s="513">
        <f>IF('Harmonogram Pożyczka'!L85&lt;='Symulacja Pożyczka'!$B$4,'Harmonogram Pożyczka'!L85,"")</f>
        <v>58</v>
      </c>
      <c r="B85" s="81">
        <f ca="1">IF(A85&lt;='Symulacja Pożyczka'!$B$4,E85-C85,"")</f>
        <v>9973.8131814143799</v>
      </c>
      <c r="C85" s="660">
        <f ca="1">IF(A85&lt;='Symulacja Pożyczka'!$B$4,VLOOKUP(A85,Arkusz1!$A$1:$O$182,15,0),"")</f>
        <v>3895.3476909253513</v>
      </c>
      <c r="D85" s="661"/>
      <c r="E85" s="660">
        <f ca="1">IF(A85&lt;='Symulacja Pożyczka'!$B$4,'Symulacja Pożyczka'!$B$14,"")</f>
        <v>13869.160872339731</v>
      </c>
      <c r="F85" s="661"/>
      <c r="G85" s="81">
        <f ca="1">IF(A85&lt;='Symulacja Pożyczka'!$B$4,G84-B85,"")</f>
        <v>730548.01347887644</v>
      </c>
      <c r="H85" s="83" t="str">
        <f t="shared" si="0"/>
        <v/>
      </c>
      <c r="I85" s="518"/>
      <c r="L85">
        <v>58</v>
      </c>
    </row>
    <row r="86" spans="1:12" x14ac:dyDescent="0.35">
      <c r="A86" s="513">
        <f>IF('Harmonogram Pożyczka'!L86&lt;='Symulacja Pożyczka'!$B$4,'Harmonogram Pożyczka'!L86,"")</f>
        <v>59</v>
      </c>
      <c r="B86" s="81">
        <f ca="1">IF(A86&lt;='Symulacja Pożyczka'!$B$4,E86-C86,"")</f>
        <v>9898.182081265486</v>
      </c>
      <c r="C86" s="660">
        <f ca="1">IF(A86&lt;='Symulacja Pożyczka'!$B$4,VLOOKUP(A86,Arkusz1!$A$1:$O$182,15,0),"")</f>
        <v>3970.9787910742452</v>
      </c>
      <c r="D86" s="661"/>
      <c r="E86" s="660">
        <f ca="1">IF(A86&lt;='Symulacja Pożyczka'!$B$4,'Symulacja Pożyczka'!$B$14,"")</f>
        <v>13869.160872339731</v>
      </c>
      <c r="F86" s="661"/>
      <c r="G86" s="81">
        <f ca="1">IF(A86&lt;='Symulacja Pożyczka'!$B$4,G85-B86,"")</f>
        <v>720649.83139761095</v>
      </c>
      <c r="H86" s="83" t="str">
        <f t="shared" si="0"/>
        <v/>
      </c>
      <c r="I86" s="518"/>
      <c r="L86">
        <v>59</v>
      </c>
    </row>
    <row r="87" spans="1:12" x14ac:dyDescent="0.35">
      <c r="A87" s="513">
        <f>IF('Harmonogram Pożyczka'!L87&lt;='Symulacja Pożyczka'!$B$4,'Harmonogram Pożyczka'!L87,"")</f>
        <v>60</v>
      </c>
      <c r="B87" s="81">
        <f ca="1">IF(A87&lt;='Symulacja Pożyczka'!$B$4,E87-C87,"")</f>
        <v>9951.9848024962648</v>
      </c>
      <c r="C87" s="660">
        <f ca="1">IF(A87&lt;='Symulacja Pożyczka'!$B$4,VLOOKUP(A87,Arkusz1!$A$1:$O$182,15,0),"")</f>
        <v>3917.1760698434664</v>
      </c>
      <c r="D87" s="661"/>
      <c r="E87" s="660">
        <f ca="1">IF(A87&lt;='Symulacja Pożyczka'!$B$4,'Symulacja Pożyczka'!$B$14,"")</f>
        <v>13869.160872339731</v>
      </c>
      <c r="F87" s="661"/>
      <c r="G87" s="81">
        <f ca="1">IF(A87&lt;='Symulacja Pożyczka'!$B$4,G86-B87,"")</f>
        <v>710697.84659511468</v>
      </c>
      <c r="H87" s="83" t="str">
        <f t="shared" si="0"/>
        <v/>
      </c>
      <c r="I87" s="518"/>
      <c r="L87">
        <v>60</v>
      </c>
    </row>
    <row r="88" spans="1:12" x14ac:dyDescent="0.35">
      <c r="A88" s="513">
        <f>IF('Harmonogram Pożyczka'!L88&lt;='Symulacja Pożyczka'!$B$4,'Harmonogram Pożyczka'!L88,"")</f>
        <v>61</v>
      </c>
      <c r="B88" s="81">
        <f ca="1">IF(A88&lt;='Symulacja Pożyczka'!$B$4,E88-C88,"")</f>
        <v>10379.926513165812</v>
      </c>
      <c r="C88" s="660">
        <f ca="1">IF(A88&lt;='Symulacja Pożyczka'!$B$4,VLOOKUP(A88,Arkusz1!$A$1:$O$182,15,0),"")</f>
        <v>3489.2343591739191</v>
      </c>
      <c r="D88" s="661"/>
      <c r="E88" s="660">
        <f ca="1">IF(A88&lt;='Symulacja Pożyczka'!$B$4,'Symulacja Pożyczka'!$B$14,"")</f>
        <v>13869.160872339731</v>
      </c>
      <c r="F88" s="661"/>
      <c r="G88" s="81">
        <f ca="1">IF(A88&lt;='Symulacja Pożyczka'!$B$4,G87-B88,"")</f>
        <v>700317.92008194886</v>
      </c>
      <c r="H88" s="83" t="str">
        <f t="shared" si="0"/>
        <v/>
      </c>
      <c r="I88" s="518"/>
      <c r="L88">
        <v>61</v>
      </c>
    </row>
    <row r="89" spans="1:12" x14ac:dyDescent="0.35">
      <c r="A89" s="513">
        <f>IF('Harmonogram Pożyczka'!L89&lt;='Symulacja Pożyczka'!$B$4,'Harmonogram Pożyczka'!L89,"")</f>
        <v>62</v>
      </c>
      <c r="B89" s="81">
        <f ca="1">IF(A89&lt;='Symulacja Pożyczka'!$B$4,E89-C89,"")</f>
        <v>10062.501273866854</v>
      </c>
      <c r="C89" s="660">
        <f ca="1">IF(A89&lt;='Symulacja Pożyczka'!$B$4,VLOOKUP(A89,Arkusz1!$A$1:$O$182,15,0),"")</f>
        <v>3806.6595984728774</v>
      </c>
      <c r="D89" s="661"/>
      <c r="E89" s="660">
        <f ca="1">IF(A89&lt;='Symulacja Pożyczka'!$B$4,'Symulacja Pożyczka'!$B$14,"")</f>
        <v>13869.160872339731</v>
      </c>
      <c r="F89" s="661"/>
      <c r="G89" s="81">
        <f ca="1">IF(A89&lt;='Symulacja Pożyczka'!$B$4,G88-B89,"")</f>
        <v>690255.418808082</v>
      </c>
      <c r="H89" s="83" t="str">
        <f t="shared" si="0"/>
        <v/>
      </c>
      <c r="I89" s="518"/>
      <c r="L89">
        <v>62</v>
      </c>
    </row>
    <row r="90" spans="1:12" x14ac:dyDescent="0.35">
      <c r="A90" s="513">
        <f>IF('Harmonogram Pożyczka'!L90&lt;='Symulacja Pożyczka'!$B$4,'Harmonogram Pożyczka'!L90,"")</f>
        <v>63</v>
      </c>
      <c r="B90" s="81">
        <f ca="1">IF(A90&lt;='Symulacja Pożyczka'!$B$4,E90-C90,"")</f>
        <v>10238.228258335608</v>
      </c>
      <c r="C90" s="660">
        <f ca="1">IF(A90&lt;='Symulacja Pożyczka'!$B$4,VLOOKUP(A90,Arkusz1!$A$1:$O$182,15,0),"")</f>
        <v>3630.932614004123</v>
      </c>
      <c r="D90" s="661"/>
      <c r="E90" s="660">
        <f ca="1">IF(A90&lt;='Symulacja Pożyczka'!$B$4,'Symulacja Pożyczka'!$B$14,"")</f>
        <v>13869.160872339731</v>
      </c>
      <c r="F90" s="661"/>
      <c r="G90" s="81">
        <f ca="1">IF(A90&lt;='Symulacja Pożyczka'!$B$4,G89-B90,"")</f>
        <v>680017.19054974639</v>
      </c>
      <c r="H90" s="83" t="str">
        <f t="shared" si="0"/>
        <v/>
      </c>
      <c r="I90" s="518"/>
      <c r="L90">
        <v>63</v>
      </c>
    </row>
    <row r="91" spans="1:12" x14ac:dyDescent="0.35">
      <c r="A91" s="513">
        <f>IF('Harmonogram Pożyczka'!L91&lt;='Symulacja Pożyczka'!$B$4,'Harmonogram Pożyczka'!L91,"")</f>
        <v>64</v>
      </c>
      <c r="B91" s="81">
        <f ca="1">IF(A91&lt;='Symulacja Pożyczka'!$B$4,E91-C91,"")</f>
        <v>10172.848253022757</v>
      </c>
      <c r="C91" s="660">
        <f ca="1">IF(A91&lt;='Symulacja Pożyczka'!$B$4,VLOOKUP(A91,Arkusz1!$A$1:$O$182,15,0),"")</f>
        <v>3696.3126193169737</v>
      </c>
      <c r="D91" s="661"/>
      <c r="E91" s="660">
        <f ca="1">IF(A91&lt;='Symulacja Pożyczka'!$B$4,'Symulacja Pożyczka'!$B$14,"")</f>
        <v>13869.160872339731</v>
      </c>
      <c r="F91" s="661"/>
      <c r="G91" s="81">
        <f ca="1">IF(A91&lt;='Symulacja Pożyczka'!$B$4,G90-B91,"")</f>
        <v>669844.34229672363</v>
      </c>
      <c r="H91" s="83" t="str">
        <f t="shared" si="0"/>
        <v/>
      </c>
      <c r="I91" s="518"/>
      <c r="L91">
        <v>64</v>
      </c>
    </row>
    <row r="92" spans="1:12" x14ac:dyDescent="0.35">
      <c r="A92" s="513">
        <f>IF('Harmonogram Pożyczka'!L92&lt;='Symulacja Pożyczka'!$B$4,'Harmonogram Pożyczka'!L92,"")</f>
        <v>65</v>
      </c>
      <c r="B92" s="81">
        <f ca="1">IF(A92&lt;='Symulacja Pożyczka'!$B$4,E92-C92,"")</f>
        <v>10345.596112861176</v>
      </c>
      <c r="C92" s="660">
        <f ca="1">IF(A92&lt;='Symulacja Pożyczka'!$B$4,VLOOKUP(A92,Arkusz1!$A$1:$O$182,15,0),"")</f>
        <v>3523.5647594785551</v>
      </c>
      <c r="D92" s="661"/>
      <c r="E92" s="660">
        <f ca="1">IF(A92&lt;='Symulacja Pożyczka'!$B$4,'Symulacja Pożyczka'!$B$14,"")</f>
        <v>13869.160872339731</v>
      </c>
      <c r="F92" s="661"/>
      <c r="G92" s="81">
        <f ca="1">IF(A92&lt;='Symulacja Pożyczka'!$B$4,G91-B92,"")</f>
        <v>659498.74618386244</v>
      </c>
      <c r="H92" s="83" t="str">
        <f t="shared" si="0"/>
        <v/>
      </c>
      <c r="I92" s="518"/>
      <c r="L92">
        <v>65</v>
      </c>
    </row>
    <row r="93" spans="1:12" x14ac:dyDescent="0.35">
      <c r="A93" s="513">
        <f>IF('Harmonogram Pożyczka'!L93&lt;='Symulacja Pożyczka'!$B$4,'Harmonogram Pożyczka'!L93,"")</f>
        <v>66</v>
      </c>
      <c r="B93" s="81">
        <f ca="1">IF(A93&lt;='Symulacja Pożyczka'!$B$4,E93-C93,"")</f>
        <v>10284.378646507388</v>
      </c>
      <c r="C93" s="660">
        <f ca="1">IF(A93&lt;='Symulacja Pożyczka'!$B$4,VLOOKUP(A93,Arkusz1!$A$1:$O$182,15,0),"")</f>
        <v>3584.7822258323431</v>
      </c>
      <c r="D93" s="661"/>
      <c r="E93" s="660">
        <f ca="1">IF(A93&lt;='Symulacja Pożyczka'!$B$4,'Symulacja Pożyczka'!$B$14,"")</f>
        <v>13869.160872339731</v>
      </c>
      <c r="F93" s="661"/>
      <c r="G93" s="81">
        <f ca="1">IF(A93&lt;='Symulacja Pożyczka'!$B$4,G92-B93,"")</f>
        <v>649214.36753735505</v>
      </c>
      <c r="H93" s="83" t="str">
        <f t="shared" ref="H93:H156" si="1">IF($F$11="TAK",IF(A93&lt;=$F$7,G92*0.12%,""),"")</f>
        <v/>
      </c>
      <c r="I93" s="518"/>
      <c r="L93">
        <v>66</v>
      </c>
    </row>
    <row r="94" spans="1:12" x14ac:dyDescent="0.35">
      <c r="A94" s="513">
        <f>IF('Harmonogram Pożyczka'!L94&lt;='Symulacja Pożyczka'!$B$4,'Harmonogram Pożyczka'!L94,"")</f>
        <v>67</v>
      </c>
      <c r="B94" s="81">
        <f ca="1">IF(A94&lt;='Symulacja Pożyczka'!$B$4,E94-C94,"")</f>
        <v>10340.280584136601</v>
      </c>
      <c r="C94" s="660">
        <f ca="1">IF(A94&lt;='Symulacja Pożyczka'!$B$4,VLOOKUP(A94,Arkusz1!$A$1:$O$182,15,0),"")</f>
        <v>3528.8802882031305</v>
      </c>
      <c r="D94" s="661"/>
      <c r="E94" s="660">
        <f ca="1">IF(A94&lt;='Symulacja Pożyczka'!$B$4,'Symulacja Pożyczka'!$B$14,"")</f>
        <v>13869.160872339731</v>
      </c>
      <c r="F94" s="661"/>
      <c r="G94" s="81">
        <f ca="1">IF(A94&lt;='Symulacja Pożyczka'!$B$4,G93-B94,"")</f>
        <v>638874.08695321844</v>
      </c>
      <c r="H94" s="83" t="str">
        <f t="shared" si="1"/>
        <v/>
      </c>
      <c r="I94" s="518"/>
      <c r="L94">
        <v>67</v>
      </c>
    </row>
    <row r="95" spans="1:12" x14ac:dyDescent="0.35">
      <c r="A95" s="513">
        <f>IF('Harmonogram Pożyczka'!L95&lt;='Symulacja Pożyczka'!$B$4,'Harmonogram Pożyczka'!L95,"")</f>
        <v>68</v>
      </c>
      <c r="B95" s="81">
        <f ca="1">IF(A95&lt;='Symulacja Pożyczka'!$B$4,E95-C95,"")</f>
        <v>10508.508140969434</v>
      </c>
      <c r="C95" s="660">
        <f ca="1">IF(A95&lt;='Symulacja Pożyczka'!$B$4,VLOOKUP(A95,Arkusz1!$A$1:$O$182,15,0),"")</f>
        <v>3360.6527313702973</v>
      </c>
      <c r="D95" s="661"/>
      <c r="E95" s="660">
        <f ca="1">IF(A95&lt;='Symulacja Pożyczka'!$B$4,'Symulacja Pożyczka'!$B$14,"")</f>
        <v>13869.160872339731</v>
      </c>
      <c r="F95" s="661"/>
      <c r="G95" s="81">
        <f ca="1">IF(A95&lt;='Symulacja Pożyczka'!$B$4,G94-B95,"")</f>
        <v>628365.578812249</v>
      </c>
      <c r="H95" s="83" t="str">
        <f t="shared" si="1"/>
        <v/>
      </c>
      <c r="I95" s="518"/>
      <c r="L95">
        <v>68</v>
      </c>
    </row>
    <row r="96" spans="1:12" x14ac:dyDescent="0.35">
      <c r="A96" s="513">
        <f>IF('Harmonogram Pożyczka'!L96&lt;='Symulacja Pożyczka'!$B$4,'Harmonogram Pożyczka'!L96,"")</f>
        <v>69</v>
      </c>
      <c r="B96" s="81">
        <f ca="1">IF(A96&lt;='Symulacja Pożyczka'!$B$4,E96-C96,"")</f>
        <v>10453.606602850597</v>
      </c>
      <c r="C96" s="660">
        <f ca="1">IF(A96&lt;='Symulacja Pożyczka'!$B$4,VLOOKUP(A96,Arkusz1!$A$1:$O$182,15,0),"")</f>
        <v>3415.5542694891337</v>
      </c>
      <c r="D96" s="661"/>
      <c r="E96" s="660">
        <f ca="1">IF(A96&lt;='Symulacja Pożyczka'!$B$4,'Symulacja Pożyczka'!$B$14,"")</f>
        <v>13869.160872339731</v>
      </c>
      <c r="F96" s="661"/>
      <c r="G96" s="81">
        <f ca="1">IF(A96&lt;='Symulacja Pożyczka'!$B$4,G95-B96,"")</f>
        <v>617911.9722093984</v>
      </c>
      <c r="H96" s="83" t="str">
        <f t="shared" si="1"/>
        <v/>
      </c>
      <c r="I96" s="518"/>
      <c r="L96">
        <v>69</v>
      </c>
    </row>
    <row r="97" spans="1:12" x14ac:dyDescent="0.35">
      <c r="A97" s="513">
        <f>IF('Harmonogram Pożyczka'!L97&lt;='Symulacja Pożyczka'!$B$4,'Harmonogram Pożyczka'!L97,"")</f>
        <v>70</v>
      </c>
      <c r="B97" s="81">
        <f ca="1">IF(A97&lt;='Symulacja Pożyczka'!$B$4,E97-C97,"")</f>
        <v>10618.774607567111</v>
      </c>
      <c r="C97" s="660">
        <f ca="1">IF(A97&lt;='Symulacja Pożyczka'!$B$4,VLOOKUP(A97,Arkusz1!$A$1:$O$182,15,0),"")</f>
        <v>3250.3862647726201</v>
      </c>
      <c r="D97" s="661"/>
      <c r="E97" s="660">
        <f ca="1">IF(A97&lt;='Symulacja Pożyczka'!$B$4,'Symulacja Pożyczka'!$B$14,"")</f>
        <v>13869.160872339731</v>
      </c>
      <c r="F97" s="661"/>
      <c r="G97" s="81">
        <f ca="1">IF(A97&lt;='Symulacja Pożyczka'!$B$4,G96-B97,"")</f>
        <v>607293.19760183129</v>
      </c>
      <c r="H97" s="83" t="str">
        <f t="shared" si="1"/>
        <v/>
      </c>
      <c r="I97" s="518"/>
      <c r="L97">
        <v>70</v>
      </c>
    </row>
    <row r="98" spans="1:12" x14ac:dyDescent="0.35">
      <c r="A98" s="513">
        <f>IF('Harmonogram Pożyczka'!L98&lt;='Symulacja Pożyczka'!$B$4,'Harmonogram Pożyczka'!L98,"")</f>
        <v>71</v>
      </c>
      <c r="B98" s="81">
        <f ca="1">IF(A98&lt;='Symulacja Pożyczka'!$B$4,E98-C98,"")</f>
        <v>10573.093976012193</v>
      </c>
      <c r="C98" s="660">
        <f ca="1">IF(A98&lt;='Symulacja Pożyczka'!$B$4,VLOOKUP(A98,Arkusz1!$A$1:$O$182,15,0),"")</f>
        <v>3296.0668963275384</v>
      </c>
      <c r="D98" s="661"/>
      <c r="E98" s="660">
        <f ca="1">IF(A98&lt;='Symulacja Pożyczka'!$B$4,'Symulacja Pożyczka'!$B$14,"")</f>
        <v>13869.160872339731</v>
      </c>
      <c r="F98" s="661"/>
      <c r="G98" s="81">
        <f ca="1">IF(A98&lt;='Symulacja Pożyczka'!$B$4,G97-B98,"")</f>
        <v>596720.10362581909</v>
      </c>
      <c r="H98" s="83" t="str">
        <f t="shared" si="1"/>
        <v/>
      </c>
      <c r="I98" s="518"/>
      <c r="L98">
        <v>71</v>
      </c>
    </row>
    <row r="99" spans="1:12" x14ac:dyDescent="0.35">
      <c r="A99" s="513">
        <f>IF('Harmonogram Pożyczka'!L99&lt;='Symulacja Pożyczka'!$B$4,'Harmonogram Pożyczka'!L99,"")</f>
        <v>72</v>
      </c>
      <c r="B99" s="81">
        <f ca="1">IF(A99&lt;='Symulacja Pożyczka'!$B$4,E99-C99,"")</f>
        <v>10634.481403504726</v>
      </c>
      <c r="C99" s="660">
        <f ca="1">IF(A99&lt;='Symulacja Pożyczka'!$B$4,VLOOKUP(A99,Arkusz1!$A$1:$O$182,15,0),"")</f>
        <v>3234.6794688350055</v>
      </c>
      <c r="D99" s="661"/>
      <c r="E99" s="660">
        <f ca="1">IF(A99&lt;='Symulacja Pożyczka'!$B$4,'Symulacja Pożyczka'!$B$14,"")</f>
        <v>13869.160872339731</v>
      </c>
      <c r="F99" s="661"/>
      <c r="G99" s="81">
        <f ca="1">IF(A99&lt;='Symulacja Pożyczka'!$B$4,G98-B99,"")</f>
        <v>586085.62222231436</v>
      </c>
      <c r="H99" s="83" t="str">
        <f t="shared" si="1"/>
        <v/>
      </c>
      <c r="I99" s="518"/>
      <c r="L99">
        <v>72</v>
      </c>
    </row>
    <row r="100" spans="1:12" x14ac:dyDescent="0.35">
      <c r="A100" s="513">
        <f>IF('Harmonogram Pożyczka'!L100&lt;='Symulacja Pożyczka'!$B$4,'Harmonogram Pożyczka'!L100,"")</f>
        <v>73</v>
      </c>
      <c r="B100" s="81">
        <f ca="1">IF(A100&lt;='Symulacja Pożyczka'!$B$4,E100-C100,"")</f>
        <v>10897.098263474641</v>
      </c>
      <c r="C100" s="660">
        <f ca="1">IF(A100&lt;='Symulacja Pożyczka'!$B$4,VLOOKUP(A100,Arkusz1!$A$1:$O$182,15,0),"")</f>
        <v>2972.0626088650897</v>
      </c>
      <c r="D100" s="661"/>
      <c r="E100" s="660">
        <f ca="1">IF(A100&lt;='Symulacja Pożyczka'!$B$4,'Symulacja Pożyczka'!$B$14,"")</f>
        <v>13869.160872339731</v>
      </c>
      <c r="F100" s="661"/>
      <c r="G100" s="81">
        <f ca="1">IF(A100&lt;='Symulacja Pożyczka'!$B$4,G99-B100,"")</f>
        <v>575188.52395883971</v>
      </c>
      <c r="H100" s="83" t="str">
        <f t="shared" si="1"/>
        <v/>
      </c>
      <c r="I100" s="518"/>
      <c r="L100">
        <v>73</v>
      </c>
    </row>
    <row r="101" spans="1:12" x14ac:dyDescent="0.35">
      <c r="A101" s="513">
        <f>IF('Harmonogram Pożyczka'!L101&lt;='Symulacja Pożyczka'!$B$4,'Harmonogram Pożyczka'!L101,"")</f>
        <v>74</v>
      </c>
      <c r="B101" s="81">
        <f ca="1">IF(A101&lt;='Symulacja Pożyczka'!$B$4,E101-C101,"")</f>
        <v>10751.199037546519</v>
      </c>
      <c r="C101" s="660">
        <f ca="1">IF(A101&lt;='Symulacja Pożyczka'!$B$4,VLOOKUP(A101,Arkusz1!$A$1:$O$182,15,0),"")</f>
        <v>3117.9618347932119</v>
      </c>
      <c r="D101" s="661"/>
      <c r="E101" s="660">
        <f ca="1">IF(A101&lt;='Symulacja Pożyczka'!$B$4,'Symulacja Pożyczka'!$B$14,"")</f>
        <v>13869.160872339731</v>
      </c>
      <c r="F101" s="661"/>
      <c r="G101" s="81">
        <f ca="1">IF(A101&lt;='Symulacja Pożyczka'!$B$4,G100-B101,"")</f>
        <v>564437.32492129318</v>
      </c>
      <c r="H101" s="83" t="str">
        <f t="shared" si="1"/>
        <v/>
      </c>
      <c r="I101" s="518"/>
      <c r="L101">
        <v>74</v>
      </c>
    </row>
    <row r="102" spans="1:12" x14ac:dyDescent="0.35">
      <c r="A102" s="513">
        <f>IF('Harmonogram Pożyczka'!L102&lt;='Symulacja Pożyczka'!$B$4,'Harmonogram Pożyczka'!L102,"")</f>
        <v>75</v>
      </c>
      <c r="B102" s="81">
        <f ca="1">IF(A102&lt;='Symulacja Pożyczka'!$B$4,E102-C102,"")</f>
        <v>10908.178184228012</v>
      </c>
      <c r="C102" s="660">
        <f ca="1">IF(A102&lt;='Symulacja Pożyczka'!$B$4,VLOOKUP(A102,Arkusz1!$A$1:$O$182,15,0),"")</f>
        <v>2960.9826881117187</v>
      </c>
      <c r="D102" s="661"/>
      <c r="E102" s="660">
        <f ca="1">IF(A102&lt;='Symulacja Pożyczka'!$B$4,'Symulacja Pożyczka'!$B$14,"")</f>
        <v>13869.160872339731</v>
      </c>
      <c r="F102" s="661"/>
      <c r="G102" s="81">
        <f ca="1">IF(A102&lt;='Symulacja Pożyczka'!$B$4,G101-B102,"")</f>
        <v>553529.14673706517</v>
      </c>
      <c r="H102" s="83" t="str">
        <f t="shared" si="1"/>
        <v/>
      </c>
      <c r="I102" s="518"/>
      <c r="L102">
        <v>75</v>
      </c>
    </row>
    <row r="103" spans="1:12" x14ac:dyDescent="0.35">
      <c r="A103" s="513">
        <f>IF('Harmonogram Pożyczka'!L103&lt;='Symulacja Pożyczka'!$B$4,'Harmonogram Pożyczka'!L103,"")</f>
        <v>76</v>
      </c>
      <c r="B103" s="81">
        <f ca="1">IF(A103&lt;='Symulacja Pożyczka'!$B$4,E103-C103,"")</f>
        <v>10868.609432103805</v>
      </c>
      <c r="C103" s="660">
        <f ca="1">IF(A103&lt;='Symulacja Pożyczka'!$B$4,VLOOKUP(A103,Arkusz1!$A$1:$O$182,15,0),"")</f>
        <v>3000.5514402359258</v>
      </c>
      <c r="D103" s="661"/>
      <c r="E103" s="660">
        <f ca="1">IF(A103&lt;='Symulacja Pożyczka'!$B$4,'Symulacja Pożyczka'!$B$14,"")</f>
        <v>13869.160872339731</v>
      </c>
      <c r="F103" s="661"/>
      <c r="G103" s="81">
        <f ca="1">IF(A103&lt;='Symulacja Pożyczka'!$B$4,G102-B103,"")</f>
        <v>542660.53730496136</v>
      </c>
      <c r="H103" s="83" t="str">
        <f t="shared" si="1"/>
        <v/>
      </c>
      <c r="I103" s="518"/>
      <c r="L103">
        <v>76</v>
      </c>
    </row>
    <row r="104" spans="1:12" x14ac:dyDescent="0.35">
      <c r="A104" s="513">
        <f>IF('Harmonogram Pożyczka'!L104&lt;='Symulacja Pożyczka'!$B$4,'Harmonogram Pożyczka'!L104,"")</f>
        <v>77</v>
      </c>
      <c r="B104" s="81">
        <f ca="1">IF(A104&lt;='Symulacja Pożyczka'!$B$4,E104-C104,"")</f>
        <v>11022.417070084246</v>
      </c>
      <c r="C104" s="660">
        <f ca="1">IF(A104&lt;='Symulacja Pożyczka'!$B$4,VLOOKUP(A104,Arkusz1!$A$1:$O$182,15,0),"")</f>
        <v>2846.7438022554852</v>
      </c>
      <c r="D104" s="661"/>
      <c r="E104" s="660">
        <f ca="1">IF(A104&lt;='Symulacja Pożyczka'!$B$4,'Symulacja Pożyczka'!$B$14,"")</f>
        <v>13869.160872339731</v>
      </c>
      <c r="F104" s="661"/>
      <c r="G104" s="81">
        <f ca="1">IF(A104&lt;='Symulacja Pożyczka'!$B$4,G103-B104,"")</f>
        <v>531638.1202348771</v>
      </c>
      <c r="H104" s="83" t="str">
        <f t="shared" si="1"/>
        <v/>
      </c>
      <c r="I104" s="518"/>
      <c r="L104">
        <v>77</v>
      </c>
    </row>
    <row r="105" spans="1:12" x14ac:dyDescent="0.35">
      <c r="A105" s="513">
        <f>IF('Harmonogram Pożyczka'!L105&lt;='Symulacja Pożyczka'!$B$4,'Harmonogram Pożyczka'!L105,"")</f>
        <v>78</v>
      </c>
      <c r="B105" s="81">
        <f ca="1">IF(A105&lt;='Symulacja Pożyczka'!$B$4,E105-C105,"")</f>
        <v>10987.275542979123</v>
      </c>
      <c r="C105" s="660">
        <f ca="1">IF(A105&lt;='Symulacja Pożyczka'!$B$4,VLOOKUP(A105,Arkusz1!$A$1:$O$182,15,0),"")</f>
        <v>2881.885329360608</v>
      </c>
      <c r="D105" s="661"/>
      <c r="E105" s="660">
        <f ca="1">IF(A105&lt;='Symulacja Pożyczka'!$B$4,'Symulacja Pożyczka'!$B$14,"")</f>
        <v>13869.160872339731</v>
      </c>
      <c r="F105" s="661"/>
      <c r="G105" s="81">
        <f ca="1">IF(A105&lt;='Symulacja Pożyczka'!$B$4,G104-B105,"")</f>
        <v>520650.84469189798</v>
      </c>
      <c r="H105" s="83" t="str">
        <f t="shared" si="1"/>
        <v/>
      </c>
      <c r="I105" s="518"/>
      <c r="L105">
        <v>78</v>
      </c>
    </row>
    <row r="106" spans="1:12" x14ac:dyDescent="0.35">
      <c r="A106" s="513">
        <f>IF('Harmonogram Pożyczka'!L106&lt;='Symulacja Pożyczka'!$B$4,'Harmonogram Pożyczka'!L106,"")</f>
        <v>79</v>
      </c>
      <c r="B106" s="81">
        <f ca="1">IF(A106&lt;='Symulacja Pożyczka'!$B$4,E106-C106,"")</f>
        <v>11046.834981988062</v>
      </c>
      <c r="C106" s="660">
        <f ca="1">IF(A106&lt;='Symulacja Pożyczka'!$B$4,VLOOKUP(A106,Arkusz1!$A$1:$O$182,15,0),"")</f>
        <v>2822.3258903516689</v>
      </c>
      <c r="D106" s="661"/>
      <c r="E106" s="660">
        <f ca="1">IF(A106&lt;='Symulacja Pożyczka'!$B$4,'Symulacja Pożyczka'!$B$14,"")</f>
        <v>13869.160872339731</v>
      </c>
      <c r="F106" s="661"/>
      <c r="G106" s="81">
        <f ca="1">IF(A106&lt;='Symulacja Pożyczka'!$B$4,G105-B106,"")</f>
        <v>509604.00970990991</v>
      </c>
      <c r="H106" s="83" t="str">
        <f t="shared" si="1"/>
        <v/>
      </c>
      <c r="I106" s="518"/>
      <c r="L106">
        <v>79</v>
      </c>
    </row>
    <row r="107" spans="1:12" x14ac:dyDescent="0.35">
      <c r="A107" s="513">
        <f>IF('Harmonogram Pożyczka'!L107&lt;='Symulacja Pożyczka'!$B$4,'Harmonogram Pożyczka'!L107,"")</f>
        <v>80</v>
      </c>
      <c r="B107" s="81">
        <f ca="1">IF(A107&lt;='Symulacja Pożyczka'!$B$4,E107-C107,"")</f>
        <v>11195.828362386144</v>
      </c>
      <c r="C107" s="660">
        <f ca="1">IF(A107&lt;='Symulacja Pożyczka'!$B$4,VLOOKUP(A107,Arkusz1!$A$1:$O$182,15,0),"")</f>
        <v>2673.3325099535869</v>
      </c>
      <c r="D107" s="661"/>
      <c r="E107" s="660">
        <f ca="1">IF(A107&lt;='Symulacja Pożyczka'!$B$4,'Symulacja Pożyczka'!$B$14,"")</f>
        <v>13869.160872339731</v>
      </c>
      <c r="F107" s="661"/>
      <c r="G107" s="81">
        <f ca="1">IF(A107&lt;='Symulacja Pożyczka'!$B$4,G106-B107,"")</f>
        <v>498408.18134752376</v>
      </c>
      <c r="H107" s="83" t="str">
        <f t="shared" si="1"/>
        <v/>
      </c>
      <c r="I107" s="518"/>
      <c r="L107">
        <v>80</v>
      </c>
    </row>
    <row r="108" spans="1:12" x14ac:dyDescent="0.35">
      <c r="A108" s="513">
        <f>IF('Harmonogram Pożyczka'!L108&lt;='Symulacja Pożyczka'!$B$4,'Harmonogram Pożyczka'!L108,"")</f>
        <v>81</v>
      </c>
      <c r="B108" s="81">
        <f ca="1">IF(A108&lt;='Symulacja Pożyczka'!$B$4,E108-C108,"")</f>
        <v>11167.407233559754</v>
      </c>
      <c r="C108" s="660">
        <f ca="1">IF(A108&lt;='Symulacja Pożyczka'!$B$4,VLOOKUP(A108,Arkusz1!$A$1:$O$182,15,0),"")</f>
        <v>2701.7536387799773</v>
      </c>
      <c r="D108" s="661"/>
      <c r="E108" s="660">
        <f ca="1">IF(A108&lt;='Symulacja Pożyczka'!$B$4,'Symulacja Pożyczka'!$B$14,"")</f>
        <v>13869.160872339731</v>
      </c>
      <c r="F108" s="661"/>
      <c r="G108" s="81">
        <f ca="1">IF(A108&lt;='Symulacja Pożyczka'!$B$4,G107-B108,"")</f>
        <v>487240.774113964</v>
      </c>
      <c r="H108" s="83" t="str">
        <f t="shared" si="1"/>
        <v/>
      </c>
      <c r="I108" s="518"/>
      <c r="L108">
        <v>81</v>
      </c>
    </row>
    <row r="109" spans="1:12" x14ac:dyDescent="0.35">
      <c r="A109" s="513">
        <f>IF('Harmonogram Pożyczka'!L109&lt;='Symulacja Pożyczka'!$B$4,'Harmonogram Pożyczka'!L109,"")</f>
        <v>82</v>
      </c>
      <c r="B109" s="81">
        <f ca="1">IF(A109&lt;='Symulacja Pożyczka'!$B$4,E109-C109,"")</f>
        <v>11313.143696659938</v>
      </c>
      <c r="C109" s="660">
        <f ca="1">IF(A109&lt;='Symulacja Pożyczka'!$B$4,VLOOKUP(A109,Arkusz1!$A$1:$O$182,15,0),"")</f>
        <v>2556.0171756797936</v>
      </c>
      <c r="D109" s="661"/>
      <c r="E109" s="660">
        <f ca="1">IF(A109&lt;='Symulacja Pożyczka'!$B$4,'Symulacja Pożyczka'!$B$14,"")</f>
        <v>13869.160872339731</v>
      </c>
      <c r="F109" s="661"/>
      <c r="G109" s="81">
        <f ca="1">IF(A109&lt;='Symulacja Pożyczka'!$B$4,G108-B109,"")</f>
        <v>475927.63041730406</v>
      </c>
      <c r="H109" s="83" t="str">
        <f t="shared" si="1"/>
        <v/>
      </c>
      <c r="I109" s="518"/>
      <c r="L109">
        <v>82</v>
      </c>
    </row>
    <row r="110" spans="1:12" x14ac:dyDescent="0.35">
      <c r="A110" s="513">
        <f>IF('Harmonogram Pożyczka'!L110&lt;='Symulacja Pożyczka'!$B$4,'Harmonogram Pożyczka'!L110,"")</f>
        <v>83</v>
      </c>
      <c r="B110" s="81">
        <f ca="1">IF(A110&lt;='Symulacja Pożyczka'!$B$4,E110-C110,"")</f>
        <v>11285.392909880838</v>
      </c>
      <c r="C110" s="660">
        <f ca="1">IF(A110&lt;='Symulacja Pożyczka'!$B$4,VLOOKUP(A110,Arkusz1!$A$1:$O$182,15,0),"")</f>
        <v>2583.7679624588927</v>
      </c>
      <c r="D110" s="661"/>
      <c r="E110" s="660">
        <f ca="1">IF(A110&lt;='Symulacja Pożyczka'!$B$4,'Symulacja Pożyczka'!$B$14,"")</f>
        <v>13869.160872339731</v>
      </c>
      <c r="F110" s="661"/>
      <c r="G110" s="81">
        <f ca="1">IF(A110&lt;='Symulacja Pożyczka'!$B$4,G109-B110,"")</f>
        <v>464642.23750742321</v>
      </c>
      <c r="H110" s="83" t="str">
        <f t="shared" si="1"/>
        <v/>
      </c>
      <c r="I110" s="518"/>
      <c r="L110">
        <v>83</v>
      </c>
    </row>
    <row r="111" spans="1:12" x14ac:dyDescent="0.35">
      <c r="A111" s="513">
        <f>IF('Harmonogram Pożyczka'!L111&lt;='Symulacja Pożyczka'!$B$4,'Harmonogram Pożyczka'!L111,"")</f>
        <v>84</v>
      </c>
      <c r="B111" s="81">
        <f ca="1">IF(A111&lt;='Symulacja Pożyczka'!$B$4,E111-C111,"")</f>
        <v>11343.543888189766</v>
      </c>
      <c r="C111" s="660">
        <f ca="1">IF(A111&lt;='Symulacja Pożyczka'!$B$4,VLOOKUP(A111,Arkusz1!$A$1:$O$182,15,0),"")</f>
        <v>2525.616984149965</v>
      </c>
      <c r="D111" s="661"/>
      <c r="E111" s="660">
        <f ca="1">IF(A111&lt;='Symulacja Pożyczka'!$B$4,'Symulacja Pożyczka'!$B$14,"")</f>
        <v>13869.160872339731</v>
      </c>
      <c r="F111" s="661"/>
      <c r="G111" s="81">
        <f ca="1">IF(A111&lt;='Symulacja Pożyczka'!$B$4,G110-B111,"")</f>
        <v>453298.69361923344</v>
      </c>
      <c r="H111" s="83" t="str">
        <f t="shared" si="1"/>
        <v/>
      </c>
      <c r="I111" s="518"/>
      <c r="L111">
        <v>84</v>
      </c>
    </row>
    <row r="112" spans="1:12" x14ac:dyDescent="0.35">
      <c r="A112" s="513">
        <f>IF('Harmonogram Pożyczka'!L112&lt;='Symulacja Pożyczka'!$B$4,'Harmonogram Pożyczka'!L112,"")</f>
        <v>85</v>
      </c>
      <c r="B112" s="81">
        <f ca="1">IF(A112&lt;='Symulacja Pożyczka'!$B$4,E112-C112,"")</f>
        <v>11643.65057380363</v>
      </c>
      <c r="C112" s="660">
        <f ca="1">IF(A112&lt;='Symulacja Pożyczka'!$B$4,VLOOKUP(A112,Arkusz1!$A$1:$O$182,15,0),"")</f>
        <v>2225.5102985361009</v>
      </c>
      <c r="D112" s="661"/>
      <c r="E112" s="660">
        <f ca="1">IF(A112&lt;='Symulacja Pożyczka'!$B$4,'Symulacja Pożyczka'!$B$14,"")</f>
        <v>13869.160872339731</v>
      </c>
      <c r="F112" s="661"/>
      <c r="G112" s="81">
        <f ca="1">IF(A112&lt;='Symulacja Pożyczka'!$B$4,G111-B112,"")</f>
        <v>441655.0430454298</v>
      </c>
      <c r="H112" s="83" t="str">
        <f t="shared" si="1"/>
        <v/>
      </c>
      <c r="I112" s="518"/>
      <c r="L112">
        <v>85</v>
      </c>
    </row>
    <row r="113" spans="1:12" x14ac:dyDescent="0.35">
      <c r="A113" s="513">
        <f>IF('Harmonogram Pożyczka'!L113&lt;='Symulacja Pożyczka'!$B$4,'Harmonogram Pożyczka'!L113,"")</f>
        <v>86</v>
      </c>
      <c r="B113" s="81">
        <f ca="1">IF(A113&lt;='Symulacja Pożyczka'!$B$4,E113-C113,"")</f>
        <v>11468.493460279069</v>
      </c>
      <c r="C113" s="660">
        <f ca="1">IF(A113&lt;='Symulacja Pożyczka'!$B$4,VLOOKUP(A113,Arkusz1!$A$1:$O$182,15,0),"")</f>
        <v>2400.6674120606622</v>
      </c>
      <c r="D113" s="661"/>
      <c r="E113" s="660">
        <f ca="1">IF(A113&lt;='Symulacja Pożyczka'!$B$4,'Symulacja Pożyczka'!$B$14,"")</f>
        <v>13869.160872339731</v>
      </c>
      <c r="F113" s="661"/>
      <c r="G113" s="81">
        <f ca="1">IF(A113&lt;='Symulacja Pożyczka'!$B$4,G112-B113,"")</f>
        <v>430186.54958515073</v>
      </c>
      <c r="H113" s="83" t="str">
        <f t="shared" si="1"/>
        <v/>
      </c>
      <c r="I113" s="518"/>
      <c r="L113">
        <v>86</v>
      </c>
    </row>
    <row r="114" spans="1:12" x14ac:dyDescent="0.35">
      <c r="A114" s="513">
        <f>IF('Harmonogram Pożyczka'!L114&lt;='Symulacja Pożyczka'!$B$4,'Harmonogram Pożyczka'!L114,"")</f>
        <v>87</v>
      </c>
      <c r="B114" s="81">
        <f ca="1">IF(A114&lt;='Symulacja Pożyczka'!$B$4,E114-C114,"")</f>
        <v>11606.261762193224</v>
      </c>
      <c r="C114" s="660">
        <f ca="1">IF(A114&lt;='Symulacja Pożyczka'!$B$4,VLOOKUP(A114,Arkusz1!$A$1:$O$182,15,0),"")</f>
        <v>2262.8991101465072</v>
      </c>
      <c r="D114" s="661"/>
      <c r="E114" s="660">
        <f ca="1">IF(A114&lt;='Symulacja Pożyczka'!$B$4,'Symulacja Pożyczka'!$B$14,"")</f>
        <v>13869.160872339731</v>
      </c>
      <c r="F114" s="661"/>
      <c r="G114" s="81">
        <f ca="1">IF(A114&lt;='Symulacja Pożyczka'!$B$4,G113-B114,"")</f>
        <v>418580.2878229575</v>
      </c>
      <c r="H114" s="83" t="str">
        <f t="shared" si="1"/>
        <v/>
      </c>
      <c r="I114" s="518"/>
      <c r="L114">
        <v>87</v>
      </c>
    </row>
    <row r="115" spans="1:12" x14ac:dyDescent="0.35">
      <c r="A115" s="513">
        <f>IF('Harmonogram Pożyczka'!L115&lt;='Symulacja Pożyczka'!$B$4,'Harmonogram Pożyczka'!L115,"")</f>
        <v>88</v>
      </c>
      <c r="B115" s="81">
        <f ca="1">IF(A115&lt;='Symulacja Pożyczka'!$B$4,E115-C115,"")</f>
        <v>11593.918979077362</v>
      </c>
      <c r="C115" s="660">
        <f ca="1">IF(A115&lt;='Symulacja Pożyczka'!$B$4,VLOOKUP(A115,Arkusz1!$A$1:$O$182,15,0),"")</f>
        <v>2275.2418932623696</v>
      </c>
      <c r="D115" s="661"/>
      <c r="E115" s="660">
        <f ca="1">IF(A115&lt;='Symulacja Pożyczka'!$B$4,'Symulacja Pożyczka'!$B$14,"")</f>
        <v>13869.160872339731</v>
      </c>
      <c r="F115" s="661"/>
      <c r="G115" s="81">
        <f ca="1">IF(A115&lt;='Symulacja Pożyczka'!$B$4,G114-B115,"")</f>
        <v>406986.36884388013</v>
      </c>
      <c r="H115" s="83" t="str">
        <f t="shared" si="1"/>
        <v/>
      </c>
      <c r="I115" s="518"/>
      <c r="L115">
        <v>88</v>
      </c>
    </row>
    <row r="116" spans="1:12" x14ac:dyDescent="0.35">
      <c r="A116" s="513">
        <f>IF('Harmonogram Pożyczka'!L116&lt;='Symulacja Pożyczka'!$B$4,'Harmonogram Pożyczka'!L116,"")</f>
        <v>89</v>
      </c>
      <c r="B116" s="81">
        <f ca="1">IF(A116&lt;='Symulacja Pożyczka'!$B$4,E116-C116,"")</f>
        <v>11728.301069106203</v>
      </c>
      <c r="C116" s="660">
        <f ca="1">IF(A116&lt;='Symulacja Pożyczka'!$B$4,VLOOKUP(A116,Arkusz1!$A$1:$O$182,15,0),"")</f>
        <v>2140.8598032335285</v>
      </c>
      <c r="D116" s="661"/>
      <c r="E116" s="660">
        <f ca="1">IF(A116&lt;='Symulacja Pożyczka'!$B$4,'Symulacja Pożyczka'!$B$14,"")</f>
        <v>13869.160872339731</v>
      </c>
      <c r="F116" s="661"/>
      <c r="G116" s="81">
        <f ca="1">IF(A116&lt;='Symulacja Pożyczka'!$B$4,G115-B116,"")</f>
        <v>395258.06777477392</v>
      </c>
      <c r="H116" s="83" t="str">
        <f t="shared" si="1"/>
        <v/>
      </c>
      <c r="I116" s="518"/>
      <c r="L116">
        <v>89</v>
      </c>
    </row>
    <row r="117" spans="1:12" x14ac:dyDescent="0.35">
      <c r="A117" s="513">
        <f>IF('Harmonogram Pożyczka'!L117&lt;='Symulacja Pożyczka'!$B$4,'Harmonogram Pożyczka'!L117,"")</f>
        <v>90</v>
      </c>
      <c r="B117" s="81">
        <f ca="1">IF(A117&lt;='Symulacja Pożyczka'!$B$4,E117-C117,"")</f>
        <v>11720.68962175026</v>
      </c>
      <c r="C117" s="660">
        <f ca="1">IF(A117&lt;='Symulacja Pożyczka'!$B$4,VLOOKUP(A117,Arkusz1!$A$1:$O$182,15,0),"")</f>
        <v>2148.4712505894713</v>
      </c>
      <c r="D117" s="661"/>
      <c r="E117" s="660">
        <f ca="1">IF(A117&lt;='Symulacja Pożyczka'!$B$4,'Symulacja Pożyczka'!$B$14,"")</f>
        <v>13869.160872339731</v>
      </c>
      <c r="F117" s="661"/>
      <c r="G117" s="81">
        <f ca="1">IF(A117&lt;='Symulacja Pożyczka'!$B$4,G116-B117,"")</f>
        <v>383537.37815302366</v>
      </c>
      <c r="H117" s="83" t="str">
        <f t="shared" si="1"/>
        <v/>
      </c>
      <c r="I117" s="518"/>
      <c r="L117">
        <v>90</v>
      </c>
    </row>
    <row r="118" spans="1:12" x14ac:dyDescent="0.35">
      <c r="A118" s="513">
        <f>IF('Harmonogram Pożyczka'!L118&lt;='Symulacja Pożyczka'!$B$4,'Harmonogram Pożyczka'!L118,"")</f>
        <v>91</v>
      </c>
      <c r="B118" s="81">
        <f ca="1">IF(A118&lt;='Symulacja Pożyczka'!$B$4,E118-C118,"")</f>
        <v>11784.398794927105</v>
      </c>
      <c r="C118" s="660">
        <f ca="1">IF(A118&lt;='Symulacja Pożyczka'!$B$4,VLOOKUP(A118,Arkusz1!$A$1:$O$182,15,0),"")</f>
        <v>2084.7620774126262</v>
      </c>
      <c r="D118" s="661"/>
      <c r="E118" s="660">
        <f ca="1">IF(A118&lt;='Symulacja Pożyczka'!$B$4,'Symulacja Pożyczka'!$B$14,"")</f>
        <v>13869.160872339731</v>
      </c>
      <c r="F118" s="661"/>
      <c r="G118" s="81">
        <f ca="1">IF(A118&lt;='Symulacja Pożyczka'!$B$4,G117-B118,"")</f>
        <v>371752.97935809655</v>
      </c>
      <c r="H118" s="83" t="str">
        <f t="shared" si="1"/>
        <v/>
      </c>
      <c r="I118" s="518"/>
      <c r="L118">
        <v>91</v>
      </c>
    </row>
    <row r="119" spans="1:12" x14ac:dyDescent="0.35">
      <c r="A119" s="513">
        <f>IF('Harmonogram Pożyczka'!L119&lt;='Symulacja Pożyczka'!$B$4,'Harmonogram Pożyczka'!L119,"")</f>
        <v>92</v>
      </c>
      <c r="B119" s="81">
        <f ca="1">IF(A119&lt;='Symulacja Pożyczka'!$B$4,E119-C119,"")</f>
        <v>11913.638350784831</v>
      </c>
      <c r="C119" s="660">
        <f ca="1">IF(A119&lt;='Symulacja Pożyczka'!$B$4,VLOOKUP(A119,Arkusz1!$A$1:$O$182,15,0),"")</f>
        <v>1955.5225215548999</v>
      </c>
      <c r="D119" s="661"/>
      <c r="E119" s="660">
        <f ca="1">IF(A119&lt;='Symulacja Pożyczka'!$B$4,'Symulacja Pożyczka'!$B$14,"")</f>
        <v>13869.160872339731</v>
      </c>
      <c r="F119" s="661"/>
      <c r="G119" s="81">
        <f ca="1">IF(A119&lt;='Symulacja Pożyczka'!$B$4,G118-B119,"")</f>
        <v>359839.34100731171</v>
      </c>
      <c r="H119" s="83" t="str">
        <f t="shared" si="1"/>
        <v/>
      </c>
      <c r="I119" s="518"/>
      <c r="L119">
        <v>92</v>
      </c>
    </row>
    <row r="120" spans="1:12" x14ac:dyDescent="0.35">
      <c r="A120" s="513">
        <f>IF('Harmonogram Pożyczka'!L120&lt;='Symulacja Pożyczka'!$B$4,'Harmonogram Pożyczka'!L120,"")</f>
        <v>93</v>
      </c>
      <c r="B120" s="81">
        <f ca="1">IF(A120&lt;='Symulacja Pożyczka'!$B$4,E120-C120,"")</f>
        <v>11913.212235193112</v>
      </c>
      <c r="C120" s="660">
        <f ca="1">IF(A120&lt;='Symulacja Pożyczka'!$B$4,VLOOKUP(A120,Arkusz1!$A$1:$O$182,15,0),"")</f>
        <v>1955.9486371466191</v>
      </c>
      <c r="D120" s="661"/>
      <c r="E120" s="660">
        <f ca="1">IF(A120&lt;='Symulacja Pożyczka'!$B$4,'Symulacja Pożyczka'!$B$14,"")</f>
        <v>13869.160872339731</v>
      </c>
      <c r="F120" s="661"/>
      <c r="G120" s="81">
        <f ca="1">IF(A120&lt;='Symulacja Pożyczka'!$B$4,G119-B120,"")</f>
        <v>347926.12877211859</v>
      </c>
      <c r="H120" s="83" t="str">
        <f t="shared" si="1"/>
        <v/>
      </c>
      <c r="I120" s="518"/>
      <c r="L120">
        <v>93</v>
      </c>
    </row>
    <row r="121" spans="1:12" x14ac:dyDescent="0.35">
      <c r="A121" s="513">
        <f>IF('Harmonogram Pożyczka'!L121&lt;='Symulacja Pożyczka'!$B$4,'Harmonogram Pożyczka'!L121,"")</f>
        <v>94</v>
      </c>
      <c r="B121" s="81">
        <f ca="1">IF(A121&lt;='Symulacja Pożyczka'!$B$4,E121-C121,"")</f>
        <v>12038.974112771388</v>
      </c>
      <c r="C121" s="660">
        <f ca="1">IF(A121&lt;='Symulacja Pożyczka'!$B$4,VLOOKUP(A121,Arkusz1!$A$1:$O$182,15,0),"")</f>
        <v>1830.1867595683434</v>
      </c>
      <c r="D121" s="661"/>
      <c r="E121" s="660">
        <f ca="1">IF(A121&lt;='Symulacja Pożyczka'!$B$4,'Symulacja Pożyczka'!$B$14,"")</f>
        <v>13869.160872339731</v>
      </c>
      <c r="F121" s="661"/>
      <c r="G121" s="81">
        <f ca="1">IF(A121&lt;='Symulacja Pożyczka'!$B$4,G120-B121,"")</f>
        <v>335887.1546593472</v>
      </c>
      <c r="H121" s="83" t="str">
        <f t="shared" si="1"/>
        <v/>
      </c>
      <c r="I121" s="518"/>
      <c r="L121">
        <v>94</v>
      </c>
    </row>
    <row r="122" spans="1:12" x14ac:dyDescent="0.35">
      <c r="A122" s="513">
        <f>IF('Harmonogram Pożyczka'!L122&lt;='Symulacja Pożyczka'!$B$4,'Harmonogram Pożyczka'!L122,"")</f>
        <v>95</v>
      </c>
      <c r="B122" s="81">
        <f ca="1">IF(A122&lt;='Symulacja Pożyczka'!$B$4,E122-C122,"")</f>
        <v>12043.407133040711</v>
      </c>
      <c r="C122" s="660">
        <f ca="1">IF(A122&lt;='Symulacja Pożyczka'!$B$4,VLOOKUP(A122,Arkusz1!$A$1:$O$182,15,0),"")</f>
        <v>1825.7537392990198</v>
      </c>
      <c r="D122" s="661"/>
      <c r="E122" s="660">
        <f ca="1">IF(A122&lt;='Symulacja Pożyczka'!$B$4,'Symulacja Pożyczka'!$B$14,"")</f>
        <v>13869.160872339731</v>
      </c>
      <c r="F122" s="661"/>
      <c r="G122" s="81">
        <f ca="1">IF(A122&lt;='Symulacja Pożyczka'!$B$4,G121-B122,"")</f>
        <v>323843.74752630648</v>
      </c>
      <c r="H122" s="83" t="str">
        <f t="shared" si="1"/>
        <v/>
      </c>
      <c r="I122" s="518"/>
      <c r="L122">
        <v>95</v>
      </c>
    </row>
    <row r="123" spans="1:12" x14ac:dyDescent="0.35">
      <c r="A123" s="513">
        <f>IF('Harmonogram Pożyczka'!L123&lt;='Symulacja Pożyczka'!$B$4,'Harmonogram Pożyczka'!L123,"")</f>
        <v>96</v>
      </c>
      <c r="B123" s="81">
        <f ca="1">IF(A123&lt;='Symulacja Pożyczka'!$B$4,E123-C123,"")</f>
        <v>12108.870474826888</v>
      </c>
      <c r="C123" s="660">
        <f ca="1">IF(A123&lt;='Symulacja Pożyczka'!$B$4,VLOOKUP(A123,Arkusz1!$A$1:$O$182,15,0),"")</f>
        <v>1760.2903975128429</v>
      </c>
      <c r="D123" s="661"/>
      <c r="E123" s="660">
        <f ca="1">IF(A123&lt;='Symulacja Pożyczka'!$B$4,'Symulacja Pożyczka'!$B$14,"")</f>
        <v>13869.160872339731</v>
      </c>
      <c r="F123" s="661"/>
      <c r="G123" s="81">
        <f ca="1">IF(A123&lt;='Symulacja Pożyczka'!$B$4,G122-B123,"")</f>
        <v>311734.87705147959</v>
      </c>
      <c r="H123" s="83" t="str">
        <f t="shared" si="1"/>
        <v/>
      </c>
      <c r="I123" s="518"/>
      <c r="L123">
        <v>96</v>
      </c>
    </row>
    <row r="124" spans="1:12" x14ac:dyDescent="0.35">
      <c r="A124" s="513">
        <f>IF('Harmonogram Pożyczka'!L124&lt;='Symulacja Pożyczka'!$B$4,'Harmonogram Pożyczka'!L124,"")</f>
        <v>97</v>
      </c>
      <c r="B124" s="81">
        <f ca="1">IF(A124&lt;='Symulacja Pożyczka'!$B$4,E124-C124,"")</f>
        <v>12338.670736240392</v>
      </c>
      <c r="C124" s="660">
        <f ca="1">IF(A124&lt;='Symulacja Pożyczka'!$B$4,VLOOKUP(A124,Arkusz1!$A$1:$O$182,15,0),"")</f>
        <v>1530.490136099339</v>
      </c>
      <c r="D124" s="661"/>
      <c r="E124" s="660">
        <f ca="1">IF(A124&lt;='Symulacja Pożyczka'!$B$4,'Symulacja Pożyczka'!$B$14,"")</f>
        <v>13869.160872339731</v>
      </c>
      <c r="F124" s="661"/>
      <c r="G124" s="81">
        <f ca="1">IF(A124&lt;='Symulacja Pożyczka'!$B$4,G123-B124,"")</f>
        <v>299396.20631523919</v>
      </c>
      <c r="H124" s="83" t="str">
        <f t="shared" si="1"/>
        <v/>
      </c>
      <c r="I124" s="518"/>
      <c r="L124">
        <v>97</v>
      </c>
    </row>
    <row r="125" spans="1:12" x14ac:dyDescent="0.35">
      <c r="A125" s="513">
        <f>IF('Harmonogram Pożyczka'!L125&lt;='Symulacja Pożyczka'!$B$4,'Harmonogram Pożyczka'!L125,"")</f>
        <v>98</v>
      </c>
      <c r="B125" s="81">
        <f ca="1">IF(A125&lt;='Symulacja Pożyczka'!$B$4,E125-C125,"")</f>
        <v>12241.757931711147</v>
      </c>
      <c r="C125" s="660">
        <f ca="1">IF(A125&lt;='Symulacja Pożyczka'!$B$4,VLOOKUP(A125,Arkusz1!$A$1:$O$182,15,0),"")</f>
        <v>1627.4029406285845</v>
      </c>
      <c r="D125" s="661"/>
      <c r="E125" s="660">
        <f ca="1">IF(A125&lt;='Symulacja Pożyczka'!$B$4,'Symulacja Pożyczka'!$B$14,"")</f>
        <v>13869.160872339731</v>
      </c>
      <c r="F125" s="661"/>
      <c r="G125" s="81">
        <f ca="1">IF(A125&lt;='Symulacja Pożyczka'!$B$4,G124-B125,"")</f>
        <v>287154.44838352804</v>
      </c>
      <c r="H125" s="83" t="str">
        <f t="shared" si="1"/>
        <v/>
      </c>
      <c r="I125" s="518"/>
      <c r="L125">
        <v>98</v>
      </c>
    </row>
    <row r="126" spans="1:12" x14ac:dyDescent="0.35">
      <c r="A126" s="513">
        <f>IF('Harmonogram Pożyczka'!L126&lt;='Symulacja Pożyczka'!$B$4,'Harmonogram Pożyczka'!L126,"")</f>
        <v>99</v>
      </c>
      <c r="B126" s="81">
        <f ca="1">IF(A126&lt;='Symulacja Pożyczka'!$B$4,E126-C126,"")</f>
        <v>12358.649801390764</v>
      </c>
      <c r="C126" s="660">
        <f ca="1">IF(A126&lt;='Symulacja Pożyczka'!$B$4,VLOOKUP(A126,Arkusz1!$A$1:$O$182,15,0),"")</f>
        <v>1510.5110709489672</v>
      </c>
      <c r="D126" s="661"/>
      <c r="E126" s="660">
        <f ca="1">IF(A126&lt;='Symulacja Pożyczka'!$B$4,'Symulacja Pożyczka'!$B$14,"")</f>
        <v>13869.160872339731</v>
      </c>
      <c r="F126" s="661"/>
      <c r="G126" s="81">
        <f ca="1">IF(A126&lt;='Symulacja Pożyczka'!$B$4,G125-B126,"")</f>
        <v>274795.79858213727</v>
      </c>
      <c r="H126" s="83" t="str">
        <f t="shared" si="1"/>
        <v/>
      </c>
      <c r="I126" s="518"/>
      <c r="L126">
        <v>99</v>
      </c>
    </row>
    <row r="127" spans="1:12" x14ac:dyDescent="0.35">
      <c r="A127" s="513">
        <f>IF('Harmonogram Pożyczka'!L127&lt;='Symulacja Pożyczka'!$B$4,'Harmonogram Pożyczka'!L127,"")</f>
        <v>100</v>
      </c>
      <c r="B127" s="81">
        <f ca="1">IF(A127&lt;='Symulacja Pożyczka'!$B$4,E127-C127,"")</f>
        <v>12375.476312375447</v>
      </c>
      <c r="C127" s="660">
        <f ca="1">IF(A127&lt;='Symulacja Pożyczka'!$B$4,VLOOKUP(A127,Arkusz1!$A$1:$O$182,15,0),"")</f>
        <v>1493.6845599642838</v>
      </c>
      <c r="D127" s="661"/>
      <c r="E127" s="660">
        <f ca="1">IF(A127&lt;='Symulacja Pożyczka'!$B$4,'Symulacja Pożyczka'!$B$14,"")</f>
        <v>13869.160872339731</v>
      </c>
      <c r="F127" s="661"/>
      <c r="G127" s="81">
        <f ca="1">IF(A127&lt;='Symulacja Pożyczka'!$B$4,G126-B127,"")</f>
        <v>262420.32226976182</v>
      </c>
      <c r="H127" s="83" t="str">
        <f t="shared" si="1"/>
        <v/>
      </c>
      <c r="I127" s="518"/>
      <c r="L127">
        <v>100</v>
      </c>
    </row>
    <row r="128" spans="1:12" x14ac:dyDescent="0.35">
      <c r="A128" s="513">
        <f>IF('Harmonogram Pożyczka'!L128&lt;='Symulacja Pożyczka'!$B$4,'Harmonogram Pożyczka'!L128,"")</f>
        <v>101</v>
      </c>
      <c r="B128" s="81">
        <f ca="1">IF(A128&lt;='Symulacja Pożyczka'!$B$4,E128-C128,"")</f>
        <v>12488.758081222122</v>
      </c>
      <c r="C128" s="660">
        <f ca="1">IF(A128&lt;='Symulacja Pożyczka'!$B$4,VLOOKUP(A128,Arkusz1!$A$1:$O$182,15,0),"")</f>
        <v>1380.402791117609</v>
      </c>
      <c r="D128" s="661"/>
      <c r="E128" s="660">
        <f ca="1">IF(A128&lt;='Symulacja Pożyczka'!$B$4,'Symulacja Pożyczka'!$B$14,"")</f>
        <v>13869.160872339731</v>
      </c>
      <c r="F128" s="661"/>
      <c r="G128" s="81">
        <f ca="1">IF(A128&lt;='Symulacja Pożyczka'!$B$4,G127-B128,"")</f>
        <v>249931.56418853969</v>
      </c>
      <c r="H128" s="83" t="str">
        <f t="shared" si="1"/>
        <v/>
      </c>
      <c r="I128" s="518"/>
      <c r="L128">
        <v>101</v>
      </c>
    </row>
    <row r="129" spans="1:12" x14ac:dyDescent="0.35">
      <c r="A129" s="513">
        <f>IF('Harmonogram Pożyczka'!L129&lt;='Symulacja Pożyczka'!$B$4,'Harmonogram Pożyczka'!L129,"")</f>
        <v>102</v>
      </c>
      <c r="B129" s="81">
        <f ca="1">IF(A129&lt;='Symulacja Pożyczka'!$B$4,E129-C129,"")</f>
        <v>12510.628753572435</v>
      </c>
      <c r="C129" s="660">
        <f ca="1">IF(A129&lt;='Symulacja Pożyczka'!$B$4,VLOOKUP(A129,Arkusz1!$A$1:$O$182,15,0),"")</f>
        <v>1358.5321187672962</v>
      </c>
      <c r="D129" s="661"/>
      <c r="E129" s="660">
        <f ca="1">IF(A129&lt;='Symulacja Pożyczka'!$B$4,'Symulacja Pożyczka'!$B$14,"")</f>
        <v>13869.160872339731</v>
      </c>
      <c r="F129" s="661"/>
      <c r="G129" s="81">
        <f ca="1">IF(A129&lt;='Symulacja Pożyczka'!$B$4,G128-B129,"")</f>
        <v>237420.93543496725</v>
      </c>
      <c r="H129" s="83" t="str">
        <f t="shared" si="1"/>
        <v/>
      </c>
      <c r="I129" s="518"/>
      <c r="L129">
        <v>102</v>
      </c>
    </row>
    <row r="130" spans="1:12" x14ac:dyDescent="0.35">
      <c r="A130" s="513">
        <f>IF('Harmonogram Pożyczka'!L130&lt;='Symulacja Pożyczka'!$B$4,'Harmonogram Pożyczka'!L130,"")</f>
        <v>103</v>
      </c>
      <c r="B130" s="81">
        <f ca="1">IF(A130&lt;='Symulacja Pożyczka'!$B$4,E130-C130,"")</f>
        <v>12578.631732879521</v>
      </c>
      <c r="C130" s="660">
        <f ca="1">IF(A130&lt;='Symulacja Pożyczka'!$B$4,VLOOKUP(A130,Arkusz1!$A$1:$O$182,15,0),"")</f>
        <v>1290.52913946021</v>
      </c>
      <c r="D130" s="661"/>
      <c r="E130" s="660">
        <f ca="1">IF(A130&lt;='Symulacja Pożyczka'!$B$4,'Symulacja Pożyczka'!$B$14,"")</f>
        <v>13869.160872339731</v>
      </c>
      <c r="F130" s="661"/>
      <c r="G130" s="81">
        <f ca="1">IF(A130&lt;='Symulacja Pożyczka'!$B$4,G129-B130,"")</f>
        <v>224842.30370208772</v>
      </c>
      <c r="H130" s="83" t="str">
        <f t="shared" si="1"/>
        <v/>
      </c>
      <c r="I130" s="518"/>
      <c r="L130">
        <v>103</v>
      </c>
    </row>
    <row r="131" spans="1:12" x14ac:dyDescent="0.35">
      <c r="A131" s="513">
        <f>IF('Harmonogram Pożyczka'!L131&lt;='Symulacja Pożyczka'!$B$4,'Harmonogram Pożyczka'!L131,"")</f>
        <v>104</v>
      </c>
      <c r="B131" s="81">
        <f ca="1">IF(A131&lt;='Symulacja Pożyczka'!$B$4,E131-C131,"")</f>
        <v>12686.428754235612</v>
      </c>
      <c r="C131" s="660">
        <f ca="1">IF(A131&lt;='Symulacja Pożyczka'!$B$4,VLOOKUP(A131,Arkusz1!$A$1:$O$182,15,0),"")</f>
        <v>1182.7321181041189</v>
      </c>
      <c r="D131" s="661"/>
      <c r="E131" s="660">
        <f ca="1">IF(A131&lt;='Symulacja Pożyczka'!$B$4,'Symulacja Pożyczka'!$B$14,"")</f>
        <v>13869.160872339731</v>
      </c>
      <c r="F131" s="661"/>
      <c r="G131" s="81">
        <f ca="1">IF(A131&lt;='Symulacja Pożyczka'!$B$4,G130-B131,"")</f>
        <v>212155.87494785211</v>
      </c>
      <c r="H131" s="83" t="str">
        <f t="shared" si="1"/>
        <v/>
      </c>
      <c r="I131" s="518"/>
      <c r="L131">
        <v>104</v>
      </c>
    </row>
    <row r="132" spans="1:12" x14ac:dyDescent="0.35">
      <c r="A132" s="513">
        <f>IF('Harmonogram Pożyczka'!L132&lt;='Symulacja Pożyczka'!$B$4,'Harmonogram Pożyczka'!L132,"")</f>
        <v>105</v>
      </c>
      <c r="B132" s="81">
        <f ca="1">IF(A132&lt;='Symulacja Pożyczka'!$B$4,E132-C132,"")</f>
        <v>12715.96291097934</v>
      </c>
      <c r="C132" s="660">
        <f ca="1">IF(A132&lt;='Symulacja Pożyczka'!$B$4,VLOOKUP(A132,Arkusz1!$A$1:$O$182,15,0),"")</f>
        <v>1153.1979613603908</v>
      </c>
      <c r="D132" s="661"/>
      <c r="E132" s="660">
        <f ca="1">IF(A132&lt;='Symulacja Pożyczka'!$B$4,'Symulacja Pożyczka'!$B$14,"")</f>
        <v>13869.160872339731</v>
      </c>
      <c r="F132" s="661"/>
      <c r="G132" s="81">
        <f ca="1">IF(A132&lt;='Symulacja Pożyczka'!$B$4,G131-B132,"")</f>
        <v>199439.91203687276</v>
      </c>
      <c r="H132" s="83" t="str">
        <f t="shared" si="1"/>
        <v/>
      </c>
      <c r="I132" s="518"/>
      <c r="L132">
        <v>105</v>
      </c>
    </row>
    <row r="133" spans="1:12" x14ac:dyDescent="0.35">
      <c r="A133" s="513">
        <f>IF('Harmonogram Pożyczka'!L133&lt;='Symulacja Pożyczka'!$B$4,'Harmonogram Pożyczka'!L133,"")</f>
        <v>106</v>
      </c>
      <c r="B133" s="81">
        <f ca="1">IF(A133&lt;='Symulacja Pożyczka'!$B$4,E133-C133,"")</f>
        <v>12820.052293954004</v>
      </c>
      <c r="C133" s="660">
        <f ca="1">IF(A133&lt;='Symulacja Pożyczka'!$B$4,VLOOKUP(A133,Arkusz1!$A$1:$O$182,15,0),"")</f>
        <v>1049.108578385727</v>
      </c>
      <c r="D133" s="661"/>
      <c r="E133" s="660">
        <f ca="1">IF(A133&lt;='Symulacja Pożyczka'!$B$4,'Symulacja Pożyczka'!$B$14,"")</f>
        <v>13869.160872339731</v>
      </c>
      <c r="F133" s="661"/>
      <c r="G133" s="81">
        <f ca="1">IF(A133&lt;='Symulacja Pożyczka'!$B$4,G132-B133,"")</f>
        <v>186619.85974291875</v>
      </c>
      <c r="H133" s="83" t="str">
        <f t="shared" si="1"/>
        <v/>
      </c>
      <c r="I133" s="518"/>
      <c r="L133">
        <v>106</v>
      </c>
    </row>
    <row r="134" spans="1:12" x14ac:dyDescent="0.35">
      <c r="A134" s="513">
        <f>IF('Harmonogram Pożyczka'!L134&lt;='Symulacja Pożyczka'!$B$4,'Harmonogram Pożyczka'!L134,"")</f>
        <v>107</v>
      </c>
      <c r="B134" s="81">
        <f ca="1">IF(A134&lt;='Symulacja Pożyczka'!$B$4,E134-C134,"")</f>
        <v>12854.766894997383</v>
      </c>
      <c r="C134" s="660">
        <f ca="1">IF(A134&lt;='Symulacja Pożyczka'!$B$4,VLOOKUP(A134,Arkusz1!$A$1:$O$182,15,0),"")</f>
        <v>1014.3939773423481</v>
      </c>
      <c r="D134" s="661"/>
      <c r="E134" s="660">
        <f ca="1">IF(A134&lt;='Symulacja Pożyczka'!$B$4,'Symulacja Pożyczka'!$B$14,"")</f>
        <v>13869.160872339731</v>
      </c>
      <c r="F134" s="661"/>
      <c r="G134" s="81">
        <f ca="1">IF(A134&lt;='Symulacja Pożyczka'!$B$4,G133-B134,"")</f>
        <v>173765.09284792136</v>
      </c>
      <c r="H134" s="83" t="str">
        <f t="shared" si="1"/>
        <v/>
      </c>
      <c r="I134" s="518"/>
      <c r="L134">
        <v>107</v>
      </c>
    </row>
    <row r="135" spans="1:12" x14ac:dyDescent="0.35">
      <c r="A135" s="513">
        <f>IF('Harmonogram Pożyczka'!L135&lt;='Symulacja Pożyczka'!$B$4,'Harmonogram Pożyczka'!L135,"")</f>
        <v>108</v>
      </c>
      <c r="B135" s="81">
        <f ca="1">IF(A135&lt;='Symulacja Pożyczka'!$B$4,E135-C135,"")</f>
        <v>12924.640477243078</v>
      </c>
      <c r="C135" s="660">
        <f ca="1">IF(A135&lt;='Symulacja Pożyczka'!$B$4,VLOOKUP(A135,Arkusz1!$A$1:$O$182,15,0),"")</f>
        <v>944.52039509665337</v>
      </c>
      <c r="D135" s="661"/>
      <c r="E135" s="660">
        <f ca="1">IF(A135&lt;='Symulacja Pożyczka'!$B$4,'Symulacja Pożyczka'!$B$14,"")</f>
        <v>13869.160872339731</v>
      </c>
      <c r="F135" s="661"/>
      <c r="G135" s="81">
        <f ca="1">IF(A135&lt;='Symulacja Pożyczka'!$B$4,G134-B135,"")</f>
        <v>160840.45237067828</v>
      </c>
      <c r="H135" s="83" t="str">
        <f t="shared" si="1"/>
        <v/>
      </c>
      <c r="I135" s="518"/>
      <c r="L135">
        <v>108</v>
      </c>
    </row>
    <row r="136" spans="1:12" x14ac:dyDescent="0.35">
      <c r="A136" s="513">
        <f>IF('Harmonogram Pożyczka'!L136&lt;='Symulacja Pożyczka'!$B$4,'Harmonogram Pożyczka'!L136,"")</f>
        <v>109</v>
      </c>
      <c r="B136" s="81">
        <f ca="1">IF(A136&lt;='Symulacja Pożyczka'!$B$4,E136-C136,"")</f>
        <v>13079.500350015727</v>
      </c>
      <c r="C136" s="660">
        <f ca="1">IF(A136&lt;='Symulacja Pożyczka'!$B$4,VLOOKUP(A136,Arkusz1!$A$1:$O$182,15,0),"")</f>
        <v>789.66052232400398</v>
      </c>
      <c r="D136" s="661"/>
      <c r="E136" s="660">
        <f ca="1">IF(A136&lt;='Symulacja Pożyczka'!$B$4,'Symulacja Pożyczka'!$B$14,"")</f>
        <v>13869.160872339731</v>
      </c>
      <c r="F136" s="661"/>
      <c r="G136" s="81">
        <f ca="1">IF(A136&lt;='Symulacja Pożyczka'!$B$4,G135-B136,"")</f>
        <v>147760.95202066255</v>
      </c>
      <c r="H136" s="83" t="str">
        <f t="shared" si="1"/>
        <v/>
      </c>
      <c r="I136" s="518"/>
      <c r="L136">
        <v>109</v>
      </c>
    </row>
    <row r="137" spans="1:12" x14ac:dyDescent="0.35">
      <c r="A137" s="513">
        <f>IF('Harmonogram Pożyczka'!L137&lt;='Symulacja Pożyczka'!$B$4,'Harmonogram Pożyczka'!L137,"")</f>
        <v>110</v>
      </c>
      <c r="B137" s="81">
        <f ca="1">IF(A137&lt;='Symulacja Pożyczka'!$B$4,E137-C137,"")</f>
        <v>13065.989012589062</v>
      </c>
      <c r="C137" s="660">
        <f ca="1">IF(A137&lt;='Symulacja Pożyczka'!$B$4,VLOOKUP(A137,Arkusz1!$A$1:$O$182,15,0),"")</f>
        <v>803.17185975066968</v>
      </c>
      <c r="D137" s="661"/>
      <c r="E137" s="660">
        <f ca="1">IF(A137&lt;='Symulacja Pożyczka'!$B$4,'Symulacja Pożyczka'!$B$14,"")</f>
        <v>13869.160872339731</v>
      </c>
      <c r="F137" s="661"/>
      <c r="G137" s="81">
        <f ca="1">IF(A137&lt;='Symulacja Pożyczka'!$B$4,G136-B137,"")</f>
        <v>134694.96300807348</v>
      </c>
      <c r="H137" s="83" t="str">
        <f t="shared" si="1"/>
        <v/>
      </c>
      <c r="I137" s="518"/>
      <c r="L137">
        <v>110</v>
      </c>
    </row>
    <row r="138" spans="1:12" x14ac:dyDescent="0.35">
      <c r="A138" s="513">
        <f>IF('Harmonogram Pożyczka'!L138&lt;='Symulacja Pożyczka'!$B$4,'Harmonogram Pożyczka'!L138,"")</f>
        <v>111</v>
      </c>
      <c r="B138" s="81">
        <f ca="1">IF(A138&lt;='Symulacja Pożyczka'!$B$4,E138-C138,"")</f>
        <v>13160.628464187694</v>
      </c>
      <c r="C138" s="660">
        <f ca="1">IF(A138&lt;='Symulacja Pożyczka'!$B$4,VLOOKUP(A138,Arkusz1!$A$1:$O$182,15,0),"")</f>
        <v>708.53240815203753</v>
      </c>
      <c r="D138" s="661"/>
      <c r="E138" s="660">
        <f ca="1">IF(A138&lt;='Symulacja Pożyczka'!$B$4,'Symulacja Pożyczka'!$B$14,"")</f>
        <v>13869.160872339731</v>
      </c>
      <c r="F138" s="661"/>
      <c r="G138" s="81">
        <f ca="1">IF(A138&lt;='Symulacja Pożyczka'!$B$4,G137-B138,"")</f>
        <v>121534.33454388578</v>
      </c>
      <c r="H138" s="83" t="str">
        <f t="shared" si="1"/>
        <v/>
      </c>
      <c r="I138" s="518"/>
      <c r="L138">
        <v>111</v>
      </c>
    </row>
    <row r="139" spans="1:12" x14ac:dyDescent="0.35">
      <c r="A139" s="513">
        <f>IF('Harmonogram Pożyczka'!L139&lt;='Symulacja Pożyczka'!$B$4,'Harmonogram Pożyczka'!L139,"")</f>
        <v>112</v>
      </c>
      <c r="B139" s="81">
        <f ca="1">IF(A139&lt;='Symulacja Pożyczka'!$B$4,E139-C139,"")</f>
        <v>13208.546845668296</v>
      </c>
      <c r="C139" s="660">
        <f ca="1">IF(A139&lt;='Symulacja Pożyczka'!$B$4,VLOOKUP(A139,Arkusz1!$A$1:$O$182,15,0),"")</f>
        <v>660.61402667143557</v>
      </c>
      <c r="D139" s="661"/>
      <c r="E139" s="660">
        <f ca="1">IF(A139&lt;='Symulacja Pożyczka'!$B$4,'Symulacja Pożyczka'!$B$14,"")</f>
        <v>13869.160872339731</v>
      </c>
      <c r="F139" s="661"/>
      <c r="G139" s="81">
        <f ca="1">IF(A139&lt;='Symulacja Pożyczka'!$B$4,G138-B139,"")</f>
        <v>108325.78769821748</v>
      </c>
      <c r="H139" s="83" t="str">
        <f t="shared" si="1"/>
        <v/>
      </c>
      <c r="I139" s="518"/>
      <c r="L139">
        <v>112</v>
      </c>
    </row>
    <row r="140" spans="1:12" x14ac:dyDescent="0.35">
      <c r="A140" s="513">
        <f>IF('Harmonogram Pożyczka'!L140&lt;='Symulacja Pożyczka'!$B$4,'Harmonogram Pożyczka'!L140,"")</f>
        <v>113</v>
      </c>
      <c r="B140" s="81">
        <f ca="1">IF(A140&lt;='Symulacja Pożyczka'!$B$4,E140-C140,"")</f>
        <v>13299.337550749124</v>
      </c>
      <c r="C140" s="660">
        <f ca="1">IF(A140&lt;='Symulacja Pożyczka'!$B$4,VLOOKUP(A140,Arkusz1!$A$1:$O$182,15,0),"")</f>
        <v>569.82332159060752</v>
      </c>
      <c r="D140" s="661"/>
      <c r="E140" s="660">
        <f ca="1">IF(A140&lt;='Symulacja Pożyczka'!$B$4,'Symulacja Pożyczka'!$B$14,"")</f>
        <v>13869.160872339731</v>
      </c>
      <c r="F140" s="661"/>
      <c r="G140" s="81">
        <f ca="1">IF(A140&lt;='Symulacja Pożyczka'!$B$4,G139-B140,"")</f>
        <v>95026.450147468349</v>
      </c>
      <c r="H140" s="83" t="str">
        <f t="shared" si="1"/>
        <v/>
      </c>
      <c r="I140" s="518"/>
      <c r="L140">
        <v>113</v>
      </c>
    </row>
    <row r="141" spans="1:12" x14ac:dyDescent="0.35">
      <c r="A141" s="513">
        <f>IF('Harmonogram Pożyczka'!L141&lt;='Symulacja Pożyczka'!$B$4,'Harmonogram Pożyczka'!L141,"")</f>
        <v>114</v>
      </c>
      <c r="B141" s="81">
        <f ca="1">IF(A141&lt;='Symulacja Pożyczka'!$B$4,E141-C141,"")</f>
        <v>13352.633537839511</v>
      </c>
      <c r="C141" s="660">
        <f ca="1">IF(A141&lt;='Symulacja Pożyczka'!$B$4,VLOOKUP(A141,Arkusz1!$A$1:$O$182,15,0),"")</f>
        <v>516.5273345002206</v>
      </c>
      <c r="D141" s="661"/>
      <c r="E141" s="660">
        <f ca="1">IF(A141&lt;='Symulacja Pożyczka'!$B$4,'Symulacja Pożyczka'!$B$14,"")</f>
        <v>13869.160872339731</v>
      </c>
      <c r="F141" s="661"/>
      <c r="G141" s="81">
        <f ca="1">IF(A141&lt;='Symulacja Pożyczka'!$B$4,G140-B141,"")</f>
        <v>81673.816609628833</v>
      </c>
      <c r="H141" s="83" t="str">
        <f t="shared" si="1"/>
        <v/>
      </c>
      <c r="I141" s="518"/>
      <c r="L141">
        <v>114</v>
      </c>
    </row>
    <row r="142" spans="1:12" x14ac:dyDescent="0.35">
      <c r="A142" s="513">
        <f>IF('Harmonogram Pożyczka'!L142&lt;='Symulacja Pożyczka'!$B$4,'Harmonogram Pożyczka'!L142,"")</f>
        <v>115</v>
      </c>
      <c r="B142" s="81">
        <f ca="1">IF(A142&lt;='Symulacja Pożyczka'!$B$4,E142-C142,"")</f>
        <v>13425.213332193141</v>
      </c>
      <c r="C142" s="660">
        <f ca="1">IF(A142&lt;='Symulacja Pożyczka'!$B$4,VLOOKUP(A142,Arkusz1!$A$1:$O$182,15,0),"")</f>
        <v>443.94754014658974</v>
      </c>
      <c r="D142" s="661"/>
      <c r="E142" s="660">
        <f ca="1">IF(A142&lt;='Symulacja Pożyczka'!$B$4,'Symulacja Pożyczka'!$B$14,"")</f>
        <v>13869.160872339731</v>
      </c>
      <c r="F142" s="661"/>
      <c r="G142" s="81">
        <f ca="1">IF(A142&lt;='Symulacja Pożyczka'!$B$4,G141-B142,"")</f>
        <v>68248.603277435686</v>
      </c>
      <c r="H142" s="83" t="str">
        <f t="shared" si="1"/>
        <v/>
      </c>
      <c r="I142" s="518"/>
      <c r="L142">
        <v>115</v>
      </c>
    </row>
    <row r="143" spans="1:12" x14ac:dyDescent="0.35">
      <c r="A143" s="513">
        <f>IF('Harmonogram Pożyczka'!L143&lt;='Symulacja Pożyczka'!$B$4,'Harmonogram Pożyczka'!L143,"")</f>
        <v>116</v>
      </c>
      <c r="B143" s="81">
        <f ca="1">IF(A143&lt;='Symulacja Pożyczka'!$B$4,E143-C143,"")</f>
        <v>13510.154520852951</v>
      </c>
      <c r="C143" s="660">
        <f ca="1">IF(A143&lt;='Symulacja Pożyczka'!$B$4,VLOOKUP(A143,Arkusz1!$A$1:$O$182,15,0),"")</f>
        <v>359.00635148677975</v>
      </c>
      <c r="D143" s="661"/>
      <c r="E143" s="660">
        <f ca="1">IF(A143&lt;='Symulacja Pożyczka'!$B$4,'Symulacja Pożyczka'!$B$14,"")</f>
        <v>13869.160872339731</v>
      </c>
      <c r="F143" s="661"/>
      <c r="G143" s="81">
        <f ca="1">IF(A143&lt;='Symulacja Pożyczka'!$B$4,G142-B143,"")</f>
        <v>54738.448756582737</v>
      </c>
      <c r="H143" s="83" t="str">
        <f t="shared" si="1"/>
        <v/>
      </c>
      <c r="I143" s="518"/>
      <c r="L143">
        <v>116</v>
      </c>
    </row>
    <row r="144" spans="1:12" x14ac:dyDescent="0.35">
      <c r="A144" s="513">
        <f>IF('Harmonogram Pożyczka'!L144&lt;='Symulacja Pożyczka'!$B$4,'Harmonogram Pożyczka'!L144,"")</f>
        <v>117</v>
      </c>
      <c r="B144" s="81">
        <f ca="1">IF(A144&lt;='Symulacja Pożyczka'!$B$4,E144-C144,"")</f>
        <v>13571.623660468331</v>
      </c>
      <c r="C144" s="660">
        <f ca="1">IF(A144&lt;='Symulacja Pożyczka'!$B$4,VLOOKUP(A144,Arkusz1!$A$1:$O$182,15,0),"")</f>
        <v>297.53721187140036</v>
      </c>
      <c r="D144" s="661"/>
      <c r="E144" s="660">
        <f ca="1">IF(A144&lt;='Symulacja Pożyczka'!$B$4,'Symulacja Pożyczka'!$B$14,"")</f>
        <v>13869.160872339731</v>
      </c>
      <c r="F144" s="661"/>
      <c r="G144" s="81">
        <f ca="1">IF(A144&lt;='Symulacja Pożyczka'!$B$4,G143-B144,"")</f>
        <v>41166.825096114408</v>
      </c>
      <c r="H144" s="83" t="str">
        <f t="shared" si="1"/>
        <v/>
      </c>
      <c r="I144" s="518"/>
      <c r="L144">
        <v>117</v>
      </c>
    </row>
    <row r="145" spans="1:12" x14ac:dyDescent="0.35">
      <c r="A145" s="513">
        <f>IF('Harmonogram Pożyczka'!L145&lt;='Symulacja Pożyczka'!$B$4,'Harmonogram Pożyczka'!L145,"")</f>
        <v>118</v>
      </c>
      <c r="B145" s="81">
        <f ca="1">IF(A145&lt;='Symulacja Pożyczka'!$B$4,E145-C145,"")</f>
        <v>13652.612093751954</v>
      </c>
      <c r="C145" s="660">
        <f ca="1">IF(A145&lt;='Symulacja Pożyczka'!$B$4,VLOOKUP(A145,Arkusz1!$A$1:$O$182,15,0),"")</f>
        <v>216.54877858777763</v>
      </c>
      <c r="D145" s="661"/>
      <c r="E145" s="660">
        <f ca="1">IF(A145&lt;='Symulacja Pożyczka'!$B$4,'Symulacja Pożyczka'!$B$14,"")</f>
        <v>13869.160872339731</v>
      </c>
      <c r="F145" s="661"/>
      <c r="G145" s="81">
        <f ca="1">IF(A145&lt;='Symulacja Pożyczka'!$B$4,G144-B145,"")</f>
        <v>27514.213002362456</v>
      </c>
      <c r="H145" s="83" t="str">
        <f t="shared" si="1"/>
        <v/>
      </c>
      <c r="I145" s="518"/>
      <c r="L145">
        <v>118</v>
      </c>
    </row>
    <row r="146" spans="1:12" x14ac:dyDescent="0.35">
      <c r="A146" s="513">
        <f>IF('Harmonogram Pożyczka'!L146&lt;='Symulacja Pożyczka'!$B$4,'Harmonogram Pożyczka'!L146,"")</f>
        <v>119</v>
      </c>
      <c r="B146" s="81">
        <f ca="1">IF(A146&lt;='Symulacja Pożyczka'!$B$4,E146-C146,"")</f>
        <v>13719.828248470871</v>
      </c>
      <c r="C146" s="660">
        <f ca="1">IF(A146&lt;='Symulacja Pożyczka'!$B$4,VLOOKUP(A146,Arkusz1!$A$1:$O$182,15,0),"")</f>
        <v>149.33262386886054</v>
      </c>
      <c r="D146" s="661"/>
      <c r="E146" s="660">
        <f ca="1">IF(A146&lt;='Symulacja Pożyczka'!$B$4,'Symulacja Pożyczka'!$B$14,"")</f>
        <v>13869.160872339731</v>
      </c>
      <c r="F146" s="661"/>
      <c r="G146" s="81">
        <f ca="1">IF(A146&lt;='Symulacja Pożyczka'!$B$4,G145-B146,"")</f>
        <v>13794.384753891585</v>
      </c>
      <c r="H146" s="83" t="str">
        <f t="shared" si="1"/>
        <v/>
      </c>
      <c r="I146" s="518"/>
      <c r="L146">
        <v>119</v>
      </c>
    </row>
    <row r="147" spans="1:12" x14ac:dyDescent="0.35">
      <c r="A147" s="513">
        <f>IF('Harmonogram Pożyczka'!L147&lt;='Symulacja Pożyczka'!$B$4,'Harmonogram Pożyczka'!L147,"")</f>
        <v>120</v>
      </c>
      <c r="B147" s="81">
        <f ca="1">IF(A147&lt;='Symulacja Pożyczka'!$B$4,E147-C147,"")</f>
        <v>13794.384753892407</v>
      </c>
      <c r="C147" s="660">
        <f ca="1">IF(A147&lt;='Symulacja Pożyczka'!$B$4,VLOOKUP(A147,Arkusz1!$A$1:$O$182,15,0),"")</f>
        <v>74.776118447323825</v>
      </c>
      <c r="D147" s="661"/>
      <c r="E147" s="660">
        <f ca="1">IF(A147&lt;='Symulacja Pożyczka'!$B$4,'Symulacja Pożyczka'!$B$14,"")</f>
        <v>13869.160872339731</v>
      </c>
      <c r="F147" s="661"/>
      <c r="G147" s="81">
        <f ca="1">IF(A147&lt;='Symulacja Pożyczka'!$B$4,G146-B147,"")</f>
        <v>-8.2218321040272713E-10</v>
      </c>
      <c r="H147" s="83" t="str">
        <f t="shared" si="1"/>
        <v/>
      </c>
      <c r="I147" s="518"/>
      <c r="L147">
        <v>120</v>
      </c>
    </row>
    <row r="148" spans="1:12" x14ac:dyDescent="0.35">
      <c r="A148" s="513" t="str">
        <f>IF('Harmonogram Pożyczka'!L148&lt;='Symulacja Pożyczka'!$B$4,'Harmonogram Pożyczka'!L148,"")</f>
        <v/>
      </c>
      <c r="B148" s="81" t="str">
        <f>IF(A148&lt;='Symulacja Pożyczka'!$B$4,E148-C148,"")</f>
        <v/>
      </c>
      <c r="C148" s="660" t="str">
        <f>IF(A148&lt;='Symulacja Pożyczka'!$B$4,VLOOKUP(A148,Arkusz1!$A$1:$O$182,15,0),"")</f>
        <v/>
      </c>
      <c r="D148" s="661"/>
      <c r="E148" s="660" t="str">
        <f>IF(A148&lt;='Symulacja Pożyczka'!$B$4,'Symulacja Pożyczka'!$B$14,"")</f>
        <v/>
      </c>
      <c r="F148" s="661"/>
      <c r="G148" s="81" t="str">
        <f>IF(A148&lt;='Symulacja Pożyczka'!$B$4,G147-B148,"")</f>
        <v/>
      </c>
      <c r="H148" s="83" t="str">
        <f t="shared" si="1"/>
        <v/>
      </c>
      <c r="I148" s="518"/>
      <c r="L148">
        <v>121</v>
      </c>
    </row>
    <row r="149" spans="1:12" x14ac:dyDescent="0.35">
      <c r="A149" s="513" t="str">
        <f>IF('Harmonogram Pożyczka'!L149&lt;='Symulacja Pożyczka'!$B$4,'Harmonogram Pożyczka'!L149,"")</f>
        <v/>
      </c>
      <c r="B149" s="81" t="str">
        <f>IF(A149&lt;='Symulacja Pożyczka'!$B$4,E149-C149,"")</f>
        <v/>
      </c>
      <c r="C149" s="660" t="str">
        <f>IF(A149&lt;='Symulacja Pożyczka'!$B$4,VLOOKUP(A149,Arkusz1!$A$1:$O$182,15,0),"")</f>
        <v/>
      </c>
      <c r="D149" s="661"/>
      <c r="E149" s="660" t="str">
        <f>IF(A149&lt;='Symulacja Pożyczka'!$B$4,'Symulacja Pożyczka'!$B$14,"")</f>
        <v/>
      </c>
      <c r="F149" s="661"/>
      <c r="G149" s="81" t="str">
        <f>IF(A149&lt;='Symulacja Pożyczka'!$B$4,G148-B149,"")</f>
        <v/>
      </c>
      <c r="H149" s="83" t="str">
        <f t="shared" si="1"/>
        <v/>
      </c>
      <c r="I149" s="518"/>
      <c r="L149">
        <v>122</v>
      </c>
    </row>
    <row r="150" spans="1:12" x14ac:dyDescent="0.35">
      <c r="A150" s="513" t="str">
        <f>IF('Harmonogram Pożyczka'!L150&lt;='Symulacja Pożyczka'!$B$4,'Harmonogram Pożyczka'!L150,"")</f>
        <v/>
      </c>
      <c r="B150" s="81" t="str">
        <f>IF(A150&lt;='Symulacja Pożyczka'!$B$4,E150-C150,"")</f>
        <v/>
      </c>
      <c r="C150" s="660" t="str">
        <f>IF(A150&lt;='Symulacja Pożyczka'!$B$4,VLOOKUP(A150,Arkusz1!$A$1:$O$182,15,0),"")</f>
        <v/>
      </c>
      <c r="D150" s="661"/>
      <c r="E150" s="660" t="str">
        <f>IF(A150&lt;='Symulacja Pożyczka'!$B$4,'Symulacja Pożyczka'!$B$14,"")</f>
        <v/>
      </c>
      <c r="F150" s="661"/>
      <c r="G150" s="81" t="str">
        <f>IF(A150&lt;='Symulacja Pożyczka'!$B$4,G149-B150,"")</f>
        <v/>
      </c>
      <c r="H150" s="83" t="str">
        <f t="shared" si="1"/>
        <v/>
      </c>
      <c r="I150" s="518"/>
      <c r="L150">
        <v>123</v>
      </c>
    </row>
    <row r="151" spans="1:12" x14ac:dyDescent="0.35">
      <c r="A151" s="513" t="str">
        <f>IF('Harmonogram Pożyczka'!L151&lt;='Symulacja Pożyczka'!$B$4,'Harmonogram Pożyczka'!L151,"")</f>
        <v/>
      </c>
      <c r="B151" s="81" t="str">
        <f>IF(A151&lt;='Symulacja Pożyczka'!$B$4,E151-C151,"")</f>
        <v/>
      </c>
      <c r="C151" s="660" t="str">
        <f>IF(A151&lt;='Symulacja Pożyczka'!$B$4,VLOOKUP(A151,Arkusz1!$A$1:$O$182,15,0),"")</f>
        <v/>
      </c>
      <c r="D151" s="661"/>
      <c r="E151" s="660" t="str">
        <f>IF(A151&lt;='Symulacja Pożyczka'!$B$4,'Symulacja Pożyczka'!$B$14,"")</f>
        <v/>
      </c>
      <c r="F151" s="661"/>
      <c r="G151" s="81" t="str">
        <f>IF(A151&lt;='Symulacja Pożyczka'!$B$4,G150-B151,"")</f>
        <v/>
      </c>
      <c r="H151" s="83" t="str">
        <f t="shared" si="1"/>
        <v/>
      </c>
      <c r="I151" s="518"/>
      <c r="L151">
        <v>124</v>
      </c>
    </row>
    <row r="152" spans="1:12" x14ac:dyDescent="0.35">
      <c r="A152" s="513" t="str">
        <f>IF('Harmonogram Pożyczka'!L152&lt;='Symulacja Pożyczka'!$B$4,'Harmonogram Pożyczka'!L152,"")</f>
        <v/>
      </c>
      <c r="B152" s="81" t="str">
        <f>IF(A152&lt;='Symulacja Pożyczka'!$B$4,E152-C152,"")</f>
        <v/>
      </c>
      <c r="C152" s="660" t="str">
        <f>IF(A152&lt;='Symulacja Pożyczka'!$B$4,VLOOKUP(A152,Arkusz1!$A$1:$O$182,15,0),"")</f>
        <v/>
      </c>
      <c r="D152" s="661"/>
      <c r="E152" s="660" t="str">
        <f>IF(A152&lt;='Symulacja Pożyczka'!$B$4,'Symulacja Pożyczka'!$B$14,"")</f>
        <v/>
      </c>
      <c r="F152" s="661"/>
      <c r="G152" s="81" t="str">
        <f>IF(A152&lt;='Symulacja Pożyczka'!$B$4,G151-B152,"")</f>
        <v/>
      </c>
      <c r="H152" s="83" t="str">
        <f t="shared" si="1"/>
        <v/>
      </c>
      <c r="I152" s="518"/>
      <c r="L152">
        <v>125</v>
      </c>
    </row>
    <row r="153" spans="1:12" x14ac:dyDescent="0.35">
      <c r="A153" s="513" t="str">
        <f>IF('Harmonogram Pożyczka'!L153&lt;='Symulacja Pożyczka'!$B$4,'Harmonogram Pożyczka'!L153,"")</f>
        <v/>
      </c>
      <c r="B153" s="81" t="str">
        <f>IF(A153&lt;='Symulacja Pożyczka'!$B$4,E153-C153,"")</f>
        <v/>
      </c>
      <c r="C153" s="660" t="str">
        <f>IF(A153&lt;='Symulacja Pożyczka'!$B$4,VLOOKUP(A153,Arkusz1!$A$1:$O$182,15,0),"")</f>
        <v/>
      </c>
      <c r="D153" s="661"/>
      <c r="E153" s="660" t="str">
        <f>IF(A153&lt;='Symulacja Pożyczka'!$B$4,'Symulacja Pożyczka'!$B$14,"")</f>
        <v/>
      </c>
      <c r="F153" s="661"/>
      <c r="G153" s="81" t="str">
        <f>IF(A153&lt;='Symulacja Pożyczka'!$B$4,G152-B153,"")</f>
        <v/>
      </c>
      <c r="H153" s="83" t="str">
        <f t="shared" si="1"/>
        <v/>
      </c>
      <c r="I153" s="518"/>
      <c r="L153">
        <v>126</v>
      </c>
    </row>
    <row r="154" spans="1:12" x14ac:dyDescent="0.35">
      <c r="A154" s="513" t="str">
        <f>IF('Harmonogram Pożyczka'!L154&lt;='Symulacja Pożyczka'!$B$4,'Harmonogram Pożyczka'!L154,"")</f>
        <v/>
      </c>
      <c r="B154" s="81" t="str">
        <f>IF(A154&lt;='Symulacja Pożyczka'!$B$4,E154-C154,"")</f>
        <v/>
      </c>
      <c r="C154" s="660" t="str">
        <f>IF(A154&lt;='Symulacja Pożyczka'!$B$4,VLOOKUP(A154,Arkusz1!$A$1:$O$182,15,0),"")</f>
        <v/>
      </c>
      <c r="D154" s="661"/>
      <c r="E154" s="660" t="str">
        <f>IF(A154&lt;='Symulacja Pożyczka'!$B$4,'Symulacja Pożyczka'!$B$14,"")</f>
        <v/>
      </c>
      <c r="F154" s="661"/>
      <c r="G154" s="81" t="str">
        <f>IF(A154&lt;='Symulacja Pożyczka'!$B$4,G153-B154,"")</f>
        <v/>
      </c>
      <c r="H154" s="83" t="str">
        <f t="shared" si="1"/>
        <v/>
      </c>
      <c r="I154" s="518"/>
      <c r="L154">
        <v>127</v>
      </c>
    </row>
    <row r="155" spans="1:12" x14ac:dyDescent="0.35">
      <c r="A155" s="513" t="str">
        <f>IF('Harmonogram Pożyczka'!L155&lt;='Symulacja Pożyczka'!$B$4,'Harmonogram Pożyczka'!L155,"")</f>
        <v/>
      </c>
      <c r="B155" s="81" t="str">
        <f>IF(A155&lt;='Symulacja Pożyczka'!$B$4,E155-C155,"")</f>
        <v/>
      </c>
      <c r="C155" s="660" t="str">
        <f>IF(A155&lt;='Symulacja Pożyczka'!$B$4,VLOOKUP(A155,Arkusz1!$A$1:$O$182,15,0),"")</f>
        <v/>
      </c>
      <c r="D155" s="661"/>
      <c r="E155" s="660" t="str">
        <f>IF(A155&lt;='Symulacja Pożyczka'!$B$4,'Symulacja Pożyczka'!$B$14,"")</f>
        <v/>
      </c>
      <c r="F155" s="661"/>
      <c r="G155" s="81" t="str">
        <f>IF(A155&lt;='Symulacja Pożyczka'!$B$4,G154-B155,"")</f>
        <v/>
      </c>
      <c r="H155" s="83" t="str">
        <f t="shared" si="1"/>
        <v/>
      </c>
      <c r="I155" s="518"/>
      <c r="L155">
        <v>128</v>
      </c>
    </row>
    <row r="156" spans="1:12" x14ac:dyDescent="0.35">
      <c r="A156" s="513" t="str">
        <f>IF('Harmonogram Pożyczka'!L156&lt;='Symulacja Pożyczka'!$B$4,'Harmonogram Pożyczka'!L156,"")</f>
        <v/>
      </c>
      <c r="B156" s="81" t="str">
        <f>IF(A156&lt;='Symulacja Pożyczka'!$B$4,E156-C156,"")</f>
        <v/>
      </c>
      <c r="C156" s="660" t="str">
        <f>IF(A156&lt;='Symulacja Pożyczka'!$B$4,VLOOKUP(A156,Arkusz1!$A$1:$O$182,15,0),"")</f>
        <v/>
      </c>
      <c r="D156" s="661"/>
      <c r="E156" s="660" t="str">
        <f>IF(A156&lt;='Symulacja Pożyczka'!$B$4,'Symulacja Pożyczka'!$B$14,"")</f>
        <v/>
      </c>
      <c r="F156" s="661"/>
      <c r="G156" s="81" t="str">
        <f>IF(A156&lt;='Symulacja Pożyczka'!$B$4,G155-B156,"")</f>
        <v/>
      </c>
      <c r="H156" s="83" t="str">
        <f t="shared" si="1"/>
        <v/>
      </c>
      <c r="I156" s="518"/>
      <c r="L156">
        <v>129</v>
      </c>
    </row>
    <row r="157" spans="1:12" x14ac:dyDescent="0.35">
      <c r="A157" s="513" t="str">
        <f>IF('Harmonogram Pożyczka'!L157&lt;='Symulacja Pożyczka'!$B$4,'Harmonogram Pożyczka'!L157,"")</f>
        <v/>
      </c>
      <c r="B157" s="81" t="str">
        <f>IF(A157&lt;='Symulacja Pożyczka'!$B$4,E157-C157,"")</f>
        <v/>
      </c>
      <c r="C157" s="660" t="str">
        <f>IF(A157&lt;='Symulacja Pożyczka'!$B$4,VLOOKUP(A157,Arkusz1!$A$1:$O$182,15,0),"")</f>
        <v/>
      </c>
      <c r="D157" s="661"/>
      <c r="E157" s="660" t="str">
        <f>IF(A157&lt;='Symulacja Pożyczka'!$B$4,'Symulacja Pożyczka'!$B$14,"")</f>
        <v/>
      </c>
      <c r="F157" s="661"/>
      <c r="G157" s="81" t="str">
        <f>IF(A157&lt;='Symulacja Pożyczka'!$B$4,G156-B157,"")</f>
        <v/>
      </c>
      <c r="H157" s="83" t="str">
        <f t="shared" ref="H157:H207" si="2">IF($F$11="TAK",IF(A157&lt;=$F$7,G156*0.12%,""),"")</f>
        <v/>
      </c>
      <c r="I157" s="518"/>
      <c r="L157">
        <v>130</v>
      </c>
    </row>
    <row r="158" spans="1:12" x14ac:dyDescent="0.35">
      <c r="A158" s="513" t="str">
        <f>IF('Harmonogram Pożyczka'!L158&lt;='Symulacja Pożyczka'!$B$4,'Harmonogram Pożyczka'!L158,"")</f>
        <v/>
      </c>
      <c r="B158" s="81" t="str">
        <f>IF(A158&lt;='Symulacja Pożyczka'!$B$4,E158-C158,"")</f>
        <v/>
      </c>
      <c r="C158" s="660" t="str">
        <f>IF(A158&lt;='Symulacja Pożyczka'!$B$4,VLOOKUP(A158,Arkusz1!$A$1:$O$182,15,0),"")</f>
        <v/>
      </c>
      <c r="D158" s="661"/>
      <c r="E158" s="660" t="str">
        <f>IF(A158&lt;='Symulacja Pożyczka'!$B$4,'Symulacja Pożyczka'!$B$14,"")</f>
        <v/>
      </c>
      <c r="F158" s="661"/>
      <c r="G158" s="81" t="str">
        <f>IF(A158&lt;='Symulacja Pożyczka'!$B$4,G157-B158,"")</f>
        <v/>
      </c>
      <c r="H158" s="83" t="str">
        <f t="shared" si="2"/>
        <v/>
      </c>
      <c r="I158" s="518"/>
      <c r="L158">
        <v>131</v>
      </c>
    </row>
    <row r="159" spans="1:12" x14ac:dyDescent="0.35">
      <c r="A159" s="513" t="str">
        <f>IF('Harmonogram Pożyczka'!L159&lt;='Symulacja Pożyczka'!$B$4,'Harmonogram Pożyczka'!L159,"")</f>
        <v/>
      </c>
      <c r="B159" s="81" t="str">
        <f>IF(A159&lt;='Symulacja Pożyczka'!$B$4,E159-C159,"")</f>
        <v/>
      </c>
      <c r="C159" s="660" t="str">
        <f>IF(A159&lt;='Symulacja Pożyczka'!$B$4,VLOOKUP(A159,Arkusz1!$A$1:$O$182,15,0),"")</f>
        <v/>
      </c>
      <c r="D159" s="661"/>
      <c r="E159" s="660" t="str">
        <f>IF(A159&lt;='Symulacja Pożyczka'!$B$4,'Symulacja Pożyczka'!$B$14,"")</f>
        <v/>
      </c>
      <c r="F159" s="661"/>
      <c r="G159" s="81" t="str">
        <f>IF(A159&lt;='Symulacja Pożyczka'!$B$4,G158-B159,"")</f>
        <v/>
      </c>
      <c r="H159" s="83" t="str">
        <f t="shared" si="2"/>
        <v/>
      </c>
      <c r="I159" s="518"/>
      <c r="L159">
        <v>132</v>
      </c>
    </row>
    <row r="160" spans="1:12" x14ac:dyDescent="0.35">
      <c r="A160" s="513" t="str">
        <f>IF('Harmonogram Pożyczka'!L160&lt;='Symulacja Pożyczka'!$B$4,'Harmonogram Pożyczka'!L160,"")</f>
        <v/>
      </c>
      <c r="B160" s="81" t="str">
        <f>IF(A160&lt;='Symulacja Pożyczka'!$B$4,E160-C160,"")</f>
        <v/>
      </c>
      <c r="C160" s="660" t="str">
        <f>IF(A160&lt;='Symulacja Pożyczka'!$B$4,VLOOKUP(A160,Arkusz1!$A$1:$O$182,15,0),"")</f>
        <v/>
      </c>
      <c r="D160" s="661"/>
      <c r="E160" s="660" t="str">
        <f>IF(A160&lt;='Symulacja Pożyczka'!$B$4,'Symulacja Pożyczka'!$B$14,"")</f>
        <v/>
      </c>
      <c r="F160" s="661"/>
      <c r="G160" s="81" t="str">
        <f>IF(A160&lt;='Symulacja Pożyczka'!$B$4,G159-B160,"")</f>
        <v/>
      </c>
      <c r="H160" s="83" t="str">
        <f t="shared" si="2"/>
        <v/>
      </c>
      <c r="I160" s="518"/>
      <c r="L160">
        <v>133</v>
      </c>
    </row>
    <row r="161" spans="1:12" x14ac:dyDescent="0.35">
      <c r="A161" s="513" t="str">
        <f>IF('Harmonogram Pożyczka'!L161&lt;='Symulacja Pożyczka'!$B$4,'Harmonogram Pożyczka'!L161,"")</f>
        <v/>
      </c>
      <c r="B161" s="81" t="str">
        <f>IF(A161&lt;='Symulacja Pożyczka'!$B$4,E161-C161,"")</f>
        <v/>
      </c>
      <c r="C161" s="660" t="str">
        <f>IF(A161&lt;='Symulacja Pożyczka'!$B$4,VLOOKUP(A161,Arkusz1!$A$1:$O$182,15,0),"")</f>
        <v/>
      </c>
      <c r="D161" s="661"/>
      <c r="E161" s="660" t="str">
        <f>IF(A161&lt;='Symulacja Pożyczka'!$B$4,'Symulacja Pożyczka'!$B$14,"")</f>
        <v/>
      </c>
      <c r="F161" s="661"/>
      <c r="G161" s="81" t="str">
        <f>IF(A161&lt;='Symulacja Pożyczka'!$B$4,G160-B161,"")</f>
        <v/>
      </c>
      <c r="H161" s="83" t="str">
        <f t="shared" si="2"/>
        <v/>
      </c>
      <c r="I161" s="518"/>
      <c r="L161">
        <v>134</v>
      </c>
    </row>
    <row r="162" spans="1:12" x14ac:dyDescent="0.35">
      <c r="A162" s="513" t="str">
        <f>IF('Harmonogram Pożyczka'!L162&lt;='Symulacja Pożyczka'!$B$4,'Harmonogram Pożyczka'!L162,"")</f>
        <v/>
      </c>
      <c r="B162" s="81" t="str">
        <f>IF(A162&lt;='Symulacja Pożyczka'!$B$4,E162-C162,"")</f>
        <v/>
      </c>
      <c r="C162" s="660" t="str">
        <f>IF(A162&lt;='Symulacja Pożyczka'!$B$4,VLOOKUP(A162,Arkusz1!$A$1:$O$182,15,0),"")</f>
        <v/>
      </c>
      <c r="D162" s="661"/>
      <c r="E162" s="660" t="str">
        <f>IF(A162&lt;='Symulacja Pożyczka'!$B$4,'Symulacja Pożyczka'!$B$14,"")</f>
        <v/>
      </c>
      <c r="F162" s="661"/>
      <c r="G162" s="81" t="str">
        <f>IF(A162&lt;='Symulacja Pożyczka'!$B$4,G161-B162,"")</f>
        <v/>
      </c>
      <c r="H162" s="83" t="str">
        <f t="shared" si="2"/>
        <v/>
      </c>
      <c r="I162" s="518"/>
      <c r="L162">
        <v>135</v>
      </c>
    </row>
    <row r="163" spans="1:12" x14ac:dyDescent="0.35">
      <c r="A163" s="513" t="str">
        <f>IF('Harmonogram Pożyczka'!L163&lt;='Symulacja Pożyczka'!$B$4,'Harmonogram Pożyczka'!L163,"")</f>
        <v/>
      </c>
      <c r="B163" s="81" t="str">
        <f>IF(A163&lt;='Symulacja Pożyczka'!$B$4,E163-C163,"")</f>
        <v/>
      </c>
      <c r="C163" s="660" t="str">
        <f>IF(A163&lt;='Symulacja Pożyczka'!$B$4,VLOOKUP(A163,Arkusz1!$A$1:$O$182,15,0),"")</f>
        <v/>
      </c>
      <c r="D163" s="661"/>
      <c r="E163" s="660" t="str">
        <f>IF(A163&lt;='Symulacja Pożyczka'!$B$4,'Symulacja Pożyczka'!$B$14,"")</f>
        <v/>
      </c>
      <c r="F163" s="661"/>
      <c r="G163" s="81" t="str">
        <f>IF(A163&lt;='Symulacja Pożyczka'!$B$4,G162-B163,"")</f>
        <v/>
      </c>
      <c r="H163" s="83" t="str">
        <f t="shared" si="2"/>
        <v/>
      </c>
      <c r="I163" s="518"/>
      <c r="L163">
        <v>136</v>
      </c>
    </row>
    <row r="164" spans="1:12" x14ac:dyDescent="0.35">
      <c r="A164" s="513" t="str">
        <f>IF('Harmonogram Pożyczka'!L164&lt;='Symulacja Pożyczka'!$B$4,'Harmonogram Pożyczka'!L164,"")</f>
        <v/>
      </c>
      <c r="B164" s="81" t="str">
        <f>IF(A164&lt;='Symulacja Pożyczka'!$B$4,E164-C164,"")</f>
        <v/>
      </c>
      <c r="C164" s="660" t="str">
        <f>IF(A164&lt;='Symulacja Pożyczka'!$B$4,VLOOKUP(A164,Arkusz1!$A$1:$O$182,15,0),"")</f>
        <v/>
      </c>
      <c r="D164" s="661"/>
      <c r="E164" s="660" t="str">
        <f>IF(A164&lt;='Symulacja Pożyczka'!$B$4,'Symulacja Pożyczka'!$B$14,"")</f>
        <v/>
      </c>
      <c r="F164" s="661"/>
      <c r="G164" s="81" t="str">
        <f>IF(A164&lt;='Symulacja Pożyczka'!$B$4,G163-B164,"")</f>
        <v/>
      </c>
      <c r="H164" s="83" t="str">
        <f t="shared" si="2"/>
        <v/>
      </c>
      <c r="I164" s="518"/>
      <c r="L164">
        <v>137</v>
      </c>
    </row>
    <row r="165" spans="1:12" x14ac:dyDescent="0.35">
      <c r="A165" s="513" t="str">
        <f>IF('Harmonogram Pożyczka'!L165&lt;='Symulacja Pożyczka'!$B$4,'Harmonogram Pożyczka'!L165,"")</f>
        <v/>
      </c>
      <c r="B165" s="81" t="str">
        <f>IF(A165&lt;='Symulacja Pożyczka'!$B$4,E165-C165,"")</f>
        <v/>
      </c>
      <c r="C165" s="660" t="str">
        <f>IF(A165&lt;='Symulacja Pożyczka'!$B$4,VLOOKUP(A165,Arkusz1!$A$1:$O$182,15,0),"")</f>
        <v/>
      </c>
      <c r="D165" s="661"/>
      <c r="E165" s="660" t="str">
        <f>IF(A165&lt;='Symulacja Pożyczka'!$B$4,'Symulacja Pożyczka'!$B$14,"")</f>
        <v/>
      </c>
      <c r="F165" s="661"/>
      <c r="G165" s="81" t="str">
        <f>IF(A165&lt;='Symulacja Pożyczka'!$B$4,G164-B165,"")</f>
        <v/>
      </c>
      <c r="H165" s="83" t="str">
        <f t="shared" si="2"/>
        <v/>
      </c>
      <c r="I165" s="518"/>
      <c r="L165">
        <v>138</v>
      </c>
    </row>
    <row r="166" spans="1:12" x14ac:dyDescent="0.35">
      <c r="A166" s="513" t="str">
        <f>IF('Harmonogram Pożyczka'!L166&lt;='Symulacja Pożyczka'!$B$4,'Harmonogram Pożyczka'!L166,"")</f>
        <v/>
      </c>
      <c r="B166" s="81" t="str">
        <f>IF(A166&lt;='Symulacja Pożyczka'!$B$4,E166-C166,"")</f>
        <v/>
      </c>
      <c r="C166" s="660" t="str">
        <f>IF(A166&lt;='Symulacja Pożyczka'!$B$4,VLOOKUP(A166,Arkusz1!$A$1:$O$182,15,0),"")</f>
        <v/>
      </c>
      <c r="D166" s="661"/>
      <c r="E166" s="660" t="str">
        <f>IF(A166&lt;='Symulacja Pożyczka'!$B$4,'Symulacja Pożyczka'!$B$14,"")</f>
        <v/>
      </c>
      <c r="F166" s="661"/>
      <c r="G166" s="81" t="str">
        <f>IF(A166&lt;='Symulacja Pożyczka'!$B$4,G165-B166,"")</f>
        <v/>
      </c>
      <c r="H166" s="83" t="str">
        <f t="shared" si="2"/>
        <v/>
      </c>
      <c r="I166" s="518"/>
      <c r="L166">
        <v>139</v>
      </c>
    </row>
    <row r="167" spans="1:12" x14ac:dyDescent="0.35">
      <c r="A167" s="513" t="str">
        <f>IF('Harmonogram Pożyczka'!L167&lt;='Symulacja Pożyczka'!$B$4,'Harmonogram Pożyczka'!L167,"")</f>
        <v/>
      </c>
      <c r="B167" s="81" t="str">
        <f>IF(A167&lt;='Symulacja Pożyczka'!$B$4,E167-C167,"")</f>
        <v/>
      </c>
      <c r="C167" s="660" t="str">
        <f>IF(A167&lt;='Symulacja Pożyczka'!$B$4,VLOOKUP(A167,Arkusz1!$A$1:$O$182,15,0),"")</f>
        <v/>
      </c>
      <c r="D167" s="661"/>
      <c r="E167" s="660" t="str">
        <f>IF(A167&lt;='Symulacja Pożyczka'!$B$4,'Symulacja Pożyczka'!$B$14,"")</f>
        <v/>
      </c>
      <c r="F167" s="661"/>
      <c r="G167" s="81" t="str">
        <f>IF(A167&lt;='Symulacja Pożyczka'!$B$4,G166-B167,"")</f>
        <v/>
      </c>
      <c r="H167" s="83" t="str">
        <f t="shared" si="2"/>
        <v/>
      </c>
      <c r="I167" s="518"/>
      <c r="L167">
        <v>140</v>
      </c>
    </row>
    <row r="168" spans="1:12" x14ac:dyDescent="0.35">
      <c r="A168" s="513" t="str">
        <f>IF('Harmonogram Pożyczka'!L168&lt;='Symulacja Pożyczka'!$B$4,'Harmonogram Pożyczka'!L168,"")</f>
        <v/>
      </c>
      <c r="B168" s="81" t="str">
        <f>IF(A168&lt;='Symulacja Pożyczka'!$B$4,E168-C168,"")</f>
        <v/>
      </c>
      <c r="C168" s="660" t="str">
        <f>IF(A168&lt;='Symulacja Pożyczka'!$B$4,VLOOKUP(A168,Arkusz1!$A$1:$O$182,15,0),"")</f>
        <v/>
      </c>
      <c r="D168" s="661"/>
      <c r="E168" s="660" t="str">
        <f>IF(A168&lt;='Symulacja Pożyczka'!$B$4,'Symulacja Pożyczka'!$B$14,"")</f>
        <v/>
      </c>
      <c r="F168" s="661"/>
      <c r="G168" s="81" t="str">
        <f>IF(A168&lt;='Symulacja Pożyczka'!$B$4,G167-B168,"")</f>
        <v/>
      </c>
      <c r="H168" s="83" t="str">
        <f t="shared" si="2"/>
        <v/>
      </c>
      <c r="I168" s="518"/>
      <c r="L168">
        <v>141</v>
      </c>
    </row>
    <row r="169" spans="1:12" x14ac:dyDescent="0.35">
      <c r="A169" s="513" t="str">
        <f>IF('Harmonogram Pożyczka'!L169&lt;='Symulacja Pożyczka'!$B$4,'Harmonogram Pożyczka'!L169,"")</f>
        <v/>
      </c>
      <c r="B169" s="81" t="str">
        <f>IF(A169&lt;='Symulacja Pożyczka'!$B$4,E169-C169,"")</f>
        <v/>
      </c>
      <c r="C169" s="660" t="str">
        <f>IF(A169&lt;='Symulacja Pożyczka'!$B$4,VLOOKUP(A169,Arkusz1!$A$1:$O$182,15,0),"")</f>
        <v/>
      </c>
      <c r="D169" s="661"/>
      <c r="E169" s="660" t="str">
        <f>IF(A169&lt;='Symulacja Pożyczka'!$B$4,'Symulacja Pożyczka'!$B$14,"")</f>
        <v/>
      </c>
      <c r="F169" s="661"/>
      <c r="G169" s="81" t="str">
        <f>IF(A169&lt;='Symulacja Pożyczka'!$B$4,G168-B169,"")</f>
        <v/>
      </c>
      <c r="H169" s="83" t="str">
        <f t="shared" si="2"/>
        <v/>
      </c>
      <c r="I169" s="518"/>
      <c r="L169">
        <v>142</v>
      </c>
    </row>
    <row r="170" spans="1:12" x14ac:dyDescent="0.35">
      <c r="A170" s="513" t="str">
        <f>IF('Harmonogram Pożyczka'!L170&lt;='Symulacja Pożyczka'!$B$4,'Harmonogram Pożyczka'!L170,"")</f>
        <v/>
      </c>
      <c r="B170" s="81" t="str">
        <f>IF(A170&lt;='Symulacja Pożyczka'!$B$4,E170-C170,"")</f>
        <v/>
      </c>
      <c r="C170" s="660" t="str">
        <f>IF(A170&lt;='Symulacja Pożyczka'!$B$4,VLOOKUP(A170,Arkusz1!$A$1:$O$182,15,0),"")</f>
        <v/>
      </c>
      <c r="D170" s="661"/>
      <c r="E170" s="660" t="str">
        <f>IF(A170&lt;='Symulacja Pożyczka'!$B$4,'Symulacja Pożyczka'!$B$14,"")</f>
        <v/>
      </c>
      <c r="F170" s="661"/>
      <c r="G170" s="81" t="str">
        <f>IF(A170&lt;='Symulacja Pożyczka'!$B$4,G169-B170,"")</f>
        <v/>
      </c>
      <c r="H170" s="83" t="str">
        <f t="shared" si="2"/>
        <v/>
      </c>
      <c r="I170" s="518"/>
      <c r="L170">
        <v>143</v>
      </c>
    </row>
    <row r="171" spans="1:12" x14ac:dyDescent="0.35">
      <c r="A171" s="513" t="str">
        <f>IF('Harmonogram Pożyczka'!L171&lt;='Symulacja Pożyczka'!$B$4,'Harmonogram Pożyczka'!L171,"")</f>
        <v/>
      </c>
      <c r="B171" s="81" t="str">
        <f>IF(A171&lt;='Symulacja Pożyczka'!$B$4,E171-C171,"")</f>
        <v/>
      </c>
      <c r="C171" s="660" t="str">
        <f>IF(A171&lt;='Symulacja Pożyczka'!$B$4,VLOOKUP(A171,Arkusz1!$A$1:$O$182,15,0),"")</f>
        <v/>
      </c>
      <c r="D171" s="661"/>
      <c r="E171" s="660" t="str">
        <f>IF(A171&lt;='Symulacja Pożyczka'!$B$4,'Symulacja Pożyczka'!$B$14,"")</f>
        <v/>
      </c>
      <c r="F171" s="661"/>
      <c r="G171" s="81" t="str">
        <f>IF(A171&lt;='Symulacja Pożyczka'!$B$4,G170-B171,"")</f>
        <v/>
      </c>
      <c r="H171" s="83" t="str">
        <f t="shared" si="2"/>
        <v/>
      </c>
      <c r="I171" s="518"/>
      <c r="L171">
        <v>144</v>
      </c>
    </row>
    <row r="172" spans="1:12" x14ac:dyDescent="0.35">
      <c r="A172" s="513" t="str">
        <f>IF('Harmonogram Pożyczka'!L172&lt;='Symulacja Pożyczka'!$B$4,'Harmonogram Pożyczka'!L172,"")</f>
        <v/>
      </c>
      <c r="B172" s="81" t="str">
        <f>IF(A172&lt;='Symulacja Pożyczka'!$B$4,E172-C172,"")</f>
        <v/>
      </c>
      <c r="C172" s="660" t="str">
        <f>IF(A172&lt;='Symulacja Pożyczka'!$B$4,VLOOKUP(A172,Arkusz1!$A$1:$O$182,15,0),"")</f>
        <v/>
      </c>
      <c r="D172" s="661"/>
      <c r="E172" s="660" t="str">
        <f>IF(A172&lt;='Symulacja Pożyczka'!$B$4,'Symulacja Pożyczka'!$B$14,"")</f>
        <v/>
      </c>
      <c r="F172" s="661"/>
      <c r="G172" s="81" t="str">
        <f>IF(A172&lt;='Symulacja Pożyczka'!$B$4,G171-B172,"")</f>
        <v/>
      </c>
      <c r="H172" s="83" t="str">
        <f t="shared" si="2"/>
        <v/>
      </c>
      <c r="I172" s="518"/>
      <c r="L172">
        <v>145</v>
      </c>
    </row>
    <row r="173" spans="1:12" x14ac:dyDescent="0.35">
      <c r="A173" s="513" t="str">
        <f>IF('Harmonogram Pożyczka'!L173&lt;='Symulacja Pożyczka'!$B$4,'Harmonogram Pożyczka'!L173,"")</f>
        <v/>
      </c>
      <c r="B173" s="81" t="str">
        <f>IF(A173&lt;='Symulacja Pożyczka'!$B$4,E173-C173,"")</f>
        <v/>
      </c>
      <c r="C173" s="660" t="str">
        <f>IF(A173&lt;='Symulacja Pożyczka'!$B$4,VLOOKUP(A173,Arkusz1!$A$1:$O$182,15,0),"")</f>
        <v/>
      </c>
      <c r="D173" s="661"/>
      <c r="E173" s="660" t="str">
        <f>IF(A173&lt;='Symulacja Pożyczka'!$B$4,'Symulacja Pożyczka'!$B$14,"")</f>
        <v/>
      </c>
      <c r="F173" s="661"/>
      <c r="G173" s="81" t="str">
        <f>IF(A173&lt;='Symulacja Pożyczka'!$B$4,G172-B173,"")</f>
        <v/>
      </c>
      <c r="H173" s="83" t="str">
        <f t="shared" si="2"/>
        <v/>
      </c>
      <c r="I173" s="518"/>
      <c r="L173">
        <v>146</v>
      </c>
    </row>
    <row r="174" spans="1:12" x14ac:dyDescent="0.35">
      <c r="A174" s="513" t="str">
        <f>IF('Harmonogram Pożyczka'!L174&lt;='Symulacja Pożyczka'!$B$4,'Harmonogram Pożyczka'!L174,"")</f>
        <v/>
      </c>
      <c r="B174" s="81" t="str">
        <f>IF(A174&lt;='Symulacja Pożyczka'!$B$4,E174-C174,"")</f>
        <v/>
      </c>
      <c r="C174" s="660" t="str">
        <f>IF(A174&lt;='Symulacja Pożyczka'!$B$4,VLOOKUP(A174,Arkusz1!$A$1:$O$182,15,0),"")</f>
        <v/>
      </c>
      <c r="D174" s="661"/>
      <c r="E174" s="660" t="str">
        <f>IF(A174&lt;='Symulacja Pożyczka'!$B$4,'Symulacja Pożyczka'!$B$14,"")</f>
        <v/>
      </c>
      <c r="F174" s="661"/>
      <c r="G174" s="81" t="str">
        <f>IF(A174&lt;='Symulacja Pożyczka'!$B$4,G173-B174,"")</f>
        <v/>
      </c>
      <c r="H174" s="83" t="str">
        <f t="shared" si="2"/>
        <v/>
      </c>
      <c r="I174" s="518"/>
      <c r="L174">
        <v>147</v>
      </c>
    </row>
    <row r="175" spans="1:12" x14ac:dyDescent="0.35">
      <c r="A175" s="513" t="str">
        <f>IF('Harmonogram Pożyczka'!L175&lt;='Symulacja Pożyczka'!$B$4,'Harmonogram Pożyczka'!L175,"")</f>
        <v/>
      </c>
      <c r="B175" s="81" t="str">
        <f>IF(A175&lt;='Symulacja Pożyczka'!$B$4,E175-C175,"")</f>
        <v/>
      </c>
      <c r="C175" s="660" t="str">
        <f>IF(A175&lt;='Symulacja Pożyczka'!$B$4,VLOOKUP(A175,Arkusz1!$A$1:$O$182,15,0),"")</f>
        <v/>
      </c>
      <c r="D175" s="661"/>
      <c r="E175" s="660" t="str">
        <f>IF(A175&lt;='Symulacja Pożyczka'!$B$4,'Symulacja Pożyczka'!$B$14,"")</f>
        <v/>
      </c>
      <c r="F175" s="661"/>
      <c r="G175" s="81" t="str">
        <f>IF(A175&lt;='Symulacja Pożyczka'!$B$4,G174-B175,"")</f>
        <v/>
      </c>
      <c r="H175" s="83" t="str">
        <f t="shared" si="2"/>
        <v/>
      </c>
      <c r="I175" s="518"/>
      <c r="L175">
        <v>148</v>
      </c>
    </row>
    <row r="176" spans="1:12" x14ac:dyDescent="0.35">
      <c r="A176" s="513" t="str">
        <f>IF('Harmonogram Pożyczka'!L176&lt;='Symulacja Pożyczka'!$B$4,'Harmonogram Pożyczka'!L176,"")</f>
        <v/>
      </c>
      <c r="B176" s="81" t="str">
        <f>IF(A176&lt;='Symulacja Pożyczka'!$B$4,E176-C176,"")</f>
        <v/>
      </c>
      <c r="C176" s="660" t="str">
        <f>IF(A176&lt;='Symulacja Pożyczka'!$B$4,VLOOKUP(A176,Arkusz1!$A$1:$O$182,15,0),"")</f>
        <v/>
      </c>
      <c r="D176" s="661"/>
      <c r="E176" s="660" t="str">
        <f>IF(A176&lt;='Symulacja Pożyczka'!$B$4,'Symulacja Pożyczka'!$B$14,"")</f>
        <v/>
      </c>
      <c r="F176" s="661"/>
      <c r="G176" s="81" t="str">
        <f>IF(A176&lt;='Symulacja Pożyczka'!$B$4,G175-B176,"")</f>
        <v/>
      </c>
      <c r="H176" s="83" t="str">
        <f t="shared" si="2"/>
        <v/>
      </c>
      <c r="I176" s="518"/>
      <c r="L176">
        <v>149</v>
      </c>
    </row>
    <row r="177" spans="1:12" x14ac:dyDescent="0.35">
      <c r="A177" s="513" t="str">
        <f>IF('Harmonogram Pożyczka'!L177&lt;='Symulacja Pożyczka'!$B$4,'Harmonogram Pożyczka'!L177,"")</f>
        <v/>
      </c>
      <c r="B177" s="81" t="str">
        <f>IF(A177&lt;='Symulacja Pożyczka'!$B$4,E177-C177,"")</f>
        <v/>
      </c>
      <c r="C177" s="660" t="str">
        <f>IF(A177&lt;='Symulacja Pożyczka'!$B$4,VLOOKUP(A177,Arkusz1!$A$1:$O$182,15,0),"")</f>
        <v/>
      </c>
      <c r="D177" s="661"/>
      <c r="E177" s="660" t="str">
        <f>IF(A177&lt;='Symulacja Pożyczka'!$B$4,'Symulacja Pożyczka'!$B$14,"")</f>
        <v/>
      </c>
      <c r="F177" s="661"/>
      <c r="G177" s="81" t="str">
        <f>IF(A177&lt;='Symulacja Pożyczka'!$B$4,G176-B177,"")</f>
        <v/>
      </c>
      <c r="H177" s="83" t="str">
        <f t="shared" si="2"/>
        <v/>
      </c>
      <c r="I177" s="518"/>
      <c r="L177">
        <v>150</v>
      </c>
    </row>
    <row r="178" spans="1:12" x14ac:dyDescent="0.35">
      <c r="A178" s="513" t="str">
        <f>IF('Harmonogram Pożyczka'!L178&lt;='Symulacja Pożyczka'!$B$4,'Harmonogram Pożyczka'!L178,"")</f>
        <v/>
      </c>
      <c r="B178" s="81" t="str">
        <f>IF(A178&lt;='Symulacja Pożyczka'!$B$4,E178-C178,"")</f>
        <v/>
      </c>
      <c r="C178" s="660" t="str">
        <f>IF(A178&lt;='Symulacja Pożyczka'!$B$4,VLOOKUP(A178,Arkusz1!$A$1:$O$182,15,0),"")</f>
        <v/>
      </c>
      <c r="D178" s="661"/>
      <c r="E178" s="660" t="str">
        <f>IF(A178&lt;='Symulacja Pożyczka'!$B$4,'Symulacja Pożyczka'!$B$14,"")</f>
        <v/>
      </c>
      <c r="F178" s="661"/>
      <c r="G178" s="81" t="str">
        <f>IF(A178&lt;='Symulacja Pożyczka'!$B$4,G177-B178,"")</f>
        <v/>
      </c>
      <c r="H178" s="83" t="str">
        <f t="shared" si="2"/>
        <v/>
      </c>
      <c r="I178" s="518"/>
      <c r="L178">
        <v>151</v>
      </c>
    </row>
    <row r="179" spans="1:12" x14ac:dyDescent="0.35">
      <c r="A179" s="513" t="str">
        <f>IF('Harmonogram Pożyczka'!L179&lt;='Symulacja Pożyczka'!$B$4,'Harmonogram Pożyczka'!L179,"")</f>
        <v/>
      </c>
      <c r="B179" s="81" t="str">
        <f>IF(A179&lt;='Symulacja Pożyczka'!$B$4,E179-C179,"")</f>
        <v/>
      </c>
      <c r="C179" s="660" t="str">
        <f>IF(A179&lt;='Symulacja Pożyczka'!$B$4,VLOOKUP(A179,Arkusz1!$A$1:$O$182,15,0),"")</f>
        <v/>
      </c>
      <c r="D179" s="661"/>
      <c r="E179" s="660" t="str">
        <f>IF(A179&lt;='Symulacja Pożyczka'!$B$4,'Symulacja Pożyczka'!$B$14,"")</f>
        <v/>
      </c>
      <c r="F179" s="661"/>
      <c r="G179" s="81" t="str">
        <f>IF(A179&lt;='Symulacja Pożyczka'!$B$4,G178-B179,"")</f>
        <v/>
      </c>
      <c r="H179" s="83" t="str">
        <f t="shared" si="2"/>
        <v/>
      </c>
      <c r="I179" s="518"/>
      <c r="L179">
        <v>152</v>
      </c>
    </row>
    <row r="180" spans="1:12" x14ac:dyDescent="0.35">
      <c r="A180" s="513" t="str">
        <f>IF('Harmonogram Pożyczka'!L180&lt;='Symulacja Pożyczka'!$B$4,'Harmonogram Pożyczka'!L180,"")</f>
        <v/>
      </c>
      <c r="B180" s="81" t="str">
        <f>IF(A180&lt;='Symulacja Pożyczka'!$B$4,E180-C180,"")</f>
        <v/>
      </c>
      <c r="C180" s="660" t="str">
        <f>IF(A180&lt;='Symulacja Pożyczka'!$B$4,VLOOKUP(A180,Arkusz1!$A$1:$O$182,15,0),"")</f>
        <v/>
      </c>
      <c r="D180" s="661"/>
      <c r="E180" s="660" t="str">
        <f>IF(A180&lt;='Symulacja Pożyczka'!$B$4,'Symulacja Pożyczka'!$B$14,"")</f>
        <v/>
      </c>
      <c r="F180" s="661"/>
      <c r="G180" s="81" t="str">
        <f>IF(A180&lt;='Symulacja Pożyczka'!$B$4,G179-B180,"")</f>
        <v/>
      </c>
      <c r="H180" s="83" t="str">
        <f t="shared" si="2"/>
        <v/>
      </c>
      <c r="I180" s="518"/>
      <c r="L180">
        <v>153</v>
      </c>
    </row>
    <row r="181" spans="1:12" x14ac:dyDescent="0.35">
      <c r="A181" s="513" t="str">
        <f>IF('Harmonogram Pożyczka'!L181&lt;='Symulacja Pożyczka'!$B$4,'Harmonogram Pożyczka'!L181,"")</f>
        <v/>
      </c>
      <c r="B181" s="81" t="str">
        <f>IF(A181&lt;='Symulacja Pożyczka'!$B$4,E181-C181,"")</f>
        <v/>
      </c>
      <c r="C181" s="660" t="str">
        <f>IF(A181&lt;='Symulacja Pożyczka'!$B$4,VLOOKUP(A181,Arkusz1!$A$1:$O$182,15,0),"")</f>
        <v/>
      </c>
      <c r="D181" s="661"/>
      <c r="E181" s="660" t="str">
        <f>IF(A181&lt;='Symulacja Pożyczka'!$B$4,'Symulacja Pożyczka'!$B$14,"")</f>
        <v/>
      </c>
      <c r="F181" s="661"/>
      <c r="G181" s="81" t="str">
        <f>IF(A181&lt;='Symulacja Pożyczka'!$B$4,G180-B181,"")</f>
        <v/>
      </c>
      <c r="H181" s="83" t="str">
        <f t="shared" si="2"/>
        <v/>
      </c>
      <c r="I181" s="518"/>
      <c r="L181">
        <v>154</v>
      </c>
    </row>
    <row r="182" spans="1:12" x14ac:dyDescent="0.35">
      <c r="A182" s="513" t="str">
        <f>IF('Harmonogram Pożyczka'!L182&lt;='Symulacja Pożyczka'!$B$4,'Harmonogram Pożyczka'!L182,"")</f>
        <v/>
      </c>
      <c r="B182" s="81" t="str">
        <f>IF(A182&lt;='Symulacja Pożyczka'!$B$4,E182-C182,"")</f>
        <v/>
      </c>
      <c r="C182" s="660" t="str">
        <f>IF(A182&lt;='Symulacja Pożyczka'!$B$4,VLOOKUP(A182,Arkusz1!$A$1:$O$182,15,0),"")</f>
        <v/>
      </c>
      <c r="D182" s="661"/>
      <c r="E182" s="660" t="str">
        <f>IF(A182&lt;='Symulacja Pożyczka'!$B$4,'Symulacja Pożyczka'!$B$14,"")</f>
        <v/>
      </c>
      <c r="F182" s="661"/>
      <c r="G182" s="81" t="str">
        <f>IF(A182&lt;='Symulacja Pożyczka'!$B$4,G181-B182,"")</f>
        <v/>
      </c>
      <c r="H182" s="83" t="str">
        <f t="shared" si="2"/>
        <v/>
      </c>
      <c r="I182" s="518"/>
      <c r="L182">
        <v>155</v>
      </c>
    </row>
    <row r="183" spans="1:12" x14ac:dyDescent="0.35">
      <c r="A183" s="513" t="str">
        <f>IF('Harmonogram Pożyczka'!L183&lt;='Symulacja Pożyczka'!$B$4,'Harmonogram Pożyczka'!L183,"")</f>
        <v/>
      </c>
      <c r="B183" s="81" t="str">
        <f>IF(A183&lt;='Symulacja Pożyczka'!$B$4,E183-C183,"")</f>
        <v/>
      </c>
      <c r="C183" s="660" t="str">
        <f>IF(A183&lt;='Symulacja Pożyczka'!$B$4,VLOOKUP(A183,Arkusz1!$A$1:$O$182,15,0),"")</f>
        <v/>
      </c>
      <c r="D183" s="661"/>
      <c r="E183" s="660" t="str">
        <f>IF(A183&lt;='Symulacja Pożyczka'!$B$4,'Symulacja Pożyczka'!$B$14,"")</f>
        <v/>
      </c>
      <c r="F183" s="661"/>
      <c r="G183" s="81" t="str">
        <f>IF(A183&lt;='Symulacja Pożyczka'!$B$4,G182-B183,"")</f>
        <v/>
      </c>
      <c r="H183" s="83" t="str">
        <f t="shared" si="2"/>
        <v/>
      </c>
      <c r="I183" s="518"/>
      <c r="L183">
        <v>156</v>
      </c>
    </row>
    <row r="184" spans="1:12" x14ac:dyDescent="0.35">
      <c r="A184" s="513" t="str">
        <f>IF('Harmonogram Pożyczka'!L184&lt;='Symulacja Pożyczka'!$B$4,'Harmonogram Pożyczka'!L184,"")</f>
        <v/>
      </c>
      <c r="B184" s="81" t="str">
        <f>IF(A184&lt;='Symulacja Pożyczka'!$B$4,E184-C184,"")</f>
        <v/>
      </c>
      <c r="C184" s="660" t="str">
        <f>IF(A184&lt;='Symulacja Pożyczka'!$B$4,VLOOKUP(A184,Arkusz1!$A$1:$O$182,15,0),"")</f>
        <v/>
      </c>
      <c r="D184" s="661"/>
      <c r="E184" s="660" t="str">
        <f>IF(A184&lt;='Symulacja Pożyczka'!$B$4,'Symulacja Pożyczka'!$B$14,"")</f>
        <v/>
      </c>
      <c r="F184" s="661"/>
      <c r="G184" s="81" t="str">
        <f>IF(A184&lt;='Symulacja Pożyczka'!$B$4,G183-B184,"")</f>
        <v/>
      </c>
      <c r="H184" s="83" t="str">
        <f t="shared" si="2"/>
        <v/>
      </c>
      <c r="I184" s="518"/>
      <c r="L184">
        <v>157</v>
      </c>
    </row>
    <row r="185" spans="1:12" x14ac:dyDescent="0.35">
      <c r="A185" s="513" t="str">
        <f>IF('Harmonogram Pożyczka'!L185&lt;='Symulacja Pożyczka'!$B$4,'Harmonogram Pożyczka'!L185,"")</f>
        <v/>
      </c>
      <c r="B185" s="81" t="str">
        <f>IF(A185&lt;='Symulacja Pożyczka'!$B$4,E185-C185,"")</f>
        <v/>
      </c>
      <c r="C185" s="660" t="str">
        <f>IF(A185&lt;='Symulacja Pożyczka'!$B$4,VLOOKUP(A185,Arkusz1!$A$1:$O$182,15,0),"")</f>
        <v/>
      </c>
      <c r="D185" s="661"/>
      <c r="E185" s="660" t="str">
        <f>IF(A185&lt;='Symulacja Pożyczka'!$B$4,'Symulacja Pożyczka'!$B$14,"")</f>
        <v/>
      </c>
      <c r="F185" s="661"/>
      <c r="G185" s="81" t="str">
        <f>IF(A185&lt;='Symulacja Pożyczka'!$B$4,G184-B185,"")</f>
        <v/>
      </c>
      <c r="H185" s="83" t="str">
        <f t="shared" si="2"/>
        <v/>
      </c>
      <c r="I185" s="518"/>
      <c r="L185">
        <v>158</v>
      </c>
    </row>
    <row r="186" spans="1:12" x14ac:dyDescent="0.35">
      <c r="A186" s="513" t="str">
        <f>IF('Harmonogram Pożyczka'!L186&lt;='Symulacja Pożyczka'!$B$4,'Harmonogram Pożyczka'!L186,"")</f>
        <v/>
      </c>
      <c r="B186" s="81" t="str">
        <f>IF(A186&lt;='Symulacja Pożyczka'!$B$4,E186-C186,"")</f>
        <v/>
      </c>
      <c r="C186" s="660" t="str">
        <f>IF(A186&lt;='Symulacja Pożyczka'!$B$4,VLOOKUP(A186,Arkusz1!$A$1:$O$182,15,0),"")</f>
        <v/>
      </c>
      <c r="D186" s="661"/>
      <c r="E186" s="660" t="str">
        <f>IF(A186&lt;='Symulacja Pożyczka'!$B$4,'Symulacja Pożyczka'!$B$14,"")</f>
        <v/>
      </c>
      <c r="F186" s="661"/>
      <c r="G186" s="81" t="str">
        <f>IF(A186&lt;='Symulacja Pożyczka'!$B$4,G185-B186,"")</f>
        <v/>
      </c>
      <c r="H186" s="83" t="str">
        <f t="shared" si="2"/>
        <v/>
      </c>
      <c r="I186" s="518"/>
      <c r="L186">
        <v>159</v>
      </c>
    </row>
    <row r="187" spans="1:12" x14ac:dyDescent="0.35">
      <c r="A187" s="513" t="str">
        <f>IF('Harmonogram Pożyczka'!L187&lt;='Symulacja Pożyczka'!$B$4,'Harmonogram Pożyczka'!L187,"")</f>
        <v/>
      </c>
      <c r="B187" s="81" t="str">
        <f>IF(A187&lt;='Symulacja Pożyczka'!$B$4,E187-C187,"")</f>
        <v/>
      </c>
      <c r="C187" s="660" t="str">
        <f>IF(A187&lt;='Symulacja Pożyczka'!$B$4,VLOOKUP(A187,Arkusz1!$A$1:$O$182,15,0),"")</f>
        <v/>
      </c>
      <c r="D187" s="661"/>
      <c r="E187" s="660" t="str">
        <f>IF(A187&lt;='Symulacja Pożyczka'!$B$4,'Symulacja Pożyczka'!$B$14,"")</f>
        <v/>
      </c>
      <c r="F187" s="661"/>
      <c r="G187" s="81" t="str">
        <f>IF(A187&lt;='Symulacja Pożyczka'!$B$4,G186-B187,"")</f>
        <v/>
      </c>
      <c r="H187" s="83" t="str">
        <f t="shared" si="2"/>
        <v/>
      </c>
      <c r="I187" s="518"/>
      <c r="L187">
        <v>160</v>
      </c>
    </row>
    <row r="188" spans="1:12" x14ac:dyDescent="0.35">
      <c r="A188" s="513" t="str">
        <f>IF('Harmonogram Pożyczka'!L188&lt;='Symulacja Pożyczka'!$B$4,'Harmonogram Pożyczka'!L188,"")</f>
        <v/>
      </c>
      <c r="B188" s="81" t="str">
        <f>IF(A188&lt;='Symulacja Pożyczka'!$B$4,E188-C188,"")</f>
        <v/>
      </c>
      <c r="C188" s="660" t="str">
        <f>IF(A188&lt;='Symulacja Pożyczka'!$B$4,VLOOKUP(A188,Arkusz1!$A$1:$O$182,15,0),"")</f>
        <v/>
      </c>
      <c r="D188" s="661"/>
      <c r="E188" s="660" t="str">
        <f>IF(A188&lt;='Symulacja Pożyczka'!$B$4,'Symulacja Pożyczka'!$B$14,"")</f>
        <v/>
      </c>
      <c r="F188" s="661"/>
      <c r="G188" s="81" t="str">
        <f>IF(A188&lt;='Symulacja Pożyczka'!$B$4,G187-B188,"")</f>
        <v/>
      </c>
      <c r="H188" s="83" t="str">
        <f t="shared" si="2"/>
        <v/>
      </c>
      <c r="I188" s="518"/>
      <c r="L188">
        <v>161</v>
      </c>
    </row>
    <row r="189" spans="1:12" x14ac:dyDescent="0.35">
      <c r="A189" s="513" t="str">
        <f>IF('Harmonogram Pożyczka'!L189&lt;='Symulacja Pożyczka'!$B$4,'Harmonogram Pożyczka'!L189,"")</f>
        <v/>
      </c>
      <c r="B189" s="81" t="str">
        <f>IF(A189&lt;='Symulacja Pożyczka'!$B$4,E189-C189,"")</f>
        <v/>
      </c>
      <c r="C189" s="660" t="str">
        <f>IF(A189&lt;='Symulacja Pożyczka'!$B$4,VLOOKUP(A189,Arkusz1!$A$1:$O$182,15,0),"")</f>
        <v/>
      </c>
      <c r="D189" s="661"/>
      <c r="E189" s="660" t="str">
        <f>IF(A189&lt;='Symulacja Pożyczka'!$B$4,'Symulacja Pożyczka'!$B$14,"")</f>
        <v/>
      </c>
      <c r="F189" s="661"/>
      <c r="G189" s="81" t="str">
        <f>IF(A189&lt;='Symulacja Pożyczka'!$B$4,G188-B189,"")</f>
        <v/>
      </c>
      <c r="H189" s="83" t="str">
        <f t="shared" si="2"/>
        <v/>
      </c>
      <c r="I189" s="518"/>
      <c r="L189">
        <v>162</v>
      </c>
    </row>
    <row r="190" spans="1:12" x14ac:dyDescent="0.35">
      <c r="A190" s="513" t="str">
        <f>IF('Harmonogram Pożyczka'!L190&lt;='Symulacja Pożyczka'!$B$4,'Harmonogram Pożyczka'!L190,"")</f>
        <v/>
      </c>
      <c r="B190" s="81" t="str">
        <f>IF(A190&lt;='Symulacja Pożyczka'!$B$4,E190-C190,"")</f>
        <v/>
      </c>
      <c r="C190" s="660" t="str">
        <f>IF(A190&lt;='Symulacja Pożyczka'!$B$4,VLOOKUP(A190,Arkusz1!$A$1:$O$182,15,0),"")</f>
        <v/>
      </c>
      <c r="D190" s="661"/>
      <c r="E190" s="660" t="str">
        <f>IF(A190&lt;='Symulacja Pożyczka'!$B$4,'Symulacja Pożyczka'!$B$14,"")</f>
        <v/>
      </c>
      <c r="F190" s="661"/>
      <c r="G190" s="81" t="str">
        <f>IF(A190&lt;='Symulacja Pożyczka'!$B$4,G189-B190,"")</f>
        <v/>
      </c>
      <c r="H190" s="83" t="str">
        <f t="shared" si="2"/>
        <v/>
      </c>
      <c r="I190" s="518"/>
      <c r="L190">
        <v>163</v>
      </c>
    </row>
    <row r="191" spans="1:12" x14ac:dyDescent="0.35">
      <c r="A191" s="513" t="str">
        <f>IF('Harmonogram Pożyczka'!L191&lt;='Symulacja Pożyczka'!$B$4,'Harmonogram Pożyczka'!L191,"")</f>
        <v/>
      </c>
      <c r="B191" s="81" t="str">
        <f>IF(A191&lt;='Symulacja Pożyczka'!$B$4,E191-C191,"")</f>
        <v/>
      </c>
      <c r="C191" s="660" t="str">
        <f>IF(A191&lt;='Symulacja Pożyczka'!$B$4,VLOOKUP(A191,Arkusz1!$A$1:$O$182,15,0),"")</f>
        <v/>
      </c>
      <c r="D191" s="661"/>
      <c r="E191" s="660" t="str">
        <f>IF(A191&lt;='Symulacja Pożyczka'!$B$4,'Symulacja Pożyczka'!$B$14,"")</f>
        <v/>
      </c>
      <c r="F191" s="661"/>
      <c r="G191" s="81" t="str">
        <f>IF(A191&lt;='Symulacja Pożyczka'!$B$4,G190-B191,"")</f>
        <v/>
      </c>
      <c r="H191" s="83" t="str">
        <f t="shared" si="2"/>
        <v/>
      </c>
      <c r="I191" s="518"/>
      <c r="L191">
        <v>164</v>
      </c>
    </row>
    <row r="192" spans="1:12" x14ac:dyDescent="0.35">
      <c r="A192" s="513" t="str">
        <f>IF('Harmonogram Pożyczka'!L192&lt;='Symulacja Pożyczka'!$B$4,'Harmonogram Pożyczka'!L192,"")</f>
        <v/>
      </c>
      <c r="B192" s="81" t="str">
        <f>IF(A192&lt;='Symulacja Pożyczka'!$B$4,E192-C192,"")</f>
        <v/>
      </c>
      <c r="C192" s="660" t="str">
        <f>IF(A192&lt;='Symulacja Pożyczka'!$B$4,VLOOKUP(A192,Arkusz1!$A$1:$O$182,15,0),"")</f>
        <v/>
      </c>
      <c r="D192" s="661"/>
      <c r="E192" s="660" t="str">
        <f>IF(A192&lt;='Symulacja Pożyczka'!$B$4,'Symulacja Pożyczka'!$B$14,"")</f>
        <v/>
      </c>
      <c r="F192" s="661"/>
      <c r="G192" s="81" t="str">
        <f>IF(A192&lt;='Symulacja Pożyczka'!$B$4,G191-B192,"")</f>
        <v/>
      </c>
      <c r="H192" s="83" t="str">
        <f t="shared" si="2"/>
        <v/>
      </c>
      <c r="I192" s="518"/>
      <c r="L192">
        <v>165</v>
      </c>
    </row>
    <row r="193" spans="1:12" x14ac:dyDescent="0.35">
      <c r="A193" s="513" t="str">
        <f>IF('Harmonogram Pożyczka'!L193&lt;='Symulacja Pożyczka'!$B$4,'Harmonogram Pożyczka'!L193,"")</f>
        <v/>
      </c>
      <c r="B193" s="81" t="str">
        <f>IF(A193&lt;='Symulacja Pożyczka'!$B$4,E193-C193,"")</f>
        <v/>
      </c>
      <c r="C193" s="660" t="str">
        <f>IF(A193&lt;='Symulacja Pożyczka'!$B$4,VLOOKUP(A193,Arkusz1!$A$1:$O$182,15,0),"")</f>
        <v/>
      </c>
      <c r="D193" s="661"/>
      <c r="E193" s="660" t="str">
        <f>IF(A193&lt;='Symulacja Pożyczka'!$B$4,'Symulacja Pożyczka'!$B$14,"")</f>
        <v/>
      </c>
      <c r="F193" s="661"/>
      <c r="G193" s="81" t="str">
        <f>IF(A193&lt;='Symulacja Pożyczka'!$B$4,G192-B193,"")</f>
        <v/>
      </c>
      <c r="H193" s="83" t="str">
        <f t="shared" si="2"/>
        <v/>
      </c>
      <c r="I193" s="518"/>
      <c r="L193">
        <v>166</v>
      </c>
    </row>
    <row r="194" spans="1:12" x14ac:dyDescent="0.35">
      <c r="A194" s="513" t="str">
        <f>IF('Harmonogram Pożyczka'!L194&lt;='Symulacja Pożyczka'!$B$4,'Harmonogram Pożyczka'!L194,"")</f>
        <v/>
      </c>
      <c r="B194" s="81" t="str">
        <f>IF(A194&lt;='Symulacja Pożyczka'!$B$4,E194-C194,"")</f>
        <v/>
      </c>
      <c r="C194" s="660" t="str">
        <f>IF(A194&lt;='Symulacja Pożyczka'!$B$4,VLOOKUP(A194,Arkusz1!$A$1:$O$182,15,0),"")</f>
        <v/>
      </c>
      <c r="D194" s="661"/>
      <c r="E194" s="660" t="str">
        <f>IF(A194&lt;='Symulacja Pożyczka'!$B$4,'Symulacja Pożyczka'!$B$14,"")</f>
        <v/>
      </c>
      <c r="F194" s="661"/>
      <c r="G194" s="81" t="str">
        <f>IF(A194&lt;='Symulacja Pożyczka'!$B$4,G193-B194,"")</f>
        <v/>
      </c>
      <c r="H194" s="83" t="str">
        <f t="shared" si="2"/>
        <v/>
      </c>
      <c r="I194" s="518"/>
      <c r="L194">
        <v>167</v>
      </c>
    </row>
    <row r="195" spans="1:12" x14ac:dyDescent="0.35">
      <c r="A195" s="513" t="str">
        <f>IF('Harmonogram Pożyczka'!L195&lt;='Symulacja Pożyczka'!$B$4,'Harmonogram Pożyczka'!L195,"")</f>
        <v/>
      </c>
      <c r="B195" s="81" t="str">
        <f>IF(A195&lt;='Symulacja Pożyczka'!$B$4,E195-C195,"")</f>
        <v/>
      </c>
      <c r="C195" s="660" t="str">
        <f>IF(A195&lt;='Symulacja Pożyczka'!$B$4,VLOOKUP(A195,Arkusz1!$A$1:$O$182,15,0),"")</f>
        <v/>
      </c>
      <c r="D195" s="661"/>
      <c r="E195" s="660" t="str">
        <f>IF(A195&lt;='Symulacja Pożyczka'!$B$4,'Symulacja Pożyczka'!$B$14,"")</f>
        <v/>
      </c>
      <c r="F195" s="661"/>
      <c r="G195" s="81" t="str">
        <f>IF(A195&lt;='Symulacja Pożyczka'!$B$4,G194-B195,"")</f>
        <v/>
      </c>
      <c r="H195" s="83" t="str">
        <f t="shared" si="2"/>
        <v/>
      </c>
      <c r="I195" s="518"/>
      <c r="L195">
        <v>168</v>
      </c>
    </row>
    <row r="196" spans="1:12" x14ac:dyDescent="0.35">
      <c r="A196" s="513" t="str">
        <f>IF('Harmonogram Pożyczka'!L196&lt;='Symulacja Pożyczka'!$B$4,'Harmonogram Pożyczka'!L196,"")</f>
        <v/>
      </c>
      <c r="B196" s="81" t="str">
        <f>IF(A196&lt;='Symulacja Pożyczka'!$B$4,E196-C196,"")</f>
        <v/>
      </c>
      <c r="C196" s="660" t="str">
        <f>IF(A196&lt;='Symulacja Pożyczka'!$B$4,VLOOKUP(A196,Arkusz1!$A$1:$O$182,15,0),"")</f>
        <v/>
      </c>
      <c r="D196" s="661"/>
      <c r="E196" s="660" t="str">
        <f>IF(A196&lt;='Symulacja Pożyczka'!$B$4,'Symulacja Pożyczka'!$B$14,"")</f>
        <v/>
      </c>
      <c r="F196" s="661"/>
      <c r="G196" s="81" t="str">
        <f>IF(A196&lt;='Symulacja Pożyczka'!$B$4,G195-B196,"")</f>
        <v/>
      </c>
      <c r="H196" s="83" t="str">
        <f t="shared" si="2"/>
        <v/>
      </c>
      <c r="I196" s="518"/>
      <c r="L196">
        <v>169</v>
      </c>
    </row>
    <row r="197" spans="1:12" x14ac:dyDescent="0.35">
      <c r="A197" s="513" t="str">
        <f>IF('Harmonogram Pożyczka'!L197&lt;='Symulacja Pożyczka'!$B$4,'Harmonogram Pożyczka'!L197,"")</f>
        <v/>
      </c>
      <c r="B197" s="81" t="str">
        <f>IF(A197&lt;='Symulacja Pożyczka'!$B$4,E197-C197,"")</f>
        <v/>
      </c>
      <c r="C197" s="660" t="str">
        <f>IF(A197&lt;='Symulacja Pożyczka'!$B$4,VLOOKUP(A197,Arkusz1!$A$1:$O$182,15,0),"")</f>
        <v/>
      </c>
      <c r="D197" s="661"/>
      <c r="E197" s="660" t="str">
        <f>IF(A197&lt;='Symulacja Pożyczka'!$B$4,'Symulacja Pożyczka'!$B$14,"")</f>
        <v/>
      </c>
      <c r="F197" s="661"/>
      <c r="G197" s="81" t="str">
        <f>IF(A197&lt;='Symulacja Pożyczka'!$B$4,G196-B197,"")</f>
        <v/>
      </c>
      <c r="H197" s="83" t="str">
        <f t="shared" si="2"/>
        <v/>
      </c>
      <c r="I197" s="518"/>
      <c r="L197">
        <v>170</v>
      </c>
    </row>
    <row r="198" spans="1:12" x14ac:dyDescent="0.35">
      <c r="A198" s="513" t="str">
        <f>IF('Harmonogram Pożyczka'!L198&lt;='Symulacja Pożyczka'!$B$4,'Harmonogram Pożyczka'!L198,"")</f>
        <v/>
      </c>
      <c r="B198" s="81" t="str">
        <f>IF(A198&lt;='Symulacja Pożyczka'!$B$4,E198-C198,"")</f>
        <v/>
      </c>
      <c r="C198" s="660" t="str">
        <f>IF(A198&lt;='Symulacja Pożyczka'!$B$4,VLOOKUP(A198,Arkusz1!$A$1:$O$182,15,0),"")</f>
        <v/>
      </c>
      <c r="D198" s="661"/>
      <c r="E198" s="660" t="str">
        <f>IF(A198&lt;='Symulacja Pożyczka'!$B$4,'Symulacja Pożyczka'!$B$14,"")</f>
        <v/>
      </c>
      <c r="F198" s="661"/>
      <c r="G198" s="81" t="str">
        <f>IF(A198&lt;='Symulacja Pożyczka'!$B$4,G197-B198,"")</f>
        <v/>
      </c>
      <c r="H198" s="83" t="str">
        <f t="shared" si="2"/>
        <v/>
      </c>
      <c r="I198" s="518"/>
      <c r="L198">
        <v>171</v>
      </c>
    </row>
    <row r="199" spans="1:12" x14ac:dyDescent="0.35">
      <c r="A199" s="513" t="str">
        <f>IF('Harmonogram Pożyczka'!L199&lt;='Symulacja Pożyczka'!$B$4,'Harmonogram Pożyczka'!L199,"")</f>
        <v/>
      </c>
      <c r="B199" s="81" t="str">
        <f>IF(A199&lt;='Symulacja Pożyczka'!$B$4,E199-C199,"")</f>
        <v/>
      </c>
      <c r="C199" s="660" t="str">
        <f>IF(A199&lt;='Symulacja Pożyczka'!$B$4,VLOOKUP(A199,Arkusz1!$A$1:$O$182,15,0),"")</f>
        <v/>
      </c>
      <c r="D199" s="661"/>
      <c r="E199" s="660" t="str">
        <f>IF(A199&lt;='Symulacja Pożyczka'!$B$4,'Symulacja Pożyczka'!$B$14,"")</f>
        <v/>
      </c>
      <c r="F199" s="661"/>
      <c r="G199" s="81" t="str">
        <f>IF(A199&lt;='Symulacja Pożyczka'!$B$4,G198-B199,"")</f>
        <v/>
      </c>
      <c r="H199" s="83" t="str">
        <f t="shared" si="2"/>
        <v/>
      </c>
      <c r="I199" s="518"/>
      <c r="L199">
        <v>172</v>
      </c>
    </row>
    <row r="200" spans="1:12" x14ac:dyDescent="0.35">
      <c r="A200" s="513" t="str">
        <f>IF('Harmonogram Pożyczka'!L200&lt;='Symulacja Pożyczka'!$B$4,'Harmonogram Pożyczka'!L200,"")</f>
        <v/>
      </c>
      <c r="B200" s="81" t="str">
        <f>IF(A200&lt;='Symulacja Pożyczka'!$B$4,E200-C200,"")</f>
        <v/>
      </c>
      <c r="C200" s="660" t="str">
        <f>IF(A200&lt;='Symulacja Pożyczka'!$B$4,VLOOKUP(A200,Arkusz1!$A$1:$O$182,15,0),"")</f>
        <v/>
      </c>
      <c r="D200" s="661"/>
      <c r="E200" s="660" t="str">
        <f>IF(A200&lt;='Symulacja Pożyczka'!$B$4,'Symulacja Pożyczka'!$B$14,"")</f>
        <v/>
      </c>
      <c r="F200" s="661"/>
      <c r="G200" s="81" t="str">
        <f>IF(A200&lt;='Symulacja Pożyczka'!$B$4,G199-B200,"")</f>
        <v/>
      </c>
      <c r="H200" s="83" t="str">
        <f t="shared" si="2"/>
        <v/>
      </c>
      <c r="I200" s="518"/>
      <c r="L200">
        <v>173</v>
      </c>
    </row>
    <row r="201" spans="1:12" x14ac:dyDescent="0.35">
      <c r="A201" s="513" t="str">
        <f>IF('Harmonogram Pożyczka'!L201&lt;='Symulacja Pożyczka'!$B$4,'Harmonogram Pożyczka'!L201,"")</f>
        <v/>
      </c>
      <c r="B201" s="81" t="str">
        <f>IF(A201&lt;='Symulacja Pożyczka'!$B$4,E201-C201,"")</f>
        <v/>
      </c>
      <c r="C201" s="660" t="str">
        <f>IF(A201&lt;='Symulacja Pożyczka'!$B$4,VLOOKUP(A201,Arkusz1!$A$1:$O$182,15,0),"")</f>
        <v/>
      </c>
      <c r="D201" s="661"/>
      <c r="E201" s="660" t="str">
        <f>IF(A201&lt;='Symulacja Pożyczka'!$B$4,'Symulacja Pożyczka'!$B$14,"")</f>
        <v/>
      </c>
      <c r="F201" s="661"/>
      <c r="G201" s="81" t="str">
        <f>IF(A201&lt;='Symulacja Pożyczka'!$B$4,G200-B201,"")</f>
        <v/>
      </c>
      <c r="H201" s="83" t="str">
        <f t="shared" si="2"/>
        <v/>
      </c>
      <c r="I201" s="518"/>
      <c r="L201">
        <v>174</v>
      </c>
    </row>
    <row r="202" spans="1:12" x14ac:dyDescent="0.35">
      <c r="A202" s="513" t="str">
        <f>IF('Harmonogram Pożyczka'!L202&lt;='Symulacja Pożyczka'!$B$4,'Harmonogram Pożyczka'!L202,"")</f>
        <v/>
      </c>
      <c r="B202" s="81" t="str">
        <f>IF(A202&lt;='Symulacja Pożyczka'!$B$4,E202-C202,"")</f>
        <v/>
      </c>
      <c r="C202" s="660" t="str">
        <f>IF(A202&lt;='Symulacja Pożyczka'!$B$4,VLOOKUP(A202,Arkusz1!$A$1:$O$182,15,0),"")</f>
        <v/>
      </c>
      <c r="D202" s="661"/>
      <c r="E202" s="660" t="str">
        <f>IF(A202&lt;='Symulacja Pożyczka'!$B$4,'Symulacja Pożyczka'!$B$14,"")</f>
        <v/>
      </c>
      <c r="F202" s="661"/>
      <c r="G202" s="81" t="str">
        <f>IF(A202&lt;='Symulacja Pożyczka'!$B$4,G201-B202,"")</f>
        <v/>
      </c>
      <c r="H202" s="83" t="str">
        <f t="shared" si="2"/>
        <v/>
      </c>
      <c r="I202" s="518"/>
      <c r="L202">
        <v>175</v>
      </c>
    </row>
    <row r="203" spans="1:12" x14ac:dyDescent="0.35">
      <c r="A203" s="513" t="str">
        <f>IF('Harmonogram Pożyczka'!L203&lt;='Symulacja Pożyczka'!$B$4,'Harmonogram Pożyczka'!L203,"")</f>
        <v/>
      </c>
      <c r="B203" s="81" t="str">
        <f>IF(A203&lt;='Symulacja Pożyczka'!$B$4,E203-C203,"")</f>
        <v/>
      </c>
      <c r="C203" s="660" t="str">
        <f>IF(A203&lt;='Symulacja Pożyczka'!$B$4,VLOOKUP(A203,Arkusz1!$A$1:$O$182,15,0),"")</f>
        <v/>
      </c>
      <c r="D203" s="661"/>
      <c r="E203" s="660" t="str">
        <f>IF(A203&lt;='Symulacja Pożyczka'!$B$4,'Symulacja Pożyczka'!$B$14,"")</f>
        <v/>
      </c>
      <c r="F203" s="661"/>
      <c r="G203" s="81" t="str">
        <f>IF(A203&lt;='Symulacja Pożyczka'!$B$4,G202-B203,"")</f>
        <v/>
      </c>
      <c r="H203" s="83" t="str">
        <f t="shared" si="2"/>
        <v/>
      </c>
      <c r="I203" s="518"/>
      <c r="L203">
        <v>176</v>
      </c>
    </row>
    <row r="204" spans="1:12" x14ac:dyDescent="0.35">
      <c r="A204" s="513" t="str">
        <f>IF('Harmonogram Pożyczka'!L204&lt;='Symulacja Pożyczka'!$B$4,'Harmonogram Pożyczka'!L204,"")</f>
        <v/>
      </c>
      <c r="B204" s="81" t="str">
        <f>IF(A204&lt;='Symulacja Pożyczka'!$B$4,E204-C204,"")</f>
        <v/>
      </c>
      <c r="C204" s="660" t="str">
        <f>IF(A204&lt;='Symulacja Pożyczka'!$B$4,VLOOKUP(A204,Arkusz1!$A$1:$O$182,15,0),"")</f>
        <v/>
      </c>
      <c r="D204" s="661"/>
      <c r="E204" s="660" t="str">
        <f>IF(A204&lt;='Symulacja Pożyczka'!$B$4,'Symulacja Pożyczka'!$B$14,"")</f>
        <v/>
      </c>
      <c r="F204" s="661"/>
      <c r="G204" s="81" t="str">
        <f>IF(A204&lt;='Symulacja Pożyczka'!$B$4,G203-B204,"")</f>
        <v/>
      </c>
      <c r="H204" s="83" t="str">
        <f t="shared" si="2"/>
        <v/>
      </c>
      <c r="I204" s="518"/>
      <c r="L204">
        <v>177</v>
      </c>
    </row>
    <row r="205" spans="1:12" x14ac:dyDescent="0.35">
      <c r="A205" s="513" t="str">
        <f>IF('Harmonogram Pożyczka'!L205&lt;='Symulacja Pożyczka'!$B$4,'Harmonogram Pożyczka'!L205,"")</f>
        <v/>
      </c>
      <c r="B205" s="81" t="str">
        <f>IF(A205&lt;='Symulacja Pożyczka'!$B$4,E205-C205,"")</f>
        <v/>
      </c>
      <c r="C205" s="660" t="str">
        <f>IF(A205&lt;='Symulacja Pożyczka'!$B$4,VLOOKUP(A205,Arkusz1!$A$1:$O$182,15,0),"")</f>
        <v/>
      </c>
      <c r="D205" s="661"/>
      <c r="E205" s="660" t="str">
        <f>IF(A205&lt;='Symulacja Pożyczka'!$B$4,'Symulacja Pożyczka'!$B$14,"")</f>
        <v/>
      </c>
      <c r="F205" s="661"/>
      <c r="G205" s="81" t="str">
        <f>IF(A205&lt;='Symulacja Pożyczka'!$B$4,G204-B205,"")</f>
        <v/>
      </c>
      <c r="H205" s="83" t="str">
        <f t="shared" si="2"/>
        <v/>
      </c>
      <c r="I205" s="518"/>
      <c r="L205">
        <v>178</v>
      </c>
    </row>
    <row r="206" spans="1:12" x14ac:dyDescent="0.35">
      <c r="A206" s="513" t="str">
        <f>IF('Harmonogram Pożyczka'!L206&lt;='Symulacja Pożyczka'!$B$4,'Harmonogram Pożyczka'!L206,"")</f>
        <v/>
      </c>
      <c r="B206" s="81" t="str">
        <f>IF(A206&lt;='Symulacja Pożyczka'!$B$4,E206-C206,"")</f>
        <v/>
      </c>
      <c r="C206" s="660" t="str">
        <f>IF(A206&lt;='Symulacja Pożyczka'!$B$4,VLOOKUP(A206,Arkusz1!$A$1:$O$182,15,0),"")</f>
        <v/>
      </c>
      <c r="D206" s="661"/>
      <c r="E206" s="660" t="str">
        <f>IF(A206&lt;='Symulacja Pożyczka'!$B$4,'Symulacja Pożyczka'!$B$14,"")</f>
        <v/>
      </c>
      <c r="F206" s="661"/>
      <c r="G206" s="81" t="str">
        <f>IF(A206&lt;='Symulacja Pożyczka'!$B$4,G205-B206,"")</f>
        <v/>
      </c>
      <c r="H206" s="83" t="str">
        <f t="shared" si="2"/>
        <v/>
      </c>
      <c r="I206" s="518"/>
      <c r="L206">
        <v>179</v>
      </c>
    </row>
    <row r="207" spans="1:12" ht="15" thickBot="1" x14ac:dyDescent="0.4">
      <c r="A207" s="514" t="str">
        <f>IF('Harmonogram Pożyczka'!L207&lt;='Symulacja Pożyczka'!$B$4,'Harmonogram Pożyczka'!L207,"")</f>
        <v/>
      </c>
      <c r="B207" s="515" t="str">
        <f>IF(A207&lt;='Symulacja Pożyczka'!$B$4,E207-C207,"")</f>
        <v/>
      </c>
      <c r="C207" s="662" t="str">
        <f>IF(A207&lt;='Symulacja Pożyczka'!$B$4,VLOOKUP(A207,Arkusz1!$A$1:$O$182,15,0),"")</f>
        <v/>
      </c>
      <c r="D207" s="663"/>
      <c r="E207" s="662" t="str">
        <f>IF(A207&lt;='Symulacja Pożyczka'!$B$4,'Symulacja Pożyczka'!$B$14,"")</f>
        <v/>
      </c>
      <c r="F207" s="663"/>
      <c r="G207" s="515" t="str">
        <f>IF(A207&lt;='Symulacja Pożyczka'!$B$4,G206-B207,"")</f>
        <v/>
      </c>
      <c r="H207" s="516" t="str">
        <f t="shared" si="2"/>
        <v/>
      </c>
      <c r="I207" s="519"/>
      <c r="L207">
        <v>180</v>
      </c>
    </row>
    <row r="208" spans="1:12" ht="15" hidden="1" thickTop="1" x14ac:dyDescent="0.35"/>
    <row r="209" x14ac:dyDescent="0.35"/>
    <row r="210" x14ac:dyDescent="0.35"/>
    <row r="211" x14ac:dyDescent="0.35"/>
    <row r="212" x14ac:dyDescent="0.35"/>
    <row r="213" x14ac:dyDescent="0.35"/>
    <row r="214" x14ac:dyDescent="0.35"/>
    <row r="215" x14ac:dyDescent="0.35"/>
  </sheetData>
  <sheetProtection algorithmName="SHA-512" hashValue="CGkzbbvnHup7gkX3SXohrvWo2Y9sadVpuqLqe6QksrU0NNFKlKPCZ26koNGM+LhBOFridJbawvbRK8yfODR/dQ==" saltValue="1oatGxnTDR9JUg2+Vky1rw==" spinCount="100000" sheet="1" objects="1" scenarios="1"/>
  <mergeCells count="392">
    <mergeCell ref="I25:I26"/>
    <mergeCell ref="G16:H16"/>
    <mergeCell ref="F11:H11"/>
    <mergeCell ref="G17:H17"/>
    <mergeCell ref="G19:H19"/>
    <mergeCell ref="G20:H20"/>
    <mergeCell ref="G21:H21"/>
    <mergeCell ref="A15:F15"/>
    <mergeCell ref="A16:F16"/>
    <mergeCell ref="A17:F17"/>
    <mergeCell ref="A19:F19"/>
    <mergeCell ref="A20:F20"/>
    <mergeCell ref="A21:F21"/>
    <mergeCell ref="A18:F18"/>
    <mergeCell ref="G18:H18"/>
    <mergeCell ref="B5:E5"/>
    <mergeCell ref="B6:E6"/>
    <mergeCell ref="B9:E9"/>
    <mergeCell ref="A14:E14"/>
    <mergeCell ref="A24:B24"/>
    <mergeCell ref="A23:I23"/>
    <mergeCell ref="A3:H3"/>
    <mergeCell ref="F5:H5"/>
    <mergeCell ref="F6:H6"/>
    <mergeCell ref="F7:H7"/>
    <mergeCell ref="F9:H9"/>
    <mergeCell ref="B10:H10"/>
    <mergeCell ref="A13:H13"/>
    <mergeCell ref="F14:H14"/>
    <mergeCell ref="G15:H15"/>
    <mergeCell ref="A12:I12"/>
    <mergeCell ref="C39:D39"/>
    <mergeCell ref="E39:F39"/>
    <mergeCell ref="C28:D28"/>
    <mergeCell ref="E28:F28"/>
    <mergeCell ref="C29:D29"/>
    <mergeCell ref="E29:F29"/>
    <mergeCell ref="C33:D33"/>
    <mergeCell ref="E33:F33"/>
    <mergeCell ref="C34:D34"/>
    <mergeCell ref="E34:F34"/>
    <mergeCell ref="C36:D36"/>
    <mergeCell ref="E36:F36"/>
    <mergeCell ref="C37:D37"/>
    <mergeCell ref="E37:F37"/>
    <mergeCell ref="C38:D38"/>
    <mergeCell ref="E38:F38"/>
    <mergeCell ref="C35:D35"/>
    <mergeCell ref="E35:F35"/>
    <mergeCell ref="C30:D30"/>
    <mergeCell ref="E30:F30"/>
    <mergeCell ref="C31:D31"/>
    <mergeCell ref="E31:F31"/>
    <mergeCell ref="C32:D32"/>
    <mergeCell ref="E32:F32"/>
    <mergeCell ref="C42:D42"/>
    <mergeCell ref="E42:F42"/>
    <mergeCell ref="C43:D43"/>
    <mergeCell ref="E43:F43"/>
    <mergeCell ref="C44:D44"/>
    <mergeCell ref="E44:F44"/>
    <mergeCell ref="C40:D40"/>
    <mergeCell ref="E40:F40"/>
    <mergeCell ref="C41:D41"/>
    <mergeCell ref="E41:F41"/>
    <mergeCell ref="C48:D48"/>
    <mergeCell ref="E48:F48"/>
    <mergeCell ref="C49:D49"/>
    <mergeCell ref="E49:F49"/>
    <mergeCell ref="C50:D50"/>
    <mergeCell ref="E50:F50"/>
    <mergeCell ref="C45:D45"/>
    <mergeCell ref="E45:F45"/>
    <mergeCell ref="C46:D46"/>
    <mergeCell ref="E46:F46"/>
    <mergeCell ref="C47:D47"/>
    <mergeCell ref="E47:F47"/>
    <mergeCell ref="C54:D54"/>
    <mergeCell ref="E54:F54"/>
    <mergeCell ref="C55:D55"/>
    <mergeCell ref="E55:F55"/>
    <mergeCell ref="C56:D56"/>
    <mergeCell ref="E56:F56"/>
    <mergeCell ref="C51:D51"/>
    <mergeCell ref="E51:F51"/>
    <mergeCell ref="C52:D52"/>
    <mergeCell ref="E52:F52"/>
    <mergeCell ref="C53:D53"/>
    <mergeCell ref="E53:F53"/>
    <mergeCell ref="C60:D60"/>
    <mergeCell ref="E60:F60"/>
    <mergeCell ref="C61:D61"/>
    <mergeCell ref="E61:F61"/>
    <mergeCell ref="C62:D62"/>
    <mergeCell ref="E62:F62"/>
    <mergeCell ref="C57:D57"/>
    <mergeCell ref="E57:F57"/>
    <mergeCell ref="C58:D58"/>
    <mergeCell ref="E58:F58"/>
    <mergeCell ref="C59:D59"/>
    <mergeCell ref="E59:F59"/>
    <mergeCell ref="C66:D66"/>
    <mergeCell ref="E66:F66"/>
    <mergeCell ref="C67:D67"/>
    <mergeCell ref="E67:F67"/>
    <mergeCell ref="C68:D68"/>
    <mergeCell ref="E68:F68"/>
    <mergeCell ref="C63:D63"/>
    <mergeCell ref="E63:F63"/>
    <mergeCell ref="C64:D64"/>
    <mergeCell ref="E64:F64"/>
    <mergeCell ref="C65:D65"/>
    <mergeCell ref="E65:F65"/>
    <mergeCell ref="C72:D72"/>
    <mergeCell ref="E72:F72"/>
    <mergeCell ref="C73:D73"/>
    <mergeCell ref="E73:F73"/>
    <mergeCell ref="C74:D74"/>
    <mergeCell ref="E74:F74"/>
    <mergeCell ref="C69:D69"/>
    <mergeCell ref="E69:F69"/>
    <mergeCell ref="C70:D70"/>
    <mergeCell ref="E70:F70"/>
    <mergeCell ref="C71:D71"/>
    <mergeCell ref="E71:F71"/>
    <mergeCell ref="C78:D78"/>
    <mergeCell ref="E78:F78"/>
    <mergeCell ref="C79:D79"/>
    <mergeCell ref="E79:F79"/>
    <mergeCell ref="C80:D80"/>
    <mergeCell ref="E80:F80"/>
    <mergeCell ref="C75:D75"/>
    <mergeCell ref="E75:F75"/>
    <mergeCell ref="C76:D76"/>
    <mergeCell ref="E76:F76"/>
    <mergeCell ref="C77:D77"/>
    <mergeCell ref="E77:F77"/>
    <mergeCell ref="C84:D84"/>
    <mergeCell ref="E84:F84"/>
    <mergeCell ref="C85:D85"/>
    <mergeCell ref="E85:F85"/>
    <mergeCell ref="C86:D86"/>
    <mergeCell ref="E86:F86"/>
    <mergeCell ref="C81:D81"/>
    <mergeCell ref="E81:F81"/>
    <mergeCell ref="C82:D82"/>
    <mergeCell ref="E82:F82"/>
    <mergeCell ref="C83:D83"/>
    <mergeCell ref="E83:F83"/>
    <mergeCell ref="C90:D90"/>
    <mergeCell ref="E90:F90"/>
    <mergeCell ref="C91:D91"/>
    <mergeCell ref="E91:F91"/>
    <mergeCell ref="C92:D92"/>
    <mergeCell ref="E92:F92"/>
    <mergeCell ref="C87:D87"/>
    <mergeCell ref="E87:F87"/>
    <mergeCell ref="C88:D88"/>
    <mergeCell ref="E88:F88"/>
    <mergeCell ref="C89:D89"/>
    <mergeCell ref="E89:F89"/>
    <mergeCell ref="C96:D96"/>
    <mergeCell ref="E96:F96"/>
    <mergeCell ref="C97:D97"/>
    <mergeCell ref="E97:F97"/>
    <mergeCell ref="C98:D98"/>
    <mergeCell ref="E98:F98"/>
    <mergeCell ref="C93:D93"/>
    <mergeCell ref="E93:F93"/>
    <mergeCell ref="C94:D94"/>
    <mergeCell ref="E94:F94"/>
    <mergeCell ref="C95:D95"/>
    <mergeCell ref="E95:F95"/>
    <mergeCell ref="C102:D102"/>
    <mergeCell ref="E102:F102"/>
    <mergeCell ref="C103:D103"/>
    <mergeCell ref="E103:F103"/>
    <mergeCell ref="C104:D104"/>
    <mergeCell ref="E104:F104"/>
    <mergeCell ref="C99:D99"/>
    <mergeCell ref="E99:F99"/>
    <mergeCell ref="C100:D100"/>
    <mergeCell ref="E100:F100"/>
    <mergeCell ref="C101:D101"/>
    <mergeCell ref="E101:F101"/>
    <mergeCell ref="C108:D108"/>
    <mergeCell ref="E108:F108"/>
    <mergeCell ref="C109:D109"/>
    <mergeCell ref="E109:F109"/>
    <mergeCell ref="C110:D110"/>
    <mergeCell ref="E110:F110"/>
    <mergeCell ref="C105:D105"/>
    <mergeCell ref="E105:F105"/>
    <mergeCell ref="C106:D106"/>
    <mergeCell ref="E106:F106"/>
    <mergeCell ref="C107:D107"/>
    <mergeCell ref="E107:F107"/>
    <mergeCell ref="C114:D114"/>
    <mergeCell ref="E114:F114"/>
    <mergeCell ref="C115:D115"/>
    <mergeCell ref="E115:F115"/>
    <mergeCell ref="C116:D116"/>
    <mergeCell ref="E116:F116"/>
    <mergeCell ref="C111:D111"/>
    <mergeCell ref="E111:F111"/>
    <mergeCell ref="C112:D112"/>
    <mergeCell ref="E112:F112"/>
    <mergeCell ref="C113:D113"/>
    <mergeCell ref="E113:F113"/>
    <mergeCell ref="C120:D120"/>
    <mergeCell ref="E120:F120"/>
    <mergeCell ref="C121:D121"/>
    <mergeCell ref="E121:F121"/>
    <mergeCell ref="C122:D122"/>
    <mergeCell ref="E122:F122"/>
    <mergeCell ref="C117:D117"/>
    <mergeCell ref="E117:F117"/>
    <mergeCell ref="C118:D118"/>
    <mergeCell ref="E118:F118"/>
    <mergeCell ref="C119:D119"/>
    <mergeCell ref="E119:F119"/>
    <mergeCell ref="C126:D126"/>
    <mergeCell ref="E126:F126"/>
    <mergeCell ref="C127:D127"/>
    <mergeCell ref="E127:F127"/>
    <mergeCell ref="C128:D128"/>
    <mergeCell ref="E128:F128"/>
    <mergeCell ref="C123:D123"/>
    <mergeCell ref="E123:F123"/>
    <mergeCell ref="C124:D124"/>
    <mergeCell ref="E124:F124"/>
    <mergeCell ref="C125:D125"/>
    <mergeCell ref="E125:F125"/>
    <mergeCell ref="C132:D132"/>
    <mergeCell ref="E132:F132"/>
    <mergeCell ref="C133:D133"/>
    <mergeCell ref="E133:F133"/>
    <mergeCell ref="C134:D134"/>
    <mergeCell ref="E134:F134"/>
    <mergeCell ref="C129:D129"/>
    <mergeCell ref="E129:F129"/>
    <mergeCell ref="C130:D130"/>
    <mergeCell ref="E130:F130"/>
    <mergeCell ref="C131:D131"/>
    <mergeCell ref="E131:F131"/>
    <mergeCell ref="C138:D138"/>
    <mergeCell ref="E138:F138"/>
    <mergeCell ref="C139:D139"/>
    <mergeCell ref="E139:F139"/>
    <mergeCell ref="C140:D140"/>
    <mergeCell ref="E140:F140"/>
    <mergeCell ref="C135:D135"/>
    <mergeCell ref="E135:F135"/>
    <mergeCell ref="C136:D136"/>
    <mergeCell ref="E136:F136"/>
    <mergeCell ref="C137:D137"/>
    <mergeCell ref="E137:F137"/>
    <mergeCell ref="C144:D144"/>
    <mergeCell ref="E144:F144"/>
    <mergeCell ref="C145:D145"/>
    <mergeCell ref="E145:F145"/>
    <mergeCell ref="C146:D146"/>
    <mergeCell ref="E146:F146"/>
    <mergeCell ref="C141:D141"/>
    <mergeCell ref="E141:F141"/>
    <mergeCell ref="C142:D142"/>
    <mergeCell ref="E142:F142"/>
    <mergeCell ref="C143:D143"/>
    <mergeCell ref="E143:F143"/>
    <mergeCell ref="C150:D150"/>
    <mergeCell ref="E150:F150"/>
    <mergeCell ref="C151:D151"/>
    <mergeCell ref="E151:F151"/>
    <mergeCell ref="C152:D152"/>
    <mergeCell ref="E152:F152"/>
    <mergeCell ref="C147:D147"/>
    <mergeCell ref="E147:F147"/>
    <mergeCell ref="C148:D148"/>
    <mergeCell ref="E148:F148"/>
    <mergeCell ref="C149:D149"/>
    <mergeCell ref="E149:F149"/>
    <mergeCell ref="C156:D156"/>
    <mergeCell ref="E156:F156"/>
    <mergeCell ref="C157:D157"/>
    <mergeCell ref="E157:F157"/>
    <mergeCell ref="C158:D158"/>
    <mergeCell ref="E158:F158"/>
    <mergeCell ref="C153:D153"/>
    <mergeCell ref="E153:F153"/>
    <mergeCell ref="C154:D154"/>
    <mergeCell ref="E154:F154"/>
    <mergeCell ref="C155:D155"/>
    <mergeCell ref="E155:F155"/>
    <mergeCell ref="C162:D162"/>
    <mergeCell ref="E162:F162"/>
    <mergeCell ref="C163:D163"/>
    <mergeCell ref="E163:F163"/>
    <mergeCell ref="C164:D164"/>
    <mergeCell ref="E164:F164"/>
    <mergeCell ref="C159:D159"/>
    <mergeCell ref="E159:F159"/>
    <mergeCell ref="C160:D160"/>
    <mergeCell ref="E160:F160"/>
    <mergeCell ref="C161:D161"/>
    <mergeCell ref="E161:F161"/>
    <mergeCell ref="C168:D168"/>
    <mergeCell ref="E168:F168"/>
    <mergeCell ref="C169:D169"/>
    <mergeCell ref="E169:F169"/>
    <mergeCell ref="C170:D170"/>
    <mergeCell ref="E170:F170"/>
    <mergeCell ref="C165:D165"/>
    <mergeCell ref="E165:F165"/>
    <mergeCell ref="C166:D166"/>
    <mergeCell ref="E166:F166"/>
    <mergeCell ref="C167:D167"/>
    <mergeCell ref="E167:F167"/>
    <mergeCell ref="C174:D174"/>
    <mergeCell ref="E174:F174"/>
    <mergeCell ref="C175:D175"/>
    <mergeCell ref="E175:F175"/>
    <mergeCell ref="C176:D176"/>
    <mergeCell ref="E176:F176"/>
    <mergeCell ref="C171:D171"/>
    <mergeCell ref="E171:F171"/>
    <mergeCell ref="C172:D172"/>
    <mergeCell ref="E172:F172"/>
    <mergeCell ref="C173:D173"/>
    <mergeCell ref="E173:F173"/>
    <mergeCell ref="C180:D180"/>
    <mergeCell ref="E180:F180"/>
    <mergeCell ref="C181:D181"/>
    <mergeCell ref="E181:F181"/>
    <mergeCell ref="C182:D182"/>
    <mergeCell ref="E182:F182"/>
    <mergeCell ref="C177:D177"/>
    <mergeCell ref="E177:F177"/>
    <mergeCell ref="C178:D178"/>
    <mergeCell ref="E178:F178"/>
    <mergeCell ref="C179:D179"/>
    <mergeCell ref="E179:F179"/>
    <mergeCell ref="E191:F191"/>
    <mergeCell ref="C186:D186"/>
    <mergeCell ref="E186:F186"/>
    <mergeCell ref="C187:D187"/>
    <mergeCell ref="E187:F187"/>
    <mergeCell ref="C188:D188"/>
    <mergeCell ref="E188:F188"/>
    <mergeCell ref="C183:D183"/>
    <mergeCell ref="E183:F183"/>
    <mergeCell ref="C184:D184"/>
    <mergeCell ref="E184:F184"/>
    <mergeCell ref="C185:D185"/>
    <mergeCell ref="E185:F185"/>
    <mergeCell ref="C207:D207"/>
    <mergeCell ref="E207:F207"/>
    <mergeCell ref="C204:D204"/>
    <mergeCell ref="E204:F204"/>
    <mergeCell ref="C205:D205"/>
    <mergeCell ref="E205:F205"/>
    <mergeCell ref="C206:D206"/>
    <mergeCell ref="E206:F206"/>
    <mergeCell ref="C201:D201"/>
    <mergeCell ref="E201:F201"/>
    <mergeCell ref="C202:D202"/>
    <mergeCell ref="E202:F202"/>
    <mergeCell ref="C203:D203"/>
    <mergeCell ref="E203:F203"/>
    <mergeCell ref="A27:H27"/>
    <mergeCell ref="C198:D198"/>
    <mergeCell ref="E198:F198"/>
    <mergeCell ref="C199:D199"/>
    <mergeCell ref="E199:F199"/>
    <mergeCell ref="C200:D200"/>
    <mergeCell ref="E200:F200"/>
    <mergeCell ref="C195:D195"/>
    <mergeCell ref="E195:F195"/>
    <mergeCell ref="C196:D196"/>
    <mergeCell ref="E196:F196"/>
    <mergeCell ref="C197:D197"/>
    <mergeCell ref="E197:F197"/>
    <mergeCell ref="C192:D192"/>
    <mergeCell ref="E192:F192"/>
    <mergeCell ref="C193:D193"/>
    <mergeCell ref="E193:F193"/>
    <mergeCell ref="C194:D194"/>
    <mergeCell ref="E194:F194"/>
    <mergeCell ref="C189:D189"/>
    <mergeCell ref="E189:F189"/>
    <mergeCell ref="C190:D190"/>
    <mergeCell ref="E190:F190"/>
    <mergeCell ref="C191:D191"/>
  </mergeCells>
  <pageMargins left="1.1023622047244095" right="0.70866141732283472" top="0.74803149606299213" bottom="0.74803149606299213" header="0.31496062992125984" footer="0.31496062992125984"/>
  <pageSetup paperSize="9" scale="83" orientation="portrait" r:id="rId1"/>
  <headerFooter>
    <oddHeader>&amp;L&amp;G&amp;RData symulacji: &amp;D</oddHeader>
    <oddFooter>&amp;L&amp;"-,Kursywa"&amp;9Powyższe wyliczenie ma charakter orientacyjny i nie stanowi oferty w rozumieniu Kodeksu Cywilnego.
Wysokość rat oraz sumy odsetek mogą różnić się od powyższych wyliczeń.&amp;R&amp;P</oddFooter>
  </headerFooter>
  <drawing r:id="rId2"/>
  <legacyDrawing r:id="rId3"/>
  <legacyDrawingHF r:id="rId4"/>
  <controls>
    <mc:AlternateContent xmlns:mc="http://schemas.openxmlformats.org/markup-compatibility/2006">
      <mc:Choice Requires="x14">
        <control shapeId="50178" r:id="rId5" name="cmdObszarZadruku">
          <controlPr autoLine="0" r:id="rId6">
            <anchor moveWithCells="1">
              <from>
                <xdr:col>8</xdr:col>
                <xdr:colOff>114300</xdr:colOff>
                <xdr:row>2</xdr:row>
                <xdr:rowOff>215900</xdr:rowOff>
              </from>
              <to>
                <xdr:col>9</xdr:col>
                <xdr:colOff>114300</xdr:colOff>
                <xdr:row>3</xdr:row>
                <xdr:rowOff>133350</xdr:rowOff>
              </to>
            </anchor>
          </controlPr>
        </control>
      </mc:Choice>
      <mc:Fallback>
        <control shapeId="50178" r:id="rId5" name="cmdObszarZadruku"/>
      </mc:Fallback>
    </mc:AlternateContent>
  </control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Arkusz22"/>
  <dimension ref="A1:Q182"/>
  <sheetViews>
    <sheetView workbookViewId="0">
      <pane ySplit="1" topLeftCell="A2" activePane="bottomLeft" state="frozen"/>
      <selection pane="bottomLeft" activeCell="G3" sqref="G3"/>
    </sheetView>
  </sheetViews>
  <sheetFormatPr defaultRowHeight="14.5" x14ac:dyDescent="0.35"/>
  <cols>
    <col min="1" max="1" width="4" bestFit="1" customWidth="1"/>
    <col min="2" max="2" width="16.1796875" customWidth="1"/>
    <col min="3" max="3" width="16.1796875" style="15" customWidth="1"/>
    <col min="4" max="11" width="16.1796875" customWidth="1"/>
    <col min="12" max="12" width="17.453125" customWidth="1"/>
    <col min="13" max="13" width="12.1796875" customWidth="1"/>
    <col min="15" max="15" width="15.1796875" customWidth="1"/>
    <col min="16" max="16" width="16.81640625" customWidth="1"/>
    <col min="17" max="17" width="16.1796875" customWidth="1"/>
  </cols>
  <sheetData>
    <row r="1" spans="1:17" x14ac:dyDescent="0.35">
      <c r="A1" s="1" t="s">
        <v>6</v>
      </c>
      <c r="B1" s="2"/>
      <c r="C1" s="3" t="s">
        <v>7</v>
      </c>
      <c r="D1" s="2" t="s">
        <v>8</v>
      </c>
      <c r="E1" s="2" t="s">
        <v>9</v>
      </c>
      <c r="F1" s="2" t="s">
        <v>10</v>
      </c>
      <c r="G1" s="2" t="s">
        <v>11</v>
      </c>
      <c r="H1" s="2" t="s">
        <v>12</v>
      </c>
      <c r="I1" s="2" t="s">
        <v>13</v>
      </c>
      <c r="J1" s="2" t="s">
        <v>14</v>
      </c>
      <c r="K1" s="2" t="s">
        <v>15</v>
      </c>
      <c r="L1" s="4" t="s">
        <v>16</v>
      </c>
      <c r="M1" s="5" t="s">
        <v>17</v>
      </c>
      <c r="N1" s="4" t="s">
        <v>18</v>
      </c>
      <c r="O1" s="6" t="s">
        <v>19</v>
      </c>
      <c r="P1" s="7" t="s">
        <v>20</v>
      </c>
      <c r="Q1" s="7" t="s">
        <v>21</v>
      </c>
    </row>
    <row r="2" spans="1:17" x14ac:dyDescent="0.35">
      <c r="A2" s="8">
        <v>0</v>
      </c>
      <c r="B2" s="9">
        <f ca="1">'Symulacja Pożyczka'!B10</f>
        <v>46083</v>
      </c>
      <c r="C2" s="10"/>
      <c r="D2" s="9"/>
      <c r="E2" s="9"/>
      <c r="F2" s="9"/>
      <c r="G2" s="11"/>
      <c r="H2" s="11"/>
      <c r="I2" s="11"/>
      <c r="J2" s="11"/>
      <c r="K2" s="11"/>
      <c r="L2" s="7"/>
      <c r="M2" s="12"/>
      <c r="N2" s="13">
        <f ca="1">'Symulacja Pożyczka'!B3/VLOOKUP('Symulacja Pożyczka'!B4,Arkusz1!$A$1:$O$182,13,1)</f>
        <v>13869.160872339731</v>
      </c>
      <c r="O2" s="7"/>
    </row>
    <row r="3" spans="1:17" x14ac:dyDescent="0.35">
      <c r="A3">
        <v>1</v>
      </c>
      <c r="B3" s="14">
        <f ca="1">'Symulacja Pożyczka'!B11</f>
        <v>46098</v>
      </c>
      <c r="C3" s="61">
        <f ca="1">(1+'Symulacja Pożyczka'!$B$7*(Arkusz1!B3-Arkusz1!B2)/365)</f>
        <v>1.0026301369863013</v>
      </c>
      <c r="D3" s="15">
        <f ca="1">(1+'Symulacja Pożyczka'!$B$7*(Arkusz1!B3-Arkusz1!B2)/366)</f>
        <v>1.0026229508196722</v>
      </c>
      <c r="E3" s="15">
        <f ca="1">IF(AND(MOD(YEAR(B2),4)=0,MOD(YEAR(B3),4)&lt;&gt;0),1,0)</f>
        <v>0</v>
      </c>
      <c r="F3" s="15">
        <f ca="1">IF(AND(MOD(YEAR(B3),4)=0,MOD(YEAR(B2),4)&lt;&gt;0),1,0)</f>
        <v>0</v>
      </c>
      <c r="G3">
        <f ca="1">IF(E3=1,(1+'Symulacja Pożyczka'!$B$7*(((Arkusz1!B3-DATE(YEAR(B3),1,1)+1)/365)+((DATE(YEAR(B2),12,31)-Arkusz1!B2)/366))),IF(F3=1,(1+'Symulacja Pożyczka'!$B$7*(((Arkusz1!B3-DATE(YEAR(B3),1,1)+1)/366)+((DATE(YEAR(B2),12,31)-Arkusz1!B2)/365))),0))</f>
        <v>0</v>
      </c>
      <c r="H3">
        <f ca="1">IF(MOD(YEAR(B3),4)=0,1,0)</f>
        <v>0</v>
      </c>
      <c r="I3">
        <f ca="1">IF(H3=0,C3,IF(H3=1,D3,"blad"))</f>
        <v>1.0026301369863013</v>
      </c>
      <c r="J3">
        <f ca="1">IF(OR(E3=1,F3=1),G3,I3)</f>
        <v>1.0026301369863013</v>
      </c>
      <c r="K3">
        <f ca="1">J3</f>
        <v>1.0026301369863013</v>
      </c>
      <c r="L3">
        <f ca="1">1/K3</f>
        <v>0.99737676248770357</v>
      </c>
      <c r="O3">
        <f ca="1">('Symulacja Pożyczka'!$B$3*Arkusz1!J3)-'Symulacja Pożyczka'!$B$3</f>
        <v>3235.0684931506403</v>
      </c>
      <c r="P3" s="16">
        <f ca="1">$N$2-O3</f>
        <v>10634.092379189091</v>
      </c>
      <c r="Q3" s="17">
        <f ca="1">'Symulacja Pożyczka'!B3-P3</f>
        <v>1219365.9076208109</v>
      </c>
    </row>
    <row r="4" spans="1:17" x14ac:dyDescent="0.35">
      <c r="A4">
        <v>2</v>
      </c>
      <c r="B4" s="14">
        <f ca="1">DATE(YEAR((B3)),MONTH((B3))+1,IF(AND(DAY(B3)&gt;28,MONTH((B3))+1=2),IF(MOD(YEAR(B3),4)=0,29,28),DAY(B3)))</f>
        <v>46129</v>
      </c>
      <c r="C4" s="15">
        <f ca="1">(1+'Symulacja Pożyczka'!$B$7*(Arkusz1!B4-Arkusz1!B3)/365)</f>
        <v>1.0054356164383562</v>
      </c>
      <c r="D4" s="15">
        <f ca="1">(1+'Symulacja Pożyczka'!$B$7*(Arkusz1!B4-Arkusz1!B3)/366)</f>
        <v>1.0054207650273224</v>
      </c>
      <c r="E4" s="15">
        <f t="shared" ref="E4:E67" ca="1" si="0">IF(AND(MOD(YEAR(B3),4)=0,MOD(YEAR(B4),4)&lt;&gt;0),1,0)</f>
        <v>0</v>
      </c>
      <c r="F4" s="15">
        <f t="shared" ref="F4:F67" ca="1" si="1">IF(AND(MOD(YEAR(B4),4)=0,MOD(YEAR(B3),4)&lt;&gt;0),1,0)</f>
        <v>0</v>
      </c>
      <c r="G4">
        <f ca="1">IF(E4=1,(1+'Symulacja Pożyczka'!$B$7*(((Arkusz1!B4-DATE(YEAR(B4),1,1)+1)/365)+((DATE(YEAR(B3),12,31)-Arkusz1!B3)/366))),IF(F4=1,(1+'Symulacja Pożyczka'!$B$7*(((Arkusz1!B4-DATE(YEAR(B4),1,1)+1)/366)+((DATE(YEAR(B3),12,31)-Arkusz1!B3)/365))),0))</f>
        <v>0</v>
      </c>
      <c r="H4">
        <f t="shared" ref="H4:H67" ca="1" si="2">IF(MOD(YEAR(B4),4)=0,1,0)</f>
        <v>0</v>
      </c>
      <c r="I4">
        <f t="shared" ref="I4:I67" ca="1" si="3">IF(H4=0,C4,IF(H4=1,D4,"blad"))</f>
        <v>1.0054356164383562</v>
      </c>
      <c r="J4">
        <f t="shared" ref="J4:J67" ca="1" si="4">IF(OR(E4=1,F4=1),G4,I4)</f>
        <v>1.0054356164383562</v>
      </c>
      <c r="K4">
        <f ca="1">PRODUCT($J$3:J4)</f>
        <v>1.0080800498404954</v>
      </c>
      <c r="L4">
        <f t="shared" ref="L4:L67" ca="1" si="5">1/K4</f>
        <v>0.99198471406931044</v>
      </c>
      <c r="M4">
        <f ca="1">L3+L4</f>
        <v>1.989361476557014</v>
      </c>
      <c r="O4">
        <f ca="1">(Q3*Arkusz1!J4)-Q3</f>
        <v>6628.0053718348499</v>
      </c>
      <c r="P4" s="16">
        <f ca="1">$N$2-O4</f>
        <v>7241.1555005048813</v>
      </c>
      <c r="Q4" s="17">
        <f ca="1">Q3-P4</f>
        <v>1212124.752120306</v>
      </c>
    </row>
    <row r="5" spans="1:17" x14ac:dyDescent="0.35">
      <c r="A5">
        <v>3</v>
      </c>
      <c r="B5" s="14">
        <f ca="1">DATE(YEAR((B4)),MONTH((B4))+1,IF(AND(DAY(B4)&gt;28,MONTH((B4))+1=2),IF(MOD(YEAR(B4),4)=0,29,28),IF(AND(OR(DAY(B4)=28,DAY(B4)=29),MONTH((B4))=2),DAY(B3),DAY(B4))))</f>
        <v>46159</v>
      </c>
      <c r="C5" s="15">
        <f ca="1">(1+'Symulacja Pożyczka'!$B$7*(Arkusz1!B5-Arkusz1!B4)/365)</f>
        <v>1.0052602739726026</v>
      </c>
      <c r="D5" s="15">
        <f ca="1">(1+'Symulacja Pożyczka'!$B$7*(Arkusz1!B5-Arkusz1!B4)/366)</f>
        <v>1.0052459016393442</v>
      </c>
      <c r="E5" s="15">
        <f t="shared" ca="1" si="0"/>
        <v>0</v>
      </c>
      <c r="F5" s="15">
        <f t="shared" ca="1" si="1"/>
        <v>0</v>
      </c>
      <c r="G5">
        <f ca="1">IF(E5=1,(1+'Symulacja Pożyczka'!$B$7*(((Arkusz1!B5-DATE(YEAR(B5),1,1)+1)/365)+((DATE(YEAR(B4),12,31)-Arkusz1!B4)/366))),IF(F5=1,(1+'Symulacja Pożyczka'!$B$7*(((Arkusz1!B5-DATE(YEAR(B5),1,1)+1)/366)+((DATE(YEAR(B4),12,31)-Arkusz1!B4)/365))),0))</f>
        <v>0</v>
      </c>
      <c r="H5">
        <f t="shared" ca="1" si="2"/>
        <v>0</v>
      </c>
      <c r="I5">
        <f t="shared" ca="1" si="3"/>
        <v>1.0052602739726026</v>
      </c>
      <c r="J5">
        <f t="shared" ca="1" si="4"/>
        <v>1.0052602739726026</v>
      </c>
      <c r="K5">
        <f ca="1">PRODUCT($J$3:J5)</f>
        <v>1.0133828270889713</v>
      </c>
      <c r="L5">
        <f t="shared" ca="1" si="5"/>
        <v>0.98679390775999765</v>
      </c>
      <c r="M5">
        <f ca="1">SUM($L$3:L5)</f>
        <v>2.9761553843170114</v>
      </c>
      <c r="O5">
        <f ca="1">(Q4*Arkusz1!J5)-Q4</f>
        <v>6376.1082851258107</v>
      </c>
      <c r="P5" s="16">
        <f t="shared" ref="P5:P68" ca="1" si="6">$N$2-O5</f>
        <v>7493.0525872139206</v>
      </c>
      <c r="Q5" s="17">
        <f t="shared" ref="Q5:Q68" ca="1" si="7">Q4-P5</f>
        <v>1204631.6995330921</v>
      </c>
    </row>
    <row r="6" spans="1:17" x14ac:dyDescent="0.35">
      <c r="A6">
        <v>4</v>
      </c>
      <c r="B6" s="14">
        <f t="shared" ref="B6:B69" ca="1" si="8">DATE(YEAR((B5)),MONTH((B5))+1,IF(AND(DAY(B5)&gt;28,MONTH((B5))+1=2),IF(MOD(YEAR(B5),4)=0,29,28),IF(AND(OR(DAY(B5)=28,DAY(B5)=29),MONTH((B5))=2),DAY(B4),DAY(B5))))</f>
        <v>46190</v>
      </c>
      <c r="C6" s="15">
        <f ca="1">(1+'Symulacja Pożyczka'!$B$7*(Arkusz1!B6-Arkusz1!B5)/365)</f>
        <v>1.0054356164383562</v>
      </c>
      <c r="D6" s="15">
        <f ca="1">(1+'Symulacja Pożyczka'!$B$7*(Arkusz1!B6-Arkusz1!B5)/366)</f>
        <v>1.0054207650273224</v>
      </c>
      <c r="E6" s="15">
        <f t="shared" ca="1" si="0"/>
        <v>0</v>
      </c>
      <c r="F6" s="15">
        <f t="shared" ca="1" si="1"/>
        <v>0</v>
      </c>
      <c r="G6">
        <f ca="1">IF(E6=1,(1+'Symulacja Pożyczka'!$B$7*(((Arkusz1!B6-DATE(YEAR(B6),1,1)+1)/365)+((DATE(YEAR(B5),12,31)-Arkusz1!B5)/366))),IF(F6=1,(1+'Symulacja Pożyczka'!$B$7*(((Arkusz1!B6-DATE(YEAR(B6),1,1)+1)/366)+((DATE(YEAR(B5),12,31)-Arkusz1!B5)/365))),0))</f>
        <v>0</v>
      </c>
      <c r="H6">
        <f t="shared" ca="1" si="2"/>
        <v>0</v>
      </c>
      <c r="I6">
        <f t="shared" ca="1" si="3"/>
        <v>1.0054356164383562</v>
      </c>
      <c r="J6">
        <f t="shared" ca="1" si="4"/>
        <v>1.0054356164383562</v>
      </c>
      <c r="K6">
        <f ca="1">PRODUCT($J$3:J6)</f>
        <v>1.0188911874422439</v>
      </c>
      <c r="L6">
        <f t="shared" ca="1" si="5"/>
        <v>0.98145907269090515</v>
      </c>
      <c r="M6">
        <f ca="1">SUM($L$3:L6)</f>
        <v>3.9576144570079164</v>
      </c>
      <c r="O6">
        <f ca="1">(Q5*Arkusz1!J6)-Q5</f>
        <v>6547.9158681470435</v>
      </c>
      <c r="P6" s="16">
        <f t="shared" ca="1" si="6"/>
        <v>7321.2450041926877</v>
      </c>
      <c r="Q6" s="17">
        <f t="shared" ca="1" si="7"/>
        <v>1197310.4545288994</v>
      </c>
    </row>
    <row r="7" spans="1:17" x14ac:dyDescent="0.35">
      <c r="A7">
        <v>5</v>
      </c>
      <c r="B7" s="14">
        <f t="shared" ca="1" si="8"/>
        <v>46220</v>
      </c>
      <c r="C7" s="15">
        <f ca="1">(1+'Symulacja Pożyczka'!$B$7*(Arkusz1!B7-Arkusz1!B6)/365)</f>
        <v>1.0052602739726026</v>
      </c>
      <c r="D7" s="15">
        <f ca="1">(1+'Symulacja Pożyczka'!$B$7*(Arkusz1!B7-Arkusz1!B6)/366)</f>
        <v>1.0052459016393442</v>
      </c>
      <c r="E7" s="15">
        <f t="shared" ca="1" si="0"/>
        <v>0</v>
      </c>
      <c r="F7" s="15">
        <f t="shared" ca="1" si="1"/>
        <v>0</v>
      </c>
      <c r="G7">
        <f ca="1">IF(E7=1,(1+'Symulacja Pożyczka'!$B$7*(((Arkusz1!B7-DATE(YEAR(B7),1,1)+1)/365)+((DATE(YEAR(B6),12,31)-Arkusz1!B6)/366))),IF(F7=1,(1+'Symulacja Pożyczka'!$B$7*(((Arkusz1!B7-DATE(YEAR(B7),1,1)+1)/366)+((DATE(YEAR(B6),12,31)-Arkusz1!B6)/365))),0))</f>
        <v>0</v>
      </c>
      <c r="H7">
        <f t="shared" ca="1" si="2"/>
        <v>0</v>
      </c>
      <c r="I7">
        <f t="shared" ca="1" si="3"/>
        <v>1.0052602739726026</v>
      </c>
      <c r="J7">
        <f t="shared" ca="1" si="4"/>
        <v>1.0052602739726026</v>
      </c>
      <c r="K7">
        <f ca="1">PRODUCT($J$3:J7)</f>
        <v>1.0242508342364607</v>
      </c>
      <c r="L7">
        <f t="shared" ca="1" si="5"/>
        <v>0.97632334441344271</v>
      </c>
      <c r="M7">
        <f ca="1">SUM($L$3:L7)</f>
        <v>4.9339378014213588</v>
      </c>
      <c r="O7">
        <f ca="1">(Q6*Arkusz1!J7)-Q6</f>
        <v>6298.1810210833792</v>
      </c>
      <c r="P7" s="16">
        <f t="shared" ca="1" si="6"/>
        <v>7570.979851256352</v>
      </c>
      <c r="Q7" s="17">
        <f t="shared" ca="1" si="7"/>
        <v>1189739.474677643</v>
      </c>
    </row>
    <row r="8" spans="1:17" x14ac:dyDescent="0.35">
      <c r="A8">
        <v>6</v>
      </c>
      <c r="B8" s="14">
        <f t="shared" ca="1" si="8"/>
        <v>46251</v>
      </c>
      <c r="C8" s="15">
        <f ca="1">(1+'Symulacja Pożyczka'!$B$7*(Arkusz1!B8-Arkusz1!B7)/365)</f>
        <v>1.0054356164383562</v>
      </c>
      <c r="D8" s="15">
        <f ca="1">(1+'Symulacja Pożyczka'!$B$7*(Arkusz1!B8-Arkusz1!B7)/366)</f>
        <v>1.0054207650273224</v>
      </c>
      <c r="E8" s="15">
        <f t="shared" ca="1" si="0"/>
        <v>0</v>
      </c>
      <c r="F8" s="15">
        <f t="shared" ca="1" si="1"/>
        <v>0</v>
      </c>
      <c r="G8">
        <f ca="1">IF(E8=1,(1+'Symulacja Pożyczka'!$B$7*(((Arkusz1!B8-DATE(YEAR(B8),1,1)+1)/365)+((DATE(YEAR(B7),12,31)-Arkusz1!B7)/366))),IF(F8=1,(1+'Symulacja Pożyczka'!$B$7*(((Arkusz1!B8-DATE(YEAR(B8),1,1)+1)/366)+((DATE(YEAR(B7),12,31)-Arkusz1!B7)/365))),0))</f>
        <v>0</v>
      </c>
      <c r="H8">
        <f t="shared" ca="1" si="2"/>
        <v>0</v>
      </c>
      <c r="I8">
        <f t="shared" ca="1" si="3"/>
        <v>1.0054356164383562</v>
      </c>
      <c r="J8">
        <f t="shared" ca="1" si="4"/>
        <v>1.0054356164383562</v>
      </c>
      <c r="K8">
        <f ca="1">PRODUCT($J$3:J8)</f>
        <v>1.0298182689080364</v>
      </c>
      <c r="L8">
        <f t="shared" ca="1" si="5"/>
        <v>0.97104511562058993</v>
      </c>
      <c r="M8">
        <f ca="1">SUM($L$3:L8)</f>
        <v>5.9049829170419486</v>
      </c>
      <c r="O8">
        <f ca="1">(Q7*Arkusz1!J8)-Q7</f>
        <v>6466.9674459190574</v>
      </c>
      <c r="P8" s="16">
        <f t="shared" ca="1" si="6"/>
        <v>7402.1934264206739</v>
      </c>
      <c r="Q8" s="17">
        <f t="shared" ca="1" si="7"/>
        <v>1182337.2812512224</v>
      </c>
    </row>
    <row r="9" spans="1:17" x14ac:dyDescent="0.35">
      <c r="A9">
        <v>7</v>
      </c>
      <c r="B9" s="14">
        <f t="shared" ca="1" si="8"/>
        <v>46282</v>
      </c>
      <c r="C9" s="15">
        <f ca="1">(1+'Symulacja Pożyczka'!$B$7*(Arkusz1!B9-Arkusz1!B8)/365)</f>
        <v>1.0054356164383562</v>
      </c>
      <c r="D9" s="15">
        <f ca="1">(1+'Symulacja Pożyczka'!$B$7*(Arkusz1!B9-Arkusz1!B8)/366)</f>
        <v>1.0054207650273224</v>
      </c>
      <c r="E9" s="15">
        <f t="shared" ca="1" si="0"/>
        <v>0</v>
      </c>
      <c r="F9" s="15">
        <f t="shared" ca="1" si="1"/>
        <v>0</v>
      </c>
      <c r="G9">
        <f ca="1">IF(E9=1,(1+'Symulacja Pożyczka'!$B$7*(((Arkusz1!B9-DATE(YEAR(B9),1,1)+1)/365)+((DATE(YEAR(B8),12,31)-Arkusz1!B8)/366))),IF(F9=1,(1+'Symulacja Pożyczka'!$B$7*(((Arkusz1!B9-DATE(YEAR(B9),1,1)+1)/366)+((DATE(YEAR(B8),12,31)-Arkusz1!B8)/365))),0))</f>
        <v>0</v>
      </c>
      <c r="H9">
        <f t="shared" ca="1" si="2"/>
        <v>0</v>
      </c>
      <c r="I9">
        <f t="shared" ca="1" si="3"/>
        <v>1.0054356164383562</v>
      </c>
      <c r="J9">
        <f t="shared" ca="1" si="4"/>
        <v>1.0054356164383562</v>
      </c>
      <c r="K9">
        <f ca="1">PRODUCT($J$3:J9)</f>
        <v>1.0354159660190325</v>
      </c>
      <c r="L9">
        <f t="shared" ca="1" si="5"/>
        <v>0.96579542214787373</v>
      </c>
      <c r="M9">
        <f ca="1">SUM($L$3:L9)</f>
        <v>6.8707783391898225</v>
      </c>
      <c r="O9">
        <f ca="1">(Q8*Arkusz1!J9)-Q8</f>
        <v>6426.7319616505411</v>
      </c>
      <c r="P9" s="16">
        <f t="shared" ca="1" si="6"/>
        <v>7442.4289106891902</v>
      </c>
      <c r="Q9" s="17">
        <f t="shared" ca="1" si="7"/>
        <v>1174894.8523405332</v>
      </c>
    </row>
    <row r="10" spans="1:17" x14ac:dyDescent="0.35">
      <c r="A10">
        <v>8</v>
      </c>
      <c r="B10" s="14">
        <f t="shared" ca="1" si="8"/>
        <v>46312</v>
      </c>
      <c r="C10" s="15">
        <f ca="1">(1+'Symulacja Pożyczka'!$B$7*(Arkusz1!B10-Arkusz1!B9)/365)</f>
        <v>1.0052602739726026</v>
      </c>
      <c r="D10" s="15">
        <f ca="1">(1+'Symulacja Pożyczka'!$B$7*(Arkusz1!B10-Arkusz1!B9)/366)</f>
        <v>1.0052459016393442</v>
      </c>
      <c r="E10" s="15">
        <f t="shared" ca="1" si="0"/>
        <v>0</v>
      </c>
      <c r="F10" s="15">
        <f t="shared" ca="1" si="1"/>
        <v>0</v>
      </c>
      <c r="G10">
        <f ca="1">IF(E10=1,(1+'Symulacja Pożyczka'!$B$7*(((Arkusz1!B10-DATE(YEAR(B10),1,1)+1)/365)+((DATE(YEAR(B9),12,31)-Arkusz1!B9)/366))),IF(F10=1,(1+'Symulacja Pożyczka'!$B$7*(((Arkusz1!B10-DATE(YEAR(B10),1,1)+1)/366)+((DATE(YEAR(B9),12,31)-Arkusz1!B9)/365))),0))</f>
        <v>0</v>
      </c>
      <c r="H10">
        <f t="shared" ca="1" si="2"/>
        <v>0</v>
      </c>
      <c r="I10">
        <f t="shared" ca="1" si="3"/>
        <v>1.0052602739726026</v>
      </c>
      <c r="J10">
        <f t="shared" ca="1" si="4"/>
        <v>1.0052602739726026</v>
      </c>
      <c r="K10">
        <f ca="1">PRODUCT($J$3:J10)</f>
        <v>1.0408625376758998</v>
      </c>
      <c r="L10">
        <f t="shared" ca="1" si="5"/>
        <v>0.96074165781089582</v>
      </c>
      <c r="M10">
        <f ca="1">SUM($L$3:L10)</f>
        <v>7.8315199970007185</v>
      </c>
      <c r="O10">
        <f ca="1">(Q9*Arkusz1!J10)-Q9</f>
        <v>6180.2688123118132</v>
      </c>
      <c r="P10" s="16">
        <f t="shared" ca="1" si="6"/>
        <v>7688.892060027918</v>
      </c>
      <c r="Q10" s="17">
        <f t="shared" ca="1" si="7"/>
        <v>1167205.9602805052</v>
      </c>
    </row>
    <row r="11" spans="1:17" x14ac:dyDescent="0.35">
      <c r="A11">
        <v>9</v>
      </c>
      <c r="B11" s="14">
        <f t="shared" ca="1" si="8"/>
        <v>46343</v>
      </c>
      <c r="C11" s="15">
        <f ca="1">(1+'Symulacja Pożyczka'!$B$7*(Arkusz1!B11-Arkusz1!B10)/365)</f>
        <v>1.0054356164383562</v>
      </c>
      <c r="D11" s="15">
        <f ca="1">(1+'Symulacja Pożyczka'!$B$7*(Arkusz1!B11-Arkusz1!B10)/366)</f>
        <v>1.0054207650273224</v>
      </c>
      <c r="E11" s="15">
        <f t="shared" ca="1" si="0"/>
        <v>0</v>
      </c>
      <c r="F11" s="15">
        <f t="shared" ca="1" si="1"/>
        <v>0</v>
      </c>
      <c r="G11">
        <f ca="1">IF(E11=1,(1+'Symulacja Pożyczka'!$B$7*(((Arkusz1!B11-DATE(YEAR(B11),1,1)+1)/365)+((DATE(YEAR(B10),12,31)-Arkusz1!B10)/366))),IF(F11=1,(1+'Symulacja Pożyczka'!$B$7*(((Arkusz1!B11-DATE(YEAR(B11),1,1)+1)/366)+((DATE(YEAR(B10),12,31)-Arkusz1!B10)/365))),0))</f>
        <v>0</v>
      </c>
      <c r="H11">
        <f t="shared" ca="1" si="2"/>
        <v>0</v>
      </c>
      <c r="I11">
        <f t="shared" ca="1" si="3"/>
        <v>1.0054356164383562</v>
      </c>
      <c r="J11">
        <f t="shared" ca="1" si="4"/>
        <v>1.0054356164383562</v>
      </c>
      <c r="K11">
        <f ca="1">PRODUCT($J$3:J11)</f>
        <v>1.0465202671957601</v>
      </c>
      <c r="L11">
        <f t="shared" ca="1" si="5"/>
        <v>0.955547667203412</v>
      </c>
      <c r="M11">
        <f ca="1">SUM($L$3:L11)</f>
        <v>8.7870676642041303</v>
      </c>
      <c r="O11">
        <f ca="1">(Q10*Arkusz1!J11)-Q10</f>
        <v>6344.4839046481065</v>
      </c>
      <c r="P11" s="16">
        <f t="shared" ca="1" si="6"/>
        <v>7524.6769676916247</v>
      </c>
      <c r="Q11" s="17">
        <f t="shared" ca="1" si="7"/>
        <v>1159681.2833128136</v>
      </c>
    </row>
    <row r="12" spans="1:17" x14ac:dyDescent="0.35">
      <c r="A12">
        <v>10</v>
      </c>
      <c r="B12" s="14">
        <f t="shared" ca="1" si="8"/>
        <v>46373</v>
      </c>
      <c r="C12" s="15">
        <f ca="1">(1+'Symulacja Pożyczka'!$B$7*(Arkusz1!B12-Arkusz1!B11)/365)</f>
        <v>1.0052602739726026</v>
      </c>
      <c r="D12" s="15">
        <f ca="1">(1+'Symulacja Pożyczka'!$B$7*(Arkusz1!B12-Arkusz1!B11)/366)</f>
        <v>1.0052459016393442</v>
      </c>
      <c r="E12" s="15">
        <f t="shared" ca="1" si="0"/>
        <v>0</v>
      </c>
      <c r="F12" s="15">
        <f t="shared" ca="1" si="1"/>
        <v>0</v>
      </c>
      <c r="G12">
        <f ca="1">IF(E12=1,(1+'Symulacja Pożyczka'!$B$7*(((Arkusz1!B12-DATE(YEAR(B12),1,1)+1)/365)+((DATE(YEAR(B11),12,31)-Arkusz1!B11)/366))),IF(F12=1,(1+'Symulacja Pożyczka'!$B$7*(((Arkusz1!B12-DATE(YEAR(B12),1,1)+1)/366)+((DATE(YEAR(B11),12,31)-Arkusz1!B11)/365))),0))</f>
        <v>0</v>
      </c>
      <c r="H12">
        <f t="shared" ca="1" si="2"/>
        <v>0</v>
      </c>
      <c r="I12">
        <f t="shared" ca="1" si="3"/>
        <v>1.0052602739726026</v>
      </c>
      <c r="J12">
        <f t="shared" ca="1" si="4"/>
        <v>1.0052602739726026</v>
      </c>
      <c r="K12">
        <f ca="1">PRODUCT($J$3:J12)</f>
        <v>1.052025250519091</v>
      </c>
      <c r="L12">
        <f t="shared" ca="1" si="5"/>
        <v>0.95054752678852461</v>
      </c>
      <c r="M12">
        <f ca="1">SUM($L$3:L12)</f>
        <v>9.7376151909926545</v>
      </c>
      <c r="O12">
        <f ca="1">(Q11*Arkusz1!J12)-Q11</f>
        <v>6100.2412711249199</v>
      </c>
      <c r="P12" s="16">
        <f t="shared" ca="1" si="6"/>
        <v>7768.9196012148113</v>
      </c>
      <c r="Q12" s="17">
        <f t="shared" ca="1" si="7"/>
        <v>1151912.3637115988</v>
      </c>
    </row>
    <row r="13" spans="1:17" x14ac:dyDescent="0.35">
      <c r="A13">
        <v>11</v>
      </c>
      <c r="B13" s="14">
        <f t="shared" ca="1" si="8"/>
        <v>46404</v>
      </c>
      <c r="C13" s="15">
        <f ca="1">(1+'Symulacja Pożyczka'!$B$7*(Arkusz1!B13-Arkusz1!B12)/365)</f>
        <v>1.0054356164383562</v>
      </c>
      <c r="D13" s="15">
        <f ca="1">(1+'Symulacja Pożyczka'!$B$7*(Arkusz1!B13-Arkusz1!B12)/366)</f>
        <v>1.0054207650273224</v>
      </c>
      <c r="E13" s="15">
        <f t="shared" ca="1" si="0"/>
        <v>0</v>
      </c>
      <c r="F13" s="15">
        <f t="shared" ca="1" si="1"/>
        <v>0</v>
      </c>
      <c r="G13">
        <f ca="1">IF(E13=1,(1+'Symulacja Pożyczka'!$B$7*(((Arkusz1!B13-DATE(YEAR(B13),1,1)+1)/365)+((DATE(YEAR(B12),12,31)-Arkusz1!B12)/366))),IF(F13=1,(1+'Symulacja Pożyczka'!$B$7*(((Arkusz1!B13-DATE(YEAR(B13),1,1)+1)/366)+((DATE(YEAR(B12),12,31)-Arkusz1!B12)/365))),0))</f>
        <v>0</v>
      </c>
      <c r="H13">
        <f t="shared" ca="1" si="2"/>
        <v>0</v>
      </c>
      <c r="I13">
        <f t="shared" ca="1" si="3"/>
        <v>1.0054356164383562</v>
      </c>
      <c r="J13">
        <f t="shared" ca="1" si="4"/>
        <v>1.0054356164383562</v>
      </c>
      <c r="K13">
        <f ca="1">PRODUCT($J$3:J13)</f>
        <v>1.0577436562643785</v>
      </c>
      <c r="L13">
        <f t="shared" ca="1" si="5"/>
        <v>0.94540864800048896</v>
      </c>
      <c r="M13">
        <f ca="1">SUM($L$3:L13)</f>
        <v>10.683023838993144</v>
      </c>
      <c r="O13">
        <f ca="1">(Q12*Arkusz1!J13)-Q12</f>
        <v>6261.3537797364406</v>
      </c>
      <c r="P13" s="16">
        <f t="shared" ca="1" si="6"/>
        <v>7607.8070926032906</v>
      </c>
      <c r="Q13" s="17">
        <f t="shared" ca="1" si="7"/>
        <v>1144304.5566189955</v>
      </c>
    </row>
    <row r="14" spans="1:17" x14ac:dyDescent="0.35">
      <c r="A14">
        <v>12</v>
      </c>
      <c r="B14" s="14">
        <f t="shared" ca="1" si="8"/>
        <v>46435</v>
      </c>
      <c r="C14" s="15">
        <f ca="1">(1+'Symulacja Pożyczka'!$B$7*(Arkusz1!B14-Arkusz1!B13)/365)</f>
        <v>1.0054356164383562</v>
      </c>
      <c r="D14" s="15">
        <f ca="1">(1+'Symulacja Pożyczka'!$B$7*(Arkusz1!B14-Arkusz1!B13)/366)</f>
        <v>1.0054207650273224</v>
      </c>
      <c r="E14" s="15">
        <f t="shared" ca="1" si="0"/>
        <v>0</v>
      </c>
      <c r="F14" s="15">
        <f t="shared" ca="1" si="1"/>
        <v>0</v>
      </c>
      <c r="G14">
        <f ca="1">IF(E14=1,(1+'Symulacja Pożyczka'!$B$7*(((Arkusz1!B14-DATE(YEAR(B14),1,1)+1)/365)+((DATE(YEAR(B13),12,31)-Arkusz1!B13)/366))),IF(F14=1,(1+'Symulacja Pożyczka'!$B$7*(((Arkusz1!B14-DATE(YEAR(B14),1,1)+1)/366)+((DATE(YEAR(B13),12,31)-Arkusz1!B13)/365))),0))</f>
        <v>0</v>
      </c>
      <c r="H14">
        <f t="shared" ca="1" si="2"/>
        <v>0</v>
      </c>
      <c r="I14">
        <f t="shared" ca="1" si="3"/>
        <v>1.0054356164383562</v>
      </c>
      <c r="J14">
        <f t="shared" ca="1" si="4"/>
        <v>1.0054356164383562</v>
      </c>
      <c r="K14">
        <f ca="1">PRODUCT($J$3:J14)</f>
        <v>1.0634931450699361</v>
      </c>
      <c r="L14">
        <f t="shared" ca="1" si="5"/>
        <v>0.94029755117437952</v>
      </c>
      <c r="M14">
        <f ca="1">SUM($L$3:L14)</f>
        <v>11.623321390167524</v>
      </c>
      <c r="O14">
        <f ca="1">(Q13*Arkusz1!J14)-Q13</f>
        <v>6220.0006584441289</v>
      </c>
      <c r="P14" s="16">
        <f t="shared" ca="1" si="6"/>
        <v>7649.1602138956023</v>
      </c>
      <c r="Q14" s="17">
        <f t="shared" ca="1" si="7"/>
        <v>1136655.3964050999</v>
      </c>
    </row>
    <row r="15" spans="1:17" x14ac:dyDescent="0.35">
      <c r="A15">
        <v>13</v>
      </c>
      <c r="B15" s="14">
        <f t="shared" ca="1" si="8"/>
        <v>46463</v>
      </c>
      <c r="C15" s="15">
        <f ca="1">(1+'Symulacja Pożyczka'!$B$7*(Arkusz1!B15-Arkusz1!B14)/365)</f>
        <v>1.004909589041096</v>
      </c>
      <c r="D15" s="15">
        <f ca="1">(1+'Symulacja Pożyczka'!$B$7*(Arkusz1!B15-Arkusz1!B14)/366)</f>
        <v>1.004896174863388</v>
      </c>
      <c r="E15" s="15">
        <f t="shared" ca="1" si="0"/>
        <v>0</v>
      </c>
      <c r="F15" s="15">
        <f t="shared" ca="1" si="1"/>
        <v>0</v>
      </c>
      <c r="G15">
        <f ca="1">IF(E15=1,(1+'Symulacja Pożyczka'!$B$7*(((Arkusz1!B15-DATE(YEAR(B15),1,1)+1)/365)+((DATE(YEAR(B14),12,31)-Arkusz1!B14)/366))),IF(F15=1,(1+'Symulacja Pożyczka'!$B$7*(((Arkusz1!B15-DATE(YEAR(B15),1,1)+1)/366)+((DATE(YEAR(B14),12,31)-Arkusz1!B14)/365))),0))</f>
        <v>0</v>
      </c>
      <c r="H15">
        <f t="shared" ca="1" si="2"/>
        <v>0</v>
      </c>
      <c r="I15">
        <f t="shared" ca="1" si="3"/>
        <v>1.004909589041096</v>
      </c>
      <c r="J15">
        <f t="shared" ca="1" si="4"/>
        <v>1.004909589041096</v>
      </c>
      <c r="K15">
        <f ca="1">PRODUCT($J$3:J15)</f>
        <v>1.068714459360252</v>
      </c>
      <c r="L15">
        <f t="shared" ca="1" si="5"/>
        <v>0.9357036308824852</v>
      </c>
      <c r="M15">
        <f ca="1">SUM($L$3:L15)</f>
        <v>12.55902502105001</v>
      </c>
      <c r="O15">
        <f ca="1">(Q14*Arkusz1!J15)-Q14</f>
        <v>5580.510877693072</v>
      </c>
      <c r="P15" s="16">
        <f t="shared" ca="1" si="6"/>
        <v>8288.6499946466593</v>
      </c>
      <c r="Q15" s="17">
        <f t="shared" ca="1" si="7"/>
        <v>1128366.7464104532</v>
      </c>
    </row>
    <row r="16" spans="1:17" x14ac:dyDescent="0.35">
      <c r="A16">
        <v>14</v>
      </c>
      <c r="B16" s="14">
        <f t="shared" ca="1" si="8"/>
        <v>46494</v>
      </c>
      <c r="C16" s="15">
        <f ca="1">(1+'Symulacja Pożyczka'!$B$7*(Arkusz1!B16-Arkusz1!B15)/365)</f>
        <v>1.0054356164383562</v>
      </c>
      <c r="D16" s="15">
        <f ca="1">(1+'Symulacja Pożyczka'!$B$7*(Arkusz1!B16-Arkusz1!B15)/366)</f>
        <v>1.0054207650273224</v>
      </c>
      <c r="E16" s="15">
        <f t="shared" ca="1" si="0"/>
        <v>0</v>
      </c>
      <c r="F16" s="15">
        <f t="shared" ca="1" si="1"/>
        <v>0</v>
      </c>
      <c r="G16">
        <f ca="1">IF(E16=1,(1+'Symulacja Pożyczka'!$B$7*(((Arkusz1!B16-DATE(YEAR(B16),1,1)+1)/365)+((DATE(YEAR(B15),12,31)-Arkusz1!B15)/366))),IF(F16=1,(1+'Symulacja Pożyczka'!$B$7*(((Arkusz1!B16-DATE(YEAR(B16),1,1)+1)/366)+((DATE(YEAR(B15),12,31)-Arkusz1!B15)/365))),0))</f>
        <v>0</v>
      </c>
      <c r="H16">
        <f t="shared" ca="1" si="2"/>
        <v>0</v>
      </c>
      <c r="I16">
        <f t="shared" ca="1" si="3"/>
        <v>1.0054356164383562</v>
      </c>
      <c r="J16">
        <f t="shared" ca="1" si="4"/>
        <v>1.0054356164383562</v>
      </c>
      <c r="K16">
        <f ca="1">PRODUCT($J$3:J16)</f>
        <v>1.0745235812434595</v>
      </c>
      <c r="L16">
        <f t="shared" ca="1" si="5"/>
        <v>0.93064500161344121</v>
      </c>
      <c r="M16">
        <f ca="1">SUM($L$3:L16)</f>
        <v>13.489670022663452</v>
      </c>
      <c r="O16">
        <f ca="1">(Q15*Arkusz1!J16)-Q15</f>
        <v>6133.3688352832105</v>
      </c>
      <c r="P16" s="16">
        <f t="shared" ca="1" si="6"/>
        <v>7735.7920370565207</v>
      </c>
      <c r="Q16" s="17">
        <f t="shared" ca="1" si="7"/>
        <v>1120630.9543733967</v>
      </c>
    </row>
    <row r="17" spans="1:17" x14ac:dyDescent="0.35">
      <c r="A17">
        <v>15</v>
      </c>
      <c r="B17" s="14">
        <f t="shared" ca="1" si="8"/>
        <v>46524</v>
      </c>
      <c r="C17" s="15">
        <f ca="1">(1+'Symulacja Pożyczka'!$B$7*(Arkusz1!B17-Arkusz1!B16)/365)</f>
        <v>1.0052602739726026</v>
      </c>
      <c r="D17" s="15">
        <f ca="1">(1+'Symulacja Pożyczka'!$B$7*(Arkusz1!B17-Arkusz1!B16)/366)</f>
        <v>1.0052459016393442</v>
      </c>
      <c r="E17" s="15">
        <f t="shared" ca="1" si="0"/>
        <v>0</v>
      </c>
      <c r="F17" s="15">
        <f t="shared" ca="1" si="1"/>
        <v>0</v>
      </c>
      <c r="G17">
        <f ca="1">IF(E17=1,(1+'Symulacja Pożyczka'!$B$7*(((Arkusz1!B17-DATE(YEAR(B17),1,1)+1)/365)+((DATE(YEAR(B16),12,31)-Arkusz1!B16)/366))),IF(F17=1,(1+'Symulacja Pożyczka'!$B$7*(((Arkusz1!B17-DATE(YEAR(B17),1,1)+1)/366)+((DATE(YEAR(B16),12,31)-Arkusz1!B16)/365))),0))</f>
        <v>0</v>
      </c>
      <c r="H17">
        <f t="shared" ca="1" si="2"/>
        <v>0</v>
      </c>
      <c r="I17">
        <f t="shared" ca="1" si="3"/>
        <v>1.0052602739726026</v>
      </c>
      <c r="J17">
        <f t="shared" ca="1" si="4"/>
        <v>1.0052602739726026</v>
      </c>
      <c r="K17">
        <f ca="1">PRODUCT($J$3:J17)</f>
        <v>1.0801758696708221</v>
      </c>
      <c r="L17">
        <f t="shared" ca="1" si="5"/>
        <v>0.92577517057916203</v>
      </c>
      <c r="M17">
        <f ca="1">SUM($L$3:L17)</f>
        <v>14.415445193242613</v>
      </c>
      <c r="O17">
        <f ca="1">(Q16*Arkusz1!J17)-Q16</f>
        <v>5894.8258421833161</v>
      </c>
      <c r="P17" s="16">
        <f t="shared" ca="1" si="6"/>
        <v>7974.3350301564151</v>
      </c>
      <c r="Q17" s="17">
        <f t="shared" ca="1" si="7"/>
        <v>1112656.6193432403</v>
      </c>
    </row>
    <row r="18" spans="1:17" x14ac:dyDescent="0.35">
      <c r="A18">
        <v>16</v>
      </c>
      <c r="B18" s="14">
        <f t="shared" ca="1" si="8"/>
        <v>46555</v>
      </c>
      <c r="C18" s="15">
        <f ca="1">(1+'Symulacja Pożyczka'!$B$7*(Arkusz1!B18-Arkusz1!B17)/365)</f>
        <v>1.0054356164383562</v>
      </c>
      <c r="D18" s="15">
        <f ca="1">(1+'Symulacja Pożyczka'!$B$7*(Arkusz1!B18-Arkusz1!B17)/366)</f>
        <v>1.0054207650273224</v>
      </c>
      <c r="E18" s="15">
        <f t="shared" ca="1" si="0"/>
        <v>0</v>
      </c>
      <c r="F18" s="15">
        <f t="shared" ca="1" si="1"/>
        <v>0</v>
      </c>
      <c r="G18">
        <f ca="1">IF(E18=1,(1+'Symulacja Pożyczka'!$B$7*(((Arkusz1!B18-DATE(YEAR(B18),1,1)+1)/365)+((DATE(YEAR(B17),12,31)-Arkusz1!B17)/366))),IF(F18=1,(1+'Symulacja Pożyczka'!$B$7*(((Arkusz1!B18-DATE(YEAR(B18),1,1)+1)/366)+((DATE(YEAR(B17),12,31)-Arkusz1!B17)/365))),0))</f>
        <v>0</v>
      </c>
      <c r="H18">
        <f t="shared" ca="1" si="2"/>
        <v>0</v>
      </c>
      <c r="I18">
        <f t="shared" ca="1" si="3"/>
        <v>1.0054356164383562</v>
      </c>
      <c r="J18">
        <f t="shared" ca="1" si="4"/>
        <v>1.0054356164383562</v>
      </c>
      <c r="K18">
        <f ca="1">PRODUCT($J$3:J18)</f>
        <v>1.0860472913843207</v>
      </c>
      <c r="L18">
        <f t="shared" ca="1" si="5"/>
        <v>0.92077021685248972</v>
      </c>
      <c r="M18">
        <f ca="1">SUM($L$3:L18)</f>
        <v>15.336215410095102</v>
      </c>
      <c r="O18">
        <f ca="1">(Q17*Arkusz1!J18)-Q17</f>
        <v>6047.9746103479993</v>
      </c>
      <c r="P18" s="16">
        <f t="shared" ca="1" si="6"/>
        <v>7821.186261991732</v>
      </c>
      <c r="Q18" s="17">
        <f t="shared" ca="1" si="7"/>
        <v>1104835.4330812485</v>
      </c>
    </row>
    <row r="19" spans="1:17" x14ac:dyDescent="0.35">
      <c r="A19">
        <v>17</v>
      </c>
      <c r="B19" s="14">
        <f t="shared" ca="1" si="8"/>
        <v>46585</v>
      </c>
      <c r="C19" s="15">
        <f ca="1">(1+'Symulacja Pożyczka'!$B$7*(Arkusz1!B19-Arkusz1!B18)/365)</f>
        <v>1.0052602739726026</v>
      </c>
      <c r="D19" s="15">
        <f ca="1">(1+'Symulacja Pożyczka'!$B$7*(Arkusz1!B19-Arkusz1!B18)/366)</f>
        <v>1.0052459016393442</v>
      </c>
      <c r="E19" s="15">
        <f t="shared" ca="1" si="0"/>
        <v>0</v>
      </c>
      <c r="F19" s="15">
        <f t="shared" ca="1" si="1"/>
        <v>0</v>
      </c>
      <c r="G19">
        <f ca="1">IF(E19=1,(1+'Symulacja Pożyczka'!$B$7*(((Arkusz1!B19-DATE(YEAR(B19),1,1)+1)/365)+((DATE(YEAR(B18),12,31)-Arkusz1!B18)/366))),IF(F19=1,(1+'Symulacja Pożyczka'!$B$7*(((Arkusz1!B19-DATE(YEAR(B19),1,1)+1)/366)+((DATE(YEAR(B18),12,31)-Arkusz1!B18)/365))),0))</f>
        <v>0</v>
      </c>
      <c r="H19">
        <f t="shared" ca="1" si="2"/>
        <v>0</v>
      </c>
      <c r="I19">
        <f t="shared" ca="1" si="3"/>
        <v>1.0052602739726026</v>
      </c>
      <c r="J19">
        <f t="shared" ca="1" si="4"/>
        <v>1.0052602739726026</v>
      </c>
      <c r="K19">
        <f ca="1">PRODUCT($J$3:J19)</f>
        <v>1.0917601976842053</v>
      </c>
      <c r="L19">
        <f t="shared" ca="1" si="5"/>
        <v>0.91595205808121316</v>
      </c>
      <c r="M19">
        <f ca="1">SUM($L$3:L19)</f>
        <v>16.252167468176314</v>
      </c>
      <c r="O19">
        <f ca="1">(Q18*Arkusz1!J19)-Q18</f>
        <v>5811.7370726463851</v>
      </c>
      <c r="P19" s="16">
        <f t="shared" ca="1" si="6"/>
        <v>8057.4237996933462</v>
      </c>
      <c r="Q19" s="17">
        <f t="shared" ca="1" si="7"/>
        <v>1096778.0092815552</v>
      </c>
    </row>
    <row r="20" spans="1:17" x14ac:dyDescent="0.35">
      <c r="A20">
        <v>18</v>
      </c>
      <c r="B20" s="14">
        <f t="shared" ca="1" si="8"/>
        <v>46616</v>
      </c>
      <c r="C20" s="15">
        <f ca="1">(1+'Symulacja Pożyczka'!$B$7*(Arkusz1!B20-Arkusz1!B19)/365)</f>
        <v>1.0054356164383562</v>
      </c>
      <c r="D20" s="15">
        <f ca="1">(1+'Symulacja Pożyczka'!$B$7*(Arkusz1!B20-Arkusz1!B19)/366)</f>
        <v>1.0054207650273224</v>
      </c>
      <c r="E20" s="15">
        <f t="shared" ca="1" si="0"/>
        <v>0</v>
      </c>
      <c r="F20" s="15">
        <f t="shared" ca="1" si="1"/>
        <v>0</v>
      </c>
      <c r="G20">
        <f ca="1">IF(E20=1,(1+'Symulacja Pożyczka'!$B$7*(((Arkusz1!B20-DATE(YEAR(B20),1,1)+1)/365)+((DATE(YEAR(B19),12,31)-Arkusz1!B19)/366))),IF(F20=1,(1+'Symulacja Pożyczka'!$B$7*(((Arkusz1!B20-DATE(YEAR(B20),1,1)+1)/366)+((DATE(YEAR(B19),12,31)-Arkusz1!B19)/365))),0))</f>
        <v>0</v>
      </c>
      <c r="H20">
        <f t="shared" ca="1" si="2"/>
        <v>0</v>
      </c>
      <c r="I20">
        <f t="shared" ca="1" si="3"/>
        <v>1.0054356164383562</v>
      </c>
      <c r="J20">
        <f t="shared" ca="1" si="4"/>
        <v>1.0054356164383562</v>
      </c>
      <c r="K20">
        <f ca="1">PRODUCT($J$3:J20)</f>
        <v>1.0976945873614805</v>
      </c>
      <c r="L20">
        <f t="shared" ca="1" si="5"/>
        <v>0.91100021036242129</v>
      </c>
      <c r="M20">
        <f ca="1">SUM($L$3:L20)</f>
        <v>17.163167678538734</v>
      </c>
      <c r="O20">
        <f ca="1">(Q19*Arkusz1!J20)-Q19</f>
        <v>5961.6645764785353</v>
      </c>
      <c r="P20" s="16">
        <f t="shared" ca="1" si="6"/>
        <v>7907.4962958611959</v>
      </c>
      <c r="Q20" s="17">
        <f t="shared" ca="1" si="7"/>
        <v>1088870.512985694</v>
      </c>
    </row>
    <row r="21" spans="1:17" x14ac:dyDescent="0.35">
      <c r="A21">
        <v>19</v>
      </c>
      <c r="B21" s="14">
        <f t="shared" ca="1" si="8"/>
        <v>46647</v>
      </c>
      <c r="C21" s="15">
        <f ca="1">(1+'Symulacja Pożyczka'!$B$7*(Arkusz1!B21-Arkusz1!B20)/365)</f>
        <v>1.0054356164383562</v>
      </c>
      <c r="D21" s="15">
        <f ca="1">(1+'Symulacja Pożyczka'!$B$7*(Arkusz1!B21-Arkusz1!B20)/366)</f>
        <v>1.0054207650273224</v>
      </c>
      <c r="E21" s="15">
        <f t="shared" ca="1" si="0"/>
        <v>0</v>
      </c>
      <c r="F21" s="15">
        <f t="shared" ca="1" si="1"/>
        <v>0</v>
      </c>
      <c r="G21">
        <f ca="1">IF(E21=1,(1+'Symulacja Pożyczka'!$B$7*(((Arkusz1!B21-DATE(YEAR(B21),1,1)+1)/365)+((DATE(YEAR(B20),12,31)-Arkusz1!B20)/366))),IF(F21=1,(1+'Symulacja Pożyczka'!$B$7*(((Arkusz1!B21-DATE(YEAR(B21),1,1)+1)/366)+((DATE(YEAR(B20),12,31)-Arkusz1!B20)/365))),0))</f>
        <v>0</v>
      </c>
      <c r="H21">
        <f t="shared" ca="1" si="2"/>
        <v>0</v>
      </c>
      <c r="I21">
        <f t="shared" ca="1" si="3"/>
        <v>1.0054356164383562</v>
      </c>
      <c r="J21">
        <f t="shared" ca="1" si="4"/>
        <v>1.0054356164383562</v>
      </c>
      <c r="K21">
        <f ca="1">PRODUCT($J$3:J21)</f>
        <v>1.1036612341048373</v>
      </c>
      <c r="L21">
        <f t="shared" ca="1" si="5"/>
        <v>0.9060751334725321</v>
      </c>
      <c r="M21">
        <f ca="1">SUM($L$3:L21)</f>
        <v>18.069242812011268</v>
      </c>
      <c r="O21">
        <f ca="1">(Q20*Arkusz1!J21)-Q20</f>
        <v>5918.6824596263468</v>
      </c>
      <c r="P21" s="16">
        <f t="shared" ca="1" si="6"/>
        <v>7950.4784127133844</v>
      </c>
      <c r="Q21" s="17">
        <f t="shared" ca="1" si="7"/>
        <v>1080920.0345729806</v>
      </c>
    </row>
    <row r="22" spans="1:17" x14ac:dyDescent="0.35">
      <c r="A22">
        <v>20</v>
      </c>
      <c r="B22" s="14">
        <f t="shared" ca="1" si="8"/>
        <v>46677</v>
      </c>
      <c r="C22" s="15">
        <f ca="1">(1+'Symulacja Pożyczka'!$B$7*(Arkusz1!B22-Arkusz1!B21)/365)</f>
        <v>1.0052602739726026</v>
      </c>
      <c r="D22" s="15">
        <f ca="1">(1+'Symulacja Pożyczka'!$B$7*(Arkusz1!B22-Arkusz1!B21)/366)</f>
        <v>1.0052459016393442</v>
      </c>
      <c r="E22" s="15">
        <f t="shared" ca="1" si="0"/>
        <v>0</v>
      </c>
      <c r="F22" s="15">
        <f t="shared" ca="1" si="1"/>
        <v>0</v>
      </c>
      <c r="G22">
        <f ca="1">IF(E22=1,(1+'Symulacja Pożyczka'!$B$7*(((Arkusz1!B22-DATE(YEAR(B22),1,1)+1)/365)+((DATE(YEAR(B21),12,31)-Arkusz1!B21)/366))),IF(F22=1,(1+'Symulacja Pożyczka'!$B$7*(((Arkusz1!B22-DATE(YEAR(B22),1,1)+1)/366)+((DATE(YEAR(B21),12,31)-Arkusz1!B21)/365))),0))</f>
        <v>0</v>
      </c>
      <c r="H22">
        <f t="shared" ca="1" si="2"/>
        <v>0</v>
      </c>
      <c r="I22">
        <f t="shared" ca="1" si="3"/>
        <v>1.0052602739726026</v>
      </c>
      <c r="J22">
        <f t="shared" ca="1" si="4"/>
        <v>1.0052602739726026</v>
      </c>
      <c r="K22">
        <f ca="1">PRODUCT($J$3:J22)</f>
        <v>1.1094667945691694</v>
      </c>
      <c r="L22">
        <f t="shared" ca="1" si="5"/>
        <v>0.90133387037358081</v>
      </c>
      <c r="M22">
        <f ca="1">SUM($L$3:L22)</f>
        <v>18.970576682384849</v>
      </c>
      <c r="O22">
        <f ca="1">(Q21*Arkusz1!J22)-Q21</f>
        <v>5685.9355243290775</v>
      </c>
      <c r="P22" s="16">
        <f t="shared" ca="1" si="6"/>
        <v>8183.2253480106538</v>
      </c>
      <c r="Q22" s="17">
        <f t="shared" ca="1" si="7"/>
        <v>1072736.8092249699</v>
      </c>
    </row>
    <row r="23" spans="1:17" x14ac:dyDescent="0.35">
      <c r="A23">
        <v>21</v>
      </c>
      <c r="B23" s="14">
        <f t="shared" ca="1" si="8"/>
        <v>46708</v>
      </c>
      <c r="C23" s="15">
        <f ca="1">(1+'Symulacja Pożyczka'!$B$7*(Arkusz1!B23-Arkusz1!B22)/365)</f>
        <v>1.0054356164383562</v>
      </c>
      <c r="D23" s="15">
        <f ca="1">(1+'Symulacja Pożyczka'!$B$7*(Arkusz1!B23-Arkusz1!B22)/366)</f>
        <v>1.0054207650273224</v>
      </c>
      <c r="E23" s="15">
        <f t="shared" ca="1" si="0"/>
        <v>0</v>
      </c>
      <c r="F23" s="15">
        <f t="shared" ca="1" si="1"/>
        <v>0</v>
      </c>
      <c r="G23">
        <f ca="1">IF(E23=1,(1+'Symulacja Pożyczka'!$B$7*(((Arkusz1!B23-DATE(YEAR(B23),1,1)+1)/365)+((DATE(YEAR(B22),12,31)-Arkusz1!B22)/366))),IF(F23=1,(1+'Symulacja Pożyczka'!$B$7*(((Arkusz1!B23-DATE(YEAR(B23),1,1)+1)/366)+((DATE(YEAR(B22),12,31)-Arkusz1!B22)/365))),0))</f>
        <v>0</v>
      </c>
      <c r="H23">
        <f t="shared" ca="1" si="2"/>
        <v>0</v>
      </c>
      <c r="I23">
        <f t="shared" ca="1" si="3"/>
        <v>1.0054356164383562</v>
      </c>
      <c r="J23">
        <f t="shared" ca="1" si="4"/>
        <v>1.0054356164383562</v>
      </c>
      <c r="K23">
        <f ca="1">PRODUCT($J$3:J23)</f>
        <v>1.1154974305155401</v>
      </c>
      <c r="L23">
        <f t="shared" ca="1" si="5"/>
        <v>0.89646105194329173</v>
      </c>
      <c r="M23">
        <f ca="1">SUM($L$3:L23)</f>
        <v>19.867037734328139</v>
      </c>
      <c r="O23">
        <f ca="1">(Q22*Arkusz1!J23)-Q22</f>
        <v>5830.9858342530206</v>
      </c>
      <c r="P23" s="16">
        <f t="shared" ca="1" si="6"/>
        <v>8038.1750380867106</v>
      </c>
      <c r="Q23" s="17">
        <f t="shared" ca="1" si="7"/>
        <v>1064698.6341868832</v>
      </c>
    </row>
    <row r="24" spans="1:17" x14ac:dyDescent="0.35">
      <c r="A24">
        <v>22</v>
      </c>
      <c r="B24" s="14">
        <f t="shared" ca="1" si="8"/>
        <v>46738</v>
      </c>
      <c r="C24" s="15">
        <f ca="1">(1+'Symulacja Pożyczka'!$B$7*(Arkusz1!B24-Arkusz1!B23)/365)</f>
        <v>1.0052602739726026</v>
      </c>
      <c r="D24" s="15">
        <f ca="1">(1+'Symulacja Pożyczka'!$B$7*(Arkusz1!B24-Arkusz1!B23)/366)</f>
        <v>1.0052459016393442</v>
      </c>
      <c r="E24" s="15">
        <f t="shared" ca="1" si="0"/>
        <v>0</v>
      </c>
      <c r="F24" s="15">
        <f t="shared" ca="1" si="1"/>
        <v>0</v>
      </c>
      <c r="G24">
        <f ca="1">IF(E24=1,(1+'Symulacja Pożyczka'!$B$7*(((Arkusz1!B24-DATE(YEAR(B24),1,1)+1)/365)+((DATE(YEAR(B23),12,31)-Arkusz1!B23)/366))),IF(F24=1,(1+'Symulacja Pożyczka'!$B$7*(((Arkusz1!B24-DATE(YEAR(B24),1,1)+1)/366)+((DATE(YEAR(B23),12,31)-Arkusz1!B23)/365))),0))</f>
        <v>0</v>
      </c>
      <c r="H24">
        <f t="shared" ca="1" si="2"/>
        <v>0</v>
      </c>
      <c r="I24">
        <f t="shared" ca="1" si="3"/>
        <v>1.0052602739726026</v>
      </c>
      <c r="J24">
        <f t="shared" ca="1" si="4"/>
        <v>1.0052602739726026</v>
      </c>
      <c r="K24">
        <f ca="1">PRODUCT($J$3:J24)</f>
        <v>1.121365252615786</v>
      </c>
      <c r="L24">
        <f t="shared" ca="1" si="5"/>
        <v>0.89177009691295517</v>
      </c>
      <c r="M24">
        <f ca="1">SUM($L$3:L24)</f>
        <v>20.758807831241093</v>
      </c>
      <c r="O24">
        <f ca="1">(Q23*Arkusz1!J24)-Q23</f>
        <v>5600.6065140787978</v>
      </c>
      <c r="P24" s="16">
        <f t="shared" ca="1" si="6"/>
        <v>8268.5543582609334</v>
      </c>
      <c r="Q24" s="17">
        <f t="shared" ca="1" si="7"/>
        <v>1056430.0798286223</v>
      </c>
    </row>
    <row r="25" spans="1:17" x14ac:dyDescent="0.35">
      <c r="A25">
        <v>23</v>
      </c>
      <c r="B25" s="14">
        <f t="shared" ca="1" si="8"/>
        <v>46769</v>
      </c>
      <c r="C25" s="15">
        <f ca="1">(1+'Symulacja Pożyczka'!$B$7*(Arkusz1!B25-Arkusz1!B24)/365)</f>
        <v>1.0054356164383562</v>
      </c>
      <c r="D25" s="15">
        <f ca="1">(1+'Symulacja Pożyczka'!$B$7*(Arkusz1!B25-Arkusz1!B24)/366)</f>
        <v>1.0054207650273224</v>
      </c>
      <c r="E25" s="15">
        <f t="shared" ca="1" si="0"/>
        <v>0</v>
      </c>
      <c r="F25" s="15">
        <f t="shared" ca="1" si="1"/>
        <v>1</v>
      </c>
      <c r="G25">
        <f ca="1">IF(E25=1,(1+'Symulacja Pożyczka'!$B$7*(((Arkusz1!B25-DATE(YEAR(B25),1,1)+1)/365)+((DATE(YEAR(B24),12,31)-Arkusz1!B24)/366))),IF(F25=1,(1+'Symulacja Pożyczka'!$B$7*(((Arkusz1!B25-DATE(YEAR(B25),1,1)+1)/366)+((DATE(YEAR(B24),12,31)-Arkusz1!B24)/365))),0))</f>
        <v>1.0054274721161764</v>
      </c>
      <c r="H25">
        <f t="shared" ca="1" si="2"/>
        <v>1</v>
      </c>
      <c r="I25">
        <f t="shared" ca="1" si="3"/>
        <v>1.0054207650273224</v>
      </c>
      <c r="J25">
        <f t="shared" ca="1" si="4"/>
        <v>1.0054274721161764</v>
      </c>
      <c r="K25">
        <f ca="1">PRODUCT($J$3:J25)</f>
        <v>1.1274514312564075</v>
      </c>
      <c r="L25">
        <f t="shared" ca="1" si="5"/>
        <v>0.88695616704803115</v>
      </c>
      <c r="M25">
        <f ca="1">SUM($L$3:L25)</f>
        <v>21.645763998289123</v>
      </c>
      <c r="O25">
        <f ca="1">(Q24*Arkusz1!J25)-Q24</f>
        <v>5733.7448009599466</v>
      </c>
      <c r="P25" s="16">
        <f t="shared" ca="1" si="6"/>
        <v>8135.4160713797846</v>
      </c>
      <c r="Q25" s="17">
        <f t="shared" ca="1" si="7"/>
        <v>1048294.6637572425</v>
      </c>
    </row>
    <row r="26" spans="1:17" x14ac:dyDescent="0.35">
      <c r="A26">
        <v>24</v>
      </c>
      <c r="B26" s="14">
        <f t="shared" ca="1" si="8"/>
        <v>46800</v>
      </c>
      <c r="C26" s="15">
        <f ca="1">(1+'Symulacja Pożyczka'!$B$7*(Arkusz1!B26-Arkusz1!B25)/365)</f>
        <v>1.0054356164383562</v>
      </c>
      <c r="D26" s="15">
        <f ca="1">(1+'Symulacja Pożyczka'!$B$7*(Arkusz1!B26-Arkusz1!B25)/366)</f>
        <v>1.0054207650273224</v>
      </c>
      <c r="E26" s="15">
        <f t="shared" ca="1" si="0"/>
        <v>0</v>
      </c>
      <c r="F26" s="15">
        <f t="shared" ca="1" si="1"/>
        <v>0</v>
      </c>
      <c r="G26">
        <f ca="1">IF(E26=1,(1+'Symulacja Pożyczka'!$B$7*(((Arkusz1!B26-DATE(YEAR(B26),1,1)+1)/365)+((DATE(YEAR(B25),12,31)-Arkusz1!B25)/366))),IF(F26=1,(1+'Symulacja Pożyczka'!$B$7*(((Arkusz1!B26-DATE(YEAR(B26),1,1)+1)/366)+((DATE(YEAR(B25),12,31)-Arkusz1!B25)/365))),0))</f>
        <v>0</v>
      </c>
      <c r="H26">
        <f t="shared" ca="1" si="2"/>
        <v>1</v>
      </c>
      <c r="I26">
        <f t="shared" ca="1" si="3"/>
        <v>1.0054207650273224</v>
      </c>
      <c r="J26">
        <f t="shared" ca="1" si="4"/>
        <v>1.0054207650273224</v>
      </c>
      <c r="K26">
        <f ca="1">PRODUCT($J$3:J26)</f>
        <v>1.1335630805449668</v>
      </c>
      <c r="L26">
        <f t="shared" ca="1" si="5"/>
        <v>0.88217410849270461</v>
      </c>
      <c r="M26">
        <f ca="1">SUM($L$3:L26)</f>
        <v>22.527938106781829</v>
      </c>
      <c r="O26">
        <f ca="1">(Q25*Arkusz1!J26)-Q25</f>
        <v>5682.5590516238008</v>
      </c>
      <c r="P26" s="16">
        <f t="shared" ca="1" si="6"/>
        <v>8186.6018207159304</v>
      </c>
      <c r="Q26" s="17">
        <f t="shared" ca="1" si="7"/>
        <v>1040108.0619365266</v>
      </c>
    </row>
    <row r="27" spans="1:17" x14ac:dyDescent="0.35">
      <c r="A27">
        <v>25</v>
      </c>
      <c r="B27" s="14">
        <f t="shared" ca="1" si="8"/>
        <v>46829</v>
      </c>
      <c r="C27" s="15">
        <f ca="1">(1+'Symulacja Pożyczka'!$B$7*(Arkusz1!B27-Arkusz1!B26)/365)</f>
        <v>1.0050849315068493</v>
      </c>
      <c r="D27" s="15">
        <f ca="1">(1+'Symulacja Pożyczka'!$B$7*(Arkusz1!B27-Arkusz1!B26)/366)</f>
        <v>1.0050710382513661</v>
      </c>
      <c r="E27" s="15">
        <f t="shared" ca="1" si="0"/>
        <v>0</v>
      </c>
      <c r="F27" s="15">
        <f t="shared" ca="1" si="1"/>
        <v>0</v>
      </c>
      <c r="G27">
        <f ca="1">IF(E27=1,(1+'Symulacja Pożyczka'!$B$7*(((Arkusz1!B27-DATE(YEAR(B27),1,1)+1)/365)+((DATE(YEAR(B26),12,31)-Arkusz1!B26)/366))),IF(F27=1,(1+'Symulacja Pożyczka'!$B$7*(((Arkusz1!B27-DATE(YEAR(B27),1,1)+1)/366)+((DATE(YEAR(B26),12,31)-Arkusz1!B26)/365))),0))</f>
        <v>0</v>
      </c>
      <c r="H27">
        <f t="shared" ca="1" si="2"/>
        <v>1</v>
      </c>
      <c r="I27">
        <f t="shared" ca="1" si="3"/>
        <v>1.0050710382513661</v>
      </c>
      <c r="J27">
        <f t="shared" ca="1" si="4"/>
        <v>1.0050710382513661</v>
      </c>
      <c r="K27">
        <f ca="1">PRODUCT($J$3:J27)</f>
        <v>1.1393114222867466</v>
      </c>
      <c r="L27">
        <f t="shared" ca="1" si="5"/>
        <v>0.87772314087123748</v>
      </c>
      <c r="M27">
        <f ca="1">SUM($L$3:L27)</f>
        <v>23.405661247653065</v>
      </c>
      <c r="O27">
        <f ca="1">(Q26*Arkusz1!J27)-Q26</f>
        <v>5274.4277676343918</v>
      </c>
      <c r="P27" s="16">
        <f t="shared" ca="1" si="6"/>
        <v>8594.7331047053394</v>
      </c>
      <c r="Q27" s="17">
        <f t="shared" ca="1" si="7"/>
        <v>1031513.3288318212</v>
      </c>
    </row>
    <row r="28" spans="1:17" x14ac:dyDescent="0.35">
      <c r="A28">
        <v>26</v>
      </c>
      <c r="B28" s="14">
        <f t="shared" ca="1" si="8"/>
        <v>46860</v>
      </c>
      <c r="C28" s="15">
        <f ca="1">(1+'Symulacja Pożyczka'!$B$7*(Arkusz1!B28-Arkusz1!B27)/365)</f>
        <v>1.0054356164383562</v>
      </c>
      <c r="D28" s="15">
        <f ca="1">(1+'Symulacja Pożyczka'!$B$7*(Arkusz1!B28-Arkusz1!B27)/366)</f>
        <v>1.0054207650273224</v>
      </c>
      <c r="E28" s="15">
        <f t="shared" ca="1" si="0"/>
        <v>0</v>
      </c>
      <c r="F28" s="15">
        <f t="shared" ca="1" si="1"/>
        <v>0</v>
      </c>
      <c r="G28">
        <f ca="1">IF(E28=1,(1+'Symulacja Pożyczka'!$B$7*(((Arkusz1!B28-DATE(YEAR(B28),1,1)+1)/365)+((DATE(YEAR(B27),12,31)-Arkusz1!B27)/366))),IF(F28=1,(1+'Symulacja Pożyczka'!$B$7*(((Arkusz1!B28-DATE(YEAR(B28),1,1)+1)/366)+((DATE(YEAR(B27),12,31)-Arkusz1!B27)/365))),0))</f>
        <v>0</v>
      </c>
      <c r="H28">
        <f t="shared" ca="1" si="2"/>
        <v>1</v>
      </c>
      <c r="I28">
        <f t="shared" ca="1" si="3"/>
        <v>1.0054207650273224</v>
      </c>
      <c r="J28">
        <f t="shared" ca="1" si="4"/>
        <v>1.0054207650273224</v>
      </c>
      <c r="K28">
        <f ca="1">PRODUCT($J$3:J28)</f>
        <v>1.1454873617999075</v>
      </c>
      <c r="L28">
        <f t="shared" ca="1" si="5"/>
        <v>0.87299086253443881</v>
      </c>
      <c r="M28">
        <f ca="1">SUM($L$3:L28)</f>
        <v>24.278652110187505</v>
      </c>
      <c r="O28">
        <f ca="1">(Q27*Arkusz1!J28)-Q27</f>
        <v>5591.5913781484123</v>
      </c>
      <c r="P28" s="16">
        <f t="shared" ca="1" si="6"/>
        <v>8277.5694941913189</v>
      </c>
      <c r="Q28" s="17">
        <f t="shared" ca="1" si="7"/>
        <v>1023235.7593376299</v>
      </c>
    </row>
    <row r="29" spans="1:17" x14ac:dyDescent="0.35">
      <c r="A29">
        <v>27</v>
      </c>
      <c r="B29" s="14">
        <f t="shared" ca="1" si="8"/>
        <v>46890</v>
      </c>
      <c r="C29" s="15">
        <f ca="1">(1+'Symulacja Pożyczka'!$B$7*(Arkusz1!B29-Arkusz1!B28)/365)</f>
        <v>1.0052602739726026</v>
      </c>
      <c r="D29" s="15">
        <f ca="1">(1+'Symulacja Pożyczka'!$B$7*(Arkusz1!B29-Arkusz1!B28)/366)</f>
        <v>1.0052459016393442</v>
      </c>
      <c r="E29" s="15">
        <f t="shared" ca="1" si="0"/>
        <v>0</v>
      </c>
      <c r="F29" s="15">
        <f t="shared" ca="1" si="1"/>
        <v>0</v>
      </c>
      <c r="G29">
        <f ca="1">IF(E29=1,(1+'Symulacja Pożyczka'!$B$7*(((Arkusz1!B29-DATE(YEAR(B29),1,1)+1)/365)+((DATE(YEAR(B28),12,31)-Arkusz1!B28)/366))),IF(F29=1,(1+'Symulacja Pożyczka'!$B$7*(((Arkusz1!B29-DATE(YEAR(B29),1,1)+1)/366)+((DATE(YEAR(B28),12,31)-Arkusz1!B28)/365))),0))</f>
        <v>0</v>
      </c>
      <c r="H29">
        <f t="shared" ca="1" si="2"/>
        <v>1</v>
      </c>
      <c r="I29">
        <f t="shared" ca="1" si="3"/>
        <v>1.0052459016393442</v>
      </c>
      <c r="J29">
        <f t="shared" ca="1" si="4"/>
        <v>1.0052459016393442</v>
      </c>
      <c r="K29">
        <f ca="1">PRODUCT($J$3:J29)</f>
        <v>1.1514964758290218</v>
      </c>
      <c r="L29">
        <f t="shared" ca="1" si="5"/>
        <v>0.86843513722440902</v>
      </c>
      <c r="M29">
        <f ca="1">SUM($L$3:L29)</f>
        <v>25.147087247411914</v>
      </c>
      <c r="O29">
        <f ca="1">(Q28*Arkusz1!J29)-Q28</f>
        <v>5367.7941473448882</v>
      </c>
      <c r="P29" s="16">
        <f t="shared" ca="1" si="6"/>
        <v>8501.366724994843</v>
      </c>
      <c r="Q29" s="17">
        <f t="shared" ca="1" si="7"/>
        <v>1014734.392612635</v>
      </c>
    </row>
    <row r="30" spans="1:17" x14ac:dyDescent="0.35">
      <c r="A30">
        <v>28</v>
      </c>
      <c r="B30" s="14">
        <f t="shared" ca="1" si="8"/>
        <v>46921</v>
      </c>
      <c r="C30" s="15">
        <f ca="1">(1+'Symulacja Pożyczka'!$B$7*(Arkusz1!B30-Arkusz1!B29)/365)</f>
        <v>1.0054356164383562</v>
      </c>
      <c r="D30" s="15">
        <f ca="1">(1+'Symulacja Pożyczka'!$B$7*(Arkusz1!B30-Arkusz1!B29)/366)</f>
        <v>1.0054207650273224</v>
      </c>
      <c r="E30" s="15">
        <f t="shared" ca="1" si="0"/>
        <v>0</v>
      </c>
      <c r="F30" s="15">
        <f t="shared" ca="1" si="1"/>
        <v>0</v>
      </c>
      <c r="G30">
        <f ca="1">IF(E30=1,(1+'Symulacja Pożyczka'!$B$7*(((Arkusz1!B30-DATE(YEAR(B30),1,1)+1)/365)+((DATE(YEAR(B29),12,31)-Arkusz1!B29)/366))),IF(F30=1,(1+'Symulacja Pożyczka'!$B$7*(((Arkusz1!B30-DATE(YEAR(B30),1,1)+1)/366)+((DATE(YEAR(B29),12,31)-Arkusz1!B29)/365))),0))</f>
        <v>0</v>
      </c>
      <c r="H30">
        <f t="shared" ca="1" si="2"/>
        <v>1</v>
      </c>
      <c r="I30">
        <f t="shared" ca="1" si="3"/>
        <v>1.0054207650273224</v>
      </c>
      <c r="J30">
        <f t="shared" ca="1" si="4"/>
        <v>1.0054207650273224</v>
      </c>
      <c r="K30">
        <f ca="1">PRODUCT($J$3:J30)</f>
        <v>1.1577384676542808</v>
      </c>
      <c r="L30">
        <f t="shared" ca="1" si="5"/>
        <v>0.86375293551929899</v>
      </c>
      <c r="M30">
        <f ca="1">SUM($L$3:L30)</f>
        <v>26.010840182931211</v>
      </c>
      <c r="O30">
        <f ca="1">(Q29*Arkusz1!J30)-Q29</f>
        <v>5500.6367074957816</v>
      </c>
      <c r="P30" s="16">
        <f t="shared" ca="1" si="6"/>
        <v>8368.5241648439496</v>
      </c>
      <c r="Q30" s="17">
        <f t="shared" ca="1" si="7"/>
        <v>1006365.8684477911</v>
      </c>
    </row>
    <row r="31" spans="1:17" x14ac:dyDescent="0.35">
      <c r="A31">
        <v>29</v>
      </c>
      <c r="B31" s="14">
        <f t="shared" ca="1" si="8"/>
        <v>46951</v>
      </c>
      <c r="C31" s="15">
        <f ca="1">(1+'Symulacja Pożyczka'!$B$7*(Arkusz1!B31-Arkusz1!B30)/365)</f>
        <v>1.0052602739726026</v>
      </c>
      <c r="D31" s="15">
        <f ca="1">(1+'Symulacja Pożyczka'!$B$7*(Arkusz1!B31-Arkusz1!B30)/366)</f>
        <v>1.0052459016393442</v>
      </c>
      <c r="E31" s="15">
        <f t="shared" ca="1" si="0"/>
        <v>0</v>
      </c>
      <c r="F31" s="15">
        <f t="shared" ca="1" si="1"/>
        <v>0</v>
      </c>
      <c r="G31">
        <f ca="1">IF(E31=1,(1+'Symulacja Pożyczka'!$B$7*(((Arkusz1!B31-DATE(YEAR(B31),1,1)+1)/365)+((DATE(YEAR(B30),12,31)-Arkusz1!B30)/366))),IF(F31=1,(1+'Symulacja Pożyczka'!$B$7*(((Arkusz1!B31-DATE(YEAR(B31),1,1)+1)/366)+((DATE(YEAR(B30),12,31)-Arkusz1!B30)/365))),0))</f>
        <v>0</v>
      </c>
      <c r="H31">
        <f t="shared" ca="1" si="2"/>
        <v>1</v>
      </c>
      <c r="I31">
        <f t="shared" ca="1" si="3"/>
        <v>1.0052459016393442</v>
      </c>
      <c r="J31">
        <f t="shared" ca="1" si="4"/>
        <v>1.0052459016393442</v>
      </c>
      <c r="K31">
        <f ca="1">PRODUCT($J$3:J31)</f>
        <v>1.1638118497796803</v>
      </c>
      <c r="L31">
        <f t="shared" ca="1" si="5"/>
        <v>0.8592454185694266</v>
      </c>
      <c r="M31">
        <f ca="1">SUM($L$3:L31)</f>
        <v>26.870085601500637</v>
      </c>
      <c r="O31">
        <f ca="1">(Q30*Arkusz1!J31)-Q30</f>
        <v>5279.2963590703439</v>
      </c>
      <c r="P31" s="16">
        <f t="shared" ca="1" si="6"/>
        <v>8589.8645132693873</v>
      </c>
      <c r="Q31" s="17">
        <f t="shared" ca="1" si="7"/>
        <v>997776.00393452169</v>
      </c>
    </row>
    <row r="32" spans="1:17" x14ac:dyDescent="0.35">
      <c r="A32">
        <v>30</v>
      </c>
      <c r="B32" s="14">
        <f t="shared" ca="1" si="8"/>
        <v>46982</v>
      </c>
      <c r="C32" s="15">
        <f ca="1">(1+'Symulacja Pożyczka'!$B$7*(Arkusz1!B32-Arkusz1!B31)/365)</f>
        <v>1.0054356164383562</v>
      </c>
      <c r="D32" s="15">
        <f ca="1">(1+'Symulacja Pożyczka'!$B$7*(Arkusz1!B32-Arkusz1!B31)/366)</f>
        <v>1.0054207650273224</v>
      </c>
      <c r="E32" s="15">
        <f t="shared" ca="1" si="0"/>
        <v>0</v>
      </c>
      <c r="F32" s="15">
        <f t="shared" ca="1" si="1"/>
        <v>0</v>
      </c>
      <c r="G32">
        <f ca="1">IF(E32=1,(1+'Symulacja Pożyczka'!$B$7*(((Arkusz1!B32-DATE(YEAR(B32),1,1)+1)/365)+((DATE(YEAR(B31),12,31)-Arkusz1!B31)/366))),IF(F32=1,(1+'Symulacja Pożyczka'!$B$7*(((Arkusz1!B32-DATE(YEAR(B32),1,1)+1)/366)+((DATE(YEAR(B31),12,31)-Arkusz1!B31)/365))),0))</f>
        <v>0</v>
      </c>
      <c r="H32">
        <f t="shared" ca="1" si="2"/>
        <v>1</v>
      </c>
      <c r="I32">
        <f t="shared" ca="1" si="3"/>
        <v>1.0054207650273224</v>
      </c>
      <c r="J32">
        <f t="shared" ca="1" si="4"/>
        <v>1.0054207650273224</v>
      </c>
      <c r="K32">
        <f ca="1">PRODUCT($J$3:J32)</f>
        <v>1.1701206003533493</v>
      </c>
      <c r="L32">
        <f t="shared" ca="1" si="5"/>
        <v>0.85461276358866189</v>
      </c>
      <c r="M32">
        <f ca="1">SUM($L$3:L32)</f>
        <v>27.724698365089299</v>
      </c>
      <c r="O32">
        <f ca="1">(Q31*Arkusz1!J32)-Q31</f>
        <v>5408.7092672296567</v>
      </c>
      <c r="P32" s="16">
        <f t="shared" ca="1" si="6"/>
        <v>8460.4516051100745</v>
      </c>
      <c r="Q32" s="17">
        <f t="shared" ca="1" si="7"/>
        <v>989315.55232941161</v>
      </c>
    </row>
    <row r="33" spans="1:17" x14ac:dyDescent="0.35">
      <c r="A33">
        <v>31</v>
      </c>
      <c r="B33" s="14">
        <f t="shared" ca="1" si="8"/>
        <v>47013</v>
      </c>
      <c r="C33" s="15">
        <f ca="1">(1+'Symulacja Pożyczka'!$B$7*(Arkusz1!B33-Arkusz1!B32)/365)</f>
        <v>1.0054356164383562</v>
      </c>
      <c r="D33" s="15">
        <f ca="1">(1+'Symulacja Pożyczka'!$B$7*(Arkusz1!B33-Arkusz1!B32)/366)</f>
        <v>1.0054207650273224</v>
      </c>
      <c r="E33" s="15">
        <f t="shared" ca="1" si="0"/>
        <v>0</v>
      </c>
      <c r="F33" s="15">
        <f t="shared" ca="1" si="1"/>
        <v>0</v>
      </c>
      <c r="G33">
        <f ca="1">IF(E33=1,(1+'Symulacja Pożyczka'!$B$7*(((Arkusz1!B33-DATE(YEAR(B33),1,1)+1)/365)+((DATE(YEAR(B32),12,31)-Arkusz1!B32)/366))),IF(F33=1,(1+'Symulacja Pożyczka'!$B$7*(((Arkusz1!B33-DATE(YEAR(B33),1,1)+1)/366)+((DATE(YEAR(B32),12,31)-Arkusz1!B32)/365))),0))</f>
        <v>0</v>
      </c>
      <c r="H33">
        <f t="shared" ca="1" si="2"/>
        <v>1</v>
      </c>
      <c r="I33">
        <f t="shared" ca="1" si="3"/>
        <v>1.0054207650273224</v>
      </c>
      <c r="J33">
        <f t="shared" ca="1" si="4"/>
        <v>1.0054207650273224</v>
      </c>
      <c r="K33">
        <f ca="1">PRODUCT($J$3:J33)</f>
        <v>1.1764635491814941</v>
      </c>
      <c r="L33">
        <f t="shared" ca="1" si="5"/>
        <v>0.85000508574679956</v>
      </c>
      <c r="M33">
        <f ca="1">SUM($L$3:L33)</f>
        <v>28.5747034508361</v>
      </c>
      <c r="O33">
        <f ca="1">(Q32*Arkusz1!J33)-Q32</f>
        <v>5362.8471470533404</v>
      </c>
      <c r="P33" s="16">
        <f t="shared" ca="1" si="6"/>
        <v>8506.3137252863908</v>
      </c>
      <c r="Q33" s="17">
        <f t="shared" ca="1" si="7"/>
        <v>980809.23860412522</v>
      </c>
    </row>
    <row r="34" spans="1:17" x14ac:dyDescent="0.35">
      <c r="A34">
        <v>32</v>
      </c>
      <c r="B34" s="14">
        <f t="shared" ca="1" si="8"/>
        <v>47043</v>
      </c>
      <c r="C34" s="15">
        <f ca="1">(1+'Symulacja Pożyczka'!$B$7*(Arkusz1!B34-Arkusz1!B33)/365)</f>
        <v>1.0052602739726026</v>
      </c>
      <c r="D34" s="15">
        <f ca="1">(1+'Symulacja Pożyczka'!$B$7*(Arkusz1!B34-Arkusz1!B33)/366)</f>
        <v>1.0052459016393442</v>
      </c>
      <c r="E34" s="15">
        <f t="shared" ca="1" si="0"/>
        <v>0</v>
      </c>
      <c r="F34" s="15">
        <f t="shared" ca="1" si="1"/>
        <v>0</v>
      </c>
      <c r="G34">
        <f ca="1">IF(E34=1,(1+'Symulacja Pożyczka'!$B$7*(((Arkusz1!B34-DATE(YEAR(B34),1,1)+1)/365)+((DATE(YEAR(B33),12,31)-Arkusz1!B33)/366))),IF(F34=1,(1+'Symulacja Pożyczka'!$B$7*(((Arkusz1!B34-DATE(YEAR(B34),1,1)+1)/366)+((DATE(YEAR(B33),12,31)-Arkusz1!B33)/365))),0))</f>
        <v>0</v>
      </c>
      <c r="H34">
        <f t="shared" ca="1" si="2"/>
        <v>1</v>
      </c>
      <c r="I34">
        <f t="shared" ca="1" si="3"/>
        <v>1.0052459016393442</v>
      </c>
      <c r="J34">
        <f t="shared" ca="1" si="4"/>
        <v>1.0052459016393442</v>
      </c>
      <c r="K34">
        <f ca="1">PRODUCT($J$3:J34)</f>
        <v>1.1826351612427741</v>
      </c>
      <c r="L34">
        <f t="shared" ca="1" si="5"/>
        <v>0.84556931230519849</v>
      </c>
      <c r="M34">
        <f ca="1">SUM($L$3:L34)</f>
        <v>29.420272763141298</v>
      </c>
      <c r="O34">
        <f ca="1">(Q33*Arkusz1!J34)-Q33</f>
        <v>5145.2287926774006</v>
      </c>
      <c r="P34" s="16">
        <f t="shared" ca="1" si="6"/>
        <v>8723.9320796623306</v>
      </c>
      <c r="Q34" s="17">
        <f t="shared" ca="1" si="7"/>
        <v>972085.30652446288</v>
      </c>
    </row>
    <row r="35" spans="1:17" x14ac:dyDescent="0.35">
      <c r="A35">
        <v>33</v>
      </c>
      <c r="B35" s="14">
        <f t="shared" ca="1" si="8"/>
        <v>47074</v>
      </c>
      <c r="C35" s="15">
        <f ca="1">(1+'Symulacja Pożyczka'!$B$7*(Arkusz1!B35-Arkusz1!B34)/365)</f>
        <v>1.0054356164383562</v>
      </c>
      <c r="D35" s="15">
        <f ca="1">(1+'Symulacja Pożyczka'!$B$7*(Arkusz1!B35-Arkusz1!B34)/366)</f>
        <v>1.0054207650273224</v>
      </c>
      <c r="E35" s="15">
        <f t="shared" ca="1" si="0"/>
        <v>0</v>
      </c>
      <c r="F35" s="15">
        <f t="shared" ca="1" si="1"/>
        <v>0</v>
      </c>
      <c r="G35">
        <f ca="1">IF(E35=1,(1+'Symulacja Pożyczka'!$B$7*(((Arkusz1!B35-DATE(YEAR(B35),1,1)+1)/365)+((DATE(YEAR(B34),12,31)-Arkusz1!B34)/366))),IF(F35=1,(1+'Symulacja Pożyczka'!$B$7*(((Arkusz1!B35-DATE(YEAR(B35),1,1)+1)/366)+((DATE(YEAR(B34),12,31)-Arkusz1!B34)/365))),0))</f>
        <v>0</v>
      </c>
      <c r="H35">
        <f t="shared" ca="1" si="2"/>
        <v>1</v>
      </c>
      <c r="I35">
        <f t="shared" ca="1" si="3"/>
        <v>1.0054207650273224</v>
      </c>
      <c r="J35">
        <f t="shared" ca="1" si="4"/>
        <v>1.0054207650273224</v>
      </c>
      <c r="K35">
        <f ca="1">PRODUCT($J$3:J35)</f>
        <v>1.1890459485649207</v>
      </c>
      <c r="L35">
        <f t="shared" ca="1" si="5"/>
        <v>0.84101039258147814</v>
      </c>
      <c r="M35">
        <f ca="1">SUM($L$3:L35)</f>
        <v>30.261283155722776</v>
      </c>
      <c r="O35">
        <f ca="1">(Q34*Arkusz1!J35)-Q34</f>
        <v>5269.446033181739</v>
      </c>
      <c r="P35" s="16">
        <f t="shared" ca="1" si="6"/>
        <v>8599.7148391579922</v>
      </c>
      <c r="Q35" s="17">
        <f t="shared" ca="1" si="7"/>
        <v>963485.59168530488</v>
      </c>
    </row>
    <row r="36" spans="1:17" x14ac:dyDescent="0.35">
      <c r="A36">
        <v>34</v>
      </c>
      <c r="B36" s="14">
        <f t="shared" ca="1" si="8"/>
        <v>47104</v>
      </c>
      <c r="C36" s="15">
        <f ca="1">(1+'Symulacja Pożyczka'!$B$7*(Arkusz1!B36-Arkusz1!B35)/365)</f>
        <v>1.0052602739726026</v>
      </c>
      <c r="D36" s="15">
        <f ca="1">(1+'Symulacja Pożyczka'!$B$7*(Arkusz1!B36-Arkusz1!B35)/366)</f>
        <v>1.0052459016393442</v>
      </c>
      <c r="E36" s="15">
        <f t="shared" ca="1" si="0"/>
        <v>0</v>
      </c>
      <c r="F36" s="15">
        <f t="shared" ca="1" si="1"/>
        <v>0</v>
      </c>
      <c r="G36">
        <f ca="1">IF(E36=1,(1+'Symulacja Pożyczka'!$B$7*(((Arkusz1!B36-DATE(YEAR(B36),1,1)+1)/365)+((DATE(YEAR(B35),12,31)-Arkusz1!B35)/366))),IF(F36=1,(1+'Symulacja Pożyczka'!$B$7*(((Arkusz1!B36-DATE(YEAR(B36),1,1)+1)/366)+((DATE(YEAR(B35),12,31)-Arkusz1!B35)/365))),0))</f>
        <v>0</v>
      </c>
      <c r="H36">
        <f t="shared" ca="1" si="2"/>
        <v>1</v>
      </c>
      <c r="I36">
        <f t="shared" ca="1" si="3"/>
        <v>1.0052459016393442</v>
      </c>
      <c r="J36">
        <f t="shared" ca="1" si="4"/>
        <v>1.0052459016393442</v>
      </c>
      <c r="K36">
        <f ca="1">PRODUCT($J$3:J36)</f>
        <v>1.1952835666557531</v>
      </c>
      <c r="L36">
        <f t="shared" ca="1" si="5"/>
        <v>0.83662155817792183</v>
      </c>
      <c r="M36">
        <f ca="1">SUM($L$3:L36)</f>
        <v>31.097904713900697</v>
      </c>
      <c r="O36">
        <f ca="1">(Q35*Arkusz1!J36)-Q35</f>
        <v>5054.3506449065171</v>
      </c>
      <c r="P36" s="16">
        <f t="shared" ca="1" si="6"/>
        <v>8814.8102274332141</v>
      </c>
      <c r="Q36" s="17">
        <f t="shared" ca="1" si="7"/>
        <v>954670.78145787166</v>
      </c>
    </row>
    <row r="37" spans="1:17" x14ac:dyDescent="0.35">
      <c r="A37">
        <v>35</v>
      </c>
      <c r="B37" s="14">
        <f t="shared" ca="1" si="8"/>
        <v>47135</v>
      </c>
      <c r="C37" s="15">
        <f ca="1">(1+'Symulacja Pożyczka'!$B$7*(Arkusz1!B37-Arkusz1!B36)/365)</f>
        <v>1.0054356164383562</v>
      </c>
      <c r="D37" s="15">
        <f ca="1">(1+'Symulacja Pożyczka'!$B$7*(Arkusz1!B37-Arkusz1!B36)/366)</f>
        <v>1.0054207650273224</v>
      </c>
      <c r="E37" s="15">
        <f t="shared" ca="1" si="0"/>
        <v>1</v>
      </c>
      <c r="F37" s="15">
        <f t="shared" ca="1" si="1"/>
        <v>0</v>
      </c>
      <c r="G37">
        <f ca="1">IF(E37=1,(1+'Symulacja Pożyczka'!$B$7*(((Arkusz1!B37-DATE(YEAR(B37),1,1)+1)/365)+((DATE(YEAR(B36),12,31)-Arkusz1!B36)/366))),IF(F37=1,(1+'Symulacja Pożyczka'!$B$7*(((Arkusz1!B37-DATE(YEAR(B37),1,1)+1)/366)+((DATE(YEAR(B36),12,31)-Arkusz1!B36)/365))),0))</f>
        <v>1.0054289093495021</v>
      </c>
      <c r="H37">
        <f t="shared" ca="1" si="2"/>
        <v>0</v>
      </c>
      <c r="I37">
        <f t="shared" ca="1" si="3"/>
        <v>1.0054356164383562</v>
      </c>
      <c r="J37">
        <f t="shared" ca="1" si="4"/>
        <v>1.0054289093495021</v>
      </c>
      <c r="K37">
        <f ca="1">PRODUCT($J$3:J37)</f>
        <v>1.2017726527860768</v>
      </c>
      <c r="L37">
        <f t="shared" ca="1" si="5"/>
        <v>0.83210414023126089</v>
      </c>
      <c r="M37">
        <f ca="1">SUM($L$3:L37)</f>
        <v>31.930008854131959</v>
      </c>
      <c r="O37">
        <f ca="1">(Q36*Arkusz1!J37)-Q36</f>
        <v>5182.8211311531486</v>
      </c>
      <c r="P37" s="16">
        <f t="shared" ca="1" si="6"/>
        <v>8686.3397411865826</v>
      </c>
      <c r="Q37" s="17">
        <f t="shared" ca="1" si="7"/>
        <v>945984.44171668508</v>
      </c>
    </row>
    <row r="38" spans="1:17" x14ac:dyDescent="0.35">
      <c r="A38">
        <v>36</v>
      </c>
      <c r="B38" s="14">
        <f t="shared" ca="1" si="8"/>
        <v>47166</v>
      </c>
      <c r="C38" s="15">
        <f ca="1">(1+'Symulacja Pożyczka'!$B$7*(Arkusz1!B38-Arkusz1!B37)/365)</f>
        <v>1.0054356164383562</v>
      </c>
      <c r="D38" s="15">
        <f ca="1">(1+'Symulacja Pożyczka'!$B$7*(Arkusz1!B38-Arkusz1!B37)/366)</f>
        <v>1.0054207650273224</v>
      </c>
      <c r="E38" s="15">
        <f t="shared" ca="1" si="0"/>
        <v>0</v>
      </c>
      <c r="F38" s="15">
        <f t="shared" ca="1" si="1"/>
        <v>0</v>
      </c>
      <c r="G38">
        <f ca="1">IF(E38=1,(1+'Symulacja Pożyczka'!$B$7*(((Arkusz1!B38-DATE(YEAR(B38),1,1)+1)/365)+((DATE(YEAR(B37),12,31)-Arkusz1!B37)/366))),IF(F38=1,(1+'Symulacja Pożyczka'!$B$7*(((Arkusz1!B38-DATE(YEAR(B38),1,1)+1)/366)+((DATE(YEAR(B37),12,31)-Arkusz1!B37)/365))),0))</f>
        <v>0</v>
      </c>
      <c r="H38">
        <f t="shared" ca="1" si="2"/>
        <v>0</v>
      </c>
      <c r="I38">
        <f t="shared" ca="1" si="3"/>
        <v>1.0054356164383562</v>
      </c>
      <c r="J38">
        <f t="shared" ca="1" si="4"/>
        <v>1.0054356164383562</v>
      </c>
      <c r="K38">
        <f ca="1">PRODUCT($J$3:J38)</f>
        <v>1.2083050279727279</v>
      </c>
      <c r="L38">
        <f t="shared" ca="1" si="5"/>
        <v>0.82760559366187669</v>
      </c>
      <c r="M38">
        <f ca="1">SUM($L$3:L38)</f>
        <v>32.757614447793834</v>
      </c>
      <c r="O38">
        <f ca="1">(Q37*Arkusz1!J38)-Q37</f>
        <v>5142.0085818244843</v>
      </c>
      <c r="P38" s="16">
        <f t="shared" ca="1" si="6"/>
        <v>8727.1522905152469</v>
      </c>
      <c r="Q38" s="17">
        <f t="shared" ca="1" si="7"/>
        <v>937257.28942616982</v>
      </c>
    </row>
    <row r="39" spans="1:17" x14ac:dyDescent="0.35">
      <c r="A39">
        <v>37</v>
      </c>
      <c r="B39" s="14">
        <f t="shared" ca="1" si="8"/>
        <v>47194</v>
      </c>
      <c r="C39" s="15">
        <f ca="1">(1+'Symulacja Pożyczka'!$B$7*(Arkusz1!B39-Arkusz1!B38)/365)</f>
        <v>1.004909589041096</v>
      </c>
      <c r="D39" s="15">
        <f ca="1">(1+'Symulacja Pożyczka'!$B$7*(Arkusz1!B39-Arkusz1!B38)/366)</f>
        <v>1.004896174863388</v>
      </c>
      <c r="E39" s="15">
        <f t="shared" ca="1" si="0"/>
        <v>0</v>
      </c>
      <c r="F39" s="15">
        <f t="shared" ca="1" si="1"/>
        <v>0</v>
      </c>
      <c r="G39">
        <f ca="1">IF(E39=1,(1+'Symulacja Pożyczka'!$B$7*(((Arkusz1!B39-DATE(YEAR(B39),1,1)+1)/365)+((DATE(YEAR(B38),12,31)-Arkusz1!B38)/366))),IF(F39=1,(1+'Symulacja Pożyczka'!$B$7*(((Arkusz1!B39-DATE(YEAR(B39),1,1)+1)/366)+((DATE(YEAR(B38),12,31)-Arkusz1!B38)/365))),0))</f>
        <v>0</v>
      </c>
      <c r="H39">
        <f t="shared" ca="1" si="2"/>
        <v>0</v>
      </c>
      <c r="I39">
        <f t="shared" ca="1" si="3"/>
        <v>1.004909589041096</v>
      </c>
      <c r="J39">
        <f t="shared" ca="1" si="4"/>
        <v>1.004909589041096</v>
      </c>
      <c r="K39">
        <f ca="1">PRODUCT($J$3:J39)</f>
        <v>1.2142373090963638</v>
      </c>
      <c r="L39">
        <f t="shared" ca="1" si="5"/>
        <v>0.82356224150631696</v>
      </c>
      <c r="M39">
        <f ca="1">SUM($L$3:L39)</f>
        <v>33.58117668930015</v>
      </c>
      <c r="O39">
        <f ca="1">(Q38*Arkusz1!J39)-Q38</f>
        <v>4601.5481168540427</v>
      </c>
      <c r="P39" s="16">
        <f t="shared" ca="1" si="6"/>
        <v>9267.6127554856885</v>
      </c>
      <c r="Q39" s="17">
        <f t="shared" ca="1" si="7"/>
        <v>927989.67667068413</v>
      </c>
    </row>
    <row r="40" spans="1:17" x14ac:dyDescent="0.35">
      <c r="A40">
        <v>38</v>
      </c>
      <c r="B40" s="14">
        <f t="shared" ca="1" si="8"/>
        <v>47225</v>
      </c>
      <c r="C40" s="15">
        <f ca="1">(1+'Symulacja Pożyczka'!$B$7*(Arkusz1!B40-Arkusz1!B39)/365)</f>
        <v>1.0054356164383562</v>
      </c>
      <c r="D40" s="15">
        <f ca="1">(1+'Symulacja Pożyczka'!$B$7*(Arkusz1!B40-Arkusz1!B39)/366)</f>
        <v>1.0054207650273224</v>
      </c>
      <c r="E40" s="15">
        <f t="shared" ca="1" si="0"/>
        <v>0</v>
      </c>
      <c r="F40" s="15">
        <f t="shared" ca="1" si="1"/>
        <v>0</v>
      </c>
      <c r="G40">
        <f ca="1">IF(E40=1,(1+'Symulacja Pożyczka'!$B$7*(((Arkusz1!B40-DATE(YEAR(B40),1,1)+1)/365)+((DATE(YEAR(B39),12,31)-Arkusz1!B39)/366))),IF(F40=1,(1+'Symulacja Pożyczka'!$B$7*(((Arkusz1!B40-DATE(YEAR(B40),1,1)+1)/366)+((DATE(YEAR(B39),12,31)-Arkusz1!B39)/365))),0))</f>
        <v>0</v>
      </c>
      <c r="H40">
        <f t="shared" ca="1" si="2"/>
        <v>0</v>
      </c>
      <c r="I40">
        <f t="shared" ca="1" si="3"/>
        <v>1.0054356164383562</v>
      </c>
      <c r="J40">
        <f t="shared" ca="1" si="4"/>
        <v>1.0054356164383562</v>
      </c>
      <c r="K40">
        <f ca="1">PRODUCT($J$3:J40)</f>
        <v>1.2208374373737534</v>
      </c>
      <c r="L40">
        <f t="shared" ca="1" si="5"/>
        <v>0.81910987440816407</v>
      </c>
      <c r="M40">
        <f ca="1">SUM($L$3:L40)</f>
        <v>34.400286563708313</v>
      </c>
      <c r="O40">
        <f ca="1">(Q39*Arkusz1!J40)-Q39</f>
        <v>5044.1959411359858</v>
      </c>
      <c r="P40" s="16">
        <f t="shared" ca="1" si="6"/>
        <v>8824.9649312037454</v>
      </c>
      <c r="Q40" s="17">
        <f t="shared" ca="1" si="7"/>
        <v>919164.71173948038</v>
      </c>
    </row>
    <row r="41" spans="1:17" x14ac:dyDescent="0.35">
      <c r="A41">
        <v>39</v>
      </c>
      <c r="B41" s="14">
        <f t="shared" ca="1" si="8"/>
        <v>47255</v>
      </c>
      <c r="C41" s="15">
        <f ca="1">(1+'Symulacja Pożyczka'!$B$7*(Arkusz1!B41-Arkusz1!B40)/365)</f>
        <v>1.0052602739726026</v>
      </c>
      <c r="D41" s="15">
        <f ca="1">(1+'Symulacja Pożyczka'!$B$7*(Arkusz1!B41-Arkusz1!B40)/366)</f>
        <v>1.0052459016393442</v>
      </c>
      <c r="E41" s="15">
        <f t="shared" ca="1" si="0"/>
        <v>0</v>
      </c>
      <c r="F41" s="15">
        <f t="shared" ca="1" si="1"/>
        <v>0</v>
      </c>
      <c r="G41">
        <f ca="1">IF(E41=1,(1+'Symulacja Pożyczka'!$B$7*(((Arkusz1!B41-DATE(YEAR(B41),1,1)+1)/365)+((DATE(YEAR(B40),12,31)-Arkusz1!B40)/366))),IF(F41=1,(1+'Symulacja Pożyczka'!$B$7*(((Arkusz1!B41-DATE(YEAR(B41),1,1)+1)/366)+((DATE(YEAR(B40),12,31)-Arkusz1!B40)/365))),0))</f>
        <v>0</v>
      </c>
      <c r="H41">
        <f t="shared" ca="1" si="2"/>
        <v>0</v>
      </c>
      <c r="I41">
        <f t="shared" ca="1" si="3"/>
        <v>1.0052602739726026</v>
      </c>
      <c r="J41">
        <f t="shared" ca="1" si="4"/>
        <v>1.0052602739726026</v>
      </c>
      <c r="K41">
        <f ca="1">PRODUCT($J$3:J41)</f>
        <v>1.2272593767703495</v>
      </c>
      <c r="L41">
        <f t="shared" ca="1" si="5"/>
        <v>0.81482367861926286</v>
      </c>
      <c r="M41">
        <f ca="1">SUM($L$3:L41)</f>
        <v>35.215110242327576</v>
      </c>
      <c r="O41">
        <f ca="1">(Q40*Arkusz1!J41)-Q40</f>
        <v>4835.0582096979488</v>
      </c>
      <c r="P41" s="16">
        <f t="shared" ca="1" si="6"/>
        <v>9034.1026626417824</v>
      </c>
      <c r="Q41" s="17">
        <f t="shared" ca="1" si="7"/>
        <v>910130.60907683859</v>
      </c>
    </row>
    <row r="42" spans="1:17" x14ac:dyDescent="0.35">
      <c r="A42">
        <v>40</v>
      </c>
      <c r="B42" s="14">
        <f t="shared" ca="1" si="8"/>
        <v>47286</v>
      </c>
      <c r="C42" s="15">
        <f ca="1">(1+'Symulacja Pożyczka'!$B$7*(Arkusz1!B42-Arkusz1!B41)/365)</f>
        <v>1.0054356164383562</v>
      </c>
      <c r="D42" s="15">
        <f ca="1">(1+'Symulacja Pożyczka'!$B$7*(Arkusz1!B42-Arkusz1!B41)/366)</f>
        <v>1.0054207650273224</v>
      </c>
      <c r="E42" s="15">
        <f t="shared" ca="1" si="0"/>
        <v>0</v>
      </c>
      <c r="F42" s="15">
        <f t="shared" ca="1" si="1"/>
        <v>0</v>
      </c>
      <c r="G42">
        <f ca="1">IF(E42=1,(1+'Symulacja Pożyczka'!$B$7*(((Arkusz1!B42-DATE(YEAR(B42),1,1)+1)/365)+((DATE(YEAR(B41),12,31)-Arkusz1!B41)/366))),IF(F42=1,(1+'Symulacja Pożyczka'!$B$7*(((Arkusz1!B42-DATE(YEAR(B42),1,1)+1)/366)+((DATE(YEAR(B41),12,31)-Arkusz1!B41)/365))),0))</f>
        <v>0</v>
      </c>
      <c r="H42">
        <f t="shared" ca="1" si="2"/>
        <v>0</v>
      </c>
      <c r="I42">
        <f t="shared" ca="1" si="3"/>
        <v>1.0054356164383562</v>
      </c>
      <c r="J42">
        <f t="shared" ca="1" si="4"/>
        <v>1.0054356164383562</v>
      </c>
      <c r="K42">
        <f ca="1">PRODUCT($J$3:J42)</f>
        <v>1.2339302880128491</v>
      </c>
      <c r="L42">
        <f t="shared" ca="1" si="5"/>
        <v>0.81041855420408226</v>
      </c>
      <c r="M42">
        <f ca="1">SUM($L$3:L42)</f>
        <v>36.02552879653166</v>
      </c>
      <c r="O42">
        <f ca="1">(Q41*Arkusz1!J42)-Q41</f>
        <v>4947.1208997492213</v>
      </c>
      <c r="P42" s="16">
        <f t="shared" ca="1" si="6"/>
        <v>8922.0399725905099</v>
      </c>
      <c r="Q42" s="17">
        <f t="shared" ca="1" si="7"/>
        <v>901208.56910424808</v>
      </c>
    </row>
    <row r="43" spans="1:17" x14ac:dyDescent="0.35">
      <c r="A43">
        <v>41</v>
      </c>
      <c r="B43" s="14">
        <f t="shared" ca="1" si="8"/>
        <v>47316</v>
      </c>
      <c r="C43" s="15">
        <f ca="1">(1+'Symulacja Pożyczka'!$B$7*(Arkusz1!B43-Arkusz1!B42)/365)</f>
        <v>1.0052602739726026</v>
      </c>
      <c r="D43" s="15">
        <f ca="1">(1+'Symulacja Pożyczka'!$B$7*(Arkusz1!B43-Arkusz1!B42)/366)</f>
        <v>1.0052459016393442</v>
      </c>
      <c r="E43" s="15">
        <f t="shared" ca="1" si="0"/>
        <v>0</v>
      </c>
      <c r="F43" s="15">
        <f t="shared" ca="1" si="1"/>
        <v>0</v>
      </c>
      <c r="G43">
        <f ca="1">IF(E43=1,(1+'Symulacja Pożyczka'!$B$7*(((Arkusz1!B43-DATE(YEAR(B43),1,1)+1)/365)+((DATE(YEAR(B42),12,31)-Arkusz1!B42)/366))),IF(F43=1,(1+'Symulacja Pożyczka'!$B$7*(((Arkusz1!B43-DATE(YEAR(B43),1,1)+1)/366)+((DATE(YEAR(B42),12,31)-Arkusz1!B42)/365))),0))</f>
        <v>0</v>
      </c>
      <c r="H43">
        <f t="shared" ca="1" si="2"/>
        <v>0</v>
      </c>
      <c r="I43">
        <f t="shared" ca="1" si="3"/>
        <v>1.0052602739726026</v>
      </c>
      <c r="J43">
        <f t="shared" ca="1" si="4"/>
        <v>1.0052602739726026</v>
      </c>
      <c r="K43">
        <f ca="1">PRODUCT($J$3:J43)</f>
        <v>1.2404210993908891</v>
      </c>
      <c r="L43">
        <f t="shared" ca="1" si="5"/>
        <v>0.80617783790605602</v>
      </c>
      <c r="M43">
        <f ca="1">SUM($L$3:L43)</f>
        <v>36.831706634437715</v>
      </c>
      <c r="O43">
        <f ca="1">(Q42*Arkusz1!J43)-Q42</f>
        <v>4740.603979945532</v>
      </c>
      <c r="P43" s="16">
        <f t="shared" ca="1" si="6"/>
        <v>9128.5568923941992</v>
      </c>
      <c r="Q43" s="17">
        <f t="shared" ca="1" si="7"/>
        <v>892080.01221185387</v>
      </c>
    </row>
    <row r="44" spans="1:17" x14ac:dyDescent="0.35">
      <c r="A44">
        <v>42</v>
      </c>
      <c r="B44" s="14">
        <f t="shared" ca="1" si="8"/>
        <v>47347</v>
      </c>
      <c r="C44" s="15">
        <f ca="1">(1+'Symulacja Pożyczka'!$B$7*(Arkusz1!B44-Arkusz1!B43)/365)</f>
        <v>1.0054356164383562</v>
      </c>
      <c r="D44" s="15">
        <f ca="1">(1+'Symulacja Pożyczka'!$B$7*(Arkusz1!B44-Arkusz1!B43)/366)</f>
        <v>1.0054207650273224</v>
      </c>
      <c r="E44" s="15">
        <f t="shared" ca="1" si="0"/>
        <v>0</v>
      </c>
      <c r="F44" s="15">
        <f t="shared" ca="1" si="1"/>
        <v>0</v>
      </c>
      <c r="G44">
        <f ca="1">IF(E44=1,(1+'Symulacja Pożyczka'!$B$7*(((Arkusz1!B44-DATE(YEAR(B44),1,1)+1)/365)+((DATE(YEAR(B43),12,31)-Arkusz1!B43)/366))),IF(F44=1,(1+'Symulacja Pożyczka'!$B$7*(((Arkusz1!B44-DATE(YEAR(B44),1,1)+1)/366)+((DATE(YEAR(B43),12,31)-Arkusz1!B43)/365))),0))</f>
        <v>0</v>
      </c>
      <c r="H44">
        <f t="shared" ca="1" si="2"/>
        <v>0</v>
      </c>
      <c r="I44">
        <f t="shared" ca="1" si="3"/>
        <v>1.0054356164383562</v>
      </c>
      <c r="J44">
        <f t="shared" ca="1" si="4"/>
        <v>1.0054356164383562</v>
      </c>
      <c r="K44">
        <f ca="1">PRODUCT($J$3:J44)</f>
        <v>1.247163552709222</v>
      </c>
      <c r="L44">
        <f t="shared" ca="1" si="5"/>
        <v>0.80181945489642725</v>
      </c>
      <c r="M44">
        <f ca="1">SUM($L$3:L44)</f>
        <v>37.63352608933414</v>
      </c>
      <c r="O44">
        <f ca="1">(Q43*Arkusz1!J44)-Q43</f>
        <v>4849.0047787077492</v>
      </c>
      <c r="P44" s="16">
        <f t="shared" ca="1" si="6"/>
        <v>9020.156093631982</v>
      </c>
      <c r="Q44" s="17">
        <f t="shared" ca="1" si="7"/>
        <v>883059.85611822188</v>
      </c>
    </row>
    <row r="45" spans="1:17" x14ac:dyDescent="0.35">
      <c r="A45">
        <v>43</v>
      </c>
      <c r="B45" s="14">
        <f t="shared" ca="1" si="8"/>
        <v>47378</v>
      </c>
      <c r="C45" s="15">
        <f ca="1">(1+'Symulacja Pożyczka'!$B$7*(Arkusz1!B45-Arkusz1!B44)/365)</f>
        <v>1.0054356164383562</v>
      </c>
      <c r="D45" s="15">
        <f ca="1">(1+'Symulacja Pożyczka'!$B$7*(Arkusz1!B45-Arkusz1!B44)/366)</f>
        <v>1.0054207650273224</v>
      </c>
      <c r="E45" s="15">
        <f t="shared" ca="1" si="0"/>
        <v>0</v>
      </c>
      <c r="F45" s="15">
        <f t="shared" ca="1" si="1"/>
        <v>0</v>
      </c>
      <c r="G45">
        <f ca="1">IF(E45=1,(1+'Symulacja Pożyczka'!$B$7*(((Arkusz1!B45-DATE(YEAR(B45),1,1)+1)/365)+((DATE(YEAR(B44),12,31)-Arkusz1!B44)/366))),IF(F45=1,(1+'Symulacja Pożyczka'!$B$7*(((Arkusz1!B45-DATE(YEAR(B45),1,1)+1)/366)+((DATE(YEAR(B44),12,31)-Arkusz1!B44)/365))),0))</f>
        <v>0</v>
      </c>
      <c r="H45">
        <f t="shared" ca="1" si="2"/>
        <v>0</v>
      </c>
      <c r="I45">
        <f t="shared" ca="1" si="3"/>
        <v>1.0054356164383562</v>
      </c>
      <c r="J45">
        <f t="shared" ca="1" si="4"/>
        <v>1.0054356164383562</v>
      </c>
      <c r="K45">
        <f ca="1">PRODUCT($J$3:J45)</f>
        <v>1.2539426554176469</v>
      </c>
      <c r="L45">
        <f t="shared" ca="1" si="5"/>
        <v>0.79748463430884164</v>
      </c>
      <c r="M45">
        <f ca="1">SUM($L$3:L45)</f>
        <v>38.431010723642984</v>
      </c>
      <c r="O45">
        <f ca="1">(Q44*Arkusz1!J45)-Q44</f>
        <v>4799.9746699687093</v>
      </c>
      <c r="P45" s="16">
        <f t="shared" ca="1" si="6"/>
        <v>9069.1862023710219</v>
      </c>
      <c r="Q45" s="17">
        <f t="shared" ca="1" si="7"/>
        <v>873990.66991585086</v>
      </c>
    </row>
    <row r="46" spans="1:17" x14ac:dyDescent="0.35">
      <c r="A46">
        <v>44</v>
      </c>
      <c r="B46" s="14">
        <f t="shared" ca="1" si="8"/>
        <v>47408</v>
      </c>
      <c r="C46" s="15">
        <f ca="1">(1+'Symulacja Pożyczka'!$B$7*(Arkusz1!B46-Arkusz1!B45)/365)</f>
        <v>1.0052602739726026</v>
      </c>
      <c r="D46" s="15">
        <f ca="1">(1+'Symulacja Pożyczka'!$B$7*(Arkusz1!B46-Arkusz1!B45)/366)</f>
        <v>1.0052459016393442</v>
      </c>
      <c r="E46" s="15">
        <f t="shared" ca="1" si="0"/>
        <v>0</v>
      </c>
      <c r="F46" s="15">
        <f t="shared" ca="1" si="1"/>
        <v>0</v>
      </c>
      <c r="G46">
        <f ca="1">IF(E46=1,(1+'Symulacja Pożyczka'!$B$7*(((Arkusz1!B46-DATE(YEAR(B46),1,1)+1)/365)+((DATE(YEAR(B45),12,31)-Arkusz1!B45)/366))),IF(F46=1,(1+'Symulacja Pożyczka'!$B$7*(((Arkusz1!B46-DATE(YEAR(B46),1,1)+1)/366)+((DATE(YEAR(B45),12,31)-Arkusz1!B45)/365))),0))</f>
        <v>0</v>
      </c>
      <c r="H46">
        <f t="shared" ca="1" si="2"/>
        <v>0</v>
      </c>
      <c r="I46">
        <f t="shared" ca="1" si="3"/>
        <v>1.0052602739726026</v>
      </c>
      <c r="J46">
        <f t="shared" ca="1" si="4"/>
        <v>1.0052602739726026</v>
      </c>
      <c r="K46">
        <f ca="1">PRODUCT($J$3:J46)</f>
        <v>1.2605387373310766</v>
      </c>
      <c r="L46">
        <f t="shared" ca="1" si="5"/>
        <v>0.79331159795793971</v>
      </c>
      <c r="M46">
        <f ca="1">SUM($L$3:L46)</f>
        <v>39.224322321600923</v>
      </c>
      <c r="O46">
        <f ca="1">(Q45*Arkusz1!J46)-Q45</f>
        <v>4597.4303732558619</v>
      </c>
      <c r="P46" s="16">
        <f t="shared" ca="1" si="6"/>
        <v>9271.7304990838693</v>
      </c>
      <c r="Q46" s="17">
        <f t="shared" ca="1" si="7"/>
        <v>864718.93941676698</v>
      </c>
    </row>
    <row r="47" spans="1:17" x14ac:dyDescent="0.35">
      <c r="A47">
        <v>45</v>
      </c>
      <c r="B47" s="14">
        <f t="shared" ca="1" si="8"/>
        <v>47439</v>
      </c>
      <c r="C47" s="15">
        <f ca="1">(1+'Symulacja Pożyczka'!$B$7*(Arkusz1!B47-Arkusz1!B46)/365)</f>
        <v>1.0054356164383562</v>
      </c>
      <c r="D47" s="15">
        <f ca="1">(1+'Symulacja Pożyczka'!$B$7*(Arkusz1!B47-Arkusz1!B46)/366)</f>
        <v>1.0054207650273224</v>
      </c>
      <c r="E47" s="15">
        <f t="shared" ca="1" si="0"/>
        <v>0</v>
      </c>
      <c r="F47" s="15">
        <f t="shared" ca="1" si="1"/>
        <v>0</v>
      </c>
      <c r="G47">
        <f ca="1">IF(E47=1,(1+'Symulacja Pożyczka'!$B$7*(((Arkusz1!B47-DATE(YEAR(B47),1,1)+1)/365)+((DATE(YEAR(B46),12,31)-Arkusz1!B46)/366))),IF(F47=1,(1+'Symulacja Pożyczka'!$B$7*(((Arkusz1!B47-DATE(YEAR(B47),1,1)+1)/366)+((DATE(YEAR(B46),12,31)-Arkusz1!B46)/365))),0))</f>
        <v>0</v>
      </c>
      <c r="H47">
        <f t="shared" ca="1" si="2"/>
        <v>0</v>
      </c>
      <c r="I47">
        <f t="shared" ca="1" si="3"/>
        <v>1.0054356164383562</v>
      </c>
      <c r="J47">
        <f t="shared" ca="1" si="4"/>
        <v>1.0054356164383562</v>
      </c>
      <c r="K47">
        <f ca="1">PRODUCT($J$3:J47)</f>
        <v>1.2673905424128982</v>
      </c>
      <c r="L47">
        <f t="shared" ca="1" si="5"/>
        <v>0.78902277280384969</v>
      </c>
      <c r="M47">
        <f ca="1">SUM($L$3:L47)</f>
        <v>40.013345094404769</v>
      </c>
      <c r="O47">
        <f ca="1">(Q46*Arkusz1!J47)-Q46</f>
        <v>4700.2804816517746</v>
      </c>
      <c r="P47" s="16">
        <f t="shared" ca="1" si="6"/>
        <v>9168.8803906879566</v>
      </c>
      <c r="Q47" s="17">
        <f t="shared" ca="1" si="7"/>
        <v>855550.05902607902</v>
      </c>
    </row>
    <row r="48" spans="1:17" x14ac:dyDescent="0.35">
      <c r="A48">
        <v>46</v>
      </c>
      <c r="B48" s="14">
        <f t="shared" ca="1" si="8"/>
        <v>47469</v>
      </c>
      <c r="C48" s="15">
        <f ca="1">(1+'Symulacja Pożyczka'!$B$7*(Arkusz1!B48-Arkusz1!B47)/365)</f>
        <v>1.0052602739726026</v>
      </c>
      <c r="D48" s="15">
        <f ca="1">(1+'Symulacja Pożyczka'!$B$7*(Arkusz1!B48-Arkusz1!B47)/366)</f>
        <v>1.0052459016393442</v>
      </c>
      <c r="E48" s="15">
        <f t="shared" ca="1" si="0"/>
        <v>0</v>
      </c>
      <c r="F48" s="15">
        <f t="shared" ca="1" si="1"/>
        <v>0</v>
      </c>
      <c r="G48">
        <f ca="1">IF(E48=1,(1+'Symulacja Pożyczka'!$B$7*(((Arkusz1!B48-DATE(YEAR(B48),1,1)+1)/365)+((DATE(YEAR(B47),12,31)-Arkusz1!B47)/366))),IF(F48=1,(1+'Symulacja Pożyczka'!$B$7*(((Arkusz1!B48-DATE(YEAR(B48),1,1)+1)/366)+((DATE(YEAR(B47),12,31)-Arkusz1!B47)/365))),0))</f>
        <v>0</v>
      </c>
      <c r="H48">
        <f t="shared" ca="1" si="2"/>
        <v>0</v>
      </c>
      <c r="I48">
        <f t="shared" ca="1" si="3"/>
        <v>1.0052602739726026</v>
      </c>
      <c r="J48">
        <f t="shared" ca="1" si="4"/>
        <v>1.0052602739726026</v>
      </c>
      <c r="K48">
        <f ca="1">PRODUCT($J$3:J48)</f>
        <v>1.2740573638962756</v>
      </c>
      <c r="L48">
        <f t="shared" ca="1" si="5"/>
        <v>0.78489401524420899</v>
      </c>
      <c r="M48">
        <f ca="1">SUM($L$3:L48)</f>
        <v>40.798239109648975</v>
      </c>
      <c r="O48">
        <f ca="1">(Q47*Arkusz1!J48)-Q47</f>
        <v>4500.4277077534935</v>
      </c>
      <c r="P48" s="16">
        <f t="shared" ca="1" si="6"/>
        <v>9368.7331645862378</v>
      </c>
      <c r="Q48" s="17">
        <f t="shared" ca="1" si="7"/>
        <v>846181.32586149278</v>
      </c>
    </row>
    <row r="49" spans="1:17" x14ac:dyDescent="0.35">
      <c r="A49">
        <v>47</v>
      </c>
      <c r="B49" s="14">
        <f t="shared" ca="1" si="8"/>
        <v>47500</v>
      </c>
      <c r="C49" s="15">
        <f ca="1">(1+'Symulacja Pożyczka'!$B$7*(Arkusz1!B49-Arkusz1!B48)/365)</f>
        <v>1.0054356164383562</v>
      </c>
      <c r="D49" s="15">
        <f ca="1">(1+'Symulacja Pożyczka'!$B$7*(Arkusz1!B49-Arkusz1!B48)/366)</f>
        <v>1.0054207650273224</v>
      </c>
      <c r="E49" s="15">
        <f t="shared" ca="1" si="0"/>
        <v>0</v>
      </c>
      <c r="F49" s="15">
        <f t="shared" ca="1" si="1"/>
        <v>0</v>
      </c>
      <c r="G49">
        <f ca="1">IF(E49=1,(1+'Symulacja Pożyczka'!$B$7*(((Arkusz1!B49-DATE(YEAR(B49),1,1)+1)/365)+((DATE(YEAR(B48),12,31)-Arkusz1!B48)/366))),IF(F49=1,(1+'Symulacja Pożyczka'!$B$7*(((Arkusz1!B49-DATE(YEAR(B49),1,1)+1)/366)+((DATE(YEAR(B48),12,31)-Arkusz1!B48)/365))),0))</f>
        <v>0</v>
      </c>
      <c r="H49">
        <f t="shared" ca="1" si="2"/>
        <v>0</v>
      </c>
      <c r="I49">
        <f t="shared" ca="1" si="3"/>
        <v>1.0054356164383562</v>
      </c>
      <c r="J49">
        <f t="shared" ca="1" si="4"/>
        <v>1.0054356164383562</v>
      </c>
      <c r="K49">
        <f ca="1">PRODUCT($J$3:J49)</f>
        <v>1.2809826510468789</v>
      </c>
      <c r="L49">
        <f t="shared" ca="1" si="5"/>
        <v>0.78065069748037041</v>
      </c>
      <c r="M49">
        <f ca="1">SUM($L$3:L49)</f>
        <v>41.578889807129343</v>
      </c>
      <c r="O49">
        <f ca="1">(Q48*Arkusz1!J49)-Q48</f>
        <v>4599.5171246827813</v>
      </c>
      <c r="P49" s="16">
        <f t="shared" ca="1" si="6"/>
        <v>9269.6437476569499</v>
      </c>
      <c r="Q49" s="17">
        <f t="shared" ca="1" si="7"/>
        <v>836911.68211383582</v>
      </c>
    </row>
    <row r="50" spans="1:17" x14ac:dyDescent="0.35">
      <c r="A50">
        <v>48</v>
      </c>
      <c r="B50" s="14">
        <f t="shared" ca="1" si="8"/>
        <v>47531</v>
      </c>
      <c r="C50" s="15">
        <f ca="1">(1+'Symulacja Pożyczka'!$B$7*(Arkusz1!B50-Arkusz1!B49)/365)</f>
        <v>1.0054356164383562</v>
      </c>
      <c r="D50" s="15">
        <f ca="1">(1+'Symulacja Pożyczka'!$B$7*(Arkusz1!B50-Arkusz1!B49)/366)</f>
        <v>1.0054207650273224</v>
      </c>
      <c r="E50" s="15">
        <f t="shared" ca="1" si="0"/>
        <v>0</v>
      </c>
      <c r="F50" s="15">
        <f t="shared" ca="1" si="1"/>
        <v>0</v>
      </c>
      <c r="G50">
        <f ca="1">IF(E50=1,(1+'Symulacja Pożyczka'!$B$7*(((Arkusz1!B50-DATE(YEAR(B50),1,1)+1)/365)+((DATE(YEAR(B49),12,31)-Arkusz1!B49)/366))),IF(F50=1,(1+'Symulacja Pożyczka'!$B$7*(((Arkusz1!B50-DATE(YEAR(B50),1,1)+1)/366)+((DATE(YEAR(B49),12,31)-Arkusz1!B49)/365))),0))</f>
        <v>0</v>
      </c>
      <c r="H50">
        <f t="shared" ca="1" si="2"/>
        <v>0</v>
      </c>
      <c r="I50">
        <f t="shared" ca="1" si="3"/>
        <v>1.0054356164383562</v>
      </c>
      <c r="J50">
        <f t="shared" ca="1" si="4"/>
        <v>1.0054356164383562</v>
      </c>
      <c r="K50">
        <f ca="1">PRODUCT($J$3:J50)</f>
        <v>1.2879455814021585</v>
      </c>
      <c r="L50">
        <f t="shared" ca="1" si="5"/>
        <v>0.77643032006936319</v>
      </c>
      <c r="M50">
        <f ca="1">SUM($L$3:L50)</f>
        <v>42.355320127198709</v>
      </c>
      <c r="O50">
        <f ca="1">(Q49*Arkusz1!J50)-Q49</f>
        <v>4549.1308967503719</v>
      </c>
      <c r="P50" s="16">
        <f t="shared" ca="1" si="6"/>
        <v>9320.0299755893593</v>
      </c>
      <c r="Q50" s="17">
        <f t="shared" ca="1" si="7"/>
        <v>827591.65213824646</v>
      </c>
    </row>
    <row r="51" spans="1:17" x14ac:dyDescent="0.35">
      <c r="A51">
        <v>49</v>
      </c>
      <c r="B51" s="14">
        <f t="shared" ca="1" si="8"/>
        <v>47559</v>
      </c>
      <c r="C51" s="15">
        <f ca="1">(1+'Symulacja Pożyczka'!$B$7*(Arkusz1!B51-Arkusz1!B50)/365)</f>
        <v>1.004909589041096</v>
      </c>
      <c r="D51" s="15">
        <f ca="1">(1+'Symulacja Pożyczka'!$B$7*(Arkusz1!B51-Arkusz1!B50)/366)</f>
        <v>1.004896174863388</v>
      </c>
      <c r="E51" s="15">
        <f t="shared" ca="1" si="0"/>
        <v>0</v>
      </c>
      <c r="F51" s="15">
        <f t="shared" ca="1" si="1"/>
        <v>0</v>
      </c>
      <c r="G51">
        <f ca="1">IF(E51=1,(1+'Symulacja Pożyczka'!$B$7*(((Arkusz1!B51-DATE(YEAR(B51),1,1)+1)/365)+((DATE(YEAR(B50),12,31)-Arkusz1!B50)/366))),IF(F51=1,(1+'Symulacja Pożyczka'!$B$7*(((Arkusz1!B51-DATE(YEAR(B51),1,1)+1)/366)+((DATE(YEAR(B50),12,31)-Arkusz1!B50)/365))),0))</f>
        <v>0</v>
      </c>
      <c r="H51">
        <f t="shared" ca="1" si="2"/>
        <v>0</v>
      </c>
      <c r="I51">
        <f t="shared" ca="1" si="3"/>
        <v>1.004909589041096</v>
      </c>
      <c r="J51">
        <f t="shared" ca="1" si="4"/>
        <v>1.004909589041096</v>
      </c>
      <c r="K51">
        <f ca="1">PRODUCT($J$3:J51)</f>
        <v>1.2942688649141385</v>
      </c>
      <c r="L51">
        <f t="shared" ca="1" si="5"/>
        <v>0.77263698997065788</v>
      </c>
      <c r="M51">
        <f ca="1">SUM($L$3:L51)</f>
        <v>43.127957117169366</v>
      </c>
      <c r="O51">
        <f ca="1">(Q50*Arkusz1!J51)-Q50</f>
        <v>4063.1349058403866</v>
      </c>
      <c r="P51" s="16">
        <f t="shared" ca="1" si="6"/>
        <v>9806.0259664993446</v>
      </c>
      <c r="Q51" s="17">
        <f t="shared" ca="1" si="7"/>
        <v>817785.62617174711</v>
      </c>
    </row>
    <row r="52" spans="1:17" x14ac:dyDescent="0.35">
      <c r="A52">
        <v>50</v>
      </c>
      <c r="B52" s="14">
        <f t="shared" ca="1" si="8"/>
        <v>47590</v>
      </c>
      <c r="C52" s="15">
        <f ca="1">(1+'Symulacja Pożyczka'!$B$7*(Arkusz1!B52-Arkusz1!B51)/365)</f>
        <v>1.0054356164383562</v>
      </c>
      <c r="D52" s="15">
        <f ca="1">(1+'Symulacja Pożyczka'!$B$7*(Arkusz1!B52-Arkusz1!B51)/366)</f>
        <v>1.0054207650273224</v>
      </c>
      <c r="E52" s="15">
        <f t="shared" ca="1" si="0"/>
        <v>0</v>
      </c>
      <c r="F52" s="15">
        <f t="shared" ca="1" si="1"/>
        <v>0</v>
      </c>
      <c r="G52">
        <f ca="1">IF(E52=1,(1+'Symulacja Pożyczka'!$B$7*(((Arkusz1!B52-DATE(YEAR(B52),1,1)+1)/365)+((DATE(YEAR(B51),12,31)-Arkusz1!B51)/366))),IF(F52=1,(1+'Symulacja Pożyczka'!$B$7*(((Arkusz1!B52-DATE(YEAR(B52),1,1)+1)/366)+((DATE(YEAR(B51),12,31)-Arkusz1!B51)/365))),0))</f>
        <v>0</v>
      </c>
      <c r="H52">
        <f t="shared" ca="1" si="2"/>
        <v>0</v>
      </c>
      <c r="I52">
        <f t="shared" ca="1" si="3"/>
        <v>1.0054356164383562</v>
      </c>
      <c r="J52">
        <f t="shared" ca="1" si="4"/>
        <v>1.0054356164383562</v>
      </c>
      <c r="K52">
        <f ca="1">PRODUCT($J$3:J52)</f>
        <v>1.3013040140319185</v>
      </c>
      <c r="L52">
        <f t="shared" ca="1" si="5"/>
        <v>0.76845993650755917</v>
      </c>
      <c r="M52">
        <f ca="1">SUM($L$3:L52)</f>
        <v>43.896417053676927</v>
      </c>
      <c r="O52">
        <f ca="1">(Q51*Arkusz1!J52)-Q51</f>
        <v>4445.1689926706022</v>
      </c>
      <c r="P52" s="16">
        <f t="shared" ca="1" si="6"/>
        <v>9423.991879669129</v>
      </c>
      <c r="Q52" s="17">
        <f t="shared" ca="1" si="7"/>
        <v>808361.63429207797</v>
      </c>
    </row>
    <row r="53" spans="1:17" x14ac:dyDescent="0.35">
      <c r="A53">
        <v>51</v>
      </c>
      <c r="B53" s="14">
        <f t="shared" ca="1" si="8"/>
        <v>47620</v>
      </c>
      <c r="C53" s="15">
        <f ca="1">(1+'Symulacja Pożyczka'!$B$7*(Arkusz1!B53-Arkusz1!B52)/365)</f>
        <v>1.0052602739726026</v>
      </c>
      <c r="D53" s="15">
        <f ca="1">(1+'Symulacja Pożyczka'!$B$7*(Arkusz1!B53-Arkusz1!B52)/366)</f>
        <v>1.0052459016393442</v>
      </c>
      <c r="E53" s="15">
        <f t="shared" ca="1" si="0"/>
        <v>0</v>
      </c>
      <c r="F53" s="15">
        <f t="shared" ca="1" si="1"/>
        <v>0</v>
      </c>
      <c r="G53">
        <f ca="1">IF(E53=1,(1+'Symulacja Pożyczka'!$B$7*(((Arkusz1!B53-DATE(YEAR(B53),1,1)+1)/365)+((DATE(YEAR(B52),12,31)-Arkusz1!B52)/366))),IF(F53=1,(1+'Symulacja Pożyczka'!$B$7*(((Arkusz1!B53-DATE(YEAR(B53),1,1)+1)/366)+((DATE(YEAR(B52),12,31)-Arkusz1!B52)/365))),0))</f>
        <v>0</v>
      </c>
      <c r="H53">
        <f t="shared" ca="1" si="2"/>
        <v>0</v>
      </c>
      <c r="I53">
        <f t="shared" ca="1" si="3"/>
        <v>1.0052602739726026</v>
      </c>
      <c r="J53">
        <f t="shared" ca="1" si="4"/>
        <v>1.0052602739726026</v>
      </c>
      <c r="K53">
        <f ca="1">PRODUCT($J$3:J53)</f>
        <v>1.308149229667374</v>
      </c>
      <c r="L53">
        <f t="shared" ca="1" si="5"/>
        <v>0.76443877909424152</v>
      </c>
      <c r="M53">
        <f ca="1">SUM($L$3:L53)</f>
        <v>44.660855832771169</v>
      </c>
      <c r="O53">
        <f ca="1">(Q52*Arkusz1!J53)-Q52</f>
        <v>4252.2036653171526</v>
      </c>
      <c r="P53" s="16">
        <f t="shared" ca="1" si="6"/>
        <v>9616.9572070225786</v>
      </c>
      <c r="Q53" s="17">
        <f t="shared" ca="1" si="7"/>
        <v>798744.67708505539</v>
      </c>
    </row>
    <row r="54" spans="1:17" x14ac:dyDescent="0.35">
      <c r="A54">
        <v>52</v>
      </c>
      <c r="B54" s="14">
        <f t="shared" ca="1" si="8"/>
        <v>47651</v>
      </c>
      <c r="C54" s="15">
        <f ca="1">(1+'Symulacja Pożyczka'!$B$7*(Arkusz1!B54-Arkusz1!B53)/365)</f>
        <v>1.0054356164383562</v>
      </c>
      <c r="D54" s="15">
        <f ca="1">(1+'Symulacja Pożyczka'!$B$7*(Arkusz1!B54-Arkusz1!B53)/366)</f>
        <v>1.0054207650273224</v>
      </c>
      <c r="E54" s="15">
        <f t="shared" ca="1" si="0"/>
        <v>0</v>
      </c>
      <c r="F54" s="15">
        <f t="shared" ca="1" si="1"/>
        <v>0</v>
      </c>
      <c r="G54">
        <f ca="1">IF(E54=1,(1+'Symulacja Pożyczka'!$B$7*(((Arkusz1!B54-DATE(YEAR(B54),1,1)+1)/365)+((DATE(YEAR(B53),12,31)-Arkusz1!B53)/366))),IF(F54=1,(1+'Symulacja Pożyczka'!$B$7*(((Arkusz1!B54-DATE(YEAR(B54),1,1)+1)/366)+((DATE(YEAR(B53),12,31)-Arkusz1!B53)/365))),0))</f>
        <v>0</v>
      </c>
      <c r="H54">
        <f t="shared" ca="1" si="2"/>
        <v>0</v>
      </c>
      <c r="I54">
        <f t="shared" ca="1" si="3"/>
        <v>1.0054356164383562</v>
      </c>
      <c r="J54">
        <f t="shared" ca="1" si="4"/>
        <v>1.0054356164383562</v>
      </c>
      <c r="K54">
        <f ca="1">PRODUCT($J$3:J54)</f>
        <v>1.315259827123977</v>
      </c>
      <c r="L54">
        <f t="shared" ca="1" si="5"/>
        <v>0.76030604704673266</v>
      </c>
      <c r="M54">
        <f ca="1">SUM($L$3:L54)</f>
        <v>45.421161879817902</v>
      </c>
      <c r="O54">
        <f ca="1">(Q53*Arkusz1!J54)-Q53</f>
        <v>4341.6696968131</v>
      </c>
      <c r="P54" s="16">
        <f t="shared" ca="1" si="6"/>
        <v>9527.4911755266312</v>
      </c>
      <c r="Q54" s="17">
        <f t="shared" ca="1" si="7"/>
        <v>789217.18590952875</v>
      </c>
    </row>
    <row r="55" spans="1:17" x14ac:dyDescent="0.35">
      <c r="A55">
        <v>53</v>
      </c>
      <c r="B55" s="14">
        <f t="shared" ca="1" si="8"/>
        <v>47681</v>
      </c>
      <c r="C55" s="15">
        <f ca="1">(1+'Symulacja Pożyczka'!$B$7*(Arkusz1!B55-Arkusz1!B54)/365)</f>
        <v>1.0052602739726026</v>
      </c>
      <c r="D55" s="15">
        <f ca="1">(1+'Symulacja Pożyczka'!$B$7*(Arkusz1!B55-Arkusz1!B54)/366)</f>
        <v>1.0052459016393442</v>
      </c>
      <c r="E55" s="15">
        <f t="shared" ca="1" si="0"/>
        <v>0</v>
      </c>
      <c r="F55" s="15">
        <f t="shared" ca="1" si="1"/>
        <v>0</v>
      </c>
      <c r="G55">
        <f ca="1">IF(E55=1,(1+'Symulacja Pożyczka'!$B$7*(((Arkusz1!B55-DATE(YEAR(B55),1,1)+1)/365)+((DATE(YEAR(B54),12,31)-Arkusz1!B54)/366))),IF(F55=1,(1+'Symulacja Pożyczka'!$B$7*(((Arkusz1!B55-DATE(YEAR(B55),1,1)+1)/366)+((DATE(YEAR(B54),12,31)-Arkusz1!B54)/365))),0))</f>
        <v>0</v>
      </c>
      <c r="H55">
        <f t="shared" ca="1" si="2"/>
        <v>0</v>
      </c>
      <c r="I55">
        <f t="shared" ca="1" si="3"/>
        <v>1.0052602739726026</v>
      </c>
      <c r="J55">
        <f t="shared" ca="1" si="4"/>
        <v>1.0052602739726026</v>
      </c>
      <c r="K55">
        <f ca="1">PRODUCT($J$3:J55)</f>
        <v>1.3221784541598072</v>
      </c>
      <c r="L55">
        <f t="shared" ca="1" si="5"/>
        <v>0.75632755688449105</v>
      </c>
      <c r="M55">
        <f ca="1">SUM($L$3:L55)</f>
        <v>46.177489436702395</v>
      </c>
      <c r="O55">
        <f ca="1">(Q54*Arkusz1!J55)-Q54</f>
        <v>4151.4986217706464</v>
      </c>
      <c r="P55" s="16">
        <f t="shared" ca="1" si="6"/>
        <v>9717.6622505690848</v>
      </c>
      <c r="Q55" s="17">
        <f t="shared" ca="1" si="7"/>
        <v>779499.52365895966</v>
      </c>
    </row>
    <row r="56" spans="1:17" x14ac:dyDescent="0.35">
      <c r="A56">
        <v>54</v>
      </c>
      <c r="B56" s="14">
        <f t="shared" ca="1" si="8"/>
        <v>47712</v>
      </c>
      <c r="C56" s="15">
        <f ca="1">(1+'Symulacja Pożyczka'!$B$7*(Arkusz1!B56-Arkusz1!B55)/365)</f>
        <v>1.0054356164383562</v>
      </c>
      <c r="D56" s="15">
        <f ca="1">(1+'Symulacja Pożyczka'!$B$7*(Arkusz1!B56-Arkusz1!B55)/366)</f>
        <v>1.0054207650273224</v>
      </c>
      <c r="E56" s="15">
        <f t="shared" ca="1" si="0"/>
        <v>0</v>
      </c>
      <c r="F56" s="15">
        <f t="shared" ca="1" si="1"/>
        <v>0</v>
      </c>
      <c r="G56">
        <f ca="1">IF(E56=1,(1+'Symulacja Pożyczka'!$B$7*(((Arkusz1!B56-DATE(YEAR(B56),1,1)+1)/365)+((DATE(YEAR(B55),12,31)-Arkusz1!B55)/366))),IF(F56=1,(1+'Symulacja Pożyczka'!$B$7*(((Arkusz1!B56-DATE(YEAR(B56),1,1)+1)/366)+((DATE(YEAR(B55),12,31)-Arkusz1!B55)/365))),0))</f>
        <v>0</v>
      </c>
      <c r="H56">
        <f t="shared" ca="1" si="2"/>
        <v>0</v>
      </c>
      <c r="I56">
        <f t="shared" ca="1" si="3"/>
        <v>1.0054356164383562</v>
      </c>
      <c r="J56">
        <f t="shared" ca="1" si="4"/>
        <v>1.0054356164383562</v>
      </c>
      <c r="K56">
        <f ca="1">PRODUCT($J$3:J56)</f>
        <v>1.3293653090996786</v>
      </c>
      <c r="L56">
        <f t="shared" ca="1" si="5"/>
        <v>0.75223867597181138</v>
      </c>
      <c r="M56">
        <f ca="1">SUM($L$3:L56)</f>
        <v>46.929728112674205</v>
      </c>
      <c r="O56">
        <f ca="1">(Q55*Arkusz1!J56)-Q55</f>
        <v>4237.0604244915303</v>
      </c>
      <c r="P56" s="16">
        <f t="shared" ca="1" si="6"/>
        <v>9632.1004478482009</v>
      </c>
      <c r="Q56" s="17">
        <f t="shared" ca="1" si="7"/>
        <v>769867.42321111145</v>
      </c>
    </row>
    <row r="57" spans="1:17" x14ac:dyDescent="0.35">
      <c r="A57">
        <v>55</v>
      </c>
      <c r="B57" s="14">
        <f t="shared" ca="1" si="8"/>
        <v>47743</v>
      </c>
      <c r="C57" s="15">
        <f ca="1">(1+'Symulacja Pożyczka'!$B$7*(Arkusz1!B57-Arkusz1!B56)/365)</f>
        <v>1.0054356164383562</v>
      </c>
      <c r="D57" s="15">
        <f ca="1">(1+'Symulacja Pożyczka'!$B$7*(Arkusz1!B57-Arkusz1!B56)/366)</f>
        <v>1.0054207650273224</v>
      </c>
      <c r="E57" s="15">
        <f t="shared" ca="1" si="0"/>
        <v>0</v>
      </c>
      <c r="F57" s="15">
        <f t="shared" ca="1" si="1"/>
        <v>0</v>
      </c>
      <c r="G57">
        <f ca="1">IF(E57=1,(1+'Symulacja Pożyczka'!$B$7*(((Arkusz1!B57-DATE(YEAR(B57),1,1)+1)/365)+((DATE(YEAR(B56),12,31)-Arkusz1!B56)/366))),IF(F57=1,(1+'Symulacja Pożyczka'!$B$7*(((Arkusz1!B57-DATE(YEAR(B57),1,1)+1)/366)+((DATE(YEAR(B56),12,31)-Arkusz1!B56)/365))),0))</f>
        <v>0</v>
      </c>
      <c r="H57">
        <f t="shared" ca="1" si="2"/>
        <v>0</v>
      </c>
      <c r="I57">
        <f t="shared" ca="1" si="3"/>
        <v>1.0054356164383562</v>
      </c>
      <c r="J57">
        <f t="shared" ca="1" si="4"/>
        <v>1.0054356164383562</v>
      </c>
      <c r="K57">
        <f ca="1">PRODUCT($J$3:J57)</f>
        <v>1.3365912290264013</v>
      </c>
      <c r="L57">
        <f t="shared" ca="1" si="5"/>
        <v>0.74817190049078741</v>
      </c>
      <c r="M57">
        <f ca="1">SUM($L$3:L57)</f>
        <v>47.677900013164994</v>
      </c>
      <c r="O57">
        <f ca="1">(Q56*Arkusz1!J57)-Q56</f>
        <v>4184.7040209613042</v>
      </c>
      <c r="P57" s="16">
        <f t="shared" ca="1" si="6"/>
        <v>9684.456851378427</v>
      </c>
      <c r="Q57" s="17">
        <f t="shared" ca="1" si="7"/>
        <v>760182.96635973302</v>
      </c>
    </row>
    <row r="58" spans="1:17" x14ac:dyDescent="0.35">
      <c r="A58">
        <v>56</v>
      </c>
      <c r="B58" s="14">
        <f t="shared" ca="1" si="8"/>
        <v>47773</v>
      </c>
      <c r="C58" s="15">
        <f ca="1">(1+'Symulacja Pożyczka'!$B$7*(Arkusz1!B58-Arkusz1!B57)/365)</f>
        <v>1.0052602739726026</v>
      </c>
      <c r="D58" s="15">
        <f ca="1">(1+'Symulacja Pożyczka'!$B$7*(Arkusz1!B58-Arkusz1!B57)/366)</f>
        <v>1.0052459016393442</v>
      </c>
      <c r="E58" s="15">
        <f t="shared" ca="1" si="0"/>
        <v>0</v>
      </c>
      <c r="F58" s="15">
        <f t="shared" ca="1" si="1"/>
        <v>0</v>
      </c>
      <c r="G58">
        <f ca="1">IF(E58=1,(1+'Symulacja Pożyczka'!$B$7*(((Arkusz1!B58-DATE(YEAR(B58),1,1)+1)/365)+((DATE(YEAR(B57),12,31)-Arkusz1!B57)/366))),IF(F58=1,(1+'Symulacja Pożyczka'!$B$7*(((Arkusz1!B58-DATE(YEAR(B58),1,1)+1)/366)+((DATE(YEAR(B57),12,31)-Arkusz1!B57)/365))),0))</f>
        <v>0</v>
      </c>
      <c r="H58">
        <f t="shared" ca="1" si="2"/>
        <v>0</v>
      </c>
      <c r="I58">
        <f t="shared" ca="1" si="3"/>
        <v>1.0052602739726026</v>
      </c>
      <c r="J58">
        <f t="shared" ca="1" si="4"/>
        <v>1.0052602739726026</v>
      </c>
      <c r="K58">
        <f ca="1">PRODUCT($J$3:J58)</f>
        <v>1.3436220650804578</v>
      </c>
      <c r="L58">
        <f t="shared" ca="1" si="5"/>
        <v>0.74425690526310218</v>
      </c>
      <c r="M58">
        <f ca="1">SUM($L$3:L58)</f>
        <v>48.422156918428094</v>
      </c>
      <c r="O58">
        <f ca="1">(Q57*Arkusz1!J58)-Q57</f>
        <v>3998.7706723579904</v>
      </c>
      <c r="P58" s="16">
        <f t="shared" ca="1" si="6"/>
        <v>9870.3901999817408</v>
      </c>
      <c r="Q58" s="17">
        <f t="shared" ca="1" si="7"/>
        <v>750312.57615975128</v>
      </c>
    </row>
    <row r="59" spans="1:17" x14ac:dyDescent="0.35">
      <c r="A59">
        <v>57</v>
      </c>
      <c r="B59" s="14">
        <f t="shared" ca="1" si="8"/>
        <v>47804</v>
      </c>
      <c r="C59" s="15">
        <f ca="1">(1+'Symulacja Pożyczka'!$B$7*(Arkusz1!B59-Arkusz1!B58)/365)</f>
        <v>1.0054356164383562</v>
      </c>
      <c r="D59" s="15">
        <f ca="1">(1+'Symulacja Pożyczka'!$B$7*(Arkusz1!B59-Arkusz1!B58)/366)</f>
        <v>1.0054207650273224</v>
      </c>
      <c r="E59" s="15">
        <f t="shared" ca="1" si="0"/>
        <v>0</v>
      </c>
      <c r="F59" s="15">
        <f t="shared" ca="1" si="1"/>
        <v>0</v>
      </c>
      <c r="G59">
        <f ca="1">IF(E59=1,(1+'Symulacja Pożyczka'!$B$7*(((Arkusz1!B59-DATE(YEAR(B59),1,1)+1)/365)+((DATE(YEAR(B58),12,31)-Arkusz1!B58)/366))),IF(F59=1,(1+'Symulacja Pożyczka'!$B$7*(((Arkusz1!B59-DATE(YEAR(B59),1,1)+1)/366)+((DATE(YEAR(B58),12,31)-Arkusz1!B58)/365))),0))</f>
        <v>0</v>
      </c>
      <c r="H59">
        <f t="shared" ca="1" si="2"/>
        <v>0</v>
      </c>
      <c r="I59">
        <f t="shared" ca="1" si="3"/>
        <v>1.0054356164383562</v>
      </c>
      <c r="J59">
        <f t="shared" ca="1" si="4"/>
        <v>1.0054356164383562</v>
      </c>
      <c r="K59">
        <f ca="1">PRODUCT($J$3:J59)</f>
        <v>1.3509254792643473</v>
      </c>
      <c r="L59">
        <f t="shared" ca="1" si="5"/>
        <v>0.74023328107228736</v>
      </c>
      <c r="M59">
        <f ca="1">SUM($L$3:L59)</f>
        <v>49.162390199500379</v>
      </c>
      <c r="O59">
        <f ca="1">(Q58*Arkusz1!J59)-Q58</f>
        <v>4078.4113728792872</v>
      </c>
      <c r="P59" s="16">
        <f t="shared" ca="1" si="6"/>
        <v>9790.749499460444</v>
      </c>
      <c r="Q59" s="17">
        <f t="shared" ca="1" si="7"/>
        <v>740521.82666029083</v>
      </c>
    </row>
    <row r="60" spans="1:17" x14ac:dyDescent="0.35">
      <c r="A60">
        <v>58</v>
      </c>
      <c r="B60" s="14">
        <f t="shared" ca="1" si="8"/>
        <v>47834</v>
      </c>
      <c r="C60" s="15">
        <f ca="1">(1+'Symulacja Pożyczka'!$B$7*(Arkusz1!B60-Arkusz1!B59)/365)</f>
        <v>1.0052602739726026</v>
      </c>
      <c r="D60" s="15">
        <f ca="1">(1+'Symulacja Pożyczka'!$B$7*(Arkusz1!B60-Arkusz1!B59)/366)</f>
        <v>1.0052459016393442</v>
      </c>
      <c r="E60" s="15">
        <f t="shared" ca="1" si="0"/>
        <v>0</v>
      </c>
      <c r="F60" s="15">
        <f t="shared" ca="1" si="1"/>
        <v>0</v>
      </c>
      <c r="G60">
        <f ca="1">IF(E60=1,(1+'Symulacja Pożyczka'!$B$7*(((Arkusz1!B60-DATE(YEAR(B60),1,1)+1)/365)+((DATE(YEAR(B59),12,31)-Arkusz1!B59)/366))),IF(F60=1,(1+'Symulacja Pożyczka'!$B$7*(((Arkusz1!B60-DATE(YEAR(B60),1,1)+1)/366)+((DATE(YEAR(B59),12,31)-Arkusz1!B59)/365))),0))</f>
        <v>0</v>
      </c>
      <c r="H60">
        <f t="shared" ca="1" si="2"/>
        <v>0</v>
      </c>
      <c r="I60">
        <f t="shared" ca="1" si="3"/>
        <v>1.0052602739726026</v>
      </c>
      <c r="J60">
        <f t="shared" ca="1" si="4"/>
        <v>1.0052602739726026</v>
      </c>
      <c r="K60">
        <f ca="1">PRODUCT($J$3:J60)</f>
        <v>1.3580317174018472</v>
      </c>
      <c r="L60">
        <f t="shared" ca="1" si="5"/>
        <v>0.73635982664173361</v>
      </c>
      <c r="M60">
        <f ca="1">SUM($L$3:L60)</f>
        <v>49.89875002614211</v>
      </c>
      <c r="O60">
        <f ca="1">(Q59*Arkusz1!J60)-Q59</f>
        <v>3895.3476909253513</v>
      </c>
      <c r="P60" s="16">
        <f t="shared" ca="1" si="6"/>
        <v>9973.8131814143799</v>
      </c>
      <c r="Q60" s="17">
        <f t="shared" ca="1" si="7"/>
        <v>730548.01347887644</v>
      </c>
    </row>
    <row r="61" spans="1:17" x14ac:dyDescent="0.35">
      <c r="A61">
        <v>59</v>
      </c>
      <c r="B61" s="14">
        <f t="shared" ca="1" si="8"/>
        <v>47865</v>
      </c>
      <c r="C61" s="15">
        <f ca="1">(1+'Symulacja Pożyczka'!$B$7*(Arkusz1!B61-Arkusz1!B60)/365)</f>
        <v>1.0054356164383562</v>
      </c>
      <c r="D61" s="15">
        <f ca="1">(1+'Symulacja Pożyczka'!$B$7*(Arkusz1!B61-Arkusz1!B60)/366)</f>
        <v>1.0054207650273224</v>
      </c>
      <c r="E61" s="15">
        <f t="shared" ca="1" si="0"/>
        <v>0</v>
      </c>
      <c r="F61" s="15">
        <f t="shared" ca="1" si="1"/>
        <v>0</v>
      </c>
      <c r="G61">
        <f ca="1">IF(E61=1,(1+'Symulacja Pożyczka'!$B$7*(((Arkusz1!B61-DATE(YEAR(B61),1,1)+1)/365)+((DATE(YEAR(B60),12,31)-Arkusz1!B60)/366))),IF(F61=1,(1+'Symulacja Pożyczka'!$B$7*(((Arkusz1!B61-DATE(YEAR(B61),1,1)+1)/366)+((DATE(YEAR(B60),12,31)-Arkusz1!B60)/365))),0))</f>
        <v>0</v>
      </c>
      <c r="H61">
        <f t="shared" ca="1" si="2"/>
        <v>0</v>
      </c>
      <c r="I61">
        <f t="shared" ca="1" si="3"/>
        <v>1.0054356164383562</v>
      </c>
      <c r="J61">
        <f t="shared" ca="1" si="4"/>
        <v>1.0054356164383562</v>
      </c>
      <c r="K61">
        <f ca="1">PRODUCT($J$3:J61)</f>
        <v>1.3654134569287659</v>
      </c>
      <c r="L61">
        <f t="shared" ca="1" si="5"/>
        <v>0.73237889587620375</v>
      </c>
      <c r="M61">
        <f ca="1">SUM($L$3:L61)</f>
        <v>50.631128922018313</v>
      </c>
      <c r="O61">
        <f ca="1">(Q60*Arkusz1!J61)-Q60</f>
        <v>3970.9787910742452</v>
      </c>
      <c r="P61" s="16">
        <f t="shared" ca="1" si="6"/>
        <v>9898.182081265486</v>
      </c>
      <c r="Q61" s="17">
        <f t="shared" ca="1" si="7"/>
        <v>720649.83139761095</v>
      </c>
    </row>
    <row r="62" spans="1:17" x14ac:dyDescent="0.35">
      <c r="A62">
        <v>60</v>
      </c>
      <c r="B62" s="14">
        <f t="shared" ca="1" si="8"/>
        <v>47896</v>
      </c>
      <c r="C62" s="15">
        <f ca="1">(1+'Symulacja Pożyczka'!$B$7*(Arkusz1!B62-Arkusz1!B61)/365)</f>
        <v>1.0054356164383562</v>
      </c>
      <c r="D62" s="15">
        <f ca="1">(1+'Symulacja Pożyczka'!$B$7*(Arkusz1!B62-Arkusz1!B61)/366)</f>
        <v>1.0054207650273224</v>
      </c>
      <c r="E62" s="15">
        <f t="shared" ca="1" si="0"/>
        <v>0</v>
      </c>
      <c r="F62" s="15">
        <f t="shared" ca="1" si="1"/>
        <v>0</v>
      </c>
      <c r="G62">
        <f ca="1">IF(E62=1,(1+'Symulacja Pożyczka'!$B$7*(((Arkusz1!B62-DATE(YEAR(B62),1,1)+1)/365)+((DATE(YEAR(B61),12,31)-Arkusz1!B61)/366))),IF(F62=1,(1+'Symulacja Pożyczka'!$B$7*(((Arkusz1!B62-DATE(YEAR(B62),1,1)+1)/366)+((DATE(YEAR(B61),12,31)-Arkusz1!B61)/365))),0))</f>
        <v>0</v>
      </c>
      <c r="H62">
        <f t="shared" ca="1" si="2"/>
        <v>0</v>
      </c>
      <c r="I62">
        <f t="shared" ca="1" si="3"/>
        <v>1.0054356164383562</v>
      </c>
      <c r="J62">
        <f t="shared" ca="1" si="4"/>
        <v>1.0054356164383562</v>
      </c>
      <c r="K62">
        <f ca="1">PRODUCT($J$3:J62)</f>
        <v>1.3728353207604007</v>
      </c>
      <c r="L62">
        <f t="shared" ca="1" si="5"/>
        <v>0.72841948693897918</v>
      </c>
      <c r="M62">
        <f ca="1">SUM($L$3:L62)</f>
        <v>51.359548408957295</v>
      </c>
      <c r="O62">
        <f ca="1">(Q61*Arkusz1!J62)-Q61</f>
        <v>3917.1760698434664</v>
      </c>
      <c r="P62" s="16">
        <f t="shared" ca="1" si="6"/>
        <v>9951.9848024962648</v>
      </c>
      <c r="Q62" s="17">
        <f t="shared" ca="1" si="7"/>
        <v>710697.84659511468</v>
      </c>
    </row>
    <row r="63" spans="1:17" x14ac:dyDescent="0.35">
      <c r="A63">
        <v>61</v>
      </c>
      <c r="B63" s="14">
        <f t="shared" ca="1" si="8"/>
        <v>47924</v>
      </c>
      <c r="C63" s="15">
        <f ca="1">(1+'Symulacja Pożyczka'!$B$7*(Arkusz1!B63-Arkusz1!B62)/365)</f>
        <v>1.004909589041096</v>
      </c>
      <c r="D63" s="15">
        <f ca="1">(1+'Symulacja Pożyczka'!$B$7*(Arkusz1!B63-Arkusz1!B62)/366)</f>
        <v>1.004896174863388</v>
      </c>
      <c r="E63" s="15">
        <f t="shared" ca="1" si="0"/>
        <v>0</v>
      </c>
      <c r="F63" s="15">
        <f t="shared" ca="1" si="1"/>
        <v>0</v>
      </c>
      <c r="G63">
        <f ca="1">IF(E63=1,(1+'Symulacja Pożyczka'!$B$7*(((Arkusz1!B63-DATE(YEAR(B63),1,1)+1)/365)+((DATE(YEAR(B62),12,31)-Arkusz1!B62)/366))),IF(F63=1,(1+'Symulacja Pożyczka'!$B$7*(((Arkusz1!B63-DATE(YEAR(B63),1,1)+1)/366)+((DATE(YEAR(B62),12,31)-Arkusz1!B62)/365))),0))</f>
        <v>0</v>
      </c>
      <c r="H63">
        <f t="shared" ca="1" si="2"/>
        <v>0</v>
      </c>
      <c r="I63">
        <f t="shared" ca="1" si="3"/>
        <v>1.004909589041096</v>
      </c>
      <c r="J63">
        <f t="shared" ca="1" si="4"/>
        <v>1.004909589041096</v>
      </c>
      <c r="K63">
        <f ca="1">PRODUCT($J$3:J63)</f>
        <v>1.3795753780064355</v>
      </c>
      <c r="L63">
        <f t="shared" ca="1" si="5"/>
        <v>0.72486071869813784</v>
      </c>
      <c r="M63">
        <f ca="1">SUM($L$3:L63)</f>
        <v>52.084409127655434</v>
      </c>
      <c r="O63">
        <f ca="1">(Q62*Arkusz1!J63)-Q62</f>
        <v>3489.2343591739191</v>
      </c>
      <c r="P63" s="16">
        <f t="shared" ca="1" si="6"/>
        <v>10379.926513165812</v>
      </c>
      <c r="Q63" s="17">
        <f t="shared" ca="1" si="7"/>
        <v>700317.92008194886</v>
      </c>
    </row>
    <row r="64" spans="1:17" x14ac:dyDescent="0.35">
      <c r="A64">
        <v>62</v>
      </c>
      <c r="B64" s="14">
        <f t="shared" ca="1" si="8"/>
        <v>47955</v>
      </c>
      <c r="C64" s="15">
        <f ca="1">(1+'Symulacja Pożyczka'!$B$7*(Arkusz1!B64-Arkusz1!B63)/365)</f>
        <v>1.0054356164383562</v>
      </c>
      <c r="D64" s="15">
        <f ca="1">(1+'Symulacja Pożyczka'!$B$7*(Arkusz1!B64-Arkusz1!B63)/366)</f>
        <v>1.0054207650273224</v>
      </c>
      <c r="E64" s="15">
        <f t="shared" ca="1" si="0"/>
        <v>0</v>
      </c>
      <c r="F64" s="15">
        <f t="shared" ca="1" si="1"/>
        <v>0</v>
      </c>
      <c r="G64">
        <f ca="1">IF(E64=1,(1+'Symulacja Pożyczka'!$B$7*(((Arkusz1!B64-DATE(YEAR(B64),1,1)+1)/365)+((DATE(YEAR(B63),12,31)-Arkusz1!B63)/366))),IF(F64=1,(1+'Symulacja Pożyczka'!$B$7*(((Arkusz1!B64-DATE(YEAR(B64),1,1)+1)/366)+((DATE(YEAR(B63),12,31)-Arkusz1!B63)/365))),0))</f>
        <v>0</v>
      </c>
      <c r="H64">
        <f t="shared" ca="1" si="2"/>
        <v>0</v>
      </c>
      <c r="I64">
        <f t="shared" ca="1" si="3"/>
        <v>1.0054356164383562</v>
      </c>
      <c r="J64">
        <f t="shared" ca="1" si="4"/>
        <v>1.0054356164383562</v>
      </c>
      <c r="K64">
        <f ca="1">PRODUCT($J$3:J64)</f>
        <v>1.3870742206090787</v>
      </c>
      <c r="L64">
        <f t="shared" ca="1" si="5"/>
        <v>0.72094195475775591</v>
      </c>
      <c r="M64">
        <f ca="1">SUM($L$3:L64)</f>
        <v>52.805351082413189</v>
      </c>
      <c r="O64">
        <f ca="1">(Q63*Arkusz1!J64)-Q63</f>
        <v>3806.6595984728774</v>
      </c>
      <c r="P64" s="16">
        <f t="shared" ca="1" si="6"/>
        <v>10062.501273866854</v>
      </c>
      <c r="Q64" s="17">
        <f t="shared" ca="1" si="7"/>
        <v>690255.418808082</v>
      </c>
    </row>
    <row r="65" spans="1:17" x14ac:dyDescent="0.35">
      <c r="A65">
        <v>63</v>
      </c>
      <c r="B65" s="14">
        <f t="shared" ca="1" si="8"/>
        <v>47985</v>
      </c>
      <c r="C65" s="15">
        <f ca="1">(1+'Symulacja Pożyczka'!$B$7*(Arkusz1!B65-Arkusz1!B64)/365)</f>
        <v>1.0052602739726026</v>
      </c>
      <c r="D65" s="15">
        <f ca="1">(1+'Symulacja Pożyczka'!$B$7*(Arkusz1!B65-Arkusz1!B64)/366)</f>
        <v>1.0052459016393442</v>
      </c>
      <c r="E65" s="15">
        <f t="shared" ca="1" si="0"/>
        <v>0</v>
      </c>
      <c r="F65" s="15">
        <f t="shared" ca="1" si="1"/>
        <v>0</v>
      </c>
      <c r="G65">
        <f ca="1">IF(E65=1,(1+'Symulacja Pożyczka'!$B$7*(((Arkusz1!B65-DATE(YEAR(B65),1,1)+1)/365)+((DATE(YEAR(B64),12,31)-Arkusz1!B64)/366))),IF(F65=1,(1+'Symulacja Pożyczka'!$B$7*(((Arkusz1!B65-DATE(YEAR(B65),1,1)+1)/366)+((DATE(YEAR(B64),12,31)-Arkusz1!B64)/365))),0))</f>
        <v>0</v>
      </c>
      <c r="H65">
        <f t="shared" ca="1" si="2"/>
        <v>0</v>
      </c>
      <c r="I65">
        <f t="shared" ca="1" si="3"/>
        <v>1.0052602739726026</v>
      </c>
      <c r="J65">
        <f t="shared" ca="1" si="4"/>
        <v>1.0052602739726026</v>
      </c>
      <c r="K65">
        <f ca="1">PRODUCT($J$3:J65)</f>
        <v>1.3943706110298166</v>
      </c>
      <c r="L65">
        <f t="shared" ca="1" si="5"/>
        <v>0.71716944698185148</v>
      </c>
      <c r="M65">
        <f ca="1">SUM($L$3:L65)</f>
        <v>53.522520529395038</v>
      </c>
      <c r="O65">
        <f ca="1">(Q64*Arkusz1!J65)-Q64</f>
        <v>3630.932614004123</v>
      </c>
      <c r="P65" s="16">
        <f t="shared" ca="1" si="6"/>
        <v>10238.228258335608</v>
      </c>
      <c r="Q65" s="17">
        <f t="shared" ca="1" si="7"/>
        <v>680017.19054974639</v>
      </c>
    </row>
    <row r="66" spans="1:17" x14ac:dyDescent="0.35">
      <c r="A66">
        <v>64</v>
      </c>
      <c r="B66" s="14">
        <f t="shared" ca="1" si="8"/>
        <v>48016</v>
      </c>
      <c r="C66" s="15">
        <f ca="1">(1+'Symulacja Pożyczka'!$B$7*(Arkusz1!B66-Arkusz1!B65)/365)</f>
        <v>1.0054356164383562</v>
      </c>
      <c r="D66" s="15">
        <f ca="1">(1+'Symulacja Pożyczka'!$B$7*(Arkusz1!B66-Arkusz1!B65)/366)</f>
        <v>1.0054207650273224</v>
      </c>
      <c r="E66" s="15">
        <f t="shared" ca="1" si="0"/>
        <v>0</v>
      </c>
      <c r="F66" s="15">
        <f t="shared" ca="1" si="1"/>
        <v>0</v>
      </c>
      <c r="G66">
        <f ca="1">IF(E66=1,(1+'Symulacja Pożyczka'!$B$7*(((Arkusz1!B66-DATE(YEAR(B66),1,1)+1)/365)+((DATE(YEAR(B65),12,31)-Arkusz1!B65)/366))),IF(F66=1,(1+'Symulacja Pożyczka'!$B$7*(((Arkusz1!B66-DATE(YEAR(B66),1,1)+1)/366)+((DATE(YEAR(B65),12,31)-Arkusz1!B65)/365))),0))</f>
        <v>0</v>
      </c>
      <c r="H66">
        <f t="shared" ca="1" si="2"/>
        <v>0</v>
      </c>
      <c r="I66">
        <f t="shared" ca="1" si="3"/>
        <v>1.0054356164383562</v>
      </c>
      <c r="J66">
        <f t="shared" ca="1" si="4"/>
        <v>1.0054356164383562</v>
      </c>
      <c r="K66">
        <f ca="1">PRODUCT($J$3:J66)</f>
        <v>1.4019498748442911</v>
      </c>
      <c r="L66">
        <f t="shared" ca="1" si="5"/>
        <v>0.71329226382723987</v>
      </c>
      <c r="M66">
        <f ca="1">SUM($L$3:L66)</f>
        <v>54.23581279322228</v>
      </c>
      <c r="O66">
        <f ca="1">(Q65*Arkusz1!J66)-Q65</f>
        <v>3696.3126193169737</v>
      </c>
      <c r="P66" s="16">
        <f t="shared" ca="1" si="6"/>
        <v>10172.848253022757</v>
      </c>
      <c r="Q66" s="17">
        <f t="shared" ca="1" si="7"/>
        <v>669844.34229672363</v>
      </c>
    </row>
    <row r="67" spans="1:17" x14ac:dyDescent="0.35">
      <c r="A67">
        <v>65</v>
      </c>
      <c r="B67" s="14">
        <f t="shared" ca="1" si="8"/>
        <v>48046</v>
      </c>
      <c r="C67" s="15">
        <f ca="1">(1+'Symulacja Pożyczka'!$B$7*(Arkusz1!B67-Arkusz1!B66)/365)</f>
        <v>1.0052602739726026</v>
      </c>
      <c r="D67" s="15">
        <f ca="1">(1+'Symulacja Pożyczka'!$B$7*(Arkusz1!B67-Arkusz1!B66)/366)</f>
        <v>1.0052459016393442</v>
      </c>
      <c r="E67" s="15">
        <f t="shared" ca="1" si="0"/>
        <v>0</v>
      </c>
      <c r="F67" s="15">
        <f t="shared" ca="1" si="1"/>
        <v>0</v>
      </c>
      <c r="G67">
        <f ca="1">IF(E67=1,(1+'Symulacja Pożyczka'!$B$7*(((Arkusz1!B67-DATE(YEAR(B67),1,1)+1)/365)+((DATE(YEAR(B66),12,31)-Arkusz1!B66)/366))),IF(F67=1,(1+'Symulacja Pożyczka'!$B$7*(((Arkusz1!B67-DATE(YEAR(B67),1,1)+1)/366)+((DATE(YEAR(B66),12,31)-Arkusz1!B66)/365))),0))</f>
        <v>0</v>
      </c>
      <c r="H67">
        <f t="shared" ca="1" si="2"/>
        <v>0</v>
      </c>
      <c r="I67">
        <f t="shared" ca="1" si="3"/>
        <v>1.0052602739726026</v>
      </c>
      <c r="J67">
        <f t="shared" ca="1" si="4"/>
        <v>1.0052602739726026</v>
      </c>
      <c r="K67">
        <f ca="1">PRODUCT($J$3:J67)</f>
        <v>1.4093245152818281</v>
      </c>
      <c r="L67">
        <f t="shared" ca="1" si="5"/>
        <v>0.70955978495841754</v>
      </c>
      <c r="M67">
        <f ca="1">SUM($L$3:L67)</f>
        <v>54.945372578180695</v>
      </c>
      <c r="O67">
        <f ca="1">(Q66*Arkusz1!J67)-Q66</f>
        <v>3523.5647594785551</v>
      </c>
      <c r="P67" s="16">
        <f t="shared" ca="1" si="6"/>
        <v>10345.596112861176</v>
      </c>
      <c r="Q67" s="17">
        <f t="shared" ca="1" si="7"/>
        <v>659498.74618386244</v>
      </c>
    </row>
    <row r="68" spans="1:17" x14ac:dyDescent="0.35">
      <c r="A68">
        <v>66</v>
      </c>
      <c r="B68" s="14">
        <f t="shared" ca="1" si="8"/>
        <v>48077</v>
      </c>
      <c r="C68" s="15">
        <f ca="1">(1+'Symulacja Pożyczka'!$B$7*(Arkusz1!B68-Arkusz1!B67)/365)</f>
        <v>1.0054356164383562</v>
      </c>
      <c r="D68" s="15">
        <f ca="1">(1+'Symulacja Pożyczka'!$B$7*(Arkusz1!B68-Arkusz1!B67)/366)</f>
        <v>1.0054207650273224</v>
      </c>
      <c r="E68" s="15">
        <f t="shared" ref="E68:E131" ca="1" si="9">IF(AND(MOD(YEAR(B67),4)=0,MOD(YEAR(B68),4)&lt;&gt;0),1,0)</f>
        <v>0</v>
      </c>
      <c r="F68" s="15">
        <f t="shared" ref="F68:F131" ca="1" si="10">IF(AND(MOD(YEAR(B68),4)=0,MOD(YEAR(B67),4)&lt;&gt;0),1,0)</f>
        <v>0</v>
      </c>
      <c r="G68">
        <f ca="1">IF(E68=1,(1+'Symulacja Pożyczka'!$B$7*(((Arkusz1!B68-DATE(YEAR(B68),1,1)+1)/365)+((DATE(YEAR(B67),12,31)-Arkusz1!B67)/366))),IF(F68=1,(1+'Symulacja Pożyczka'!$B$7*(((Arkusz1!B68-DATE(YEAR(B68),1,1)+1)/366)+((DATE(YEAR(B67),12,31)-Arkusz1!B67)/365))),0))</f>
        <v>0</v>
      </c>
      <c r="H68">
        <f t="shared" ref="H68:H131" ca="1" si="11">IF(MOD(YEAR(B68),4)=0,1,0)</f>
        <v>0</v>
      </c>
      <c r="I68">
        <f t="shared" ref="I68:I131" ca="1" si="12">IF(H68=0,C68,IF(H68=1,D68,"blad"))</f>
        <v>1.0054356164383562</v>
      </c>
      <c r="J68">
        <f t="shared" ref="J68:J131" ca="1" si="13">IF(OR(E68=1,F68=1),G68,I68)</f>
        <v>1.0054356164383562</v>
      </c>
      <c r="K68">
        <f ca="1">PRODUCT($J$3:J68)</f>
        <v>1.4169850627840723</v>
      </c>
      <c r="L68">
        <f t="shared" ref="L68:L131" ca="1" si="14">1/K68</f>
        <v>0.70572374138878646</v>
      </c>
      <c r="M68">
        <f ca="1">SUM($L$3:L68)</f>
        <v>55.651096319569483</v>
      </c>
      <c r="O68">
        <f ca="1">(Q67*Arkusz1!J68)-Q67</f>
        <v>3584.7822258323431</v>
      </c>
      <c r="P68" s="16">
        <f t="shared" ca="1" si="6"/>
        <v>10284.378646507388</v>
      </c>
      <c r="Q68" s="17">
        <f t="shared" ca="1" si="7"/>
        <v>649214.36753735505</v>
      </c>
    </row>
    <row r="69" spans="1:17" x14ac:dyDescent="0.35">
      <c r="A69">
        <v>67</v>
      </c>
      <c r="B69" s="14">
        <f t="shared" ca="1" si="8"/>
        <v>48108</v>
      </c>
      <c r="C69" s="15">
        <f ca="1">(1+'Symulacja Pożyczka'!$B$7*(Arkusz1!B69-Arkusz1!B68)/365)</f>
        <v>1.0054356164383562</v>
      </c>
      <c r="D69" s="15">
        <f ca="1">(1+'Symulacja Pożyczka'!$B$7*(Arkusz1!B69-Arkusz1!B68)/366)</f>
        <v>1.0054207650273224</v>
      </c>
      <c r="E69" s="15">
        <f t="shared" ca="1" si="9"/>
        <v>0</v>
      </c>
      <c r="F69" s="15">
        <f t="shared" ca="1" si="10"/>
        <v>0</v>
      </c>
      <c r="G69">
        <f ca="1">IF(E69=1,(1+'Symulacja Pożyczka'!$B$7*(((Arkusz1!B69-DATE(YEAR(B69),1,1)+1)/365)+((DATE(YEAR(B68),12,31)-Arkusz1!B68)/366))),IF(F69=1,(1+'Symulacja Pożyczka'!$B$7*(((Arkusz1!B69-DATE(YEAR(B69),1,1)+1)/366)+((DATE(YEAR(B68),12,31)-Arkusz1!B68)/365))),0))</f>
        <v>0</v>
      </c>
      <c r="H69">
        <f t="shared" ca="1" si="11"/>
        <v>0</v>
      </c>
      <c r="I69">
        <f t="shared" ca="1" si="12"/>
        <v>1.0054356164383562</v>
      </c>
      <c r="J69">
        <f t="shared" ca="1" si="13"/>
        <v>1.0054356164383562</v>
      </c>
      <c r="K69">
        <f ca="1">PRODUCT($J$3:J69)</f>
        <v>1.4246872500842467</v>
      </c>
      <c r="L69">
        <f t="shared" ca="1" si="14"/>
        <v>0.7019084363539202</v>
      </c>
      <c r="M69">
        <f ca="1">SUM($L$3:L69)</f>
        <v>56.353004755923401</v>
      </c>
      <c r="O69">
        <f ca="1">(Q68*Arkusz1!J69)-Q68</f>
        <v>3528.8802882031305</v>
      </c>
      <c r="P69" s="16">
        <f t="shared" ref="P69:P132" ca="1" si="15">$N$2-O69</f>
        <v>10340.280584136601</v>
      </c>
      <c r="Q69" s="17">
        <f t="shared" ref="Q69:Q132" ca="1" si="16">Q68-P69</f>
        <v>638874.08695321844</v>
      </c>
    </row>
    <row r="70" spans="1:17" x14ac:dyDescent="0.35">
      <c r="A70">
        <v>68</v>
      </c>
      <c r="B70" s="14">
        <f t="shared" ref="B70:B133" ca="1" si="17">DATE(YEAR((B69)),MONTH((B69))+1,IF(AND(DAY(B69)&gt;28,MONTH((B69))+1=2),IF(MOD(YEAR(B69),4)=0,29,28),IF(AND(OR(DAY(B69)=28,DAY(B69)=29),MONTH((B69))=2),DAY(B68),DAY(B69))))</f>
        <v>48138</v>
      </c>
      <c r="C70" s="15">
        <f ca="1">(1+'Symulacja Pożyczka'!$B$7*(Arkusz1!B70-Arkusz1!B69)/365)</f>
        <v>1.0052602739726026</v>
      </c>
      <c r="D70" s="15">
        <f ca="1">(1+'Symulacja Pożyczka'!$B$7*(Arkusz1!B70-Arkusz1!B69)/366)</f>
        <v>1.0052459016393442</v>
      </c>
      <c r="E70" s="15">
        <f t="shared" ca="1" si="9"/>
        <v>0</v>
      </c>
      <c r="F70" s="15">
        <f t="shared" ca="1" si="10"/>
        <v>0</v>
      </c>
      <c r="G70">
        <f ca="1">IF(E70=1,(1+'Symulacja Pożyczka'!$B$7*(((Arkusz1!B70-DATE(YEAR(B70),1,1)+1)/365)+((DATE(YEAR(B69),12,31)-Arkusz1!B69)/366))),IF(F70=1,(1+'Symulacja Pożyczka'!$B$7*(((Arkusz1!B70-DATE(YEAR(B70),1,1)+1)/366)+((DATE(YEAR(B69),12,31)-Arkusz1!B69)/365))),0))</f>
        <v>0</v>
      </c>
      <c r="H70">
        <f t="shared" ca="1" si="11"/>
        <v>0</v>
      </c>
      <c r="I70">
        <f t="shared" ca="1" si="12"/>
        <v>1.0052602739726026</v>
      </c>
      <c r="J70">
        <f t="shared" ca="1" si="13"/>
        <v>1.0052602739726026</v>
      </c>
      <c r="K70">
        <f ca="1">PRODUCT($J$3:J70)</f>
        <v>1.4321814953449636</v>
      </c>
      <c r="L70">
        <f t="shared" ca="1" si="14"/>
        <v>0.69823552618876294</v>
      </c>
      <c r="M70">
        <f ca="1">SUM($L$3:L70)</f>
        <v>57.051240282112161</v>
      </c>
      <c r="O70">
        <f ca="1">(Q69*Arkusz1!J70)-Q69</f>
        <v>3360.6527313702973</v>
      </c>
      <c r="P70" s="16">
        <f t="shared" ca="1" si="15"/>
        <v>10508.508140969434</v>
      </c>
      <c r="Q70" s="17">
        <f t="shared" ca="1" si="16"/>
        <v>628365.578812249</v>
      </c>
    </row>
    <row r="71" spans="1:17" x14ac:dyDescent="0.35">
      <c r="A71">
        <v>69</v>
      </c>
      <c r="B71" s="14">
        <f t="shared" ca="1" si="17"/>
        <v>48169</v>
      </c>
      <c r="C71" s="15">
        <f ca="1">(1+'Symulacja Pożyczka'!$B$7*(Arkusz1!B71-Arkusz1!B70)/365)</f>
        <v>1.0054356164383562</v>
      </c>
      <c r="D71" s="15">
        <f ca="1">(1+'Symulacja Pożyczka'!$B$7*(Arkusz1!B71-Arkusz1!B70)/366)</f>
        <v>1.0054207650273224</v>
      </c>
      <c r="E71" s="15">
        <f t="shared" ca="1" si="9"/>
        <v>0</v>
      </c>
      <c r="F71" s="15">
        <f t="shared" ca="1" si="10"/>
        <v>0</v>
      </c>
      <c r="G71">
        <f ca="1">IF(E71=1,(1+'Symulacja Pożyczka'!$B$7*(((Arkusz1!B71-DATE(YEAR(B71),1,1)+1)/365)+((DATE(YEAR(B70),12,31)-Arkusz1!B70)/366))),IF(F71=1,(1+'Symulacja Pożyczka'!$B$7*(((Arkusz1!B71-DATE(YEAR(B71),1,1)+1)/366)+((DATE(YEAR(B70),12,31)-Arkusz1!B70)/365))),0))</f>
        <v>0</v>
      </c>
      <c r="H71">
        <f t="shared" ca="1" si="11"/>
        <v>0</v>
      </c>
      <c r="I71">
        <f t="shared" ca="1" si="12"/>
        <v>1.0054356164383562</v>
      </c>
      <c r="J71">
        <f t="shared" ca="1" si="13"/>
        <v>1.0054356164383562</v>
      </c>
      <c r="K71">
        <f ca="1">PRODUCT($J$3:J71)</f>
        <v>1.4399662846237704</v>
      </c>
      <c r="L71">
        <f t="shared" ca="1" si="14"/>
        <v>0.69446070416938732</v>
      </c>
      <c r="M71">
        <f ca="1">SUM($L$3:L71)</f>
        <v>57.745700986281548</v>
      </c>
      <c r="O71">
        <f ca="1">(Q70*Arkusz1!J71)-Q70</f>
        <v>3415.5542694891337</v>
      </c>
      <c r="P71" s="16">
        <f t="shared" ca="1" si="15"/>
        <v>10453.606602850597</v>
      </c>
      <c r="Q71" s="17">
        <f t="shared" ca="1" si="16"/>
        <v>617911.9722093984</v>
      </c>
    </row>
    <row r="72" spans="1:17" x14ac:dyDescent="0.35">
      <c r="A72">
        <v>70</v>
      </c>
      <c r="B72" s="14">
        <f t="shared" ca="1" si="17"/>
        <v>48199</v>
      </c>
      <c r="C72" s="15">
        <f ca="1">(1+'Symulacja Pożyczka'!$B$7*(Arkusz1!B72-Arkusz1!B71)/365)</f>
        <v>1.0052602739726026</v>
      </c>
      <c r="D72" s="15">
        <f ca="1">(1+'Symulacja Pożyczka'!$B$7*(Arkusz1!B72-Arkusz1!B71)/366)</f>
        <v>1.0052459016393442</v>
      </c>
      <c r="E72" s="15">
        <f t="shared" ca="1" si="9"/>
        <v>0</v>
      </c>
      <c r="F72" s="15">
        <f t="shared" ca="1" si="10"/>
        <v>0</v>
      </c>
      <c r="G72">
        <f ca="1">IF(E72=1,(1+'Symulacja Pożyczka'!$B$7*(((Arkusz1!B72-DATE(YEAR(B72),1,1)+1)/365)+((DATE(YEAR(B71),12,31)-Arkusz1!B71)/366))),IF(F72=1,(1+'Symulacja Pożyczka'!$B$7*(((Arkusz1!B72-DATE(YEAR(B72),1,1)+1)/366)+((DATE(YEAR(B71),12,31)-Arkusz1!B71)/365))),0))</f>
        <v>0</v>
      </c>
      <c r="H72">
        <f t="shared" ca="1" si="11"/>
        <v>0</v>
      </c>
      <c r="I72">
        <f t="shared" ca="1" si="12"/>
        <v>1.0052602739726026</v>
      </c>
      <c r="J72">
        <f t="shared" ca="1" si="13"/>
        <v>1.0052602739726026</v>
      </c>
      <c r="K72">
        <f ca="1">PRODUCT($J$3:J72)</f>
        <v>1.4475409017922021</v>
      </c>
      <c r="L72">
        <f t="shared" ca="1" si="14"/>
        <v>0.69082676611203098</v>
      </c>
      <c r="M72">
        <f ca="1">SUM($L$3:L72)</f>
        <v>58.43652775239358</v>
      </c>
      <c r="O72">
        <f ca="1">(Q71*Arkusz1!J72)-Q71</f>
        <v>3250.3862647726201</v>
      </c>
      <c r="P72" s="16">
        <f t="shared" ca="1" si="15"/>
        <v>10618.774607567111</v>
      </c>
      <c r="Q72" s="17">
        <f t="shared" ca="1" si="16"/>
        <v>607293.19760183129</v>
      </c>
    </row>
    <row r="73" spans="1:17" x14ac:dyDescent="0.35">
      <c r="A73">
        <v>71</v>
      </c>
      <c r="B73" s="14">
        <f t="shared" ca="1" si="17"/>
        <v>48230</v>
      </c>
      <c r="C73" s="15">
        <f ca="1">(1+'Symulacja Pożyczka'!$B$7*(Arkusz1!B73-Arkusz1!B72)/365)</f>
        <v>1.0054356164383562</v>
      </c>
      <c r="D73" s="15">
        <f ca="1">(1+'Symulacja Pożyczka'!$B$7*(Arkusz1!B73-Arkusz1!B72)/366)</f>
        <v>1.0054207650273224</v>
      </c>
      <c r="E73" s="15">
        <f t="shared" ca="1" si="9"/>
        <v>0</v>
      </c>
      <c r="F73" s="15">
        <f t="shared" ca="1" si="10"/>
        <v>1</v>
      </c>
      <c r="G73">
        <f ca="1">IF(E73=1,(1+'Symulacja Pożyczka'!$B$7*(((Arkusz1!B73-DATE(YEAR(B73),1,1)+1)/365)+((DATE(YEAR(B72),12,31)-Arkusz1!B72)/366))),IF(F73=1,(1+'Symulacja Pożyczka'!$B$7*(((Arkusz1!B73-DATE(YEAR(B73),1,1)+1)/366)+((DATE(YEAR(B72),12,31)-Arkusz1!B72)/365))),0))</f>
        <v>1.0054274721161764</v>
      </c>
      <c r="H73">
        <f t="shared" ca="1" si="11"/>
        <v>1</v>
      </c>
      <c r="I73">
        <f t="shared" ca="1" si="12"/>
        <v>1.0054207650273224</v>
      </c>
      <c r="J73">
        <f t="shared" ca="1" si="13"/>
        <v>1.0054274721161764</v>
      </c>
      <c r="K73">
        <f ca="1">PRODUCT($J$3:J73)</f>
        <v>1.4553973896737042</v>
      </c>
      <c r="L73">
        <f t="shared" ca="1" si="14"/>
        <v>0.68709756324641824</v>
      </c>
      <c r="M73">
        <f ca="1">SUM($L$3:L73)</f>
        <v>59.123625315639998</v>
      </c>
      <c r="O73">
        <f ca="1">(Q72*Arkusz1!J73)-Q72</f>
        <v>3296.0668963275384</v>
      </c>
      <c r="P73" s="16">
        <f t="shared" ca="1" si="15"/>
        <v>10573.093976012193</v>
      </c>
      <c r="Q73" s="17">
        <f t="shared" ca="1" si="16"/>
        <v>596720.10362581909</v>
      </c>
    </row>
    <row r="74" spans="1:17" x14ac:dyDescent="0.35">
      <c r="A74">
        <v>72</v>
      </c>
      <c r="B74" s="14">
        <f t="shared" ca="1" si="17"/>
        <v>48261</v>
      </c>
      <c r="C74" s="15">
        <f ca="1">(1+'Symulacja Pożyczka'!$B$7*(Arkusz1!B74-Arkusz1!B73)/365)</f>
        <v>1.0054356164383562</v>
      </c>
      <c r="D74" s="15">
        <f ca="1">(1+'Symulacja Pożyczka'!$B$7*(Arkusz1!B74-Arkusz1!B73)/366)</f>
        <v>1.0054207650273224</v>
      </c>
      <c r="E74" s="15">
        <f t="shared" ca="1" si="9"/>
        <v>0</v>
      </c>
      <c r="F74" s="15">
        <f t="shared" ca="1" si="10"/>
        <v>0</v>
      </c>
      <c r="G74">
        <f ca="1">IF(E74=1,(1+'Symulacja Pożyczka'!$B$7*(((Arkusz1!B74-DATE(YEAR(B74),1,1)+1)/365)+((DATE(YEAR(B73),12,31)-Arkusz1!B73)/366))),IF(F74=1,(1+'Symulacja Pożyczka'!$B$7*(((Arkusz1!B74-DATE(YEAR(B74),1,1)+1)/366)+((DATE(YEAR(B73),12,31)-Arkusz1!B73)/365))),0))</f>
        <v>0</v>
      </c>
      <c r="H74">
        <f t="shared" ca="1" si="11"/>
        <v>1</v>
      </c>
      <c r="I74">
        <f t="shared" ca="1" si="12"/>
        <v>1.0054207650273224</v>
      </c>
      <c r="J74">
        <f t="shared" ca="1" si="13"/>
        <v>1.0054207650273224</v>
      </c>
      <c r="K74">
        <f ca="1">PRODUCT($J$3:J74)</f>
        <v>1.4632867569445036</v>
      </c>
      <c r="L74">
        <f t="shared" ca="1" si="14"/>
        <v>0.68339305010051821</v>
      </c>
      <c r="M74">
        <f ca="1">SUM($L$3:L74)</f>
        <v>59.807018365740518</v>
      </c>
      <c r="O74">
        <f ca="1">(Q73*Arkusz1!J74)-Q73</f>
        <v>3234.6794688350055</v>
      </c>
      <c r="P74" s="16">
        <f t="shared" ca="1" si="15"/>
        <v>10634.481403504726</v>
      </c>
      <c r="Q74" s="17">
        <f t="shared" ca="1" si="16"/>
        <v>586085.62222231436</v>
      </c>
    </row>
    <row r="75" spans="1:17" x14ac:dyDescent="0.35">
      <c r="A75">
        <v>73</v>
      </c>
      <c r="B75" s="14">
        <f t="shared" ca="1" si="17"/>
        <v>48290</v>
      </c>
      <c r="C75" s="15">
        <f ca="1">(1+'Symulacja Pożyczka'!$B$7*(Arkusz1!B75-Arkusz1!B74)/365)</f>
        <v>1.0050849315068493</v>
      </c>
      <c r="D75" s="15">
        <f ca="1">(1+'Symulacja Pożyczka'!$B$7*(Arkusz1!B75-Arkusz1!B74)/366)</f>
        <v>1.0050710382513661</v>
      </c>
      <c r="E75" s="15">
        <f t="shared" ca="1" si="9"/>
        <v>0</v>
      </c>
      <c r="F75" s="15">
        <f t="shared" ca="1" si="10"/>
        <v>0</v>
      </c>
      <c r="G75">
        <f ca="1">IF(E75=1,(1+'Symulacja Pożyczka'!$B$7*(((Arkusz1!B75-DATE(YEAR(B75),1,1)+1)/365)+((DATE(YEAR(B74),12,31)-Arkusz1!B74)/366))),IF(F75=1,(1+'Symulacja Pożyczka'!$B$7*(((Arkusz1!B75-DATE(YEAR(B75),1,1)+1)/366)+((DATE(YEAR(B74),12,31)-Arkusz1!B74)/365))),0))</f>
        <v>0</v>
      </c>
      <c r="H75">
        <f t="shared" ca="1" si="11"/>
        <v>1</v>
      </c>
      <c r="I75">
        <f t="shared" ca="1" si="12"/>
        <v>1.0050710382513661</v>
      </c>
      <c r="J75">
        <f t="shared" ca="1" si="13"/>
        <v>1.0050710382513661</v>
      </c>
      <c r="K75">
        <f ca="1">PRODUCT($J$3:J75)</f>
        <v>1.4707071400616867</v>
      </c>
      <c r="L75">
        <f t="shared" ca="1" si="14"/>
        <v>0.67994502288066438</v>
      </c>
      <c r="M75">
        <f ca="1">SUM($L$3:L75)</f>
        <v>60.486963388621184</v>
      </c>
      <c r="O75">
        <f ca="1">(Q74*Arkusz1!J75)-Q74</f>
        <v>2972.0626088650897</v>
      </c>
      <c r="P75" s="16">
        <f t="shared" ca="1" si="15"/>
        <v>10897.098263474641</v>
      </c>
      <c r="Q75" s="17">
        <f t="shared" ca="1" si="16"/>
        <v>575188.52395883971</v>
      </c>
    </row>
    <row r="76" spans="1:17" x14ac:dyDescent="0.35">
      <c r="A76">
        <v>74</v>
      </c>
      <c r="B76" s="14">
        <f t="shared" ca="1" si="17"/>
        <v>48321</v>
      </c>
      <c r="C76" s="15">
        <f ca="1">(1+'Symulacja Pożyczka'!$B$7*(Arkusz1!B76-Arkusz1!B75)/365)</f>
        <v>1.0054356164383562</v>
      </c>
      <c r="D76" s="15">
        <f ca="1">(1+'Symulacja Pożyczka'!$B$7*(Arkusz1!B76-Arkusz1!B75)/366)</f>
        <v>1.0054207650273224</v>
      </c>
      <c r="E76" s="15">
        <f t="shared" ca="1" si="9"/>
        <v>0</v>
      </c>
      <c r="F76" s="15">
        <f t="shared" ca="1" si="10"/>
        <v>0</v>
      </c>
      <c r="G76">
        <f ca="1">IF(E76=1,(1+'Symulacja Pożyczka'!$B$7*(((Arkusz1!B76-DATE(YEAR(B76),1,1)+1)/365)+((DATE(YEAR(B75),12,31)-Arkusz1!B75)/366))),IF(F76=1,(1+'Symulacja Pożyczka'!$B$7*(((Arkusz1!B76-DATE(YEAR(B76),1,1)+1)/366)+((DATE(YEAR(B75),12,31)-Arkusz1!B75)/365))),0))</f>
        <v>0</v>
      </c>
      <c r="H76">
        <f t="shared" ca="1" si="11"/>
        <v>1</v>
      </c>
      <c r="I76">
        <f t="shared" ca="1" si="12"/>
        <v>1.0054207650273224</v>
      </c>
      <c r="J76">
        <f t="shared" ca="1" si="13"/>
        <v>1.0054207650273224</v>
      </c>
      <c r="K76">
        <f ca="1">PRODUCT($J$3:J76)</f>
        <v>1.4786794978919664</v>
      </c>
      <c r="L76">
        <f t="shared" ca="1" si="14"/>
        <v>0.67627907293339695</v>
      </c>
      <c r="M76">
        <f ca="1">SUM($L$3:L76)</f>
        <v>61.163242461554582</v>
      </c>
      <c r="O76">
        <f ca="1">(Q75*Arkusz1!J76)-Q75</f>
        <v>3117.9618347932119</v>
      </c>
      <c r="P76" s="16">
        <f t="shared" ca="1" si="15"/>
        <v>10751.199037546519</v>
      </c>
      <c r="Q76" s="17">
        <f t="shared" ca="1" si="16"/>
        <v>564437.32492129318</v>
      </c>
    </row>
    <row r="77" spans="1:17" x14ac:dyDescent="0.35">
      <c r="A77">
        <v>75</v>
      </c>
      <c r="B77" s="14">
        <f t="shared" ca="1" si="17"/>
        <v>48351</v>
      </c>
      <c r="C77" s="15">
        <f ca="1">(1+'Symulacja Pożyczka'!$B$7*(Arkusz1!B77-Arkusz1!B76)/365)</f>
        <v>1.0052602739726026</v>
      </c>
      <c r="D77" s="15">
        <f ca="1">(1+'Symulacja Pożyczka'!$B$7*(Arkusz1!B77-Arkusz1!B76)/366)</f>
        <v>1.0052459016393442</v>
      </c>
      <c r="E77" s="15">
        <f t="shared" ca="1" si="9"/>
        <v>0</v>
      </c>
      <c r="F77" s="15">
        <f t="shared" ca="1" si="10"/>
        <v>0</v>
      </c>
      <c r="G77">
        <f ca="1">IF(E77=1,(1+'Symulacja Pożyczka'!$B$7*(((Arkusz1!B77-DATE(YEAR(B77),1,1)+1)/365)+((DATE(YEAR(B76),12,31)-Arkusz1!B76)/366))),IF(F77=1,(1+'Symulacja Pożyczka'!$B$7*(((Arkusz1!B77-DATE(YEAR(B77),1,1)+1)/366)+((DATE(YEAR(B76),12,31)-Arkusz1!B76)/365))),0))</f>
        <v>0</v>
      </c>
      <c r="H77">
        <f t="shared" ca="1" si="11"/>
        <v>1</v>
      </c>
      <c r="I77">
        <f t="shared" ca="1" si="12"/>
        <v>1.0052459016393442</v>
      </c>
      <c r="J77">
        <f t="shared" ca="1" si="13"/>
        <v>1.0052459016393442</v>
      </c>
      <c r="K77">
        <f ca="1">PRODUCT($J$3:J77)</f>
        <v>1.4864365050940225</v>
      </c>
      <c r="L77">
        <f t="shared" ca="1" si="14"/>
        <v>0.672749893165969</v>
      </c>
      <c r="M77">
        <f ca="1">SUM($L$3:L77)</f>
        <v>61.835992354720553</v>
      </c>
      <c r="O77">
        <f ca="1">(Q76*Arkusz1!J77)-Q76</f>
        <v>2960.9826881117187</v>
      </c>
      <c r="P77" s="16">
        <f t="shared" ca="1" si="15"/>
        <v>10908.178184228012</v>
      </c>
      <c r="Q77" s="17">
        <f t="shared" ca="1" si="16"/>
        <v>553529.14673706517</v>
      </c>
    </row>
    <row r="78" spans="1:17" x14ac:dyDescent="0.35">
      <c r="A78">
        <v>76</v>
      </c>
      <c r="B78" s="14">
        <f t="shared" ca="1" si="17"/>
        <v>48382</v>
      </c>
      <c r="C78" s="15">
        <f ca="1">(1+'Symulacja Pożyczka'!$B$7*(Arkusz1!B78-Arkusz1!B77)/365)</f>
        <v>1.0054356164383562</v>
      </c>
      <c r="D78" s="15">
        <f ca="1">(1+'Symulacja Pożyczka'!$B$7*(Arkusz1!B78-Arkusz1!B77)/366)</f>
        <v>1.0054207650273224</v>
      </c>
      <c r="E78" s="15">
        <f t="shared" ca="1" si="9"/>
        <v>0</v>
      </c>
      <c r="F78" s="15">
        <f t="shared" ca="1" si="10"/>
        <v>0</v>
      </c>
      <c r="G78">
        <f ca="1">IF(E78=1,(1+'Symulacja Pożyczka'!$B$7*(((Arkusz1!B78-DATE(YEAR(B78),1,1)+1)/365)+((DATE(YEAR(B77),12,31)-Arkusz1!B77)/366))),IF(F78=1,(1+'Symulacja Pożyczka'!$B$7*(((Arkusz1!B78-DATE(YEAR(B78),1,1)+1)/366)+((DATE(YEAR(B77),12,31)-Arkusz1!B77)/365))),0))</f>
        <v>0</v>
      </c>
      <c r="H78">
        <f t="shared" ca="1" si="11"/>
        <v>1</v>
      </c>
      <c r="I78">
        <f t="shared" ca="1" si="12"/>
        <v>1.0054207650273224</v>
      </c>
      <c r="J78">
        <f t="shared" ca="1" si="13"/>
        <v>1.0054207650273224</v>
      </c>
      <c r="K78">
        <f ca="1">PRODUCT($J$3:J78)</f>
        <v>1.4944941281161714</v>
      </c>
      <c r="L78">
        <f t="shared" ca="1" si="14"/>
        <v>0.66912273603946004</v>
      </c>
      <c r="M78">
        <f ca="1">SUM($L$3:L78)</f>
        <v>62.505115090760015</v>
      </c>
      <c r="O78">
        <f ca="1">(Q77*Arkusz1!J78)-Q77</f>
        <v>3000.5514402359258</v>
      </c>
      <c r="P78" s="16">
        <f t="shared" ca="1" si="15"/>
        <v>10868.609432103805</v>
      </c>
      <c r="Q78" s="17">
        <f t="shared" ca="1" si="16"/>
        <v>542660.53730496136</v>
      </c>
    </row>
    <row r="79" spans="1:17" x14ac:dyDescent="0.35">
      <c r="A79">
        <v>77</v>
      </c>
      <c r="B79" s="14">
        <f t="shared" ca="1" si="17"/>
        <v>48412</v>
      </c>
      <c r="C79" s="15">
        <f ca="1">(1+'Symulacja Pożyczka'!$B$7*(Arkusz1!B79-Arkusz1!B78)/365)</f>
        <v>1.0052602739726026</v>
      </c>
      <c r="D79" s="15">
        <f ca="1">(1+'Symulacja Pożyczka'!$B$7*(Arkusz1!B79-Arkusz1!B78)/366)</f>
        <v>1.0052459016393442</v>
      </c>
      <c r="E79" s="15">
        <f t="shared" ca="1" si="9"/>
        <v>0</v>
      </c>
      <c r="F79" s="15">
        <f t="shared" ca="1" si="10"/>
        <v>0</v>
      </c>
      <c r="G79">
        <f ca="1">IF(E79=1,(1+'Symulacja Pożyczka'!$B$7*(((Arkusz1!B79-DATE(YEAR(B79),1,1)+1)/365)+((DATE(YEAR(B78),12,31)-Arkusz1!B78)/366))),IF(F79=1,(1+'Symulacja Pożyczka'!$B$7*(((Arkusz1!B79-DATE(YEAR(B79),1,1)+1)/366)+((DATE(YEAR(B78),12,31)-Arkusz1!B78)/365))),0))</f>
        <v>0</v>
      </c>
      <c r="H79">
        <f t="shared" ca="1" si="11"/>
        <v>1</v>
      </c>
      <c r="I79">
        <f t="shared" ca="1" si="12"/>
        <v>1.0052459016393442</v>
      </c>
      <c r="J79">
        <f t="shared" ca="1" si="13"/>
        <v>1.0052459016393442</v>
      </c>
      <c r="K79">
        <f ca="1">PRODUCT($J$3:J79)</f>
        <v>1.5023340973128465</v>
      </c>
      <c r="L79">
        <f t="shared" ca="1" si="14"/>
        <v>0.66563090180050655</v>
      </c>
      <c r="M79">
        <f ca="1">SUM($L$3:L79)</f>
        <v>63.170745992560519</v>
      </c>
      <c r="O79">
        <f ca="1">(Q78*Arkusz1!J79)-Q78</f>
        <v>2846.7438022554852</v>
      </c>
      <c r="P79" s="16">
        <f t="shared" ca="1" si="15"/>
        <v>11022.417070084246</v>
      </c>
      <c r="Q79" s="17">
        <f t="shared" ca="1" si="16"/>
        <v>531638.1202348771</v>
      </c>
    </row>
    <row r="80" spans="1:17" x14ac:dyDescent="0.35">
      <c r="A80">
        <v>78</v>
      </c>
      <c r="B80" s="14">
        <f t="shared" ca="1" si="17"/>
        <v>48443</v>
      </c>
      <c r="C80" s="15">
        <f ca="1">(1+'Symulacja Pożyczka'!$B$7*(Arkusz1!B80-Arkusz1!B79)/365)</f>
        <v>1.0054356164383562</v>
      </c>
      <c r="D80" s="15">
        <f ca="1">(1+'Symulacja Pożyczka'!$B$7*(Arkusz1!B80-Arkusz1!B79)/366)</f>
        <v>1.0054207650273224</v>
      </c>
      <c r="E80" s="15">
        <f t="shared" ca="1" si="9"/>
        <v>0</v>
      </c>
      <c r="F80" s="15">
        <f t="shared" ca="1" si="10"/>
        <v>0</v>
      </c>
      <c r="G80">
        <f ca="1">IF(E80=1,(1+'Symulacja Pożyczka'!$B$7*(((Arkusz1!B80-DATE(YEAR(B80),1,1)+1)/365)+((DATE(YEAR(B79),12,31)-Arkusz1!B79)/366))),IF(F80=1,(1+'Symulacja Pożyczka'!$B$7*(((Arkusz1!B80-DATE(YEAR(B80),1,1)+1)/366)+((DATE(YEAR(B79),12,31)-Arkusz1!B79)/365))),0))</f>
        <v>0</v>
      </c>
      <c r="H80">
        <f t="shared" ca="1" si="11"/>
        <v>1</v>
      </c>
      <c r="I80">
        <f t="shared" ca="1" si="12"/>
        <v>1.0054207650273224</v>
      </c>
      <c r="J80">
        <f t="shared" ca="1" si="13"/>
        <v>1.0054207650273224</v>
      </c>
      <c r="K80">
        <f ca="1">PRODUCT($J$3:J80)</f>
        <v>1.510477897446914</v>
      </c>
      <c r="L80">
        <f t="shared" ca="1" si="14"/>
        <v>0.6620421269918948</v>
      </c>
      <c r="M80">
        <f ca="1">SUM($L$3:L80)</f>
        <v>63.832788119552411</v>
      </c>
      <c r="O80">
        <f ca="1">(Q79*Arkusz1!J80)-Q79</f>
        <v>2881.885329360608</v>
      </c>
      <c r="P80" s="16">
        <f t="shared" ca="1" si="15"/>
        <v>10987.275542979123</v>
      </c>
      <c r="Q80" s="17">
        <f t="shared" ca="1" si="16"/>
        <v>520650.84469189798</v>
      </c>
    </row>
    <row r="81" spans="1:17" x14ac:dyDescent="0.35">
      <c r="A81">
        <v>79</v>
      </c>
      <c r="B81" s="14">
        <f t="shared" ca="1" si="17"/>
        <v>48474</v>
      </c>
      <c r="C81" s="15">
        <f ca="1">(1+'Symulacja Pożyczka'!$B$7*(Arkusz1!B81-Arkusz1!B80)/365)</f>
        <v>1.0054356164383562</v>
      </c>
      <c r="D81" s="15">
        <f ca="1">(1+'Symulacja Pożyczka'!$B$7*(Arkusz1!B81-Arkusz1!B80)/366)</f>
        <v>1.0054207650273224</v>
      </c>
      <c r="E81" s="15">
        <f t="shared" ca="1" si="9"/>
        <v>0</v>
      </c>
      <c r="F81" s="15">
        <f t="shared" ca="1" si="10"/>
        <v>0</v>
      </c>
      <c r="G81">
        <f ca="1">IF(E81=1,(1+'Symulacja Pożyczka'!$B$7*(((Arkusz1!B81-DATE(YEAR(B81),1,1)+1)/365)+((DATE(YEAR(B80),12,31)-Arkusz1!B80)/366))),IF(F81=1,(1+'Symulacja Pożyczka'!$B$7*(((Arkusz1!B81-DATE(YEAR(B81),1,1)+1)/366)+((DATE(YEAR(B80),12,31)-Arkusz1!B80)/365))),0))</f>
        <v>0</v>
      </c>
      <c r="H81">
        <f t="shared" ca="1" si="11"/>
        <v>1</v>
      </c>
      <c r="I81">
        <f t="shared" ca="1" si="12"/>
        <v>1.0054207650273224</v>
      </c>
      <c r="J81">
        <f t="shared" ca="1" si="13"/>
        <v>1.0054207650273224</v>
      </c>
      <c r="K81">
        <f ca="1">PRODUCT($J$3:J81)</f>
        <v>1.5186658432079376</v>
      </c>
      <c r="L81">
        <f t="shared" ca="1" si="14"/>
        <v>0.6584727012017737</v>
      </c>
      <c r="M81">
        <f ca="1">SUM($L$3:L81)</f>
        <v>64.491260820754178</v>
      </c>
      <c r="O81">
        <f ca="1">(Q80*Arkusz1!J81)-Q80</f>
        <v>2822.3258903516689</v>
      </c>
      <c r="P81" s="16">
        <f t="shared" ca="1" si="15"/>
        <v>11046.834981988062</v>
      </c>
      <c r="Q81" s="17">
        <f t="shared" ca="1" si="16"/>
        <v>509604.00970990991</v>
      </c>
    </row>
    <row r="82" spans="1:17" x14ac:dyDescent="0.35">
      <c r="A82">
        <v>80</v>
      </c>
      <c r="B82" s="14">
        <f t="shared" ca="1" si="17"/>
        <v>48504</v>
      </c>
      <c r="C82" s="15">
        <f ca="1">(1+'Symulacja Pożyczka'!$B$7*(Arkusz1!B82-Arkusz1!B81)/365)</f>
        <v>1.0052602739726026</v>
      </c>
      <c r="D82" s="15">
        <f ca="1">(1+'Symulacja Pożyczka'!$B$7*(Arkusz1!B82-Arkusz1!B81)/366)</f>
        <v>1.0052459016393442</v>
      </c>
      <c r="E82" s="15">
        <f t="shared" ca="1" si="9"/>
        <v>0</v>
      </c>
      <c r="F82" s="15">
        <f t="shared" ca="1" si="10"/>
        <v>0</v>
      </c>
      <c r="G82">
        <f ca="1">IF(E82=1,(1+'Symulacja Pożyczka'!$B$7*(((Arkusz1!B82-DATE(YEAR(B82),1,1)+1)/365)+((DATE(YEAR(B81),12,31)-Arkusz1!B81)/366))),IF(F82=1,(1+'Symulacja Pożyczka'!$B$7*(((Arkusz1!B82-DATE(YEAR(B82),1,1)+1)/366)+((DATE(YEAR(B81),12,31)-Arkusz1!B81)/365))),0))</f>
        <v>0</v>
      </c>
      <c r="H82">
        <f t="shared" ca="1" si="11"/>
        <v>1</v>
      </c>
      <c r="I82">
        <f t="shared" ca="1" si="12"/>
        <v>1.0052459016393442</v>
      </c>
      <c r="J82">
        <f t="shared" ca="1" si="13"/>
        <v>1.0052459016393442</v>
      </c>
      <c r="K82">
        <f ca="1">PRODUCT($J$3:J82)</f>
        <v>1.5266326148444382</v>
      </c>
      <c r="L82">
        <f t="shared" ca="1" si="14"/>
        <v>0.65503644444403453</v>
      </c>
      <c r="M82">
        <f ca="1">SUM($L$3:L82)</f>
        <v>65.146297265198214</v>
      </c>
      <c r="O82">
        <f ca="1">(Q81*Arkusz1!J82)-Q81</f>
        <v>2673.3325099535869</v>
      </c>
      <c r="P82" s="16">
        <f t="shared" ca="1" si="15"/>
        <v>11195.828362386144</v>
      </c>
      <c r="Q82" s="17">
        <f t="shared" ca="1" si="16"/>
        <v>498408.18134752376</v>
      </c>
    </row>
    <row r="83" spans="1:17" x14ac:dyDescent="0.35">
      <c r="A83">
        <v>81</v>
      </c>
      <c r="B83" s="14">
        <f t="shared" ca="1" si="17"/>
        <v>48535</v>
      </c>
      <c r="C83" s="15">
        <f ca="1">(1+'Symulacja Pożyczka'!$B$7*(Arkusz1!B83-Arkusz1!B82)/365)</f>
        <v>1.0054356164383562</v>
      </c>
      <c r="D83" s="15">
        <f ca="1">(1+'Symulacja Pożyczka'!$B$7*(Arkusz1!B83-Arkusz1!B82)/366)</f>
        <v>1.0054207650273224</v>
      </c>
      <c r="E83" s="15">
        <f t="shared" ca="1" si="9"/>
        <v>0</v>
      </c>
      <c r="F83" s="15">
        <f t="shared" ca="1" si="10"/>
        <v>0</v>
      </c>
      <c r="G83">
        <f ca="1">IF(E83=1,(1+'Symulacja Pożyczka'!$B$7*(((Arkusz1!B83-DATE(YEAR(B83),1,1)+1)/365)+((DATE(YEAR(B82),12,31)-Arkusz1!B82)/366))),IF(F83=1,(1+'Symulacja Pożyczka'!$B$7*(((Arkusz1!B83-DATE(YEAR(B83),1,1)+1)/366)+((DATE(YEAR(B82),12,31)-Arkusz1!B82)/365))),0))</f>
        <v>0</v>
      </c>
      <c r="H83">
        <f t="shared" ca="1" si="11"/>
        <v>1</v>
      </c>
      <c r="I83">
        <f t="shared" ca="1" si="12"/>
        <v>1.0054207650273224</v>
      </c>
      <c r="J83">
        <f t="shared" ca="1" si="13"/>
        <v>1.0054207650273224</v>
      </c>
      <c r="K83">
        <f ca="1">PRODUCT($J$3:J83)</f>
        <v>1.5349081315325566</v>
      </c>
      <c r="L83">
        <f t="shared" ca="1" si="14"/>
        <v>0.65150479006292839</v>
      </c>
      <c r="M83">
        <f ca="1">SUM($L$3:L83)</f>
        <v>65.797802055261144</v>
      </c>
      <c r="O83">
        <f ca="1">(Q82*Arkusz1!J83)-Q82</f>
        <v>2701.7536387799773</v>
      </c>
      <c r="P83" s="16">
        <f t="shared" ca="1" si="15"/>
        <v>11167.407233559754</v>
      </c>
      <c r="Q83" s="17">
        <f t="shared" ca="1" si="16"/>
        <v>487240.774113964</v>
      </c>
    </row>
    <row r="84" spans="1:17" x14ac:dyDescent="0.35">
      <c r="A84">
        <v>82</v>
      </c>
      <c r="B84" s="14">
        <f t="shared" ca="1" si="17"/>
        <v>48565</v>
      </c>
      <c r="C84" s="15">
        <f ca="1">(1+'Symulacja Pożyczka'!$B$7*(Arkusz1!B84-Arkusz1!B83)/365)</f>
        <v>1.0052602739726026</v>
      </c>
      <c r="D84" s="15">
        <f ca="1">(1+'Symulacja Pożyczka'!$B$7*(Arkusz1!B84-Arkusz1!B83)/366)</f>
        <v>1.0052459016393442</v>
      </c>
      <c r="E84" s="15">
        <f t="shared" ca="1" si="9"/>
        <v>0</v>
      </c>
      <c r="F84" s="15">
        <f t="shared" ca="1" si="10"/>
        <v>0</v>
      </c>
      <c r="G84">
        <f ca="1">IF(E84=1,(1+'Symulacja Pożyczka'!$B$7*(((Arkusz1!B84-DATE(YEAR(B84),1,1)+1)/365)+((DATE(YEAR(B83),12,31)-Arkusz1!B83)/366))),IF(F84=1,(1+'Symulacja Pożyczka'!$B$7*(((Arkusz1!B84-DATE(YEAR(B84),1,1)+1)/366)+((DATE(YEAR(B83),12,31)-Arkusz1!B83)/365))),0))</f>
        <v>0</v>
      </c>
      <c r="H84">
        <f t="shared" ca="1" si="11"/>
        <v>1</v>
      </c>
      <c r="I84">
        <f t="shared" ca="1" si="12"/>
        <v>1.0052459016393442</v>
      </c>
      <c r="J84">
        <f t="shared" ca="1" si="13"/>
        <v>1.0052459016393442</v>
      </c>
      <c r="K84">
        <f ca="1">PRODUCT($J$3:J84)</f>
        <v>1.5429601086160061</v>
      </c>
      <c r="L84">
        <f t="shared" ca="1" si="14"/>
        <v>0.64810489552900574</v>
      </c>
      <c r="M84">
        <f ca="1">SUM($L$3:L84)</f>
        <v>66.445906950790146</v>
      </c>
      <c r="O84">
        <f ca="1">(Q83*Arkusz1!J84)-Q83</f>
        <v>2556.0171756797936</v>
      </c>
      <c r="P84" s="16">
        <f t="shared" ca="1" si="15"/>
        <v>11313.143696659938</v>
      </c>
      <c r="Q84" s="17">
        <f t="shared" ca="1" si="16"/>
        <v>475927.63041730406</v>
      </c>
    </row>
    <row r="85" spans="1:17" x14ac:dyDescent="0.35">
      <c r="A85">
        <v>83</v>
      </c>
      <c r="B85" s="14">
        <f t="shared" ca="1" si="17"/>
        <v>48596</v>
      </c>
      <c r="C85" s="15">
        <f ca="1">(1+'Symulacja Pożyczka'!$B$7*(Arkusz1!B85-Arkusz1!B84)/365)</f>
        <v>1.0054356164383562</v>
      </c>
      <c r="D85" s="15">
        <f ca="1">(1+'Symulacja Pożyczka'!$B$7*(Arkusz1!B85-Arkusz1!B84)/366)</f>
        <v>1.0054207650273224</v>
      </c>
      <c r="E85" s="15">
        <f t="shared" ca="1" si="9"/>
        <v>1</v>
      </c>
      <c r="F85" s="15">
        <f t="shared" ca="1" si="10"/>
        <v>0</v>
      </c>
      <c r="G85">
        <f ca="1">IF(E85=1,(1+'Symulacja Pożyczka'!$B$7*(((Arkusz1!B85-DATE(YEAR(B85),1,1)+1)/365)+((DATE(YEAR(B84),12,31)-Arkusz1!B84)/366))),IF(F85=1,(1+'Symulacja Pożyczka'!$B$7*(((Arkusz1!B85-DATE(YEAR(B85),1,1)+1)/366)+((DATE(YEAR(B84),12,31)-Arkusz1!B84)/365))),0))</f>
        <v>1.0054289093495021</v>
      </c>
      <c r="H85">
        <f t="shared" ca="1" si="11"/>
        <v>0</v>
      </c>
      <c r="I85">
        <f t="shared" ca="1" si="12"/>
        <v>1.0054356164383562</v>
      </c>
      <c r="J85">
        <f t="shared" ca="1" si="13"/>
        <v>1.0054289093495021</v>
      </c>
      <c r="K85">
        <f ca="1">PRODUCT($J$3:J85)</f>
        <v>1.5513366991755804</v>
      </c>
      <c r="L85">
        <f t="shared" ca="1" si="14"/>
        <v>0.64460539129347316</v>
      </c>
      <c r="M85">
        <f ca="1">SUM($L$3:L85)</f>
        <v>67.090512342083613</v>
      </c>
      <c r="O85">
        <f ca="1">(Q84*Arkusz1!J85)-Q84</f>
        <v>2583.7679624588927</v>
      </c>
      <c r="P85" s="16">
        <f t="shared" ca="1" si="15"/>
        <v>11285.392909880838</v>
      </c>
      <c r="Q85" s="17">
        <f t="shared" ca="1" si="16"/>
        <v>464642.23750742321</v>
      </c>
    </row>
    <row r="86" spans="1:17" x14ac:dyDescent="0.35">
      <c r="A86">
        <v>84</v>
      </c>
      <c r="B86" s="14">
        <f t="shared" ca="1" si="17"/>
        <v>48627</v>
      </c>
      <c r="C86" s="15">
        <f ca="1">(1+'Symulacja Pożyczka'!$B$7*(Arkusz1!B86-Arkusz1!B85)/365)</f>
        <v>1.0054356164383562</v>
      </c>
      <c r="D86" s="15">
        <f ca="1">(1+'Symulacja Pożyczka'!$B$7*(Arkusz1!B86-Arkusz1!B85)/366)</f>
        <v>1.0054207650273224</v>
      </c>
      <c r="E86" s="15">
        <f t="shared" ca="1" si="9"/>
        <v>0</v>
      </c>
      <c r="F86" s="15">
        <f t="shared" ca="1" si="10"/>
        <v>0</v>
      </c>
      <c r="G86">
        <f ca="1">IF(E86=1,(1+'Symulacja Pożyczka'!$B$7*(((Arkusz1!B86-DATE(YEAR(B86),1,1)+1)/365)+((DATE(YEAR(B85),12,31)-Arkusz1!B85)/366))),IF(F86=1,(1+'Symulacja Pożyczka'!$B$7*(((Arkusz1!B86-DATE(YEAR(B86),1,1)+1)/366)+((DATE(YEAR(B85),12,31)-Arkusz1!B85)/365))),0))</f>
        <v>0</v>
      </c>
      <c r="H86">
        <f t="shared" ca="1" si="11"/>
        <v>0</v>
      </c>
      <c r="I86">
        <f t="shared" ca="1" si="12"/>
        <v>1.0054356164383562</v>
      </c>
      <c r="J86">
        <f t="shared" ca="1" si="13"/>
        <v>1.0054356164383562</v>
      </c>
      <c r="K86">
        <f ca="1">PRODUCT($J$3:J86)</f>
        <v>1.5597691704390444</v>
      </c>
      <c r="L86">
        <f t="shared" ca="1" si="14"/>
        <v>0.64112050613137817</v>
      </c>
      <c r="M86">
        <f ca="1">SUM($L$3:L86)</f>
        <v>67.731632848214986</v>
      </c>
      <c r="O86">
        <f ca="1">(Q85*Arkusz1!J86)-Q85</f>
        <v>2525.616984149965</v>
      </c>
      <c r="P86" s="16">
        <f t="shared" ca="1" si="15"/>
        <v>11343.543888189766</v>
      </c>
      <c r="Q86" s="17">
        <f t="shared" ca="1" si="16"/>
        <v>453298.69361923344</v>
      </c>
    </row>
    <row r="87" spans="1:17" x14ac:dyDescent="0.35">
      <c r="A87">
        <v>85</v>
      </c>
      <c r="B87" s="14">
        <f t="shared" ca="1" si="17"/>
        <v>48655</v>
      </c>
      <c r="C87" s="15">
        <f ca="1">(1+'Symulacja Pożyczka'!$B$7*(Arkusz1!B87-Arkusz1!B86)/365)</f>
        <v>1.004909589041096</v>
      </c>
      <c r="D87" s="15">
        <f ca="1">(1+'Symulacja Pożyczka'!$B$7*(Arkusz1!B87-Arkusz1!B86)/366)</f>
        <v>1.004896174863388</v>
      </c>
      <c r="E87" s="15">
        <f t="shared" ca="1" si="9"/>
        <v>0</v>
      </c>
      <c r="F87" s="15">
        <f t="shared" ca="1" si="10"/>
        <v>0</v>
      </c>
      <c r="G87">
        <f ca="1">IF(E87=1,(1+'Symulacja Pożyczka'!$B$7*(((Arkusz1!B87-DATE(YEAR(B87),1,1)+1)/365)+((DATE(YEAR(B86),12,31)-Arkusz1!B86)/366))),IF(F87=1,(1+'Symulacja Pożyczka'!$B$7*(((Arkusz1!B87-DATE(YEAR(B87),1,1)+1)/366)+((DATE(YEAR(B86),12,31)-Arkusz1!B86)/365))),0))</f>
        <v>0</v>
      </c>
      <c r="H87">
        <f t="shared" ca="1" si="11"/>
        <v>0</v>
      </c>
      <c r="I87">
        <f t="shared" ca="1" si="12"/>
        <v>1.004909589041096</v>
      </c>
      <c r="J87">
        <f t="shared" ca="1" si="13"/>
        <v>1.004909589041096</v>
      </c>
      <c r="K87">
        <f ca="1">PRODUCT($J$3:J87)</f>
        <v>1.5674269960648712</v>
      </c>
      <c r="L87">
        <f t="shared" ca="1" si="14"/>
        <v>0.63798824603031967</v>
      </c>
      <c r="M87">
        <f ca="1">SUM($L$3:L87)</f>
        <v>68.369621094245304</v>
      </c>
      <c r="O87">
        <f ca="1">(Q86*Arkusz1!J87)-Q86</f>
        <v>2225.5102985361009</v>
      </c>
      <c r="P87" s="16">
        <f t="shared" ca="1" si="15"/>
        <v>11643.65057380363</v>
      </c>
      <c r="Q87" s="17">
        <f t="shared" ca="1" si="16"/>
        <v>441655.0430454298</v>
      </c>
    </row>
    <row r="88" spans="1:17" x14ac:dyDescent="0.35">
      <c r="A88">
        <v>86</v>
      </c>
      <c r="B88" s="14">
        <f t="shared" ca="1" si="17"/>
        <v>48686</v>
      </c>
      <c r="C88" s="15">
        <f ca="1">(1+'Symulacja Pożyczka'!$B$7*(Arkusz1!B88-Arkusz1!B87)/365)</f>
        <v>1.0054356164383562</v>
      </c>
      <c r="D88" s="15">
        <f ca="1">(1+'Symulacja Pożyczka'!$B$7*(Arkusz1!B88-Arkusz1!B87)/366)</f>
        <v>1.0054207650273224</v>
      </c>
      <c r="E88" s="15">
        <f t="shared" ca="1" si="9"/>
        <v>0</v>
      </c>
      <c r="F88" s="15">
        <f t="shared" ca="1" si="10"/>
        <v>0</v>
      </c>
      <c r="G88">
        <f ca="1">IF(E88=1,(1+'Symulacja Pożyczka'!$B$7*(((Arkusz1!B88-DATE(YEAR(B88),1,1)+1)/365)+((DATE(YEAR(B87),12,31)-Arkusz1!B87)/366))),IF(F88=1,(1+'Symulacja Pożyczka'!$B$7*(((Arkusz1!B88-DATE(YEAR(B88),1,1)+1)/366)+((DATE(YEAR(B87),12,31)-Arkusz1!B87)/365))),0))</f>
        <v>0</v>
      </c>
      <c r="H88">
        <f t="shared" ca="1" si="11"/>
        <v>0</v>
      </c>
      <c r="I88">
        <f t="shared" ca="1" si="12"/>
        <v>1.0054356164383562</v>
      </c>
      <c r="J88">
        <f t="shared" ca="1" si="13"/>
        <v>1.0054356164383562</v>
      </c>
      <c r="K88">
        <f ca="1">PRODUCT($J$3:J88)</f>
        <v>1.5759469280106047</v>
      </c>
      <c r="L88">
        <f t="shared" ca="1" si="14"/>
        <v>0.63453913467907785</v>
      </c>
      <c r="M88">
        <f ca="1">SUM($L$3:L88)</f>
        <v>69.004160228924377</v>
      </c>
      <c r="O88">
        <f ca="1">(Q87*Arkusz1!J88)-Q87</f>
        <v>2400.6674120606622</v>
      </c>
      <c r="P88" s="16">
        <f t="shared" ca="1" si="15"/>
        <v>11468.493460279069</v>
      </c>
      <c r="Q88" s="17">
        <f t="shared" ca="1" si="16"/>
        <v>430186.54958515073</v>
      </c>
    </row>
    <row r="89" spans="1:17" x14ac:dyDescent="0.35">
      <c r="A89">
        <v>87</v>
      </c>
      <c r="B89" s="14">
        <f t="shared" ca="1" si="17"/>
        <v>48716</v>
      </c>
      <c r="C89" s="15">
        <f ca="1">(1+'Symulacja Pożyczka'!$B$7*(Arkusz1!B89-Arkusz1!B88)/365)</f>
        <v>1.0052602739726026</v>
      </c>
      <c r="D89" s="15">
        <f ca="1">(1+'Symulacja Pożyczka'!$B$7*(Arkusz1!B89-Arkusz1!B88)/366)</f>
        <v>1.0052459016393442</v>
      </c>
      <c r="E89" s="15">
        <f t="shared" ca="1" si="9"/>
        <v>0</v>
      </c>
      <c r="F89" s="15">
        <f t="shared" ca="1" si="10"/>
        <v>0</v>
      </c>
      <c r="G89">
        <f ca="1">IF(E89=1,(1+'Symulacja Pożyczka'!$B$7*(((Arkusz1!B89-DATE(YEAR(B89),1,1)+1)/365)+((DATE(YEAR(B88),12,31)-Arkusz1!B88)/366))),IF(F89=1,(1+'Symulacja Pożyczka'!$B$7*(((Arkusz1!B89-DATE(YEAR(B89),1,1)+1)/366)+((DATE(YEAR(B88),12,31)-Arkusz1!B88)/365))),0))</f>
        <v>0</v>
      </c>
      <c r="H89">
        <f t="shared" ca="1" si="11"/>
        <v>0</v>
      </c>
      <c r="I89">
        <f t="shared" ca="1" si="12"/>
        <v>1.0052602739726026</v>
      </c>
      <c r="J89">
        <f t="shared" ca="1" si="13"/>
        <v>1.0052602739726026</v>
      </c>
      <c r="K89">
        <f ca="1">PRODUCT($J$3:J89)</f>
        <v>1.5842368406182219</v>
      </c>
      <c r="L89">
        <f t="shared" ca="1" si="14"/>
        <v>0.63121875111158676</v>
      </c>
      <c r="M89">
        <f ca="1">SUM($L$3:L89)</f>
        <v>69.635378980035966</v>
      </c>
      <c r="O89">
        <f ca="1">(Q88*Arkusz1!J89)-Q88</f>
        <v>2262.8991101465072</v>
      </c>
      <c r="P89" s="16">
        <f t="shared" ca="1" si="15"/>
        <v>11606.261762193224</v>
      </c>
      <c r="Q89" s="17">
        <f t="shared" ca="1" si="16"/>
        <v>418580.2878229575</v>
      </c>
    </row>
    <row r="90" spans="1:17" x14ac:dyDescent="0.35">
      <c r="A90">
        <v>88</v>
      </c>
      <c r="B90" s="14">
        <f t="shared" ca="1" si="17"/>
        <v>48747</v>
      </c>
      <c r="C90" s="15">
        <f ca="1">(1+'Symulacja Pożyczka'!$B$7*(Arkusz1!B90-Arkusz1!B89)/365)</f>
        <v>1.0054356164383562</v>
      </c>
      <c r="D90" s="15">
        <f ca="1">(1+'Symulacja Pożyczka'!$B$7*(Arkusz1!B90-Arkusz1!B89)/366)</f>
        <v>1.0054207650273224</v>
      </c>
      <c r="E90" s="15">
        <f t="shared" ca="1" si="9"/>
        <v>0</v>
      </c>
      <c r="F90" s="15">
        <f t="shared" ca="1" si="10"/>
        <v>0</v>
      </c>
      <c r="G90">
        <f ca="1">IF(E90=1,(1+'Symulacja Pożyczka'!$B$7*(((Arkusz1!B90-DATE(YEAR(B90),1,1)+1)/365)+((DATE(YEAR(B89),12,31)-Arkusz1!B89)/366))),IF(F90=1,(1+'Symulacja Pożyczka'!$B$7*(((Arkusz1!B90-DATE(YEAR(B90),1,1)+1)/366)+((DATE(YEAR(B89),12,31)-Arkusz1!B89)/365))),0))</f>
        <v>0</v>
      </c>
      <c r="H90">
        <f t="shared" ca="1" si="11"/>
        <v>0</v>
      </c>
      <c r="I90">
        <f t="shared" ca="1" si="12"/>
        <v>1.0054356164383562</v>
      </c>
      <c r="J90">
        <f t="shared" ca="1" si="13"/>
        <v>1.0054356164383562</v>
      </c>
      <c r="K90">
        <f ca="1">PRODUCT($J$3:J90)</f>
        <v>1.5928481444313358</v>
      </c>
      <c r="L90">
        <f t="shared" ca="1" si="14"/>
        <v>0.62780623720851358</v>
      </c>
      <c r="M90">
        <f ca="1">SUM($L$3:L90)</f>
        <v>70.263185217244484</v>
      </c>
      <c r="O90">
        <f ca="1">(Q89*Arkusz1!J90)-Q89</f>
        <v>2275.2418932623696</v>
      </c>
      <c r="P90" s="16">
        <f t="shared" ca="1" si="15"/>
        <v>11593.918979077362</v>
      </c>
      <c r="Q90" s="17">
        <f t="shared" ca="1" si="16"/>
        <v>406986.36884388013</v>
      </c>
    </row>
    <row r="91" spans="1:17" x14ac:dyDescent="0.35">
      <c r="A91">
        <v>89</v>
      </c>
      <c r="B91" s="14">
        <f t="shared" ca="1" si="17"/>
        <v>48777</v>
      </c>
      <c r="C91" s="15">
        <f ca="1">(1+'Symulacja Pożyczka'!$B$7*(Arkusz1!B91-Arkusz1!B90)/365)</f>
        <v>1.0052602739726026</v>
      </c>
      <c r="D91" s="15">
        <f ca="1">(1+'Symulacja Pożyczka'!$B$7*(Arkusz1!B91-Arkusz1!B90)/366)</f>
        <v>1.0052459016393442</v>
      </c>
      <c r="E91" s="15">
        <f t="shared" ca="1" si="9"/>
        <v>0</v>
      </c>
      <c r="F91" s="15">
        <f t="shared" ca="1" si="10"/>
        <v>0</v>
      </c>
      <c r="G91">
        <f ca="1">IF(E91=1,(1+'Symulacja Pożyczka'!$B$7*(((Arkusz1!B91-DATE(YEAR(B91),1,1)+1)/365)+((DATE(YEAR(B90),12,31)-Arkusz1!B90)/366))),IF(F91=1,(1+'Symulacja Pożyczka'!$B$7*(((Arkusz1!B91-DATE(YEAR(B91),1,1)+1)/366)+((DATE(YEAR(B90),12,31)-Arkusz1!B90)/365))),0))</f>
        <v>0</v>
      </c>
      <c r="H91">
        <f t="shared" ca="1" si="11"/>
        <v>0</v>
      </c>
      <c r="I91">
        <f t="shared" ca="1" si="12"/>
        <v>1.0052602739726026</v>
      </c>
      <c r="J91">
        <f t="shared" ca="1" si="13"/>
        <v>1.0052602739726026</v>
      </c>
      <c r="K91">
        <f ca="1">PRODUCT($J$3:J91)</f>
        <v>1.6012269620677964</v>
      </c>
      <c r="L91">
        <f t="shared" ca="1" si="14"/>
        <v>0.62452108519870131</v>
      </c>
      <c r="M91">
        <f ca="1">SUM($L$3:L91)</f>
        <v>70.887706302443192</v>
      </c>
      <c r="O91">
        <f ca="1">(Q90*Arkusz1!J91)-Q90</f>
        <v>2140.8598032335285</v>
      </c>
      <c r="P91" s="16">
        <f t="shared" ca="1" si="15"/>
        <v>11728.301069106203</v>
      </c>
      <c r="Q91" s="17">
        <f t="shared" ca="1" si="16"/>
        <v>395258.06777477392</v>
      </c>
    </row>
    <row r="92" spans="1:17" x14ac:dyDescent="0.35">
      <c r="A92">
        <v>90</v>
      </c>
      <c r="B92" s="14">
        <f t="shared" ca="1" si="17"/>
        <v>48808</v>
      </c>
      <c r="C92" s="15">
        <f ca="1">(1+'Symulacja Pożyczka'!$B$7*(Arkusz1!B92-Arkusz1!B91)/365)</f>
        <v>1.0054356164383562</v>
      </c>
      <c r="D92" s="15">
        <f ca="1">(1+'Symulacja Pożyczka'!$B$7*(Arkusz1!B92-Arkusz1!B91)/366)</f>
        <v>1.0054207650273224</v>
      </c>
      <c r="E92" s="15">
        <f t="shared" ca="1" si="9"/>
        <v>0</v>
      </c>
      <c r="F92" s="15">
        <f t="shared" ca="1" si="10"/>
        <v>0</v>
      </c>
      <c r="G92">
        <f ca="1">IF(E92=1,(1+'Symulacja Pożyczka'!$B$7*(((Arkusz1!B92-DATE(YEAR(B92),1,1)+1)/365)+((DATE(YEAR(B91),12,31)-Arkusz1!B91)/366))),IF(F92=1,(1+'Symulacja Pożyczka'!$B$7*(((Arkusz1!B92-DATE(YEAR(B92),1,1)+1)/366)+((DATE(YEAR(B91),12,31)-Arkusz1!B91)/365))),0))</f>
        <v>0</v>
      </c>
      <c r="H92">
        <f t="shared" ca="1" si="11"/>
        <v>0</v>
      </c>
      <c r="I92">
        <f t="shared" ca="1" si="12"/>
        <v>1.0054356164383562</v>
      </c>
      <c r="J92">
        <f t="shared" ca="1" si="13"/>
        <v>1.0054356164383562</v>
      </c>
      <c r="K92">
        <f ca="1">PRODUCT($J$3:J92)</f>
        <v>1.6099306176643513</v>
      </c>
      <c r="L92">
        <f t="shared" ca="1" si="14"/>
        <v>0.62114478041965315</v>
      </c>
      <c r="M92">
        <f ca="1">SUM($L$3:L92)</f>
        <v>71.508851082862847</v>
      </c>
      <c r="O92">
        <f ca="1">(Q91*Arkusz1!J92)-Q91</f>
        <v>2148.4712505894713</v>
      </c>
      <c r="P92" s="16">
        <f t="shared" ca="1" si="15"/>
        <v>11720.68962175026</v>
      </c>
      <c r="Q92" s="17">
        <f t="shared" ca="1" si="16"/>
        <v>383537.37815302366</v>
      </c>
    </row>
    <row r="93" spans="1:17" x14ac:dyDescent="0.35">
      <c r="A93">
        <v>91</v>
      </c>
      <c r="B93" s="14">
        <f t="shared" ca="1" si="17"/>
        <v>48839</v>
      </c>
      <c r="C93" s="15">
        <f ca="1">(1+'Symulacja Pożyczka'!$B$7*(Arkusz1!B93-Arkusz1!B92)/365)</f>
        <v>1.0054356164383562</v>
      </c>
      <c r="D93" s="15">
        <f ca="1">(1+'Symulacja Pożyczka'!$B$7*(Arkusz1!B93-Arkusz1!B92)/366)</f>
        <v>1.0054207650273224</v>
      </c>
      <c r="E93" s="15">
        <f t="shared" ca="1" si="9"/>
        <v>0</v>
      </c>
      <c r="F93" s="15">
        <f t="shared" ca="1" si="10"/>
        <v>0</v>
      </c>
      <c r="G93">
        <f ca="1">IF(E93=1,(1+'Symulacja Pożyczka'!$B$7*(((Arkusz1!B93-DATE(YEAR(B93),1,1)+1)/365)+((DATE(YEAR(B92),12,31)-Arkusz1!B92)/366))),IF(F93=1,(1+'Symulacja Pożyczka'!$B$7*(((Arkusz1!B93-DATE(YEAR(B93),1,1)+1)/366)+((DATE(YEAR(B92),12,31)-Arkusz1!B92)/365))),0))</f>
        <v>0</v>
      </c>
      <c r="H93">
        <f t="shared" ca="1" si="11"/>
        <v>0</v>
      </c>
      <c r="I93">
        <f t="shared" ca="1" si="12"/>
        <v>1.0054356164383562</v>
      </c>
      <c r="J93">
        <f t="shared" ca="1" si="13"/>
        <v>1.0054356164383562</v>
      </c>
      <c r="K93">
        <f ca="1">PRODUCT($J$3:J93)</f>
        <v>1.6186815829943406</v>
      </c>
      <c r="L93">
        <f t="shared" ca="1" si="14"/>
        <v>0.61778672872161555</v>
      </c>
      <c r="M93">
        <f ca="1">SUM($L$3:L93)</f>
        <v>72.126637811584459</v>
      </c>
      <c r="O93">
        <f ca="1">(Q92*Arkusz1!J93)-Q92</f>
        <v>2084.7620774126262</v>
      </c>
      <c r="P93" s="16">
        <f t="shared" ca="1" si="15"/>
        <v>11784.398794927105</v>
      </c>
      <c r="Q93" s="17">
        <f t="shared" ca="1" si="16"/>
        <v>371752.97935809655</v>
      </c>
    </row>
    <row r="94" spans="1:17" x14ac:dyDescent="0.35">
      <c r="A94">
        <v>92</v>
      </c>
      <c r="B94" s="14">
        <f t="shared" ca="1" si="17"/>
        <v>48869</v>
      </c>
      <c r="C94" s="15">
        <f ca="1">(1+'Symulacja Pożyczka'!$B$7*(Arkusz1!B94-Arkusz1!B93)/365)</f>
        <v>1.0052602739726026</v>
      </c>
      <c r="D94" s="15">
        <f ca="1">(1+'Symulacja Pożyczka'!$B$7*(Arkusz1!B94-Arkusz1!B93)/366)</f>
        <v>1.0052459016393442</v>
      </c>
      <c r="E94" s="15">
        <f t="shared" ca="1" si="9"/>
        <v>0</v>
      </c>
      <c r="F94" s="15">
        <f t="shared" ca="1" si="10"/>
        <v>0</v>
      </c>
      <c r="G94">
        <f ca="1">IF(E94=1,(1+'Symulacja Pożyczka'!$B$7*(((Arkusz1!B94-DATE(YEAR(B94),1,1)+1)/365)+((DATE(YEAR(B93),12,31)-Arkusz1!B93)/366))),IF(F94=1,(1+'Symulacja Pożyczka'!$B$7*(((Arkusz1!B94-DATE(YEAR(B94),1,1)+1)/366)+((DATE(YEAR(B93),12,31)-Arkusz1!B93)/365))),0))</f>
        <v>0</v>
      </c>
      <c r="H94">
        <f t="shared" ca="1" si="11"/>
        <v>0</v>
      </c>
      <c r="I94">
        <f t="shared" ca="1" si="12"/>
        <v>1.0052602739726026</v>
      </c>
      <c r="J94">
        <f t="shared" ca="1" si="13"/>
        <v>1.0052602739726026</v>
      </c>
      <c r="K94">
        <f ca="1">PRODUCT($J$3:J94)</f>
        <v>1.6271962915952971</v>
      </c>
      <c r="L94">
        <f t="shared" ca="1" si="14"/>
        <v>0.61455400627763468</v>
      </c>
      <c r="M94">
        <f ca="1">SUM($L$3:L94)</f>
        <v>72.741191817862088</v>
      </c>
      <c r="O94">
        <f ca="1">(Q93*Arkusz1!J94)-Q93</f>
        <v>1955.5225215548999</v>
      </c>
      <c r="P94" s="16">
        <f t="shared" ca="1" si="15"/>
        <v>11913.638350784831</v>
      </c>
      <c r="Q94" s="17">
        <f t="shared" ca="1" si="16"/>
        <v>359839.34100731171</v>
      </c>
    </row>
    <row r="95" spans="1:17" x14ac:dyDescent="0.35">
      <c r="A95">
        <v>93</v>
      </c>
      <c r="B95" s="14">
        <f t="shared" ca="1" si="17"/>
        <v>48900</v>
      </c>
      <c r="C95" s="15">
        <f ca="1">(1+'Symulacja Pożyczka'!$B$7*(Arkusz1!B95-Arkusz1!B94)/365)</f>
        <v>1.0054356164383562</v>
      </c>
      <c r="D95" s="15">
        <f ca="1">(1+'Symulacja Pożyczka'!$B$7*(Arkusz1!B95-Arkusz1!B94)/366)</f>
        <v>1.0054207650273224</v>
      </c>
      <c r="E95" s="15">
        <f t="shared" ca="1" si="9"/>
        <v>0</v>
      </c>
      <c r="F95" s="15">
        <f t="shared" ca="1" si="10"/>
        <v>0</v>
      </c>
      <c r="G95">
        <f ca="1">IF(E95=1,(1+'Symulacja Pożyczka'!$B$7*(((Arkusz1!B95-DATE(YEAR(B95),1,1)+1)/365)+((DATE(YEAR(B94),12,31)-Arkusz1!B94)/366))),IF(F95=1,(1+'Symulacja Pożyczka'!$B$7*(((Arkusz1!B95-DATE(YEAR(B95),1,1)+1)/366)+((DATE(YEAR(B94),12,31)-Arkusz1!B94)/365))),0))</f>
        <v>0</v>
      </c>
      <c r="H95">
        <f t="shared" ca="1" si="11"/>
        <v>0</v>
      </c>
      <c r="I95">
        <f t="shared" ca="1" si="12"/>
        <v>1.0054356164383562</v>
      </c>
      <c r="J95">
        <f t="shared" ca="1" si="13"/>
        <v>1.0054356164383562</v>
      </c>
      <c r="K95">
        <f ca="1">PRODUCT($J$3:J95)</f>
        <v>1.6360411065063247</v>
      </c>
      <c r="L95">
        <f t="shared" ca="1" si="14"/>
        <v>0.61123158582209747</v>
      </c>
      <c r="M95">
        <f ca="1">SUM($L$3:L95)</f>
        <v>73.352423403684185</v>
      </c>
      <c r="O95">
        <f ca="1">(Q94*Arkusz1!J95)-Q94</f>
        <v>1955.9486371466191</v>
      </c>
      <c r="P95" s="16">
        <f t="shared" ca="1" si="15"/>
        <v>11913.212235193112</v>
      </c>
      <c r="Q95" s="17">
        <f t="shared" ca="1" si="16"/>
        <v>347926.12877211859</v>
      </c>
    </row>
    <row r="96" spans="1:17" x14ac:dyDescent="0.35">
      <c r="A96">
        <v>94</v>
      </c>
      <c r="B96" s="14">
        <f t="shared" ca="1" si="17"/>
        <v>48930</v>
      </c>
      <c r="C96" s="15">
        <f ca="1">(1+'Symulacja Pożyczka'!$B$7*(Arkusz1!B96-Arkusz1!B95)/365)</f>
        <v>1.0052602739726026</v>
      </c>
      <c r="D96" s="15">
        <f ca="1">(1+'Symulacja Pożyczka'!$B$7*(Arkusz1!B96-Arkusz1!B95)/366)</f>
        <v>1.0052459016393442</v>
      </c>
      <c r="E96" s="15">
        <f t="shared" ca="1" si="9"/>
        <v>0</v>
      </c>
      <c r="F96" s="15">
        <f t="shared" ca="1" si="10"/>
        <v>0</v>
      </c>
      <c r="G96">
        <f ca="1">IF(E96=1,(1+'Symulacja Pożyczka'!$B$7*(((Arkusz1!B96-DATE(YEAR(B96),1,1)+1)/365)+((DATE(YEAR(B95),12,31)-Arkusz1!B95)/366))),IF(F96=1,(1+'Symulacja Pożyczka'!$B$7*(((Arkusz1!B96-DATE(YEAR(B96),1,1)+1)/366)+((DATE(YEAR(B95),12,31)-Arkusz1!B95)/365))),0))</f>
        <v>0</v>
      </c>
      <c r="H96">
        <f t="shared" ca="1" si="11"/>
        <v>0</v>
      </c>
      <c r="I96">
        <f t="shared" ca="1" si="12"/>
        <v>1.0052602739726026</v>
      </c>
      <c r="J96">
        <f t="shared" ca="1" si="13"/>
        <v>1.0052602739726026</v>
      </c>
      <c r="K96">
        <f ca="1">PRODUCT($J$3:J96)</f>
        <v>1.6446471309569879</v>
      </c>
      <c r="L96">
        <f t="shared" ca="1" si="14"/>
        <v>0.60803316479086889</v>
      </c>
      <c r="M96">
        <f ca="1">SUM($L$3:L96)</f>
        <v>73.960456568475053</v>
      </c>
      <c r="O96">
        <f ca="1">(Q95*Arkusz1!J96)-Q95</f>
        <v>1830.1867595683434</v>
      </c>
      <c r="P96" s="16">
        <f t="shared" ca="1" si="15"/>
        <v>12038.974112771388</v>
      </c>
      <c r="Q96" s="17">
        <f t="shared" ca="1" si="16"/>
        <v>335887.1546593472</v>
      </c>
    </row>
    <row r="97" spans="1:17" x14ac:dyDescent="0.35">
      <c r="A97">
        <v>95</v>
      </c>
      <c r="B97" s="14">
        <f t="shared" ca="1" si="17"/>
        <v>48961</v>
      </c>
      <c r="C97" s="15">
        <f ca="1">(1+'Symulacja Pożyczka'!$B$7*(Arkusz1!B97-Arkusz1!B96)/365)</f>
        <v>1.0054356164383562</v>
      </c>
      <c r="D97" s="15">
        <f ca="1">(1+'Symulacja Pożyczka'!$B$7*(Arkusz1!B97-Arkusz1!B96)/366)</f>
        <v>1.0054207650273224</v>
      </c>
      <c r="E97" s="15">
        <f t="shared" ca="1" si="9"/>
        <v>0</v>
      </c>
      <c r="F97" s="15">
        <f t="shared" ca="1" si="10"/>
        <v>0</v>
      </c>
      <c r="G97">
        <f ca="1">IF(E97=1,(1+'Symulacja Pożyczka'!$B$7*(((Arkusz1!B97-DATE(YEAR(B97),1,1)+1)/365)+((DATE(YEAR(B96),12,31)-Arkusz1!B96)/366))),IF(F97=1,(1+'Symulacja Pożyczka'!$B$7*(((Arkusz1!B97-DATE(YEAR(B97),1,1)+1)/366)+((DATE(YEAR(B96),12,31)-Arkusz1!B96)/365))),0))</f>
        <v>0</v>
      </c>
      <c r="H97">
        <f t="shared" ca="1" si="11"/>
        <v>0</v>
      </c>
      <c r="I97">
        <f t="shared" ca="1" si="12"/>
        <v>1.0054356164383562</v>
      </c>
      <c r="J97">
        <f t="shared" ca="1" si="13"/>
        <v>1.0054356164383562</v>
      </c>
      <c r="K97">
        <f ca="1">PRODUCT($J$3:J97)</f>
        <v>1.653586801937313</v>
      </c>
      <c r="L97">
        <f t="shared" ca="1" si="14"/>
        <v>0.60474599750579627</v>
      </c>
      <c r="M97">
        <f ca="1">SUM($L$3:L97)</f>
        <v>74.565202565980854</v>
      </c>
      <c r="O97">
        <f ca="1">(Q96*Arkusz1!J97)-Q96</f>
        <v>1825.7537392990198</v>
      </c>
      <c r="P97" s="16">
        <f t="shared" ca="1" si="15"/>
        <v>12043.407133040711</v>
      </c>
      <c r="Q97" s="17">
        <f t="shared" ca="1" si="16"/>
        <v>323843.74752630648</v>
      </c>
    </row>
    <row r="98" spans="1:17" x14ac:dyDescent="0.35">
      <c r="A98">
        <v>96</v>
      </c>
      <c r="B98" s="14">
        <f t="shared" ca="1" si="17"/>
        <v>48992</v>
      </c>
      <c r="C98" s="15">
        <f ca="1">(1+'Symulacja Pożyczka'!$B$7*(Arkusz1!B98-Arkusz1!B97)/365)</f>
        <v>1.0054356164383562</v>
      </c>
      <c r="D98" s="15">
        <f ca="1">(1+'Symulacja Pożyczka'!$B$7*(Arkusz1!B98-Arkusz1!B97)/366)</f>
        <v>1.0054207650273224</v>
      </c>
      <c r="E98" s="15">
        <f t="shared" ca="1" si="9"/>
        <v>0</v>
      </c>
      <c r="F98" s="15">
        <f t="shared" ca="1" si="10"/>
        <v>0</v>
      </c>
      <c r="G98">
        <f ca="1">IF(E98=1,(1+'Symulacja Pożyczka'!$B$7*(((Arkusz1!B98-DATE(YEAR(B98),1,1)+1)/365)+((DATE(YEAR(B97),12,31)-Arkusz1!B97)/366))),IF(F98=1,(1+'Symulacja Pożyczka'!$B$7*(((Arkusz1!B98-DATE(YEAR(B98),1,1)+1)/366)+((DATE(YEAR(B97),12,31)-Arkusz1!B97)/365))),0))</f>
        <v>0</v>
      </c>
      <c r="H98">
        <f t="shared" ca="1" si="11"/>
        <v>0</v>
      </c>
      <c r="I98">
        <f t="shared" ca="1" si="12"/>
        <v>1.0054356164383562</v>
      </c>
      <c r="J98">
        <f t="shared" ca="1" si="13"/>
        <v>1.0054356164383562</v>
      </c>
      <c r="K98">
        <f ca="1">PRODUCT($J$3:J98)</f>
        <v>1.6625750655401723</v>
      </c>
      <c r="L98">
        <f t="shared" ca="1" si="14"/>
        <v>0.60147660140391856</v>
      </c>
      <c r="M98">
        <f ca="1">SUM($L$3:L98)</f>
        <v>75.166679167384771</v>
      </c>
      <c r="O98">
        <f ca="1">(Q97*Arkusz1!J98)-Q97</f>
        <v>1760.2903975128429</v>
      </c>
      <c r="P98" s="16">
        <f t="shared" ca="1" si="15"/>
        <v>12108.870474826888</v>
      </c>
      <c r="Q98" s="17">
        <f t="shared" ca="1" si="16"/>
        <v>311734.87705147959</v>
      </c>
    </row>
    <row r="99" spans="1:17" x14ac:dyDescent="0.35">
      <c r="A99">
        <v>97</v>
      </c>
      <c r="B99" s="14">
        <f t="shared" ca="1" si="17"/>
        <v>49020</v>
      </c>
      <c r="C99" s="15">
        <f ca="1">(1+'Symulacja Pożyczka'!$B$7*(Arkusz1!B99-Arkusz1!B98)/365)</f>
        <v>1.004909589041096</v>
      </c>
      <c r="D99" s="15">
        <f ca="1">(1+'Symulacja Pożyczka'!$B$7*(Arkusz1!B99-Arkusz1!B98)/366)</f>
        <v>1.004896174863388</v>
      </c>
      <c r="E99" s="15">
        <f t="shared" ca="1" si="9"/>
        <v>0</v>
      </c>
      <c r="F99" s="15">
        <f t="shared" ca="1" si="10"/>
        <v>0</v>
      </c>
      <c r="G99">
        <f ca="1">IF(E99=1,(1+'Symulacja Pożyczka'!$B$7*(((Arkusz1!B99-DATE(YEAR(B99),1,1)+1)/365)+((DATE(YEAR(B98),12,31)-Arkusz1!B98)/366))),IF(F99=1,(1+'Symulacja Pożyczka'!$B$7*(((Arkusz1!B99-DATE(YEAR(B99),1,1)+1)/366)+((DATE(YEAR(B98),12,31)-Arkusz1!B98)/365))),0))</f>
        <v>0</v>
      </c>
      <c r="H99">
        <f t="shared" ca="1" si="11"/>
        <v>0</v>
      </c>
      <c r="I99">
        <f t="shared" ca="1" si="12"/>
        <v>1.004909589041096</v>
      </c>
      <c r="J99">
        <f t="shared" ca="1" si="13"/>
        <v>1.004909589041096</v>
      </c>
      <c r="K99">
        <f ca="1">PRODUCT($J$3:J99)</f>
        <v>1.6707376258619477</v>
      </c>
      <c r="L99">
        <f t="shared" ca="1" si="14"/>
        <v>0.59853802567239811</v>
      </c>
      <c r="M99">
        <f ca="1">SUM($L$3:L99)</f>
        <v>75.765217193057168</v>
      </c>
      <c r="O99">
        <f ca="1">(Q98*Arkusz1!J99)-Q98</f>
        <v>1530.490136099339</v>
      </c>
      <c r="P99" s="16">
        <f t="shared" ca="1" si="15"/>
        <v>12338.670736240392</v>
      </c>
      <c r="Q99" s="17">
        <f t="shared" ca="1" si="16"/>
        <v>299396.20631523919</v>
      </c>
    </row>
    <row r="100" spans="1:17" x14ac:dyDescent="0.35">
      <c r="A100">
        <v>98</v>
      </c>
      <c r="B100" s="14">
        <f t="shared" ca="1" si="17"/>
        <v>49051</v>
      </c>
      <c r="C100" s="15">
        <f ca="1">(1+'Symulacja Pożyczka'!$B$7*(Arkusz1!B100-Arkusz1!B99)/365)</f>
        <v>1.0054356164383562</v>
      </c>
      <c r="D100" s="15">
        <f ca="1">(1+'Symulacja Pożyczka'!$B$7*(Arkusz1!B100-Arkusz1!B99)/366)</f>
        <v>1.0054207650273224</v>
      </c>
      <c r="E100" s="15">
        <f t="shared" ca="1" si="9"/>
        <v>0</v>
      </c>
      <c r="F100" s="15">
        <f t="shared" ca="1" si="10"/>
        <v>0</v>
      </c>
      <c r="G100">
        <f ca="1">IF(E100=1,(1+'Symulacja Pożyczka'!$B$7*(((Arkusz1!B100-DATE(YEAR(B100),1,1)+1)/365)+((DATE(YEAR(B99),12,31)-Arkusz1!B99)/366))),IF(F100=1,(1+'Symulacja Pożyczka'!$B$7*(((Arkusz1!B100-DATE(YEAR(B100),1,1)+1)/366)+((DATE(YEAR(B99),12,31)-Arkusz1!B99)/365))),0))</f>
        <v>0</v>
      </c>
      <c r="H100">
        <f t="shared" ca="1" si="11"/>
        <v>0</v>
      </c>
      <c r="I100">
        <f t="shared" ca="1" si="12"/>
        <v>1.0054356164383562</v>
      </c>
      <c r="J100">
        <f t="shared" ca="1" si="13"/>
        <v>1.0054356164383562</v>
      </c>
      <c r="K100">
        <f ca="1">PRODUCT($J$3:J100)</f>
        <v>1.6798191147652632</v>
      </c>
      <c r="L100">
        <f t="shared" ca="1" si="14"/>
        <v>0.59530219129560225</v>
      </c>
      <c r="M100">
        <f ca="1">SUM($L$3:L100)</f>
        <v>76.36051938435277</v>
      </c>
      <c r="O100">
        <f ca="1">(Q99*Arkusz1!J100)-Q99</f>
        <v>1627.4029406285845</v>
      </c>
      <c r="P100" s="16">
        <f t="shared" ca="1" si="15"/>
        <v>12241.757931711147</v>
      </c>
      <c r="Q100" s="17">
        <f t="shared" ca="1" si="16"/>
        <v>287154.44838352804</v>
      </c>
    </row>
    <row r="101" spans="1:17" x14ac:dyDescent="0.35">
      <c r="A101">
        <v>99</v>
      </c>
      <c r="B101" s="14">
        <f t="shared" ca="1" si="17"/>
        <v>49081</v>
      </c>
      <c r="C101" s="15">
        <f ca="1">(1+'Symulacja Pożyczka'!$B$7*(Arkusz1!B101-Arkusz1!B100)/365)</f>
        <v>1.0052602739726026</v>
      </c>
      <c r="D101" s="15">
        <f ca="1">(1+'Symulacja Pożyczka'!$B$7*(Arkusz1!B101-Arkusz1!B100)/366)</f>
        <v>1.0052459016393442</v>
      </c>
      <c r="E101" s="15">
        <f t="shared" ca="1" si="9"/>
        <v>0</v>
      </c>
      <c r="F101" s="15">
        <f t="shared" ca="1" si="10"/>
        <v>0</v>
      </c>
      <c r="G101">
        <f ca="1">IF(E101=1,(1+'Symulacja Pożyczka'!$B$7*(((Arkusz1!B101-DATE(YEAR(B101),1,1)+1)/365)+((DATE(YEAR(B100),12,31)-Arkusz1!B100)/366))),IF(F101=1,(1+'Symulacja Pożyczka'!$B$7*(((Arkusz1!B101-DATE(YEAR(B101),1,1)+1)/366)+((DATE(YEAR(B100),12,31)-Arkusz1!B100)/365))),0))</f>
        <v>0</v>
      </c>
      <c r="H101">
        <f t="shared" ca="1" si="11"/>
        <v>0</v>
      </c>
      <c r="I101">
        <f t="shared" ca="1" si="12"/>
        <v>1.0052602739726026</v>
      </c>
      <c r="J101">
        <f t="shared" ca="1" si="13"/>
        <v>1.0052602739726026</v>
      </c>
      <c r="K101">
        <f ca="1">PRODUCT($J$3:J101)</f>
        <v>1.6886554235333433</v>
      </c>
      <c r="L101">
        <f t="shared" ca="1" si="14"/>
        <v>0.59218712477623148</v>
      </c>
      <c r="M101">
        <f ca="1">SUM($L$3:L101)</f>
        <v>76.952706509129001</v>
      </c>
      <c r="O101">
        <f ca="1">(Q100*Arkusz1!J101)-Q100</f>
        <v>1510.5110709489672</v>
      </c>
      <c r="P101" s="16">
        <f t="shared" ca="1" si="15"/>
        <v>12358.649801390764</v>
      </c>
      <c r="Q101" s="17">
        <f t="shared" ca="1" si="16"/>
        <v>274795.79858213727</v>
      </c>
    </row>
    <row r="102" spans="1:17" x14ac:dyDescent="0.35">
      <c r="A102">
        <v>100</v>
      </c>
      <c r="B102" s="14">
        <f t="shared" ca="1" si="17"/>
        <v>49112</v>
      </c>
      <c r="C102" s="15">
        <f ca="1">(1+'Symulacja Pożyczka'!$B$7*(Arkusz1!B102-Arkusz1!B101)/365)</f>
        <v>1.0054356164383562</v>
      </c>
      <c r="D102" s="15">
        <f ca="1">(1+'Symulacja Pożyczka'!$B$7*(Arkusz1!B102-Arkusz1!B101)/366)</f>
        <v>1.0054207650273224</v>
      </c>
      <c r="E102" s="15">
        <f t="shared" ca="1" si="9"/>
        <v>0</v>
      </c>
      <c r="F102" s="15">
        <f t="shared" ca="1" si="10"/>
        <v>0</v>
      </c>
      <c r="G102">
        <f ca="1">IF(E102=1,(1+'Symulacja Pożyczka'!$B$7*(((Arkusz1!B102-DATE(YEAR(B102),1,1)+1)/365)+((DATE(YEAR(B101),12,31)-Arkusz1!B101)/366))),IF(F102=1,(1+'Symulacja Pożyczka'!$B$7*(((Arkusz1!B102-DATE(YEAR(B102),1,1)+1)/366)+((DATE(YEAR(B101),12,31)-Arkusz1!B101)/365))),0))</f>
        <v>0</v>
      </c>
      <c r="H102">
        <f t="shared" ca="1" si="11"/>
        <v>0</v>
      </c>
      <c r="I102">
        <f t="shared" ca="1" si="12"/>
        <v>1.0054356164383562</v>
      </c>
      <c r="J102">
        <f t="shared" ca="1" si="13"/>
        <v>1.0054356164383562</v>
      </c>
      <c r="K102">
        <f ca="1">PRODUCT($J$3:J102)</f>
        <v>1.6978343067122206</v>
      </c>
      <c r="L102">
        <f t="shared" ca="1" si="14"/>
        <v>0.5889856248319395</v>
      </c>
      <c r="M102">
        <f ca="1">SUM($L$3:L102)</f>
        <v>77.541692133960936</v>
      </c>
      <c r="O102">
        <f ca="1">(Q101*Arkusz1!J102)-Q101</f>
        <v>1493.6845599642838</v>
      </c>
      <c r="P102" s="16">
        <f t="shared" ca="1" si="15"/>
        <v>12375.476312375447</v>
      </c>
      <c r="Q102" s="17">
        <f t="shared" ca="1" si="16"/>
        <v>262420.32226976182</v>
      </c>
    </row>
    <row r="103" spans="1:17" x14ac:dyDescent="0.35">
      <c r="A103">
        <v>101</v>
      </c>
      <c r="B103" s="14">
        <f t="shared" ca="1" si="17"/>
        <v>49142</v>
      </c>
      <c r="C103" s="15">
        <f ca="1">(1+'Symulacja Pożyczka'!$B$7*(Arkusz1!B103-Arkusz1!B102)/365)</f>
        <v>1.0052602739726026</v>
      </c>
      <c r="D103" s="15">
        <f ca="1">(1+'Symulacja Pożyczka'!$B$7*(Arkusz1!B103-Arkusz1!B102)/366)</f>
        <v>1.0052459016393442</v>
      </c>
      <c r="E103" s="15">
        <f t="shared" ca="1" si="9"/>
        <v>0</v>
      </c>
      <c r="F103" s="15">
        <f t="shared" ca="1" si="10"/>
        <v>0</v>
      </c>
      <c r="G103">
        <f ca="1">IF(E103=1,(1+'Symulacja Pożyczka'!$B$7*(((Arkusz1!B103-DATE(YEAR(B103),1,1)+1)/365)+((DATE(YEAR(B102),12,31)-Arkusz1!B102)/366))),IF(F103=1,(1+'Symulacja Pożyczka'!$B$7*(((Arkusz1!B103-DATE(YEAR(B103),1,1)+1)/366)+((DATE(YEAR(B102),12,31)-Arkusz1!B102)/365))),0))</f>
        <v>0</v>
      </c>
      <c r="H103">
        <f t="shared" ca="1" si="11"/>
        <v>0</v>
      </c>
      <c r="I103">
        <f t="shared" ca="1" si="12"/>
        <v>1.0052602739726026</v>
      </c>
      <c r="J103">
        <f t="shared" ca="1" si="13"/>
        <v>1.0052602739726026</v>
      </c>
      <c r="K103">
        <f ca="1">PRODUCT($J$3:J103)</f>
        <v>1.7067653803256106</v>
      </c>
      <c r="L103">
        <f t="shared" ca="1" si="14"/>
        <v>0.58590361131488589</v>
      </c>
      <c r="M103">
        <f ca="1">SUM($L$3:L103)</f>
        <v>78.127595745275826</v>
      </c>
      <c r="O103">
        <f ca="1">(Q102*Arkusz1!J103)-Q102</f>
        <v>1380.402791117609</v>
      </c>
      <c r="P103" s="16">
        <f t="shared" ca="1" si="15"/>
        <v>12488.758081222122</v>
      </c>
      <c r="Q103" s="17">
        <f t="shared" ca="1" si="16"/>
        <v>249931.56418853969</v>
      </c>
    </row>
    <row r="104" spans="1:17" x14ac:dyDescent="0.35">
      <c r="A104">
        <v>102</v>
      </c>
      <c r="B104" s="14">
        <f t="shared" ca="1" si="17"/>
        <v>49173</v>
      </c>
      <c r="C104" s="15">
        <f ca="1">(1+'Symulacja Pożyczka'!$B$7*(Arkusz1!B104-Arkusz1!B103)/365)</f>
        <v>1.0054356164383562</v>
      </c>
      <c r="D104" s="15">
        <f ca="1">(1+'Symulacja Pożyczka'!$B$7*(Arkusz1!B104-Arkusz1!B103)/366)</f>
        <v>1.0054207650273224</v>
      </c>
      <c r="E104" s="15">
        <f t="shared" ca="1" si="9"/>
        <v>0</v>
      </c>
      <c r="F104" s="15">
        <f t="shared" ca="1" si="10"/>
        <v>0</v>
      </c>
      <c r="G104">
        <f ca="1">IF(E104=1,(1+'Symulacja Pożyczka'!$B$7*(((Arkusz1!B104-DATE(YEAR(B104),1,1)+1)/365)+((DATE(YEAR(B103),12,31)-Arkusz1!B103)/366))),IF(F104=1,(1+'Symulacja Pożyczka'!$B$7*(((Arkusz1!B104-DATE(YEAR(B104),1,1)+1)/366)+((DATE(YEAR(B103),12,31)-Arkusz1!B103)/365))),0))</f>
        <v>0</v>
      </c>
      <c r="H104">
        <f t="shared" ca="1" si="11"/>
        <v>0</v>
      </c>
      <c r="I104">
        <f t="shared" ca="1" si="12"/>
        <v>1.0054356164383562</v>
      </c>
      <c r="J104">
        <f t="shared" ca="1" si="13"/>
        <v>1.0054356164383562</v>
      </c>
      <c r="K104">
        <f ca="1">PRODUCT($J$3:J104)</f>
        <v>1.7160427022833258</v>
      </c>
      <c r="L104">
        <f t="shared" ca="1" si="14"/>
        <v>0.58273608149110956</v>
      </c>
      <c r="M104">
        <f ca="1">SUM($L$3:L104)</f>
        <v>78.710331826766932</v>
      </c>
      <c r="O104">
        <f ca="1">(Q103*Arkusz1!J104)-Q103</f>
        <v>1358.5321187672962</v>
      </c>
      <c r="P104" s="16">
        <f t="shared" ca="1" si="15"/>
        <v>12510.628753572435</v>
      </c>
      <c r="Q104" s="17">
        <f t="shared" ca="1" si="16"/>
        <v>237420.93543496725</v>
      </c>
    </row>
    <row r="105" spans="1:17" x14ac:dyDescent="0.35">
      <c r="A105">
        <v>103</v>
      </c>
      <c r="B105" s="14">
        <f t="shared" ca="1" si="17"/>
        <v>49204</v>
      </c>
      <c r="C105" s="15">
        <f ca="1">(1+'Symulacja Pożyczka'!$B$7*(Arkusz1!B105-Arkusz1!B104)/365)</f>
        <v>1.0054356164383562</v>
      </c>
      <c r="D105" s="15">
        <f ca="1">(1+'Symulacja Pożyczka'!$B$7*(Arkusz1!B105-Arkusz1!B104)/366)</f>
        <v>1.0054207650273224</v>
      </c>
      <c r="E105" s="15">
        <f t="shared" ca="1" si="9"/>
        <v>0</v>
      </c>
      <c r="F105" s="15">
        <f t="shared" ca="1" si="10"/>
        <v>0</v>
      </c>
      <c r="G105">
        <f ca="1">IF(E105=1,(1+'Symulacja Pożyczka'!$B$7*(((Arkusz1!B105-DATE(YEAR(B105),1,1)+1)/365)+((DATE(YEAR(B104),12,31)-Arkusz1!B104)/366))),IF(F105=1,(1+'Symulacja Pożyczka'!$B$7*(((Arkusz1!B105-DATE(YEAR(B105),1,1)+1)/366)+((DATE(YEAR(B104),12,31)-Arkusz1!B104)/365))),0))</f>
        <v>0</v>
      </c>
      <c r="H105">
        <f t="shared" ca="1" si="11"/>
        <v>0</v>
      </c>
      <c r="I105">
        <f t="shared" ca="1" si="12"/>
        <v>1.0054356164383562</v>
      </c>
      <c r="J105">
        <f t="shared" ca="1" si="13"/>
        <v>1.0054356164383562</v>
      </c>
      <c r="K105">
        <f ca="1">PRODUCT($J$3:J105)</f>
        <v>1.7253704522047784</v>
      </c>
      <c r="L105">
        <f t="shared" ca="1" si="14"/>
        <v>0.57958567606286637</v>
      </c>
      <c r="M105">
        <f ca="1">SUM($L$3:L105)</f>
        <v>79.289917502829795</v>
      </c>
      <c r="O105">
        <f ca="1">(Q104*Arkusz1!J105)-Q104</f>
        <v>1290.52913946021</v>
      </c>
      <c r="P105" s="16">
        <f t="shared" ca="1" si="15"/>
        <v>12578.631732879521</v>
      </c>
      <c r="Q105" s="17">
        <f t="shared" ca="1" si="16"/>
        <v>224842.30370208772</v>
      </c>
    </row>
    <row r="106" spans="1:17" x14ac:dyDescent="0.35">
      <c r="A106">
        <v>104</v>
      </c>
      <c r="B106" s="14">
        <f t="shared" ca="1" si="17"/>
        <v>49234</v>
      </c>
      <c r="C106" s="15">
        <f ca="1">(1+'Symulacja Pożyczka'!$B$7*(Arkusz1!B106-Arkusz1!B105)/365)</f>
        <v>1.0052602739726026</v>
      </c>
      <c r="D106" s="15">
        <f ca="1">(1+'Symulacja Pożyczka'!$B$7*(Arkusz1!B106-Arkusz1!B105)/366)</f>
        <v>1.0052459016393442</v>
      </c>
      <c r="E106" s="15">
        <f t="shared" ca="1" si="9"/>
        <v>0</v>
      </c>
      <c r="F106" s="15">
        <f t="shared" ca="1" si="10"/>
        <v>0</v>
      </c>
      <c r="G106">
        <f ca="1">IF(E106=1,(1+'Symulacja Pożyczka'!$B$7*(((Arkusz1!B106-DATE(YEAR(B106),1,1)+1)/365)+((DATE(YEAR(B105),12,31)-Arkusz1!B105)/366))),IF(F106=1,(1+'Symulacja Pożyczka'!$B$7*(((Arkusz1!B106-DATE(YEAR(B106),1,1)+1)/366)+((DATE(YEAR(B105),12,31)-Arkusz1!B105)/365))),0))</f>
        <v>0</v>
      </c>
      <c r="H106">
        <f t="shared" ca="1" si="11"/>
        <v>0</v>
      </c>
      <c r="I106">
        <f t="shared" ca="1" si="12"/>
        <v>1.0052602739726026</v>
      </c>
      <c r="J106">
        <f t="shared" ca="1" si="13"/>
        <v>1.0052602739726026</v>
      </c>
      <c r="K106">
        <f ca="1">PRODUCT($J$3:J106)</f>
        <v>1.7344463734876088</v>
      </c>
      <c r="L106">
        <f t="shared" ca="1" si="14"/>
        <v>0.57655285011159452</v>
      </c>
      <c r="M106">
        <f ca="1">SUM($L$3:L106)</f>
        <v>79.866470352941391</v>
      </c>
      <c r="O106">
        <f ca="1">(Q105*Arkusz1!J106)-Q105</f>
        <v>1182.7321181041189</v>
      </c>
      <c r="P106" s="16">
        <f t="shared" ca="1" si="15"/>
        <v>12686.428754235612</v>
      </c>
      <c r="Q106" s="17">
        <f t="shared" ca="1" si="16"/>
        <v>212155.87494785211</v>
      </c>
    </row>
    <row r="107" spans="1:17" x14ac:dyDescent="0.35">
      <c r="A107">
        <v>105</v>
      </c>
      <c r="B107" s="14">
        <f t="shared" ca="1" si="17"/>
        <v>49265</v>
      </c>
      <c r="C107" s="15">
        <f ca="1">(1+'Symulacja Pożyczka'!$B$7*(Arkusz1!B107-Arkusz1!B106)/365)</f>
        <v>1.0054356164383562</v>
      </c>
      <c r="D107" s="15">
        <f ca="1">(1+'Symulacja Pożyczka'!$B$7*(Arkusz1!B107-Arkusz1!B106)/366)</f>
        <v>1.0054207650273224</v>
      </c>
      <c r="E107" s="15">
        <f t="shared" ca="1" si="9"/>
        <v>0</v>
      </c>
      <c r="F107" s="15">
        <f t="shared" ca="1" si="10"/>
        <v>0</v>
      </c>
      <c r="G107">
        <f ca="1">IF(E107=1,(1+'Symulacja Pożyczka'!$B$7*(((Arkusz1!B107-DATE(YEAR(B107),1,1)+1)/365)+((DATE(YEAR(B106),12,31)-Arkusz1!B106)/366))),IF(F107=1,(1+'Symulacja Pożyczka'!$B$7*(((Arkusz1!B107-DATE(YEAR(B107),1,1)+1)/366)+((DATE(YEAR(B106),12,31)-Arkusz1!B106)/365))),0))</f>
        <v>0</v>
      </c>
      <c r="H107">
        <f t="shared" ca="1" si="11"/>
        <v>0</v>
      </c>
      <c r="I107">
        <f t="shared" ca="1" si="12"/>
        <v>1.0054356164383562</v>
      </c>
      <c r="J107">
        <f t="shared" ca="1" si="13"/>
        <v>1.0054356164383562</v>
      </c>
      <c r="K107">
        <f ca="1">PRODUCT($J$3:J107)</f>
        <v>1.7438741587067854</v>
      </c>
      <c r="L107">
        <f t="shared" ca="1" si="14"/>
        <v>0.57343587265584328</v>
      </c>
      <c r="M107">
        <f ca="1">SUM($L$3:L107)</f>
        <v>80.439906225597241</v>
      </c>
      <c r="O107">
        <f ca="1">(Q106*Arkusz1!J107)-Q106</f>
        <v>1153.1979613603908</v>
      </c>
      <c r="P107" s="16">
        <f t="shared" ca="1" si="15"/>
        <v>12715.96291097934</v>
      </c>
      <c r="Q107" s="17">
        <f t="shared" ca="1" si="16"/>
        <v>199439.91203687276</v>
      </c>
    </row>
    <row r="108" spans="1:17" x14ac:dyDescent="0.35">
      <c r="A108">
        <v>106</v>
      </c>
      <c r="B108" s="14">
        <f t="shared" ca="1" si="17"/>
        <v>49295</v>
      </c>
      <c r="C108" s="15">
        <f ca="1">(1+'Symulacja Pożyczka'!$B$7*(Arkusz1!B108-Arkusz1!B107)/365)</f>
        <v>1.0052602739726026</v>
      </c>
      <c r="D108" s="15">
        <f ca="1">(1+'Symulacja Pożyczka'!$B$7*(Arkusz1!B108-Arkusz1!B107)/366)</f>
        <v>1.0052459016393442</v>
      </c>
      <c r="E108" s="15">
        <f t="shared" ca="1" si="9"/>
        <v>0</v>
      </c>
      <c r="F108" s="15">
        <f t="shared" ca="1" si="10"/>
        <v>0</v>
      </c>
      <c r="G108">
        <f ca="1">IF(E108=1,(1+'Symulacja Pożyczka'!$B$7*(((Arkusz1!B108-DATE(YEAR(B108),1,1)+1)/365)+((DATE(YEAR(B107),12,31)-Arkusz1!B107)/366))),IF(F108=1,(1+'Symulacja Pożyczka'!$B$7*(((Arkusz1!B108-DATE(YEAR(B108),1,1)+1)/366)+((DATE(YEAR(B107),12,31)-Arkusz1!B107)/365))),0))</f>
        <v>0</v>
      </c>
      <c r="H108">
        <f t="shared" ca="1" si="11"/>
        <v>0</v>
      </c>
      <c r="I108">
        <f t="shared" ca="1" si="12"/>
        <v>1.0052602739726026</v>
      </c>
      <c r="J108">
        <f t="shared" ca="1" si="13"/>
        <v>1.0052602739726026</v>
      </c>
      <c r="K108">
        <f ca="1">PRODUCT($J$3:J108)</f>
        <v>1.753047414555325</v>
      </c>
      <c r="L108">
        <f t="shared" ca="1" si="14"/>
        <v>0.57043522707779026</v>
      </c>
      <c r="M108">
        <f ca="1">SUM($L$3:L108)</f>
        <v>81.010341452675036</v>
      </c>
      <c r="O108">
        <f ca="1">(Q107*Arkusz1!J108)-Q107</f>
        <v>1049.108578385727</v>
      </c>
      <c r="P108" s="16">
        <f t="shared" ca="1" si="15"/>
        <v>12820.052293954004</v>
      </c>
      <c r="Q108" s="17">
        <f t="shared" ca="1" si="16"/>
        <v>186619.85974291875</v>
      </c>
    </row>
    <row r="109" spans="1:17" x14ac:dyDescent="0.35">
      <c r="A109">
        <v>107</v>
      </c>
      <c r="B109" s="14">
        <f t="shared" ca="1" si="17"/>
        <v>49326</v>
      </c>
      <c r="C109" s="15">
        <f ca="1">(1+'Symulacja Pożyczka'!$B$7*(Arkusz1!B109-Arkusz1!B108)/365)</f>
        <v>1.0054356164383562</v>
      </c>
      <c r="D109" s="15">
        <f ca="1">(1+'Symulacja Pożyczka'!$B$7*(Arkusz1!B109-Arkusz1!B108)/366)</f>
        <v>1.0054207650273224</v>
      </c>
      <c r="E109" s="15">
        <f t="shared" ca="1" si="9"/>
        <v>0</v>
      </c>
      <c r="F109" s="15">
        <f t="shared" ca="1" si="10"/>
        <v>0</v>
      </c>
      <c r="G109">
        <f ca="1">IF(E109=1,(1+'Symulacja Pożyczka'!$B$7*(((Arkusz1!B109-DATE(YEAR(B109),1,1)+1)/365)+((DATE(YEAR(B108),12,31)-Arkusz1!B108)/366))),IF(F109=1,(1+'Symulacja Pożyczka'!$B$7*(((Arkusz1!B109-DATE(YEAR(B109),1,1)+1)/366)+((DATE(YEAR(B108),12,31)-Arkusz1!B108)/365))),0))</f>
        <v>0</v>
      </c>
      <c r="H109">
        <f t="shared" ca="1" si="11"/>
        <v>0</v>
      </c>
      <c r="I109">
        <f t="shared" ca="1" si="12"/>
        <v>1.0054356164383562</v>
      </c>
      <c r="J109">
        <f t="shared" ca="1" si="13"/>
        <v>1.0054356164383562</v>
      </c>
      <c r="K109">
        <f ca="1">PRODUCT($J$3:J109)</f>
        <v>1.7625763078990997</v>
      </c>
      <c r="L109">
        <f t="shared" ca="1" si="14"/>
        <v>0.56735132290070811</v>
      </c>
      <c r="M109">
        <f ca="1">SUM($L$3:L109)</f>
        <v>81.577692775575741</v>
      </c>
      <c r="O109">
        <f ca="1">(Q108*Arkusz1!J109)-Q108</f>
        <v>1014.3939773423481</v>
      </c>
      <c r="P109" s="16">
        <f t="shared" ca="1" si="15"/>
        <v>12854.766894997383</v>
      </c>
      <c r="Q109" s="17">
        <f t="shared" ca="1" si="16"/>
        <v>173765.09284792136</v>
      </c>
    </row>
    <row r="110" spans="1:17" x14ac:dyDescent="0.35">
      <c r="A110">
        <v>108</v>
      </c>
      <c r="B110" s="14">
        <f t="shared" ca="1" si="17"/>
        <v>49357</v>
      </c>
      <c r="C110" s="15">
        <f ca="1">(1+'Symulacja Pożyczka'!$B$7*(Arkusz1!B110-Arkusz1!B109)/365)</f>
        <v>1.0054356164383562</v>
      </c>
      <c r="D110" s="15">
        <f ca="1">(1+'Symulacja Pożyczka'!$B$7*(Arkusz1!B110-Arkusz1!B109)/366)</f>
        <v>1.0054207650273224</v>
      </c>
      <c r="E110" s="15">
        <f t="shared" ca="1" si="9"/>
        <v>0</v>
      </c>
      <c r="F110" s="15">
        <f t="shared" ca="1" si="10"/>
        <v>0</v>
      </c>
      <c r="G110">
        <f ca="1">IF(E110=1,(1+'Symulacja Pożyczka'!$B$7*(((Arkusz1!B110-DATE(YEAR(B110),1,1)+1)/365)+((DATE(YEAR(B109),12,31)-Arkusz1!B109)/366))),IF(F110=1,(1+'Symulacja Pożyczka'!$B$7*(((Arkusz1!B110-DATE(YEAR(B110),1,1)+1)/366)+((DATE(YEAR(B109),12,31)-Arkusz1!B109)/365))),0))</f>
        <v>0</v>
      </c>
      <c r="H110">
        <f t="shared" ca="1" si="11"/>
        <v>0</v>
      </c>
      <c r="I110">
        <f t="shared" ca="1" si="12"/>
        <v>1.0054356164383562</v>
      </c>
      <c r="J110">
        <f t="shared" ca="1" si="13"/>
        <v>1.0054356164383562</v>
      </c>
      <c r="K110">
        <f ca="1">PRODUCT($J$3:J110)</f>
        <v>1.7721569966521733</v>
      </c>
      <c r="L110">
        <f t="shared" ca="1" si="14"/>
        <v>0.56428409101965871</v>
      </c>
      <c r="M110">
        <f ca="1">SUM($L$3:L110)</f>
        <v>82.1419768665954</v>
      </c>
      <c r="O110">
        <f ca="1">(Q109*Arkusz1!J110)-Q109</f>
        <v>944.52039509665337</v>
      </c>
      <c r="P110" s="16">
        <f t="shared" ca="1" si="15"/>
        <v>12924.640477243078</v>
      </c>
      <c r="Q110" s="17">
        <f t="shared" ca="1" si="16"/>
        <v>160840.45237067828</v>
      </c>
    </row>
    <row r="111" spans="1:17" x14ac:dyDescent="0.35">
      <c r="A111">
        <v>109</v>
      </c>
      <c r="B111" s="14">
        <f t="shared" ca="1" si="17"/>
        <v>49385</v>
      </c>
      <c r="C111" s="15">
        <f ca="1">(1+'Symulacja Pożyczka'!$B$7*(Arkusz1!B111-Arkusz1!B110)/365)</f>
        <v>1.004909589041096</v>
      </c>
      <c r="D111" s="15">
        <f ca="1">(1+'Symulacja Pożyczka'!$B$7*(Arkusz1!B111-Arkusz1!B110)/366)</f>
        <v>1.004896174863388</v>
      </c>
      <c r="E111" s="15">
        <f t="shared" ca="1" si="9"/>
        <v>0</v>
      </c>
      <c r="F111" s="15">
        <f t="shared" ca="1" si="10"/>
        <v>0</v>
      </c>
      <c r="G111">
        <f ca="1">IF(E111=1,(1+'Symulacja Pożyczka'!$B$7*(((Arkusz1!B111-DATE(YEAR(B111),1,1)+1)/365)+((DATE(YEAR(B110),12,31)-Arkusz1!B110)/366))),IF(F111=1,(1+'Symulacja Pożyczka'!$B$7*(((Arkusz1!B111-DATE(YEAR(B111),1,1)+1)/366)+((DATE(YEAR(B110),12,31)-Arkusz1!B110)/365))),0))</f>
        <v>0</v>
      </c>
      <c r="H111">
        <f t="shared" ca="1" si="11"/>
        <v>0</v>
      </c>
      <c r="I111">
        <f t="shared" ca="1" si="12"/>
        <v>1.004909589041096</v>
      </c>
      <c r="J111">
        <f t="shared" ca="1" si="13"/>
        <v>1.004909589041096</v>
      </c>
      <c r="K111">
        <f ca="1">PRODUCT($J$3:J111)</f>
        <v>1.7808575592220384</v>
      </c>
      <c r="L111">
        <f t="shared" ca="1" si="14"/>
        <v>0.5615272231187578</v>
      </c>
      <c r="M111">
        <f ca="1">SUM($L$3:L111)</f>
        <v>82.703504089714158</v>
      </c>
      <c r="O111">
        <f ca="1">(Q110*Arkusz1!J111)-Q110</f>
        <v>789.66052232400398</v>
      </c>
      <c r="P111" s="16">
        <f t="shared" ca="1" si="15"/>
        <v>13079.500350015727</v>
      </c>
      <c r="Q111" s="17">
        <f t="shared" ca="1" si="16"/>
        <v>147760.95202066255</v>
      </c>
    </row>
    <row r="112" spans="1:17" x14ac:dyDescent="0.35">
      <c r="A112">
        <v>110</v>
      </c>
      <c r="B112" s="14">
        <f t="shared" ca="1" si="17"/>
        <v>49416</v>
      </c>
      <c r="C112" s="15">
        <f ca="1">(1+'Symulacja Pożyczka'!$B$7*(Arkusz1!B112-Arkusz1!B111)/365)</f>
        <v>1.0054356164383562</v>
      </c>
      <c r="D112" s="15">
        <f ca="1">(1+'Symulacja Pożyczka'!$B$7*(Arkusz1!B112-Arkusz1!B111)/366)</f>
        <v>1.0054207650273224</v>
      </c>
      <c r="E112" s="15">
        <f t="shared" ca="1" si="9"/>
        <v>0</v>
      </c>
      <c r="F112" s="15">
        <f t="shared" ca="1" si="10"/>
        <v>0</v>
      </c>
      <c r="G112">
        <f ca="1">IF(E112=1,(1+'Symulacja Pożyczka'!$B$7*(((Arkusz1!B112-DATE(YEAR(B112),1,1)+1)/365)+((DATE(YEAR(B111),12,31)-Arkusz1!B111)/366))),IF(F112=1,(1+'Symulacja Pożyczka'!$B$7*(((Arkusz1!B112-DATE(YEAR(B112),1,1)+1)/366)+((DATE(YEAR(B111),12,31)-Arkusz1!B111)/365))),0))</f>
        <v>0</v>
      </c>
      <c r="H112">
        <f t="shared" ca="1" si="11"/>
        <v>0</v>
      </c>
      <c r="I112">
        <f t="shared" ca="1" si="12"/>
        <v>1.0054356164383562</v>
      </c>
      <c r="J112">
        <f t="shared" ca="1" si="13"/>
        <v>1.0054356164383562</v>
      </c>
      <c r="K112">
        <f ca="1">PRODUCT($J$3:J112)</f>
        <v>1.7905376178453165</v>
      </c>
      <c r="L112">
        <f t="shared" ca="1" si="14"/>
        <v>0.55849147766209595</v>
      </c>
      <c r="M112">
        <f ca="1">SUM($L$3:L112)</f>
        <v>83.26199556737626</v>
      </c>
      <c r="O112">
        <f ca="1">(Q111*Arkusz1!J112)-Q111</f>
        <v>803.17185975066968</v>
      </c>
      <c r="P112" s="16">
        <f t="shared" ca="1" si="15"/>
        <v>13065.989012589062</v>
      </c>
      <c r="Q112" s="17">
        <f t="shared" ca="1" si="16"/>
        <v>134694.96300807348</v>
      </c>
    </row>
    <row r="113" spans="1:17" x14ac:dyDescent="0.35">
      <c r="A113">
        <v>111</v>
      </c>
      <c r="B113" s="14">
        <f t="shared" ca="1" si="17"/>
        <v>49446</v>
      </c>
      <c r="C113" s="15">
        <f ca="1">(1+'Symulacja Pożyczka'!$B$7*(Arkusz1!B113-Arkusz1!B112)/365)</f>
        <v>1.0052602739726026</v>
      </c>
      <c r="D113" s="15">
        <f ca="1">(1+'Symulacja Pożyczka'!$B$7*(Arkusz1!B113-Arkusz1!B112)/366)</f>
        <v>1.0052459016393442</v>
      </c>
      <c r="E113" s="15">
        <f t="shared" ca="1" si="9"/>
        <v>0</v>
      </c>
      <c r="F113" s="15">
        <f t="shared" ca="1" si="10"/>
        <v>0</v>
      </c>
      <c r="G113">
        <f ca="1">IF(E113=1,(1+'Symulacja Pożyczka'!$B$7*(((Arkusz1!B113-DATE(YEAR(B113),1,1)+1)/365)+((DATE(YEAR(B112),12,31)-Arkusz1!B112)/366))),IF(F113=1,(1+'Symulacja Pożyczka'!$B$7*(((Arkusz1!B113-DATE(YEAR(B113),1,1)+1)/366)+((DATE(YEAR(B112),12,31)-Arkusz1!B112)/365))),0))</f>
        <v>0</v>
      </c>
      <c r="H113">
        <f t="shared" ca="1" si="11"/>
        <v>0</v>
      </c>
      <c r="I113">
        <f t="shared" ca="1" si="12"/>
        <v>1.0052602739726026</v>
      </c>
      <c r="J113">
        <f t="shared" ca="1" si="13"/>
        <v>1.0052602739726026</v>
      </c>
      <c r="K113">
        <f ca="1">PRODUCT($J$3:J113)</f>
        <v>1.7999563362734341</v>
      </c>
      <c r="L113">
        <f t="shared" ca="1" si="14"/>
        <v>0.55556903234128707</v>
      </c>
      <c r="M113">
        <f ca="1">SUM($L$3:L113)</f>
        <v>83.817564599717542</v>
      </c>
      <c r="O113">
        <f ca="1">(Q112*Arkusz1!J113)-Q112</f>
        <v>708.53240815203753</v>
      </c>
      <c r="P113" s="16">
        <f t="shared" ca="1" si="15"/>
        <v>13160.628464187694</v>
      </c>
      <c r="Q113" s="17">
        <f t="shared" ca="1" si="16"/>
        <v>121534.33454388578</v>
      </c>
    </row>
    <row r="114" spans="1:17" x14ac:dyDescent="0.35">
      <c r="A114">
        <v>112</v>
      </c>
      <c r="B114" s="14">
        <f t="shared" ca="1" si="17"/>
        <v>49477</v>
      </c>
      <c r="C114" s="15">
        <f ca="1">(1+'Symulacja Pożyczka'!$B$7*(Arkusz1!B114-Arkusz1!B113)/365)</f>
        <v>1.0054356164383562</v>
      </c>
      <c r="D114" s="15">
        <f ca="1">(1+'Symulacja Pożyczka'!$B$7*(Arkusz1!B114-Arkusz1!B113)/366)</f>
        <v>1.0054207650273224</v>
      </c>
      <c r="E114" s="15">
        <f t="shared" ca="1" si="9"/>
        <v>0</v>
      </c>
      <c r="F114" s="15">
        <f t="shared" ca="1" si="10"/>
        <v>0</v>
      </c>
      <c r="G114">
        <f ca="1">IF(E114=1,(1+'Symulacja Pożyczka'!$B$7*(((Arkusz1!B114-DATE(YEAR(B114),1,1)+1)/365)+((DATE(YEAR(B113),12,31)-Arkusz1!B113)/366))),IF(F114=1,(1+'Symulacja Pożyczka'!$B$7*(((Arkusz1!B114-DATE(YEAR(B114),1,1)+1)/366)+((DATE(YEAR(B113),12,31)-Arkusz1!B113)/365))),0))</f>
        <v>0</v>
      </c>
      <c r="H114">
        <f t="shared" ca="1" si="11"/>
        <v>0</v>
      </c>
      <c r="I114">
        <f t="shared" ca="1" si="12"/>
        <v>1.0054356164383562</v>
      </c>
      <c r="J114">
        <f t="shared" ca="1" si="13"/>
        <v>1.0054356164383562</v>
      </c>
      <c r="K114">
        <f ca="1">PRODUCT($J$3:J114)</f>
        <v>1.8097402085232055</v>
      </c>
      <c r="L114">
        <f t="shared" ca="1" si="14"/>
        <v>0.55256549823580792</v>
      </c>
      <c r="M114">
        <f ca="1">SUM($L$3:L114)</f>
        <v>84.37013009795335</v>
      </c>
      <c r="O114">
        <f ca="1">(Q113*Arkusz1!J114)-Q113</f>
        <v>660.61402667143557</v>
      </c>
      <c r="P114" s="16">
        <f t="shared" ca="1" si="15"/>
        <v>13208.546845668296</v>
      </c>
      <c r="Q114" s="17">
        <f t="shared" ca="1" si="16"/>
        <v>108325.78769821748</v>
      </c>
    </row>
    <row r="115" spans="1:17" x14ac:dyDescent="0.35">
      <c r="A115">
        <v>113</v>
      </c>
      <c r="B115" s="14">
        <f t="shared" ca="1" si="17"/>
        <v>49507</v>
      </c>
      <c r="C115" s="15">
        <f ca="1">(1+'Symulacja Pożyczka'!$B$7*(Arkusz1!B115-Arkusz1!B114)/365)</f>
        <v>1.0052602739726026</v>
      </c>
      <c r="D115" s="15">
        <f ca="1">(1+'Symulacja Pożyczka'!$B$7*(Arkusz1!B115-Arkusz1!B114)/366)</f>
        <v>1.0052459016393442</v>
      </c>
      <c r="E115" s="15">
        <f t="shared" ca="1" si="9"/>
        <v>0</v>
      </c>
      <c r="F115" s="15">
        <f t="shared" ca="1" si="10"/>
        <v>0</v>
      </c>
      <c r="G115">
        <f ca="1">IF(E115=1,(1+'Symulacja Pożyczka'!$B$7*(((Arkusz1!B115-DATE(YEAR(B115),1,1)+1)/365)+((DATE(YEAR(B114),12,31)-Arkusz1!B114)/366))),IF(F115=1,(1+'Symulacja Pożyczka'!$B$7*(((Arkusz1!B115-DATE(YEAR(B115),1,1)+1)/366)+((DATE(YEAR(B114),12,31)-Arkusz1!B114)/365))),0))</f>
        <v>0</v>
      </c>
      <c r="H115">
        <f t="shared" ca="1" si="11"/>
        <v>0</v>
      </c>
      <c r="I115">
        <f t="shared" ca="1" si="12"/>
        <v>1.0052602739726026</v>
      </c>
      <c r="J115">
        <f t="shared" ca="1" si="13"/>
        <v>1.0052602739726026</v>
      </c>
      <c r="K115">
        <f ca="1">PRODUCT($J$3:J115)</f>
        <v>1.8192599378392726</v>
      </c>
      <c r="L115">
        <f t="shared" ca="1" si="14"/>
        <v>0.54967406207366709</v>
      </c>
      <c r="M115">
        <f ca="1">SUM($L$3:L115)</f>
        <v>84.919804160027013</v>
      </c>
      <c r="O115">
        <f ca="1">(Q114*Arkusz1!J115)-Q114</f>
        <v>569.82332159060752</v>
      </c>
      <c r="P115" s="16">
        <f t="shared" ca="1" si="15"/>
        <v>13299.337550749124</v>
      </c>
      <c r="Q115" s="17">
        <f t="shared" ca="1" si="16"/>
        <v>95026.450147468349</v>
      </c>
    </row>
    <row r="116" spans="1:17" x14ac:dyDescent="0.35">
      <c r="A116">
        <v>114</v>
      </c>
      <c r="B116" s="14">
        <f t="shared" ca="1" si="17"/>
        <v>49538</v>
      </c>
      <c r="C116" s="15">
        <f ca="1">(1+'Symulacja Pożyczka'!$B$7*(Arkusz1!B116-Arkusz1!B115)/365)</f>
        <v>1.0054356164383562</v>
      </c>
      <c r="D116" s="15">
        <f ca="1">(1+'Symulacja Pożyczka'!$B$7*(Arkusz1!B116-Arkusz1!B115)/366)</f>
        <v>1.0054207650273224</v>
      </c>
      <c r="E116" s="15">
        <f t="shared" ca="1" si="9"/>
        <v>0</v>
      </c>
      <c r="F116" s="15">
        <f t="shared" ca="1" si="10"/>
        <v>0</v>
      </c>
      <c r="G116">
        <f ca="1">IF(E116=1,(1+'Symulacja Pożyczka'!$B$7*(((Arkusz1!B116-DATE(YEAR(B116),1,1)+1)/365)+((DATE(YEAR(B115),12,31)-Arkusz1!B115)/366))),IF(F116=1,(1+'Symulacja Pożyczka'!$B$7*(((Arkusz1!B116-DATE(YEAR(B116),1,1)+1)/366)+((DATE(YEAR(B115),12,31)-Arkusz1!B115)/365))),0))</f>
        <v>0</v>
      </c>
      <c r="H116">
        <f t="shared" ca="1" si="11"/>
        <v>0</v>
      </c>
      <c r="I116">
        <f t="shared" ca="1" si="12"/>
        <v>1.0054356164383562</v>
      </c>
      <c r="J116">
        <f t="shared" ca="1" si="13"/>
        <v>1.0054356164383562</v>
      </c>
      <c r="K116">
        <f ca="1">PRODUCT($J$3:J116)</f>
        <v>1.8291487370630346</v>
      </c>
      <c r="L116">
        <f t="shared" ca="1" si="14"/>
        <v>0.54670239753473848</v>
      </c>
      <c r="M116">
        <f ca="1">SUM($L$3:L116)</f>
        <v>85.466506557561758</v>
      </c>
      <c r="O116">
        <f ca="1">(Q115*Arkusz1!J116)-Q115</f>
        <v>516.5273345002206</v>
      </c>
      <c r="P116" s="16">
        <f t="shared" ca="1" si="15"/>
        <v>13352.633537839511</v>
      </c>
      <c r="Q116" s="17">
        <f t="shared" ca="1" si="16"/>
        <v>81673.816609628833</v>
      </c>
    </row>
    <row r="117" spans="1:17" x14ac:dyDescent="0.35">
      <c r="A117">
        <v>115</v>
      </c>
      <c r="B117" s="14">
        <f t="shared" ca="1" si="17"/>
        <v>49569</v>
      </c>
      <c r="C117" s="15">
        <f ca="1">(1+'Symulacja Pożyczka'!$B$7*(Arkusz1!B117-Arkusz1!B116)/365)</f>
        <v>1.0054356164383562</v>
      </c>
      <c r="D117" s="15">
        <f ca="1">(1+'Symulacja Pożyczka'!$B$7*(Arkusz1!B117-Arkusz1!B116)/366)</f>
        <v>1.0054207650273224</v>
      </c>
      <c r="E117" s="15">
        <f t="shared" ca="1" si="9"/>
        <v>0</v>
      </c>
      <c r="F117" s="15">
        <f t="shared" ca="1" si="10"/>
        <v>0</v>
      </c>
      <c r="G117">
        <f ca="1">IF(E117=1,(1+'Symulacja Pożyczka'!$B$7*(((Arkusz1!B117-DATE(YEAR(B117),1,1)+1)/365)+((DATE(YEAR(B116),12,31)-Arkusz1!B116)/366))),IF(F117=1,(1+'Symulacja Pożyczka'!$B$7*(((Arkusz1!B117-DATE(YEAR(B117),1,1)+1)/366)+((DATE(YEAR(B116),12,31)-Arkusz1!B116)/365))),0))</f>
        <v>0</v>
      </c>
      <c r="H117">
        <f t="shared" ca="1" si="11"/>
        <v>0</v>
      </c>
      <c r="I117">
        <f t="shared" ca="1" si="12"/>
        <v>1.0054356164383562</v>
      </c>
      <c r="J117">
        <f t="shared" ca="1" si="13"/>
        <v>1.0054356164383562</v>
      </c>
      <c r="K117">
        <f ca="1">PRODUCT($J$3:J117)</f>
        <v>1.839091288006413</v>
      </c>
      <c r="L117">
        <f t="shared" ca="1" si="14"/>
        <v>0.54374679849851637</v>
      </c>
      <c r="M117">
        <f ca="1">SUM($L$3:L117)</f>
        <v>86.010253356060275</v>
      </c>
      <c r="O117">
        <f ca="1">(Q116*Arkusz1!J117)-Q116</f>
        <v>443.94754014658974</v>
      </c>
      <c r="P117" s="16">
        <f t="shared" ca="1" si="15"/>
        <v>13425.213332193141</v>
      </c>
      <c r="Q117" s="17">
        <f t="shared" ca="1" si="16"/>
        <v>68248.603277435686</v>
      </c>
    </row>
    <row r="118" spans="1:17" x14ac:dyDescent="0.35">
      <c r="A118">
        <v>116</v>
      </c>
      <c r="B118" s="14">
        <f t="shared" ca="1" si="17"/>
        <v>49599</v>
      </c>
      <c r="C118" s="15">
        <f ca="1">(1+'Symulacja Pożyczka'!$B$7*(Arkusz1!B118-Arkusz1!B117)/365)</f>
        <v>1.0052602739726026</v>
      </c>
      <c r="D118" s="15">
        <f ca="1">(1+'Symulacja Pożyczka'!$B$7*(Arkusz1!B118-Arkusz1!B117)/366)</f>
        <v>1.0052459016393442</v>
      </c>
      <c r="E118" s="15">
        <f t="shared" ca="1" si="9"/>
        <v>0</v>
      </c>
      <c r="F118" s="15">
        <f t="shared" ca="1" si="10"/>
        <v>0</v>
      </c>
      <c r="G118">
        <f ca="1">IF(E118=1,(1+'Symulacja Pożyczka'!$B$7*(((Arkusz1!B118-DATE(YEAR(B118),1,1)+1)/365)+((DATE(YEAR(B117),12,31)-Arkusz1!B117)/366))),IF(F118=1,(1+'Symulacja Pożyczka'!$B$7*(((Arkusz1!B118-DATE(YEAR(B118),1,1)+1)/366)+((DATE(YEAR(B117),12,31)-Arkusz1!B117)/365))),0))</f>
        <v>0</v>
      </c>
      <c r="H118">
        <f t="shared" ca="1" si="11"/>
        <v>0</v>
      </c>
      <c r="I118">
        <f t="shared" ca="1" si="12"/>
        <v>1.0052602739726026</v>
      </c>
      <c r="J118">
        <f t="shared" ca="1" si="13"/>
        <v>1.0052602739726026</v>
      </c>
      <c r="K118">
        <f ca="1">PRODUCT($J$3:J118)</f>
        <v>1.8487654120419534</v>
      </c>
      <c r="L118">
        <f t="shared" ca="1" si="14"/>
        <v>0.54090150837228412</v>
      </c>
      <c r="M118">
        <f ca="1">SUM($L$3:L118)</f>
        <v>86.551154864432561</v>
      </c>
      <c r="O118">
        <f ca="1">(Q117*Arkusz1!J118)-Q117</f>
        <v>359.00635148677975</v>
      </c>
      <c r="P118" s="16">
        <f t="shared" ca="1" si="15"/>
        <v>13510.154520852951</v>
      </c>
      <c r="Q118" s="17">
        <f t="shared" ca="1" si="16"/>
        <v>54738.448756582737</v>
      </c>
    </row>
    <row r="119" spans="1:17" x14ac:dyDescent="0.35">
      <c r="A119">
        <v>117</v>
      </c>
      <c r="B119" s="14">
        <f t="shared" ca="1" si="17"/>
        <v>49630</v>
      </c>
      <c r="C119" s="15">
        <f ca="1">(1+'Symulacja Pożyczka'!$B$7*(Arkusz1!B119-Arkusz1!B118)/365)</f>
        <v>1.0054356164383562</v>
      </c>
      <c r="D119" s="15">
        <f ca="1">(1+'Symulacja Pożyczka'!$B$7*(Arkusz1!B119-Arkusz1!B118)/366)</f>
        <v>1.0054207650273224</v>
      </c>
      <c r="E119" s="15">
        <f t="shared" ca="1" si="9"/>
        <v>0</v>
      </c>
      <c r="F119" s="15">
        <f t="shared" ca="1" si="10"/>
        <v>0</v>
      </c>
      <c r="G119">
        <f ca="1">IF(E119=1,(1+'Symulacja Pożyczka'!$B$7*(((Arkusz1!B119-DATE(YEAR(B119),1,1)+1)/365)+((DATE(YEAR(B118),12,31)-Arkusz1!B118)/366))),IF(F119=1,(1+'Symulacja Pożyczka'!$B$7*(((Arkusz1!B119-DATE(YEAR(B119),1,1)+1)/366)+((DATE(YEAR(B118),12,31)-Arkusz1!B118)/365))),0))</f>
        <v>0</v>
      </c>
      <c r="H119">
        <f t="shared" ca="1" si="11"/>
        <v>0</v>
      </c>
      <c r="I119">
        <f t="shared" ca="1" si="12"/>
        <v>1.0054356164383562</v>
      </c>
      <c r="J119">
        <f t="shared" ca="1" si="13"/>
        <v>1.0054356164383562</v>
      </c>
      <c r="K119">
        <f ca="1">PRODUCT($J$3:J119)</f>
        <v>1.858814591706313</v>
      </c>
      <c r="L119">
        <f t="shared" ca="1" si="14"/>
        <v>0.5379772702784964</v>
      </c>
      <c r="M119">
        <f ca="1">SUM($L$3:L119)</f>
        <v>87.089132134711065</v>
      </c>
      <c r="O119">
        <f ca="1">(Q118*Arkusz1!J119)-Q118</f>
        <v>297.53721187140036</v>
      </c>
      <c r="P119" s="16">
        <f t="shared" ca="1" si="15"/>
        <v>13571.623660468331</v>
      </c>
      <c r="Q119" s="17">
        <f t="shared" ca="1" si="16"/>
        <v>41166.825096114408</v>
      </c>
    </row>
    <row r="120" spans="1:17" x14ac:dyDescent="0.35">
      <c r="A120">
        <v>118</v>
      </c>
      <c r="B120" s="14">
        <f t="shared" ca="1" si="17"/>
        <v>49660</v>
      </c>
      <c r="C120" s="15">
        <f ca="1">(1+'Symulacja Pożyczka'!$B$7*(Arkusz1!B120-Arkusz1!B119)/365)</f>
        <v>1.0052602739726026</v>
      </c>
      <c r="D120" s="15">
        <f ca="1">(1+'Symulacja Pożyczka'!$B$7*(Arkusz1!B120-Arkusz1!B119)/366)</f>
        <v>1.0052459016393442</v>
      </c>
      <c r="E120" s="15">
        <f t="shared" ca="1" si="9"/>
        <v>0</v>
      </c>
      <c r="F120" s="15">
        <f t="shared" ca="1" si="10"/>
        <v>0</v>
      </c>
      <c r="G120">
        <f ca="1">IF(E120=1,(1+'Symulacja Pożyczka'!$B$7*(((Arkusz1!B120-DATE(YEAR(B120),1,1)+1)/365)+((DATE(YEAR(B119),12,31)-Arkusz1!B119)/366))),IF(F120=1,(1+'Symulacja Pożyczka'!$B$7*(((Arkusz1!B120-DATE(YEAR(B120),1,1)+1)/366)+((DATE(YEAR(B119),12,31)-Arkusz1!B119)/365))),0))</f>
        <v>0</v>
      </c>
      <c r="H120">
        <f t="shared" ca="1" si="11"/>
        <v>0</v>
      </c>
      <c r="I120">
        <f t="shared" ca="1" si="12"/>
        <v>1.0052602739726026</v>
      </c>
      <c r="J120">
        <f t="shared" ca="1" si="13"/>
        <v>1.0052602739726026</v>
      </c>
      <c r="K120">
        <f ca="1">PRODUCT($J$3:J120)</f>
        <v>1.8685924657229598</v>
      </c>
      <c r="L120">
        <f t="shared" ca="1" si="14"/>
        <v>0.53516217064115112</v>
      </c>
      <c r="M120">
        <f ca="1">SUM($L$3:L120)</f>
        <v>87.624294305352223</v>
      </c>
      <c r="O120">
        <f ca="1">(Q119*Arkusz1!J120)-Q119</f>
        <v>216.54877858777763</v>
      </c>
      <c r="P120" s="16">
        <f t="shared" ca="1" si="15"/>
        <v>13652.612093751954</v>
      </c>
      <c r="Q120" s="17">
        <f t="shared" ca="1" si="16"/>
        <v>27514.213002362456</v>
      </c>
    </row>
    <row r="121" spans="1:17" x14ac:dyDescent="0.35">
      <c r="A121">
        <v>119</v>
      </c>
      <c r="B121" s="14">
        <f t="shared" ca="1" si="17"/>
        <v>49691</v>
      </c>
      <c r="C121" s="15">
        <f ca="1">(1+'Symulacja Pożyczka'!$B$7*(Arkusz1!B121-Arkusz1!B120)/365)</f>
        <v>1.0054356164383562</v>
      </c>
      <c r="D121" s="15">
        <f ca="1">(1+'Symulacja Pożyczka'!$B$7*(Arkusz1!B121-Arkusz1!B120)/366)</f>
        <v>1.0054207650273224</v>
      </c>
      <c r="E121" s="15">
        <f t="shared" ca="1" si="9"/>
        <v>0</v>
      </c>
      <c r="F121" s="15">
        <f t="shared" ca="1" si="10"/>
        <v>1</v>
      </c>
      <c r="G121">
        <f ca="1">IF(E121=1,(1+'Symulacja Pożyczka'!$B$7*(((Arkusz1!B121-DATE(YEAR(B121),1,1)+1)/365)+((DATE(YEAR(B120),12,31)-Arkusz1!B120)/366))),IF(F121=1,(1+'Symulacja Pożyczka'!$B$7*(((Arkusz1!B121-DATE(YEAR(B121),1,1)+1)/366)+((DATE(YEAR(B120),12,31)-Arkusz1!B120)/365))),0))</f>
        <v>1.0054274721161764</v>
      </c>
      <c r="H121">
        <f t="shared" ca="1" si="11"/>
        <v>1</v>
      </c>
      <c r="I121">
        <f t="shared" ca="1" si="12"/>
        <v>1.0054207650273224</v>
      </c>
      <c r="J121">
        <f t="shared" ca="1" si="13"/>
        <v>1.0054274721161764</v>
      </c>
      <c r="K121">
        <f ca="1">PRODUCT($J$3:J121)</f>
        <v>1.8787341992271684</v>
      </c>
      <c r="L121">
        <f t="shared" ca="1" si="14"/>
        <v>0.53227327229757015</v>
      </c>
      <c r="M121">
        <f ca="1">SUM($L$3:L121)</f>
        <v>88.156567577649795</v>
      </c>
      <c r="O121">
        <f ca="1">(Q120*Arkusz1!J121)-Q120</f>
        <v>149.33262386886054</v>
      </c>
      <c r="P121" s="16">
        <f t="shared" ca="1" si="15"/>
        <v>13719.828248470871</v>
      </c>
      <c r="Q121" s="17">
        <f t="shared" ca="1" si="16"/>
        <v>13794.384753891585</v>
      </c>
    </row>
    <row r="122" spans="1:17" x14ac:dyDescent="0.35">
      <c r="A122">
        <v>120</v>
      </c>
      <c r="B122" s="14">
        <f t="shared" ca="1" si="17"/>
        <v>49722</v>
      </c>
      <c r="C122" s="15">
        <f ca="1">(1+'Symulacja Pożyczka'!$B$7*(Arkusz1!B122-Arkusz1!B121)/365)</f>
        <v>1.0054356164383562</v>
      </c>
      <c r="D122" s="15">
        <f ca="1">(1+'Symulacja Pożyczka'!$B$7*(Arkusz1!B122-Arkusz1!B121)/366)</f>
        <v>1.0054207650273224</v>
      </c>
      <c r="E122" s="15">
        <f t="shared" ca="1" si="9"/>
        <v>0</v>
      </c>
      <c r="F122" s="15">
        <f t="shared" ca="1" si="10"/>
        <v>0</v>
      </c>
      <c r="G122">
        <f ca="1">IF(E122=1,(1+'Symulacja Pożyczka'!$B$7*(((Arkusz1!B122-DATE(YEAR(B122),1,1)+1)/365)+((DATE(YEAR(B121),12,31)-Arkusz1!B121)/366))),IF(F122=1,(1+'Symulacja Pożyczka'!$B$7*(((Arkusz1!B122-DATE(YEAR(B122),1,1)+1)/366)+((DATE(YEAR(B121),12,31)-Arkusz1!B121)/365))),0))</f>
        <v>0</v>
      </c>
      <c r="H122">
        <f t="shared" ca="1" si="11"/>
        <v>1</v>
      </c>
      <c r="I122">
        <f t="shared" ca="1" si="12"/>
        <v>1.0054207650273224</v>
      </c>
      <c r="J122">
        <f t="shared" ca="1" si="13"/>
        <v>1.0054207650273224</v>
      </c>
      <c r="K122">
        <f ca="1">PRODUCT($J$3:J122)</f>
        <v>1.8889183758699735</v>
      </c>
      <c r="L122">
        <f t="shared" ca="1" si="14"/>
        <v>0.52940350031770589</v>
      </c>
      <c r="M122">
        <f ca="1">SUM($L$3:L122)</f>
        <v>88.685971077967508</v>
      </c>
      <c r="O122">
        <f ca="1">(Q121*Arkusz1!J122)-Q121</f>
        <v>74.776118447323825</v>
      </c>
      <c r="P122" s="16">
        <f t="shared" ca="1" si="15"/>
        <v>13794.384753892407</v>
      </c>
      <c r="Q122" s="17">
        <f t="shared" ca="1" si="16"/>
        <v>-8.2218321040272713E-10</v>
      </c>
    </row>
    <row r="123" spans="1:17" x14ac:dyDescent="0.35">
      <c r="A123">
        <v>121</v>
      </c>
      <c r="B123" s="14">
        <f t="shared" ca="1" si="17"/>
        <v>49751</v>
      </c>
      <c r="C123" s="15">
        <f ca="1">(1+'Symulacja Pożyczka'!$B$7*(Arkusz1!B123-Arkusz1!B122)/365)</f>
        <v>1.0050849315068493</v>
      </c>
      <c r="D123" s="15">
        <f ca="1">(1+'Symulacja Pożyczka'!$B$7*(Arkusz1!B123-Arkusz1!B122)/366)</f>
        <v>1.0050710382513661</v>
      </c>
      <c r="E123" s="15">
        <f t="shared" ca="1" si="9"/>
        <v>0</v>
      </c>
      <c r="F123" s="15">
        <f t="shared" ca="1" si="10"/>
        <v>0</v>
      </c>
      <c r="G123">
        <f ca="1">IF(E123=1,(1+'Symulacja Pożyczka'!$B$7*(((Arkusz1!B123-DATE(YEAR(B123),1,1)+1)/365)+((DATE(YEAR(B122),12,31)-Arkusz1!B122)/366))),IF(F123=1,(1+'Symulacja Pożyczka'!$B$7*(((Arkusz1!B123-DATE(YEAR(B123),1,1)+1)/366)+((DATE(YEAR(B122),12,31)-Arkusz1!B122)/365))),0))</f>
        <v>0</v>
      </c>
      <c r="H123">
        <f t="shared" ca="1" si="11"/>
        <v>1</v>
      </c>
      <c r="I123">
        <f t="shared" ca="1" si="12"/>
        <v>1.0050710382513661</v>
      </c>
      <c r="J123">
        <f t="shared" ca="1" si="13"/>
        <v>1.0050710382513661</v>
      </c>
      <c r="K123">
        <f ca="1">PRODUCT($J$3:J123)</f>
        <v>1.8984971532077184</v>
      </c>
      <c r="L123">
        <f t="shared" ca="1" si="14"/>
        <v>0.52673242006730991</v>
      </c>
      <c r="M123">
        <f ca="1">SUM($L$3:L123)</f>
        <v>89.212703498034813</v>
      </c>
      <c r="O123">
        <f ca="1">(Q122*Arkusz1!J123)-Q122</f>
        <v>-4.1693225095832267E-12</v>
      </c>
      <c r="P123" s="16">
        <f t="shared" ca="1" si="15"/>
        <v>13869.160872339735</v>
      </c>
      <c r="Q123" s="17">
        <f t="shared" ca="1" si="16"/>
        <v>-13869.160872340557</v>
      </c>
    </row>
    <row r="124" spans="1:17" x14ac:dyDescent="0.35">
      <c r="A124">
        <v>122</v>
      </c>
      <c r="B124" s="14">
        <f t="shared" ca="1" si="17"/>
        <v>49782</v>
      </c>
      <c r="C124" s="15">
        <f ca="1">(1+'Symulacja Pożyczka'!$B$7*(Arkusz1!B124-Arkusz1!B123)/365)</f>
        <v>1.0054356164383562</v>
      </c>
      <c r="D124" s="15">
        <f ca="1">(1+'Symulacja Pożyczka'!$B$7*(Arkusz1!B124-Arkusz1!B123)/366)</f>
        <v>1.0054207650273224</v>
      </c>
      <c r="E124" s="15">
        <f t="shared" ca="1" si="9"/>
        <v>0</v>
      </c>
      <c r="F124" s="15">
        <f t="shared" ca="1" si="10"/>
        <v>0</v>
      </c>
      <c r="G124">
        <f ca="1">IF(E124=1,(1+'Symulacja Pożyczka'!$B$7*(((Arkusz1!B124-DATE(YEAR(B124),1,1)+1)/365)+((DATE(YEAR(B123),12,31)-Arkusz1!B123)/366))),IF(F124=1,(1+'Symulacja Pożyczka'!$B$7*(((Arkusz1!B124-DATE(YEAR(B124),1,1)+1)/366)+((DATE(YEAR(B123),12,31)-Arkusz1!B123)/365))),0))</f>
        <v>0</v>
      </c>
      <c r="H124">
        <f t="shared" ca="1" si="11"/>
        <v>1</v>
      </c>
      <c r="I124">
        <f t="shared" ca="1" si="12"/>
        <v>1.0054207650273224</v>
      </c>
      <c r="J124">
        <f t="shared" ca="1" si="13"/>
        <v>1.0054207650273224</v>
      </c>
      <c r="K124">
        <f ca="1">PRODUCT($J$3:J124)</f>
        <v>1.9087884601802978</v>
      </c>
      <c r="L124">
        <f t="shared" ca="1" si="14"/>
        <v>0.52389252180702273</v>
      </c>
      <c r="M124">
        <f ca="1">SUM($L$3:L124)</f>
        <v>89.736596019841841</v>
      </c>
      <c r="O124">
        <f ca="1">(Q123*Arkusz1!J124)-Q123</f>
        <v>-75.181462215090505</v>
      </c>
      <c r="P124" s="16">
        <f t="shared" ca="1" si="15"/>
        <v>13944.342334554822</v>
      </c>
      <c r="Q124" s="17">
        <f t="shared" ca="1" si="16"/>
        <v>-27813.503206895381</v>
      </c>
    </row>
    <row r="125" spans="1:17" x14ac:dyDescent="0.35">
      <c r="A125">
        <v>123</v>
      </c>
      <c r="B125" s="14">
        <f t="shared" ca="1" si="17"/>
        <v>49812</v>
      </c>
      <c r="C125" s="15">
        <f ca="1">(1+'Symulacja Pożyczka'!$B$7*(Arkusz1!B125-Arkusz1!B124)/365)</f>
        <v>1.0052602739726026</v>
      </c>
      <c r="D125" s="15">
        <f ca="1">(1+'Symulacja Pożyczka'!$B$7*(Arkusz1!B125-Arkusz1!B124)/366)</f>
        <v>1.0052459016393442</v>
      </c>
      <c r="E125" s="15">
        <f t="shared" ca="1" si="9"/>
        <v>0</v>
      </c>
      <c r="F125" s="15">
        <f t="shared" ca="1" si="10"/>
        <v>0</v>
      </c>
      <c r="G125">
        <f ca="1">IF(E125=1,(1+'Symulacja Pożyczka'!$B$7*(((Arkusz1!B125-DATE(YEAR(B125),1,1)+1)/365)+((DATE(YEAR(B124),12,31)-Arkusz1!B124)/366))),IF(F125=1,(1+'Symulacja Pożyczka'!$B$7*(((Arkusz1!B125-DATE(YEAR(B125),1,1)+1)/366)+((DATE(YEAR(B124),12,31)-Arkusz1!B124)/365))),0))</f>
        <v>0</v>
      </c>
      <c r="H125">
        <f t="shared" ca="1" si="11"/>
        <v>1</v>
      </c>
      <c r="I125">
        <f t="shared" ca="1" si="12"/>
        <v>1.0052459016393442</v>
      </c>
      <c r="J125">
        <f t="shared" ca="1" si="13"/>
        <v>1.0052459016393442</v>
      </c>
      <c r="K125">
        <f ca="1">PRODUCT($J$3:J125)</f>
        <v>1.918801776692719</v>
      </c>
      <c r="L125">
        <f t="shared" ca="1" si="14"/>
        <v>0.52115857518311137</v>
      </c>
      <c r="M125">
        <f ca="1">SUM($L$3:L125)</f>
        <v>90.257754595024949</v>
      </c>
      <c r="O125">
        <f ca="1">(Q124*Arkusz1!J125)-Q124</f>
        <v>-145.90690206896033</v>
      </c>
      <c r="P125" s="16">
        <f t="shared" ca="1" si="15"/>
        <v>14015.067774408692</v>
      </c>
      <c r="Q125" s="17">
        <f t="shared" ca="1" si="16"/>
        <v>-41828.570981304074</v>
      </c>
    </row>
    <row r="126" spans="1:17" x14ac:dyDescent="0.35">
      <c r="A126">
        <v>124</v>
      </c>
      <c r="B126" s="14">
        <f t="shared" ca="1" si="17"/>
        <v>49843</v>
      </c>
      <c r="C126" s="15">
        <f ca="1">(1+'Symulacja Pożyczka'!$B$7*(Arkusz1!B126-Arkusz1!B125)/365)</f>
        <v>1.0054356164383562</v>
      </c>
      <c r="D126" s="15">
        <f ca="1">(1+'Symulacja Pożyczka'!$B$7*(Arkusz1!B126-Arkusz1!B125)/366)</f>
        <v>1.0054207650273224</v>
      </c>
      <c r="E126" s="15">
        <f t="shared" ca="1" si="9"/>
        <v>0</v>
      </c>
      <c r="F126" s="15">
        <f t="shared" ca="1" si="10"/>
        <v>0</v>
      </c>
      <c r="G126">
        <f ca="1">IF(E126=1,(1+'Symulacja Pożyczka'!$B$7*(((Arkusz1!B126-DATE(YEAR(B126),1,1)+1)/365)+((DATE(YEAR(B125),12,31)-Arkusz1!B125)/366))),IF(F126=1,(1+'Symulacja Pożyczka'!$B$7*(((Arkusz1!B126-DATE(YEAR(B126),1,1)+1)/366)+((DATE(YEAR(B125),12,31)-Arkusz1!B125)/365))),0))</f>
        <v>0</v>
      </c>
      <c r="H126">
        <f t="shared" ca="1" si="11"/>
        <v>1</v>
      </c>
      <c r="I126">
        <f t="shared" ca="1" si="12"/>
        <v>1.0054207650273224</v>
      </c>
      <c r="J126">
        <f t="shared" ca="1" si="13"/>
        <v>1.0054207650273224</v>
      </c>
      <c r="K126">
        <f ca="1">PRODUCT($J$3:J126)</f>
        <v>1.929203150258179</v>
      </c>
      <c r="L126">
        <f t="shared" ca="1" si="14"/>
        <v>0.51834872852357372</v>
      </c>
      <c r="M126">
        <f ca="1">SUM($L$3:L126)</f>
        <v>90.776103323548526</v>
      </c>
      <c r="O126">
        <f ca="1">(Q125*Arkusz1!J126)-Q125</f>
        <v>-226.74285471832263</v>
      </c>
      <c r="P126" s="16">
        <f t="shared" ca="1" si="15"/>
        <v>14095.903727058054</v>
      </c>
      <c r="Q126" s="17">
        <f t="shared" ca="1" si="16"/>
        <v>-55924.474708362126</v>
      </c>
    </row>
    <row r="127" spans="1:17" x14ac:dyDescent="0.35">
      <c r="A127">
        <v>125</v>
      </c>
      <c r="B127" s="14">
        <f t="shared" ca="1" si="17"/>
        <v>49873</v>
      </c>
      <c r="C127" s="15">
        <f ca="1">(1+'Symulacja Pożyczka'!$B$7*(Arkusz1!B127-Arkusz1!B126)/365)</f>
        <v>1.0052602739726026</v>
      </c>
      <c r="D127" s="15">
        <f ca="1">(1+'Symulacja Pożyczka'!$B$7*(Arkusz1!B127-Arkusz1!B126)/366)</f>
        <v>1.0052459016393442</v>
      </c>
      <c r="E127" s="15">
        <f t="shared" ca="1" si="9"/>
        <v>0</v>
      </c>
      <c r="F127" s="15">
        <f t="shared" ca="1" si="10"/>
        <v>0</v>
      </c>
      <c r="G127">
        <f ca="1">IF(E127=1,(1+'Symulacja Pożyczka'!$B$7*(((Arkusz1!B127-DATE(YEAR(B127),1,1)+1)/365)+((DATE(YEAR(B126),12,31)-Arkusz1!B126)/366))),IF(F127=1,(1+'Symulacja Pożyczka'!$B$7*(((Arkusz1!B127-DATE(YEAR(B127),1,1)+1)/366)+((DATE(YEAR(B126),12,31)-Arkusz1!B126)/365))),0))</f>
        <v>0</v>
      </c>
      <c r="H127">
        <f t="shared" ca="1" si="11"/>
        <v>1</v>
      </c>
      <c r="I127">
        <f t="shared" ca="1" si="12"/>
        <v>1.0052459016393442</v>
      </c>
      <c r="J127">
        <f t="shared" ca="1" si="13"/>
        <v>1.0052459016393442</v>
      </c>
      <c r="K127">
        <f ca="1">PRODUCT($J$3:J127)</f>
        <v>1.9393235602267465</v>
      </c>
      <c r="L127">
        <f t="shared" ca="1" si="14"/>
        <v>0.51564371232775597</v>
      </c>
      <c r="M127">
        <f ca="1">SUM($L$3:L127)</f>
        <v>91.291747035876284</v>
      </c>
      <c r="O127">
        <f ca="1">(Q126*Arkusz1!J127)-Q126</f>
        <v>-293.37429355206405</v>
      </c>
      <c r="P127" s="16">
        <f t="shared" ca="1" si="15"/>
        <v>14162.535165891795</v>
      </c>
      <c r="Q127" s="17">
        <f t="shared" ca="1" si="16"/>
        <v>-70087.009874253927</v>
      </c>
    </row>
    <row r="128" spans="1:17" x14ac:dyDescent="0.35">
      <c r="A128">
        <v>126</v>
      </c>
      <c r="B128" s="14">
        <f t="shared" ca="1" si="17"/>
        <v>49904</v>
      </c>
      <c r="C128" s="15">
        <f ca="1">(1+'Symulacja Pożyczka'!$B$7*(Arkusz1!B128-Arkusz1!B127)/365)</f>
        <v>1.0054356164383562</v>
      </c>
      <c r="D128" s="15">
        <f ca="1">(1+'Symulacja Pożyczka'!$B$7*(Arkusz1!B128-Arkusz1!B127)/366)</f>
        <v>1.0054207650273224</v>
      </c>
      <c r="E128" s="15">
        <f t="shared" ca="1" si="9"/>
        <v>0</v>
      </c>
      <c r="F128" s="15">
        <f t="shared" ca="1" si="10"/>
        <v>0</v>
      </c>
      <c r="G128">
        <f ca="1">IF(E128=1,(1+'Symulacja Pożyczka'!$B$7*(((Arkusz1!B128-DATE(YEAR(B128),1,1)+1)/365)+((DATE(YEAR(B127),12,31)-Arkusz1!B127)/366))),IF(F128=1,(1+'Symulacja Pożyczka'!$B$7*(((Arkusz1!B128-DATE(YEAR(B128),1,1)+1)/366)+((DATE(YEAR(B127),12,31)-Arkusz1!B127)/365))),0))</f>
        <v>0</v>
      </c>
      <c r="H128">
        <f t="shared" ca="1" si="11"/>
        <v>1</v>
      </c>
      <c r="I128">
        <f t="shared" ca="1" si="12"/>
        <v>1.0054207650273224</v>
      </c>
      <c r="J128">
        <f t="shared" ca="1" si="13"/>
        <v>1.0054207650273224</v>
      </c>
      <c r="K128">
        <f ca="1">PRODUCT($J$3:J128)</f>
        <v>1.9498361775586859</v>
      </c>
      <c r="L128">
        <f t="shared" ca="1" si="14"/>
        <v>0.51286359926507319</v>
      </c>
      <c r="M128">
        <f ca="1">SUM($L$3:L128)</f>
        <v>91.804610635141358</v>
      </c>
      <c r="O128">
        <f ca="1">(Q127*Arkusz1!J128)-Q127</f>
        <v>-379.92521199595649</v>
      </c>
      <c r="P128" s="16">
        <f t="shared" ca="1" si="15"/>
        <v>14249.086084335688</v>
      </c>
      <c r="Q128" s="17">
        <f t="shared" ca="1" si="16"/>
        <v>-84336.09595858962</v>
      </c>
    </row>
    <row r="129" spans="1:17" x14ac:dyDescent="0.35">
      <c r="A129">
        <v>127</v>
      </c>
      <c r="B129" s="14">
        <f t="shared" ca="1" si="17"/>
        <v>49935</v>
      </c>
      <c r="C129" s="15">
        <f ca="1">(1+'Symulacja Pożyczka'!$B$7*(Arkusz1!B129-Arkusz1!B128)/365)</f>
        <v>1.0054356164383562</v>
      </c>
      <c r="D129" s="15">
        <f ca="1">(1+'Symulacja Pożyczka'!$B$7*(Arkusz1!B129-Arkusz1!B128)/366)</f>
        <v>1.0054207650273224</v>
      </c>
      <c r="E129" s="15">
        <f t="shared" ca="1" si="9"/>
        <v>0</v>
      </c>
      <c r="F129" s="15">
        <f t="shared" ca="1" si="10"/>
        <v>0</v>
      </c>
      <c r="G129">
        <f ca="1">IF(E129=1,(1+'Symulacja Pożyczka'!$B$7*(((Arkusz1!B129-DATE(YEAR(B129),1,1)+1)/365)+((DATE(YEAR(B128),12,31)-Arkusz1!B128)/366))),IF(F129=1,(1+'Symulacja Pożyczka'!$B$7*(((Arkusz1!B129-DATE(YEAR(B129),1,1)+1)/366)+((DATE(YEAR(B128),12,31)-Arkusz1!B128)/365))),0))</f>
        <v>0</v>
      </c>
      <c r="H129">
        <f t="shared" ca="1" si="11"/>
        <v>1</v>
      </c>
      <c r="I129">
        <f t="shared" ca="1" si="12"/>
        <v>1.0054207650273224</v>
      </c>
      <c r="J129">
        <f t="shared" ca="1" si="13"/>
        <v>1.0054207650273224</v>
      </c>
      <c r="K129">
        <f ca="1">PRODUCT($J$3:J129)</f>
        <v>1.9604057813190039</v>
      </c>
      <c r="L129">
        <f t="shared" ca="1" si="14"/>
        <v>0.51009847528973218</v>
      </c>
      <c r="M129">
        <f ca="1">SUM($L$3:L129)</f>
        <v>92.314709110431096</v>
      </c>
      <c r="O129">
        <f ca="1">(Q128*Arkusz1!J129)-Q128</f>
        <v>-457.16615951323183</v>
      </c>
      <c r="P129" s="16">
        <f t="shared" ca="1" si="15"/>
        <v>14326.327031852963</v>
      </c>
      <c r="Q129" s="17">
        <f t="shared" ca="1" si="16"/>
        <v>-98662.422990442588</v>
      </c>
    </row>
    <row r="130" spans="1:17" x14ac:dyDescent="0.35">
      <c r="A130">
        <v>128</v>
      </c>
      <c r="B130" s="14">
        <f t="shared" ca="1" si="17"/>
        <v>49965</v>
      </c>
      <c r="C130" s="15">
        <f ca="1">(1+'Symulacja Pożyczka'!$B$7*(Arkusz1!B130-Arkusz1!B129)/365)</f>
        <v>1.0052602739726026</v>
      </c>
      <c r="D130" s="15">
        <f ca="1">(1+'Symulacja Pożyczka'!$B$7*(Arkusz1!B130-Arkusz1!B129)/366)</f>
        <v>1.0052459016393442</v>
      </c>
      <c r="E130" s="15">
        <f t="shared" ca="1" si="9"/>
        <v>0</v>
      </c>
      <c r="F130" s="15">
        <f t="shared" ca="1" si="10"/>
        <v>0</v>
      </c>
      <c r="G130">
        <f ca="1">IF(E130=1,(1+'Symulacja Pożyczka'!$B$7*(((Arkusz1!B130-DATE(YEAR(B130),1,1)+1)/365)+((DATE(YEAR(B129),12,31)-Arkusz1!B129)/366))),IF(F130=1,(1+'Symulacja Pożyczka'!$B$7*(((Arkusz1!B130-DATE(YEAR(B130),1,1)+1)/366)+((DATE(YEAR(B129),12,31)-Arkusz1!B129)/365))),0))</f>
        <v>0</v>
      </c>
      <c r="H130">
        <f t="shared" ca="1" si="11"/>
        <v>1</v>
      </c>
      <c r="I130">
        <f t="shared" ca="1" si="12"/>
        <v>1.0052459016393442</v>
      </c>
      <c r="J130">
        <f t="shared" ca="1" si="13"/>
        <v>1.0052459016393442</v>
      </c>
      <c r="K130">
        <f ca="1">PRODUCT($J$3:J130)</f>
        <v>1.9706898772210051</v>
      </c>
      <c r="L130">
        <f t="shared" ca="1" si="14"/>
        <v>0.50743651325299521</v>
      </c>
      <c r="M130">
        <f ca="1">SUM($L$3:L130)</f>
        <v>92.822145623684094</v>
      </c>
      <c r="O130">
        <f ca="1">(Q129*Arkusz1!J130)-Q129</f>
        <v>-517.573366507233</v>
      </c>
      <c r="P130" s="16">
        <f t="shared" ca="1" si="15"/>
        <v>14386.734238846964</v>
      </c>
      <c r="Q130" s="17">
        <f t="shared" ca="1" si="16"/>
        <v>-113049.15722928956</v>
      </c>
    </row>
    <row r="131" spans="1:17" x14ac:dyDescent="0.35">
      <c r="A131">
        <v>129</v>
      </c>
      <c r="B131" s="14">
        <f t="shared" ca="1" si="17"/>
        <v>49996</v>
      </c>
      <c r="C131" s="15">
        <f ca="1">(1+'Symulacja Pożyczka'!$B$7*(Arkusz1!B131-Arkusz1!B130)/365)</f>
        <v>1.0054356164383562</v>
      </c>
      <c r="D131" s="15">
        <f ca="1">(1+'Symulacja Pożyczka'!$B$7*(Arkusz1!B131-Arkusz1!B130)/366)</f>
        <v>1.0054207650273224</v>
      </c>
      <c r="E131" s="15">
        <f t="shared" ca="1" si="9"/>
        <v>0</v>
      </c>
      <c r="F131" s="15">
        <f t="shared" ca="1" si="10"/>
        <v>0</v>
      </c>
      <c r="G131">
        <f ca="1">IF(E131=1,(1+'Symulacja Pożyczka'!$B$7*(((Arkusz1!B131-DATE(YEAR(B131),1,1)+1)/365)+((DATE(YEAR(B130),12,31)-Arkusz1!B130)/366))),IF(F131=1,(1+'Symulacja Pożyczka'!$B$7*(((Arkusz1!B131-DATE(YEAR(B131),1,1)+1)/366)+((DATE(YEAR(B130),12,31)-Arkusz1!B130)/365))),0))</f>
        <v>0</v>
      </c>
      <c r="H131">
        <f t="shared" ca="1" si="11"/>
        <v>1</v>
      </c>
      <c r="I131">
        <f t="shared" ca="1" si="12"/>
        <v>1.0054207650273224</v>
      </c>
      <c r="J131">
        <f t="shared" ca="1" si="13"/>
        <v>1.0054207650273224</v>
      </c>
      <c r="K131">
        <f ca="1">PRODUCT($J$3:J131)</f>
        <v>1.9813725239871429</v>
      </c>
      <c r="L131">
        <f t="shared" ca="1" si="14"/>
        <v>0.50470064962225603</v>
      </c>
      <c r="M131">
        <f ca="1">SUM($L$3:L131)</f>
        <v>93.326846273306344</v>
      </c>
      <c r="O131">
        <f ca="1">(Q130*Arkusz1!J131)-Q130</f>
        <v>-612.81291787679947</v>
      </c>
      <c r="P131" s="16">
        <f t="shared" ca="1" si="15"/>
        <v>14481.973790216531</v>
      </c>
      <c r="Q131" s="17">
        <f t="shared" ca="1" si="16"/>
        <v>-127531.13101950609</v>
      </c>
    </row>
    <row r="132" spans="1:17" x14ac:dyDescent="0.35">
      <c r="A132">
        <v>130</v>
      </c>
      <c r="B132" s="14">
        <f t="shared" ca="1" si="17"/>
        <v>50026</v>
      </c>
      <c r="C132" s="15">
        <f ca="1">(1+'Symulacja Pożyczka'!$B$7*(Arkusz1!B132-Arkusz1!B131)/365)</f>
        <v>1.0052602739726026</v>
      </c>
      <c r="D132" s="15">
        <f ca="1">(1+'Symulacja Pożyczka'!$B$7*(Arkusz1!B132-Arkusz1!B131)/366)</f>
        <v>1.0052459016393442</v>
      </c>
      <c r="E132" s="15">
        <f t="shared" ref="E132:E182" ca="1" si="18">IF(AND(MOD(YEAR(B131),4)=0,MOD(YEAR(B132),4)&lt;&gt;0),1,0)</f>
        <v>0</v>
      </c>
      <c r="F132" s="15">
        <f t="shared" ref="F132:F182" ca="1" si="19">IF(AND(MOD(YEAR(B132),4)=0,MOD(YEAR(B131),4)&lt;&gt;0),1,0)</f>
        <v>0</v>
      </c>
      <c r="G132">
        <f ca="1">IF(E132=1,(1+'Symulacja Pożyczka'!$B$7*(((Arkusz1!B132-DATE(YEAR(B132),1,1)+1)/365)+((DATE(YEAR(B131),12,31)-Arkusz1!B131)/366))),IF(F132=1,(1+'Symulacja Pożyczka'!$B$7*(((Arkusz1!B132-DATE(YEAR(B132),1,1)+1)/366)+((DATE(YEAR(B131),12,31)-Arkusz1!B131)/365))),0))</f>
        <v>0</v>
      </c>
      <c r="H132">
        <f t="shared" ref="H132:H182" ca="1" si="20">IF(MOD(YEAR(B132),4)=0,1,0)</f>
        <v>1</v>
      </c>
      <c r="I132">
        <f t="shared" ref="I132:I182" ca="1" si="21">IF(H132=0,C132,IF(H132=1,D132,"blad"))</f>
        <v>1.0052459016393442</v>
      </c>
      <c r="J132">
        <f t="shared" ref="J132:J182" ca="1" si="22">IF(OR(E132=1,F132=1),G132,I132)</f>
        <v>1.0052459016393442</v>
      </c>
      <c r="K132">
        <f ca="1">PRODUCT($J$3:J132)</f>
        <v>1.9917666093588786</v>
      </c>
      <c r="L132">
        <f t="shared" ref="L132:L182" ca="1" si="23">1/K132</f>
        <v>0.50206685627784764</v>
      </c>
      <c r="M132">
        <f ca="1">SUM($L$3:L132)</f>
        <v>93.828913129584194</v>
      </c>
      <c r="O132">
        <f ca="1">(Q131*Arkusz1!J132)-Q131</f>
        <v>-669.01576928264694</v>
      </c>
      <c r="P132" s="16">
        <f t="shared" ca="1" si="15"/>
        <v>14538.176641622378</v>
      </c>
      <c r="Q132" s="17">
        <f t="shared" ca="1" si="16"/>
        <v>-142069.30766112846</v>
      </c>
    </row>
    <row r="133" spans="1:17" x14ac:dyDescent="0.35">
      <c r="A133">
        <v>131</v>
      </c>
      <c r="B133" s="14">
        <f t="shared" ca="1" si="17"/>
        <v>50057</v>
      </c>
      <c r="C133" s="15">
        <f ca="1">(1+'Symulacja Pożyczka'!$B$7*(Arkusz1!B133-Arkusz1!B132)/365)</f>
        <v>1.0054356164383562</v>
      </c>
      <c r="D133" s="15">
        <f ca="1">(1+'Symulacja Pożyczka'!$B$7*(Arkusz1!B133-Arkusz1!B132)/366)</f>
        <v>1.0054207650273224</v>
      </c>
      <c r="E133" s="15">
        <f t="shared" ca="1" si="18"/>
        <v>1</v>
      </c>
      <c r="F133" s="15">
        <f t="shared" ca="1" si="19"/>
        <v>0</v>
      </c>
      <c r="G133">
        <f ca="1">IF(E133=1,(1+'Symulacja Pożyczka'!$B$7*(((Arkusz1!B133-DATE(YEAR(B133),1,1)+1)/365)+((DATE(YEAR(B132),12,31)-Arkusz1!B132)/366))),IF(F133=1,(1+'Symulacja Pożyczka'!$B$7*(((Arkusz1!B133-DATE(YEAR(B133),1,1)+1)/366)+((DATE(YEAR(B132),12,31)-Arkusz1!B132)/365))),0))</f>
        <v>1.0054289093495021</v>
      </c>
      <c r="H133">
        <f t="shared" ca="1" si="20"/>
        <v>0</v>
      </c>
      <c r="I133">
        <f t="shared" ca="1" si="21"/>
        <v>1.0054356164383562</v>
      </c>
      <c r="J133">
        <f t="shared" ca="1" si="22"/>
        <v>1.0054289093495021</v>
      </c>
      <c r="K133">
        <f ca="1">PRODUCT($J$3:J133)</f>
        <v>2.0025797297264534</v>
      </c>
      <c r="L133">
        <f t="shared" ca="1" si="23"/>
        <v>0.49935589837244437</v>
      </c>
      <c r="M133">
        <f ca="1">SUM($L$3:L133)</f>
        <v>94.328269027956637</v>
      </c>
      <c r="O133">
        <f ca="1">(Q132*Arkusz1!J133)-Q132</f>
        <v>-771.28139263880439</v>
      </c>
      <c r="P133" s="16">
        <f t="shared" ref="P133:P182" ca="1" si="24">$N$2-O133</f>
        <v>14640.442264978536</v>
      </c>
      <c r="Q133" s="17">
        <f t="shared" ref="Q133:Q182" ca="1" si="25">Q132-P133</f>
        <v>-156709.749926107</v>
      </c>
    </row>
    <row r="134" spans="1:17" x14ac:dyDescent="0.35">
      <c r="A134">
        <v>132</v>
      </c>
      <c r="B134" s="14">
        <f t="shared" ref="B134:B182" ca="1" si="26">DATE(YEAR((B133)),MONTH((B133))+1,IF(AND(DAY(B133)&gt;28,MONTH((B133))+1=2),IF(MOD(YEAR(B133),4)=0,29,28),IF(AND(OR(DAY(B133)=28,DAY(B133)=29),MONTH((B133))=2),DAY(B132),DAY(B133))))</f>
        <v>50088</v>
      </c>
      <c r="C134" s="15">
        <f ca="1">(1+'Symulacja Pożyczka'!$B$7*(Arkusz1!B134-Arkusz1!B133)/365)</f>
        <v>1.0054356164383562</v>
      </c>
      <c r="D134" s="15">
        <f ca="1">(1+'Symulacja Pożyczka'!$B$7*(Arkusz1!B134-Arkusz1!B133)/366)</f>
        <v>1.0054207650273224</v>
      </c>
      <c r="E134" s="15">
        <f t="shared" ca="1" si="18"/>
        <v>0</v>
      </c>
      <c r="F134" s="15">
        <f t="shared" ca="1" si="19"/>
        <v>0</v>
      </c>
      <c r="G134">
        <f ca="1">IF(E134=1,(1+'Symulacja Pożyczka'!$B$7*(((Arkusz1!B134-DATE(YEAR(B134),1,1)+1)/365)+((DATE(YEAR(B133),12,31)-Arkusz1!B133)/366))),IF(F134=1,(1+'Symulacja Pożyczka'!$B$7*(((Arkusz1!B134-DATE(YEAR(B134),1,1)+1)/366)+((DATE(YEAR(B133),12,31)-Arkusz1!B133)/365))),0))</f>
        <v>0</v>
      </c>
      <c r="H134">
        <f t="shared" ca="1" si="20"/>
        <v>0</v>
      </c>
      <c r="I134">
        <f t="shared" ca="1" si="21"/>
        <v>1.0054356164383562</v>
      </c>
      <c r="J134">
        <f t="shared" ca="1" si="22"/>
        <v>1.0054356164383562</v>
      </c>
      <c r="K134">
        <f ca="1">PRODUCT($J$3:J134)</f>
        <v>2.0134649850244735</v>
      </c>
      <c r="L134">
        <f t="shared" ca="1" si="23"/>
        <v>0.49665626541195851</v>
      </c>
      <c r="M134">
        <f ca="1">SUM($L$3:L134)</f>
        <v>94.824925293368594</v>
      </c>
      <c r="O134">
        <f ca="1">(Q133*Arkusz1!J134)-Q133</f>
        <v>-851.81409274903126</v>
      </c>
      <c r="P134" s="16">
        <f t="shared" ca="1" si="24"/>
        <v>14720.974965088762</v>
      </c>
      <c r="Q134" s="17">
        <f t="shared" ca="1" si="25"/>
        <v>-171430.72489119577</v>
      </c>
    </row>
    <row r="135" spans="1:17" x14ac:dyDescent="0.35">
      <c r="A135">
        <v>133</v>
      </c>
      <c r="B135" s="14">
        <f t="shared" ca="1" si="26"/>
        <v>50116</v>
      </c>
      <c r="C135" s="15">
        <f ca="1">(1+'Symulacja Pożyczka'!$B$7*(Arkusz1!B135-Arkusz1!B134)/365)</f>
        <v>1.004909589041096</v>
      </c>
      <c r="D135" s="15">
        <f ca="1">(1+'Symulacja Pożyczka'!$B$7*(Arkusz1!B135-Arkusz1!B134)/366)</f>
        <v>1.004896174863388</v>
      </c>
      <c r="E135" s="15">
        <f t="shared" ca="1" si="18"/>
        <v>0</v>
      </c>
      <c r="F135" s="15">
        <f t="shared" ca="1" si="19"/>
        <v>0</v>
      </c>
      <c r="G135">
        <f ca="1">IF(E135=1,(1+'Symulacja Pożyczka'!$B$7*(((Arkusz1!B135-DATE(YEAR(B135),1,1)+1)/365)+((DATE(YEAR(B134),12,31)-Arkusz1!B134)/366))),IF(F135=1,(1+'Symulacja Pożyczka'!$B$7*(((Arkusz1!B135-DATE(YEAR(B135),1,1)+1)/366)+((DATE(YEAR(B134),12,31)-Arkusz1!B134)/365))),0))</f>
        <v>0</v>
      </c>
      <c r="H135">
        <f t="shared" ca="1" si="20"/>
        <v>0</v>
      </c>
      <c r="I135">
        <f t="shared" ca="1" si="21"/>
        <v>1.004909589041096</v>
      </c>
      <c r="J135">
        <f t="shared" ca="1" si="22"/>
        <v>1.004909589041096</v>
      </c>
      <c r="K135">
        <f ca="1">PRODUCT($J$3:J135)</f>
        <v>2.0233502706495798</v>
      </c>
      <c r="L135">
        <f t="shared" ca="1" si="23"/>
        <v>0.49422980020110818</v>
      </c>
      <c r="M135">
        <f ca="1">SUM($L$3:L135)</f>
        <v>95.319155093569705</v>
      </c>
      <c r="O135">
        <f ca="1">(Q134*Arkusz1!J135)-Q134</f>
        <v>-841.65440823294921</v>
      </c>
      <c r="P135" s="16">
        <f t="shared" ca="1" si="24"/>
        <v>14710.81528057268</v>
      </c>
      <c r="Q135" s="17">
        <f t="shared" ca="1" si="25"/>
        <v>-186141.54017176846</v>
      </c>
    </row>
    <row r="136" spans="1:17" x14ac:dyDescent="0.35">
      <c r="A136">
        <v>134</v>
      </c>
      <c r="B136" s="14">
        <f t="shared" ca="1" si="26"/>
        <v>50147</v>
      </c>
      <c r="C136" s="15">
        <f ca="1">(1+'Symulacja Pożyczka'!$B$7*(Arkusz1!B136-Arkusz1!B135)/365)</f>
        <v>1.0054356164383562</v>
      </c>
      <c r="D136" s="15">
        <f ca="1">(1+'Symulacja Pożyczka'!$B$7*(Arkusz1!B136-Arkusz1!B135)/366)</f>
        <v>1.0054207650273224</v>
      </c>
      <c r="E136" s="15">
        <f t="shared" ca="1" si="18"/>
        <v>0</v>
      </c>
      <c r="F136" s="15">
        <f t="shared" ca="1" si="19"/>
        <v>0</v>
      </c>
      <c r="G136">
        <f ca="1">IF(E136=1,(1+'Symulacja Pożyczka'!$B$7*(((Arkusz1!B136-DATE(YEAR(B136),1,1)+1)/365)+((DATE(YEAR(B135),12,31)-Arkusz1!B135)/366))),IF(F136=1,(1+'Symulacja Pożyczka'!$B$7*(((Arkusz1!B136-DATE(YEAR(B136),1,1)+1)/366)+((DATE(YEAR(B135),12,31)-Arkusz1!B135)/365))),0))</f>
        <v>0</v>
      </c>
      <c r="H136">
        <f t="shared" ca="1" si="20"/>
        <v>0</v>
      </c>
      <c r="I136">
        <f t="shared" ca="1" si="21"/>
        <v>1.0054356164383562</v>
      </c>
      <c r="J136">
        <f t="shared" ca="1" si="22"/>
        <v>1.0054356164383562</v>
      </c>
      <c r="K136">
        <f ca="1">PRODUCT($J$3:J136)</f>
        <v>2.0343484266412752</v>
      </c>
      <c r="L136">
        <f t="shared" ca="1" si="23"/>
        <v>0.49155788010759183</v>
      </c>
      <c r="M136">
        <f ca="1">SUM($L$3:L136)</f>
        <v>95.810712973677298</v>
      </c>
      <c r="O136">
        <f ca="1">(Q135*Arkusz1!J136)-Q135</f>
        <v>-1011.7940156186232</v>
      </c>
      <c r="P136" s="16">
        <f t="shared" ca="1" si="24"/>
        <v>14880.954887958354</v>
      </c>
      <c r="Q136" s="17">
        <f t="shared" ca="1" si="25"/>
        <v>-201022.49505972682</v>
      </c>
    </row>
    <row r="137" spans="1:17" x14ac:dyDescent="0.35">
      <c r="A137">
        <v>135</v>
      </c>
      <c r="B137" s="14">
        <f t="shared" ca="1" si="26"/>
        <v>50177</v>
      </c>
      <c r="C137" s="15">
        <f ca="1">(1+'Symulacja Pożyczka'!$B$7*(Arkusz1!B137-Arkusz1!B136)/365)</f>
        <v>1.0052602739726026</v>
      </c>
      <c r="D137" s="15">
        <f ca="1">(1+'Symulacja Pożyczka'!$B$7*(Arkusz1!B137-Arkusz1!B136)/366)</f>
        <v>1.0052459016393442</v>
      </c>
      <c r="E137" s="15">
        <f t="shared" ca="1" si="18"/>
        <v>0</v>
      </c>
      <c r="F137" s="15">
        <f t="shared" ca="1" si="19"/>
        <v>0</v>
      </c>
      <c r="G137">
        <f ca="1">IF(E137=1,(1+'Symulacja Pożyczka'!$B$7*(((Arkusz1!B137-DATE(YEAR(B137),1,1)+1)/365)+((DATE(YEAR(B136),12,31)-Arkusz1!B136)/366))),IF(F137=1,(1+'Symulacja Pożyczka'!$B$7*(((Arkusz1!B137-DATE(YEAR(B137),1,1)+1)/366)+((DATE(YEAR(B136),12,31)-Arkusz1!B136)/365))),0))</f>
        <v>0</v>
      </c>
      <c r="H137">
        <f t="shared" ca="1" si="20"/>
        <v>0</v>
      </c>
      <c r="I137">
        <f t="shared" ca="1" si="21"/>
        <v>1.0052602739726026</v>
      </c>
      <c r="J137">
        <f t="shared" ca="1" si="22"/>
        <v>1.0052602739726026</v>
      </c>
      <c r="K137">
        <f ca="1">PRODUCT($J$3:J137)</f>
        <v>2.0450496567211416</v>
      </c>
      <c r="L137">
        <f t="shared" ca="1" si="23"/>
        <v>0.48898568145446153</v>
      </c>
      <c r="M137">
        <f ca="1">SUM($L$3:L137)</f>
        <v>96.299698655131763</v>
      </c>
      <c r="O137">
        <f ca="1">(Q136*Arkusz1!J137)-Q136</f>
        <v>-1057.4333986703132</v>
      </c>
      <c r="P137" s="16">
        <f t="shared" ca="1" si="24"/>
        <v>14926.594271010044</v>
      </c>
      <c r="Q137" s="17">
        <f t="shared" ca="1" si="25"/>
        <v>-215949.08933073687</v>
      </c>
    </row>
    <row r="138" spans="1:17" x14ac:dyDescent="0.35">
      <c r="A138">
        <v>136</v>
      </c>
      <c r="B138" s="14">
        <f t="shared" ca="1" si="26"/>
        <v>50208</v>
      </c>
      <c r="C138" s="15">
        <f ca="1">(1+'Symulacja Pożyczka'!$B$7*(Arkusz1!B138-Arkusz1!B137)/365)</f>
        <v>1.0054356164383562</v>
      </c>
      <c r="D138" s="15">
        <f ca="1">(1+'Symulacja Pożyczka'!$B$7*(Arkusz1!B138-Arkusz1!B137)/366)</f>
        <v>1.0054207650273224</v>
      </c>
      <c r="E138" s="15">
        <f t="shared" ca="1" si="18"/>
        <v>0</v>
      </c>
      <c r="F138" s="15">
        <f t="shared" ca="1" si="19"/>
        <v>0</v>
      </c>
      <c r="G138">
        <f ca="1">IF(E138=1,(1+'Symulacja Pożyczka'!$B$7*(((Arkusz1!B138-DATE(YEAR(B138),1,1)+1)/365)+((DATE(YEAR(B137),12,31)-Arkusz1!B137)/366))),IF(F138=1,(1+'Symulacja Pożyczka'!$B$7*(((Arkusz1!B138-DATE(YEAR(B138),1,1)+1)/366)+((DATE(YEAR(B137),12,31)-Arkusz1!B137)/365))),0))</f>
        <v>0</v>
      </c>
      <c r="H138">
        <f t="shared" ca="1" si="20"/>
        <v>0</v>
      </c>
      <c r="I138">
        <f t="shared" ca="1" si="21"/>
        <v>1.0054356164383562</v>
      </c>
      <c r="J138">
        <f t="shared" ca="1" si="22"/>
        <v>1.0054356164383562</v>
      </c>
      <c r="K138">
        <f ca="1">PRODUCT($J$3:J138)</f>
        <v>2.0561657622524696</v>
      </c>
      <c r="L138">
        <f t="shared" ca="1" si="23"/>
        <v>0.48634211227431839</v>
      </c>
      <c r="M138">
        <f ca="1">SUM($L$3:L138)</f>
        <v>96.786040767406078</v>
      </c>
      <c r="O138">
        <f ca="1">(Q137*Arkusz1!J138)-Q137</f>
        <v>-1173.8164198142185</v>
      </c>
      <c r="P138" s="16">
        <f t="shared" ca="1" si="24"/>
        <v>15042.97729215395</v>
      </c>
      <c r="Q138" s="17">
        <f t="shared" ca="1" si="25"/>
        <v>-230992.06662289082</v>
      </c>
    </row>
    <row r="139" spans="1:17" x14ac:dyDescent="0.35">
      <c r="A139">
        <v>137</v>
      </c>
      <c r="B139" s="14">
        <f t="shared" ca="1" si="26"/>
        <v>50238</v>
      </c>
      <c r="C139" s="15">
        <f ca="1">(1+'Symulacja Pożyczka'!$B$7*(Arkusz1!B139-Arkusz1!B138)/365)</f>
        <v>1.0052602739726026</v>
      </c>
      <c r="D139" s="15">
        <f ca="1">(1+'Symulacja Pożyczka'!$B$7*(Arkusz1!B139-Arkusz1!B138)/366)</f>
        <v>1.0052459016393442</v>
      </c>
      <c r="E139" s="15">
        <f t="shared" ca="1" si="18"/>
        <v>0</v>
      </c>
      <c r="F139" s="15">
        <f t="shared" ca="1" si="19"/>
        <v>0</v>
      </c>
      <c r="G139">
        <f ca="1">IF(E139=1,(1+'Symulacja Pożyczka'!$B$7*(((Arkusz1!B139-DATE(YEAR(B139),1,1)+1)/365)+((DATE(YEAR(B138),12,31)-Arkusz1!B138)/366))),IF(F139=1,(1+'Symulacja Pożyczka'!$B$7*(((Arkusz1!B139-DATE(YEAR(B139),1,1)+1)/366)+((DATE(YEAR(B138),12,31)-Arkusz1!B138)/365))),0))</f>
        <v>0</v>
      </c>
      <c r="H139">
        <f t="shared" ca="1" si="20"/>
        <v>0</v>
      </c>
      <c r="I139">
        <f t="shared" ca="1" si="21"/>
        <v>1.0052602739726026</v>
      </c>
      <c r="J139">
        <f t="shared" ca="1" si="22"/>
        <v>1.0052602739726026</v>
      </c>
      <c r="K139">
        <f ca="1">PRODUCT($J$3:J139)</f>
        <v>2.0669817574950029</v>
      </c>
      <c r="L139">
        <f t="shared" ca="1" si="23"/>
        <v>0.4837972064213622</v>
      </c>
      <c r="M139">
        <f ca="1">SUM($L$3:L139)</f>
        <v>97.269837973827435</v>
      </c>
      <c r="O139">
        <f ca="1">(Q138*Arkusz1!J139)-Q138</f>
        <v>-1215.081555934099</v>
      </c>
      <c r="P139" s="16">
        <f t="shared" ca="1" si="24"/>
        <v>15084.24242827383</v>
      </c>
      <c r="Q139" s="17">
        <f t="shared" ca="1" si="25"/>
        <v>-246076.30905116466</v>
      </c>
    </row>
    <row r="140" spans="1:17" x14ac:dyDescent="0.35">
      <c r="A140">
        <v>138</v>
      </c>
      <c r="B140" s="14">
        <f t="shared" ca="1" si="26"/>
        <v>50269</v>
      </c>
      <c r="C140" s="15">
        <f ca="1">(1+'Symulacja Pożyczka'!$B$7*(Arkusz1!B140-Arkusz1!B139)/365)</f>
        <v>1.0054356164383562</v>
      </c>
      <c r="D140" s="15">
        <f ca="1">(1+'Symulacja Pożyczka'!$B$7*(Arkusz1!B140-Arkusz1!B139)/366)</f>
        <v>1.0054207650273224</v>
      </c>
      <c r="E140" s="15">
        <f t="shared" ca="1" si="18"/>
        <v>0</v>
      </c>
      <c r="F140" s="15">
        <f t="shared" ca="1" si="19"/>
        <v>0</v>
      </c>
      <c r="G140">
        <f ca="1">IF(E140=1,(1+'Symulacja Pożyczka'!$B$7*(((Arkusz1!B140-DATE(YEAR(B140),1,1)+1)/365)+((DATE(YEAR(B139),12,31)-Arkusz1!B139)/366))),IF(F140=1,(1+'Symulacja Pożyczka'!$B$7*(((Arkusz1!B140-DATE(YEAR(B140),1,1)+1)/366)+((DATE(YEAR(B139),12,31)-Arkusz1!B139)/365))),0))</f>
        <v>0</v>
      </c>
      <c r="H140">
        <f t="shared" ca="1" si="20"/>
        <v>0</v>
      </c>
      <c r="I140">
        <f t="shared" ca="1" si="21"/>
        <v>1.0054356164383562</v>
      </c>
      <c r="J140">
        <f t="shared" ca="1" si="22"/>
        <v>1.0054356164383562</v>
      </c>
      <c r="K140">
        <f ca="1">PRODUCT($J$3:J140)</f>
        <v>2.0782170775138251</v>
      </c>
      <c r="L140">
        <f t="shared" ca="1" si="23"/>
        <v>0.48118168733186517</v>
      </c>
      <c r="M140">
        <f ca="1">SUM($L$3:L140)</f>
        <v>97.751019661159305</v>
      </c>
      <c r="O140">
        <f ca="1">(Q139*Arkusz1!J140)-Q139</f>
        <v>-1337.5764305685298</v>
      </c>
      <c r="P140" s="16">
        <f t="shared" ca="1" si="24"/>
        <v>15206.737302908261</v>
      </c>
      <c r="Q140" s="17">
        <f t="shared" ca="1" si="25"/>
        <v>-261283.04635407293</v>
      </c>
    </row>
    <row r="141" spans="1:17" x14ac:dyDescent="0.35">
      <c r="A141">
        <v>139</v>
      </c>
      <c r="B141" s="14">
        <f t="shared" ca="1" si="26"/>
        <v>50300</v>
      </c>
      <c r="C141" s="15">
        <f ca="1">(1+'Symulacja Pożyczka'!$B$7*(Arkusz1!B141-Arkusz1!B140)/365)</f>
        <v>1.0054356164383562</v>
      </c>
      <c r="D141" s="15">
        <f ca="1">(1+'Symulacja Pożyczka'!$B$7*(Arkusz1!B141-Arkusz1!B140)/366)</f>
        <v>1.0054207650273224</v>
      </c>
      <c r="E141" s="15">
        <f t="shared" ca="1" si="18"/>
        <v>0</v>
      </c>
      <c r="F141" s="15">
        <f t="shared" ca="1" si="19"/>
        <v>0</v>
      </c>
      <c r="G141">
        <f ca="1">IF(E141=1,(1+'Symulacja Pożyczka'!$B$7*(((Arkusz1!B141-DATE(YEAR(B141),1,1)+1)/365)+((DATE(YEAR(B140),12,31)-Arkusz1!B140)/366))),IF(F141=1,(1+'Symulacja Pożyczka'!$B$7*(((Arkusz1!B141-DATE(YEAR(B141),1,1)+1)/366)+((DATE(YEAR(B140),12,31)-Arkusz1!B140)/365))),0))</f>
        <v>0</v>
      </c>
      <c r="H141">
        <f t="shared" ca="1" si="20"/>
        <v>0</v>
      </c>
      <c r="I141">
        <f t="shared" ca="1" si="21"/>
        <v>1.0054356164383562</v>
      </c>
      <c r="J141">
        <f t="shared" ca="1" si="22"/>
        <v>1.0054356164383562</v>
      </c>
      <c r="K141">
        <f ca="1">PRODUCT($J$3:J141)</f>
        <v>2.0895134684228318</v>
      </c>
      <c r="L141">
        <f t="shared" ca="1" si="23"/>
        <v>0.47858030834077447</v>
      </c>
      <c r="M141">
        <f ca="1">SUM($L$3:L141)</f>
        <v>98.229599969500086</v>
      </c>
      <c r="O141">
        <f ca="1">(Q140*Arkusz1!J141)-Q140</f>
        <v>-1420.2344218259677</v>
      </c>
      <c r="P141" s="16">
        <f t="shared" ca="1" si="24"/>
        <v>15289.395294165699</v>
      </c>
      <c r="Q141" s="17">
        <f t="shared" ca="1" si="25"/>
        <v>-276572.44164823863</v>
      </c>
    </row>
    <row r="142" spans="1:17" x14ac:dyDescent="0.35">
      <c r="A142">
        <v>140</v>
      </c>
      <c r="B142" s="14">
        <f t="shared" ca="1" si="26"/>
        <v>50330</v>
      </c>
      <c r="C142" s="15">
        <f ca="1">(1+'Symulacja Pożyczka'!$B$7*(Arkusz1!B142-Arkusz1!B141)/365)</f>
        <v>1.0052602739726026</v>
      </c>
      <c r="D142" s="15">
        <f ca="1">(1+'Symulacja Pożyczka'!$B$7*(Arkusz1!B142-Arkusz1!B141)/366)</f>
        <v>1.0052459016393442</v>
      </c>
      <c r="E142" s="15">
        <f t="shared" ca="1" si="18"/>
        <v>0</v>
      </c>
      <c r="F142" s="15">
        <f t="shared" ca="1" si="19"/>
        <v>0</v>
      </c>
      <c r="G142">
        <f ca="1">IF(E142=1,(1+'Symulacja Pożyczka'!$B$7*(((Arkusz1!B142-DATE(YEAR(B142),1,1)+1)/365)+((DATE(YEAR(B141),12,31)-Arkusz1!B141)/366))),IF(F142=1,(1+'Symulacja Pożyczka'!$B$7*(((Arkusz1!B142-DATE(YEAR(B142),1,1)+1)/366)+((DATE(YEAR(B141),12,31)-Arkusz1!B141)/365))),0))</f>
        <v>0</v>
      </c>
      <c r="H142">
        <f t="shared" ca="1" si="20"/>
        <v>0</v>
      </c>
      <c r="I142">
        <f t="shared" ca="1" si="21"/>
        <v>1.0052602739726026</v>
      </c>
      <c r="J142">
        <f t="shared" ca="1" si="22"/>
        <v>1.0052602739726026</v>
      </c>
      <c r="K142">
        <f ca="1">PRODUCT($J$3:J142)</f>
        <v>2.1005048817361791</v>
      </c>
      <c r="L142">
        <f t="shared" ca="1" si="23"/>
        <v>0.47607601805402461</v>
      </c>
      <c r="M142">
        <f ca="1">SUM($L$3:L142)</f>
        <v>98.705675987554116</v>
      </c>
      <c r="O142">
        <f ca="1">(Q141*Arkusz1!J142)-Q141</f>
        <v>-1454.8468163413927</v>
      </c>
      <c r="P142" s="16">
        <f t="shared" ca="1" si="24"/>
        <v>15324.007688681124</v>
      </c>
      <c r="Q142" s="17">
        <f t="shared" ca="1" si="25"/>
        <v>-291896.44933691976</v>
      </c>
    </row>
    <row r="143" spans="1:17" x14ac:dyDescent="0.35">
      <c r="A143">
        <v>141</v>
      </c>
      <c r="B143" s="14">
        <f t="shared" ca="1" si="26"/>
        <v>50361</v>
      </c>
      <c r="C143" s="15">
        <f ca="1">(1+'Symulacja Pożyczka'!$B$7*(Arkusz1!B143-Arkusz1!B142)/365)</f>
        <v>1.0054356164383562</v>
      </c>
      <c r="D143" s="15">
        <f ca="1">(1+'Symulacja Pożyczka'!$B$7*(Arkusz1!B143-Arkusz1!B142)/366)</f>
        <v>1.0054207650273224</v>
      </c>
      <c r="E143" s="15">
        <f t="shared" ca="1" si="18"/>
        <v>0</v>
      </c>
      <c r="F143" s="15">
        <f t="shared" ca="1" si="19"/>
        <v>0</v>
      </c>
      <c r="G143">
        <f ca="1">IF(E143=1,(1+'Symulacja Pożyczka'!$B$7*(((Arkusz1!B143-DATE(YEAR(B143),1,1)+1)/365)+((DATE(YEAR(B142),12,31)-Arkusz1!B142)/366))),IF(F143=1,(1+'Symulacja Pożyczka'!$B$7*(((Arkusz1!B143-DATE(YEAR(B143),1,1)+1)/366)+((DATE(YEAR(B142),12,31)-Arkusz1!B142)/365))),0))</f>
        <v>0</v>
      </c>
      <c r="H143">
        <f t="shared" ca="1" si="20"/>
        <v>0</v>
      </c>
      <c r="I143">
        <f t="shared" ca="1" si="21"/>
        <v>1.0054356164383562</v>
      </c>
      <c r="J143">
        <f t="shared" ca="1" si="22"/>
        <v>1.0054356164383562</v>
      </c>
      <c r="K143">
        <f ca="1">PRODUCT($J$3:J143)</f>
        <v>2.1119224206001919</v>
      </c>
      <c r="L143">
        <f t="shared" ca="1" si="23"/>
        <v>0.47350224148660147</v>
      </c>
      <c r="M143">
        <f ca="1">SUM($L$3:L143)</f>
        <v>99.179178229040716</v>
      </c>
      <c r="O143">
        <f ca="1">(Q142*Arkusz1!J143)-Q142</f>
        <v>-1586.6371383135556</v>
      </c>
      <c r="P143" s="16">
        <f t="shared" ca="1" si="24"/>
        <v>15455.798010653287</v>
      </c>
      <c r="Q143" s="17">
        <f t="shared" ca="1" si="25"/>
        <v>-307352.24734757305</v>
      </c>
    </row>
    <row r="144" spans="1:17" x14ac:dyDescent="0.35">
      <c r="A144">
        <v>142</v>
      </c>
      <c r="B144" s="14">
        <f t="shared" ca="1" si="26"/>
        <v>50391</v>
      </c>
      <c r="C144" s="15">
        <f ca="1">(1+'Symulacja Pożyczka'!$B$7*(Arkusz1!B144-Arkusz1!B143)/365)</f>
        <v>1.0052602739726026</v>
      </c>
      <c r="D144" s="15">
        <f ca="1">(1+'Symulacja Pożyczka'!$B$7*(Arkusz1!B144-Arkusz1!B143)/366)</f>
        <v>1.0052459016393442</v>
      </c>
      <c r="E144" s="15">
        <f t="shared" ca="1" si="18"/>
        <v>0</v>
      </c>
      <c r="F144" s="15">
        <f t="shared" ca="1" si="19"/>
        <v>0</v>
      </c>
      <c r="G144">
        <f ca="1">IF(E144=1,(1+'Symulacja Pożyczka'!$B$7*(((Arkusz1!B144-DATE(YEAR(B144),1,1)+1)/365)+((DATE(YEAR(B143),12,31)-Arkusz1!B143)/366))),IF(F144=1,(1+'Symulacja Pożyczka'!$B$7*(((Arkusz1!B144-DATE(YEAR(B144),1,1)+1)/366)+((DATE(YEAR(B143),12,31)-Arkusz1!B143)/365))),0))</f>
        <v>0</v>
      </c>
      <c r="H144">
        <f t="shared" ca="1" si="20"/>
        <v>0</v>
      </c>
      <c r="I144">
        <f t="shared" ca="1" si="21"/>
        <v>1.0052602739726026</v>
      </c>
      <c r="J144">
        <f t="shared" ca="1" si="22"/>
        <v>1.0052602739726026</v>
      </c>
      <c r="K144">
        <f ca="1">PRODUCT($J$3:J144)</f>
        <v>2.1230317111414312</v>
      </c>
      <c r="L144">
        <f t="shared" ca="1" si="23"/>
        <v>0.47102452344546369</v>
      </c>
      <c r="M144">
        <f ca="1">SUM($L$3:L144)</f>
        <v>99.65020275248618</v>
      </c>
      <c r="O144">
        <f ca="1">(Q143*Arkusz1!J144)-Q143</f>
        <v>-1616.7570271433797</v>
      </c>
      <c r="P144" s="16">
        <f t="shared" ca="1" si="24"/>
        <v>15485.917899483111</v>
      </c>
      <c r="Q144" s="17">
        <f t="shared" ca="1" si="25"/>
        <v>-322838.16524705617</v>
      </c>
    </row>
    <row r="145" spans="1:17" x14ac:dyDescent="0.35">
      <c r="A145">
        <v>143</v>
      </c>
      <c r="B145" s="14">
        <f t="shared" ca="1" si="26"/>
        <v>50422</v>
      </c>
      <c r="C145" s="15">
        <f ca="1">(1+'Symulacja Pożyczka'!$B$7*(Arkusz1!B145-Arkusz1!B144)/365)</f>
        <v>1.0054356164383562</v>
      </c>
      <c r="D145" s="15">
        <f ca="1">(1+'Symulacja Pożyczka'!$B$7*(Arkusz1!B145-Arkusz1!B144)/366)</f>
        <v>1.0054207650273224</v>
      </c>
      <c r="E145" s="15">
        <f t="shared" ca="1" si="18"/>
        <v>0</v>
      </c>
      <c r="F145" s="15">
        <f t="shared" ca="1" si="19"/>
        <v>0</v>
      </c>
      <c r="G145">
        <f ca="1">IF(E145=1,(1+'Symulacja Pożyczka'!$B$7*(((Arkusz1!B145-DATE(YEAR(B145),1,1)+1)/365)+((DATE(YEAR(B144),12,31)-Arkusz1!B144)/366))),IF(F145=1,(1+'Symulacja Pożyczka'!$B$7*(((Arkusz1!B145-DATE(YEAR(B145),1,1)+1)/366)+((DATE(YEAR(B144),12,31)-Arkusz1!B144)/365))),0))</f>
        <v>0</v>
      </c>
      <c r="H145">
        <f t="shared" ca="1" si="20"/>
        <v>0</v>
      </c>
      <c r="I145">
        <f t="shared" ca="1" si="21"/>
        <v>1.0054356164383562</v>
      </c>
      <c r="J145">
        <f t="shared" ca="1" si="22"/>
        <v>1.0054356164383562</v>
      </c>
      <c r="K145">
        <f ca="1">PRODUCT($J$3:J145)</f>
        <v>2.1345716972096631</v>
      </c>
      <c r="L145">
        <f t="shared" ca="1" si="23"/>
        <v>0.46847805642097268</v>
      </c>
      <c r="M145">
        <f ca="1">SUM($L$3:L145)</f>
        <v>100.11868080890716</v>
      </c>
      <c r="O145">
        <f ca="1">(Q144*Arkusz1!J145)-Q144</f>
        <v>-1754.8244379456737</v>
      </c>
      <c r="P145" s="16">
        <f t="shared" ca="1" si="24"/>
        <v>15623.985310285405</v>
      </c>
      <c r="Q145" s="17">
        <f t="shared" ca="1" si="25"/>
        <v>-338462.15055734158</v>
      </c>
    </row>
    <row r="146" spans="1:17" x14ac:dyDescent="0.35">
      <c r="A146">
        <v>144</v>
      </c>
      <c r="B146" s="14">
        <f t="shared" ca="1" si="26"/>
        <v>50453</v>
      </c>
      <c r="C146" s="15">
        <f ca="1">(1+'Symulacja Pożyczka'!$B$7*(Arkusz1!B146-Arkusz1!B145)/365)</f>
        <v>1.0054356164383562</v>
      </c>
      <c r="D146" s="15">
        <f ca="1">(1+'Symulacja Pożyczka'!$B$7*(Arkusz1!B146-Arkusz1!B145)/366)</f>
        <v>1.0054207650273224</v>
      </c>
      <c r="E146" s="15">
        <f t="shared" ca="1" si="18"/>
        <v>0</v>
      </c>
      <c r="F146" s="15">
        <f t="shared" ca="1" si="19"/>
        <v>0</v>
      </c>
      <c r="G146">
        <f ca="1">IF(E146=1,(1+'Symulacja Pożyczka'!$B$7*(((Arkusz1!B146-DATE(YEAR(B146),1,1)+1)/365)+((DATE(YEAR(B145),12,31)-Arkusz1!B145)/366))),IF(F146=1,(1+'Symulacja Pożyczka'!$B$7*(((Arkusz1!B146-DATE(YEAR(B146),1,1)+1)/366)+((DATE(YEAR(B145),12,31)-Arkusz1!B145)/365))),0))</f>
        <v>0</v>
      </c>
      <c r="H146">
        <f t="shared" ca="1" si="20"/>
        <v>0</v>
      </c>
      <c r="I146">
        <f t="shared" ca="1" si="21"/>
        <v>1.0054356164383562</v>
      </c>
      <c r="J146">
        <f t="shared" ca="1" si="22"/>
        <v>1.0054356164383562</v>
      </c>
      <c r="K146">
        <f ca="1">PRODUCT($J$3:J146)</f>
        <v>2.146174410215866</v>
      </c>
      <c r="L146">
        <f t="shared" ca="1" si="23"/>
        <v>0.46594535618352578</v>
      </c>
      <c r="M146">
        <f ca="1">SUM($L$3:L146)</f>
        <v>100.58462616509068</v>
      </c>
      <c r="O146">
        <f ca="1">(Q145*Arkusz1!J146)-Q145</f>
        <v>-1839.7504293308593</v>
      </c>
      <c r="P146" s="16">
        <f t="shared" ca="1" si="24"/>
        <v>15708.911301670591</v>
      </c>
      <c r="Q146" s="17">
        <f t="shared" ca="1" si="25"/>
        <v>-354171.06185901217</v>
      </c>
    </row>
    <row r="147" spans="1:17" x14ac:dyDescent="0.35">
      <c r="A147">
        <v>145</v>
      </c>
      <c r="B147" s="14">
        <f t="shared" ca="1" si="26"/>
        <v>50481</v>
      </c>
      <c r="C147" s="15">
        <f ca="1">(1+'Symulacja Pożyczka'!$B$7*(Arkusz1!B147-Arkusz1!B146)/365)</f>
        <v>1.004909589041096</v>
      </c>
      <c r="D147" s="15">
        <f ca="1">(1+'Symulacja Pożyczka'!$B$7*(Arkusz1!B147-Arkusz1!B146)/366)</f>
        <v>1.004896174863388</v>
      </c>
      <c r="E147" s="15">
        <f t="shared" ca="1" si="18"/>
        <v>0</v>
      </c>
      <c r="F147" s="15">
        <f t="shared" ca="1" si="19"/>
        <v>0</v>
      </c>
      <c r="G147">
        <f ca="1">IF(E147=1,(1+'Symulacja Pożyczka'!$B$7*(((Arkusz1!B147-DATE(YEAR(B147),1,1)+1)/365)+((DATE(YEAR(B146),12,31)-Arkusz1!B146)/366))),IF(F147=1,(1+'Symulacja Pożyczka'!$B$7*(((Arkusz1!B147-DATE(YEAR(B147),1,1)+1)/366)+((DATE(YEAR(B146),12,31)-Arkusz1!B146)/365))),0))</f>
        <v>0</v>
      </c>
      <c r="H147">
        <f t="shared" ca="1" si="20"/>
        <v>0</v>
      </c>
      <c r="I147">
        <f t="shared" ca="1" si="21"/>
        <v>1.004909589041096</v>
      </c>
      <c r="J147">
        <f t="shared" ca="1" si="22"/>
        <v>1.004909589041096</v>
      </c>
      <c r="K147">
        <f ca="1">PRODUCT($J$3:J147)</f>
        <v>2.1567112445805425</v>
      </c>
      <c r="L147">
        <f t="shared" ca="1" si="23"/>
        <v>0.46366893227493206</v>
      </c>
      <c r="M147">
        <f ca="1">SUM($L$3:L147)</f>
        <v>101.04829509736561</v>
      </c>
      <c r="O147">
        <f ca="1">(Q146*Arkusz1!J147)-Q146</f>
        <v>-1738.8343639763189</v>
      </c>
      <c r="P147" s="16">
        <f t="shared" ca="1" si="24"/>
        <v>15607.99523631605</v>
      </c>
      <c r="Q147" s="17">
        <f t="shared" ca="1" si="25"/>
        <v>-369779.05709532823</v>
      </c>
    </row>
    <row r="148" spans="1:17" x14ac:dyDescent="0.35">
      <c r="A148">
        <v>146</v>
      </c>
      <c r="B148" s="14">
        <f t="shared" ca="1" si="26"/>
        <v>50512</v>
      </c>
      <c r="C148" s="15">
        <f ca="1">(1+'Symulacja Pożyczka'!$B$7*(Arkusz1!B148-Arkusz1!B147)/365)</f>
        <v>1.0054356164383562</v>
      </c>
      <c r="D148" s="15">
        <f ca="1">(1+'Symulacja Pożyczka'!$B$7*(Arkusz1!B148-Arkusz1!B147)/366)</f>
        <v>1.0054207650273224</v>
      </c>
      <c r="E148" s="15">
        <f t="shared" ca="1" si="18"/>
        <v>0</v>
      </c>
      <c r="F148" s="15">
        <f t="shared" ca="1" si="19"/>
        <v>0</v>
      </c>
      <c r="G148">
        <f ca="1">IF(E148=1,(1+'Symulacja Pożyczka'!$B$7*(((Arkusz1!B148-DATE(YEAR(B148),1,1)+1)/365)+((DATE(YEAR(B147),12,31)-Arkusz1!B147)/366))),IF(F148=1,(1+'Symulacja Pożyczka'!$B$7*(((Arkusz1!B148-DATE(YEAR(B148),1,1)+1)/366)+((DATE(YEAR(B147),12,31)-Arkusz1!B147)/365))),0))</f>
        <v>0</v>
      </c>
      <c r="H148">
        <f t="shared" ca="1" si="20"/>
        <v>0</v>
      </c>
      <c r="I148">
        <f t="shared" ca="1" si="21"/>
        <v>1.0054356164383562</v>
      </c>
      <c r="J148">
        <f t="shared" ca="1" si="22"/>
        <v>1.0054356164383562</v>
      </c>
      <c r="K148">
        <f ca="1">PRODUCT($J$3:J148)</f>
        <v>2.1684342996743724</v>
      </c>
      <c r="L148">
        <f t="shared" ca="1" si="23"/>
        <v>0.46116223126989236</v>
      </c>
      <c r="M148">
        <f ca="1">SUM($L$3:L148)</f>
        <v>101.50945732863551</v>
      </c>
      <c r="O148">
        <f ca="1">(Q147*Arkusz1!J148)-Q147</f>
        <v>-2009.9771213072236</v>
      </c>
      <c r="P148" s="16">
        <f t="shared" ca="1" si="24"/>
        <v>15879.137993646955</v>
      </c>
      <c r="Q148" s="17">
        <f t="shared" ca="1" si="25"/>
        <v>-385658.19508897519</v>
      </c>
    </row>
    <row r="149" spans="1:17" x14ac:dyDescent="0.35">
      <c r="A149">
        <v>147</v>
      </c>
      <c r="B149" s="14">
        <f t="shared" ca="1" si="26"/>
        <v>50542</v>
      </c>
      <c r="C149" s="15">
        <f ca="1">(1+'Symulacja Pożyczka'!$B$7*(Arkusz1!B149-Arkusz1!B148)/365)</f>
        <v>1.0052602739726026</v>
      </c>
      <c r="D149" s="15">
        <f ca="1">(1+'Symulacja Pożyczka'!$B$7*(Arkusz1!B149-Arkusz1!B148)/366)</f>
        <v>1.0052459016393442</v>
      </c>
      <c r="E149" s="15">
        <f t="shared" ca="1" si="18"/>
        <v>0</v>
      </c>
      <c r="F149" s="15">
        <f t="shared" ca="1" si="19"/>
        <v>0</v>
      </c>
      <c r="G149">
        <f ca="1">IF(E149=1,(1+'Symulacja Pożyczka'!$B$7*(((Arkusz1!B149-DATE(YEAR(B149),1,1)+1)/365)+((DATE(YEAR(B148),12,31)-Arkusz1!B148)/366))),IF(F149=1,(1+'Symulacja Pożyczka'!$B$7*(((Arkusz1!B149-DATE(YEAR(B149),1,1)+1)/366)+((DATE(YEAR(B148),12,31)-Arkusz1!B148)/365))),0))</f>
        <v>0</v>
      </c>
      <c r="H149">
        <f t="shared" ca="1" si="20"/>
        <v>0</v>
      </c>
      <c r="I149">
        <f t="shared" ca="1" si="21"/>
        <v>1.0052602739726026</v>
      </c>
      <c r="J149">
        <f t="shared" ca="1" si="22"/>
        <v>1.0052602739726026</v>
      </c>
      <c r="K149">
        <f ca="1">PRODUCT($J$3:J149)</f>
        <v>2.1798408581822484</v>
      </c>
      <c r="L149">
        <f t="shared" ca="1" si="23"/>
        <v>0.45874908539602838</v>
      </c>
      <c r="M149">
        <f ca="1">SUM($L$3:L149)</f>
        <v>101.96820641403153</v>
      </c>
      <c r="O149">
        <f ca="1">(Q148*Arkusz1!J149)-Q148</f>
        <v>-2028.6677659474663</v>
      </c>
      <c r="P149" s="16">
        <f t="shared" ca="1" si="24"/>
        <v>15897.828638287197</v>
      </c>
      <c r="Q149" s="17">
        <f t="shared" ca="1" si="25"/>
        <v>-401556.02372726239</v>
      </c>
    </row>
    <row r="150" spans="1:17" x14ac:dyDescent="0.35">
      <c r="A150">
        <v>148</v>
      </c>
      <c r="B150" s="14">
        <f t="shared" ca="1" si="26"/>
        <v>50573</v>
      </c>
      <c r="C150" s="15">
        <f ca="1">(1+'Symulacja Pożyczka'!$B$7*(Arkusz1!B150-Arkusz1!B149)/365)</f>
        <v>1.0054356164383562</v>
      </c>
      <c r="D150" s="15">
        <f ca="1">(1+'Symulacja Pożyczka'!$B$7*(Arkusz1!B150-Arkusz1!B149)/366)</f>
        <v>1.0054207650273224</v>
      </c>
      <c r="E150" s="15">
        <f t="shared" ca="1" si="18"/>
        <v>0</v>
      </c>
      <c r="F150" s="15">
        <f t="shared" ca="1" si="19"/>
        <v>0</v>
      </c>
      <c r="G150">
        <f ca="1">IF(E150=1,(1+'Symulacja Pożyczka'!$B$7*(((Arkusz1!B150-DATE(YEAR(B150),1,1)+1)/365)+((DATE(YEAR(B149),12,31)-Arkusz1!B149)/366))),IF(F150=1,(1+'Symulacja Pożyczka'!$B$7*(((Arkusz1!B150-DATE(YEAR(B150),1,1)+1)/366)+((DATE(YEAR(B149),12,31)-Arkusz1!B149)/365))),0))</f>
        <v>0</v>
      </c>
      <c r="H150">
        <f t="shared" ca="1" si="20"/>
        <v>0</v>
      </c>
      <c r="I150">
        <f t="shared" ca="1" si="21"/>
        <v>1.0054356164383562</v>
      </c>
      <c r="J150">
        <f t="shared" ca="1" si="22"/>
        <v>1.0054356164383562</v>
      </c>
      <c r="K150">
        <f ca="1">PRODUCT($J$3:J150)</f>
        <v>2.1916896369839844</v>
      </c>
      <c r="L150">
        <f t="shared" ca="1" si="23"/>
        <v>0.45626898221598305</v>
      </c>
      <c r="M150">
        <f ca="1">SUM($L$3:L150)</f>
        <v>102.42447539624752</v>
      </c>
      <c r="O150">
        <f ca="1">(Q149*Arkusz1!J150)-Q149</f>
        <v>-2182.7045234928373</v>
      </c>
      <c r="P150" s="16">
        <f t="shared" ca="1" si="24"/>
        <v>16051.865395832569</v>
      </c>
      <c r="Q150" s="17">
        <f t="shared" ca="1" si="25"/>
        <v>-417607.88912309497</v>
      </c>
    </row>
    <row r="151" spans="1:17" x14ac:dyDescent="0.35">
      <c r="A151">
        <v>149</v>
      </c>
      <c r="B151" s="14">
        <f t="shared" ca="1" si="26"/>
        <v>50603</v>
      </c>
      <c r="C151" s="15">
        <f ca="1">(1+'Symulacja Pożyczka'!$B$7*(Arkusz1!B151-Arkusz1!B150)/365)</f>
        <v>1.0052602739726026</v>
      </c>
      <c r="D151" s="15">
        <f ca="1">(1+'Symulacja Pożyczka'!$B$7*(Arkusz1!B151-Arkusz1!B150)/366)</f>
        <v>1.0052459016393442</v>
      </c>
      <c r="E151" s="15">
        <f t="shared" ca="1" si="18"/>
        <v>0</v>
      </c>
      <c r="F151" s="15">
        <f t="shared" ca="1" si="19"/>
        <v>0</v>
      </c>
      <c r="G151">
        <f ca="1">IF(E151=1,(1+'Symulacja Pożyczka'!$B$7*(((Arkusz1!B151-DATE(YEAR(B151),1,1)+1)/365)+((DATE(YEAR(B150),12,31)-Arkusz1!B150)/366))),IF(F151=1,(1+'Symulacja Pożyczka'!$B$7*(((Arkusz1!B151-DATE(YEAR(B151),1,1)+1)/366)+((DATE(YEAR(B150),12,31)-Arkusz1!B150)/365))),0))</f>
        <v>0</v>
      </c>
      <c r="H151">
        <f t="shared" ca="1" si="20"/>
        <v>0</v>
      </c>
      <c r="I151">
        <f t="shared" ca="1" si="21"/>
        <v>1.0052602739726026</v>
      </c>
      <c r="J151">
        <f t="shared" ca="1" si="22"/>
        <v>1.0052602739726026</v>
      </c>
      <c r="K151">
        <f ca="1">PRODUCT($J$3:J151)</f>
        <v>2.2032185249374341</v>
      </c>
      <c r="L151">
        <f t="shared" ca="1" si="23"/>
        <v>0.45388144148270426</v>
      </c>
      <c r="M151">
        <f ca="1">SUM($L$3:L151)</f>
        <v>102.87835683773022</v>
      </c>
      <c r="O151">
        <f ca="1">(Q150*Arkusz1!J151)-Q150</f>
        <v>-2196.7319099077722</v>
      </c>
      <c r="P151" s="16">
        <f t="shared" ca="1" si="24"/>
        <v>16065.892782247503</v>
      </c>
      <c r="Q151" s="17">
        <f t="shared" ca="1" si="25"/>
        <v>-433673.78190534248</v>
      </c>
    </row>
    <row r="152" spans="1:17" x14ac:dyDescent="0.35">
      <c r="A152">
        <v>150</v>
      </c>
      <c r="B152" s="14">
        <f t="shared" ca="1" si="26"/>
        <v>50634</v>
      </c>
      <c r="C152" s="15">
        <f ca="1">(1+'Symulacja Pożyczka'!$B$7*(Arkusz1!B152-Arkusz1!B151)/365)</f>
        <v>1.0054356164383562</v>
      </c>
      <c r="D152" s="15">
        <f ca="1">(1+'Symulacja Pożyczka'!$B$7*(Arkusz1!B152-Arkusz1!B151)/366)</f>
        <v>1.0054207650273224</v>
      </c>
      <c r="E152" s="15">
        <f t="shared" ca="1" si="18"/>
        <v>0</v>
      </c>
      <c r="F152" s="15">
        <f t="shared" ca="1" si="19"/>
        <v>0</v>
      </c>
      <c r="G152">
        <f ca="1">IF(E152=1,(1+'Symulacja Pożyczka'!$B$7*(((Arkusz1!B152-DATE(YEAR(B152),1,1)+1)/365)+((DATE(YEAR(B151),12,31)-Arkusz1!B151)/366))),IF(F152=1,(1+'Symulacja Pożyczka'!$B$7*(((Arkusz1!B152-DATE(YEAR(B152),1,1)+1)/366)+((DATE(YEAR(B151),12,31)-Arkusz1!B151)/365))),0))</f>
        <v>0</v>
      </c>
      <c r="H152">
        <f t="shared" ca="1" si="20"/>
        <v>0</v>
      </c>
      <c r="I152">
        <f t="shared" ca="1" si="21"/>
        <v>1.0054356164383562</v>
      </c>
      <c r="J152">
        <f t="shared" ca="1" si="22"/>
        <v>1.0054356164383562</v>
      </c>
      <c r="K152">
        <f ca="1">PRODUCT($J$3:J152)</f>
        <v>2.215194375768875</v>
      </c>
      <c r="L152">
        <f t="shared" ca="1" si="23"/>
        <v>0.45142765390640205</v>
      </c>
      <c r="M152">
        <f ca="1">SUM($L$3:L152)</f>
        <v>103.32978449163663</v>
      </c>
      <c r="O152">
        <f ca="1">(Q151*Arkusz1!J152)-Q151</f>
        <v>-2357.2843378087855</v>
      </c>
      <c r="P152" s="16">
        <f t="shared" ca="1" si="24"/>
        <v>16226.445210148517</v>
      </c>
      <c r="Q152" s="17">
        <f t="shared" ca="1" si="25"/>
        <v>-449900.227115491</v>
      </c>
    </row>
    <row r="153" spans="1:17" x14ac:dyDescent="0.35">
      <c r="A153">
        <v>151</v>
      </c>
      <c r="B153" s="14">
        <f t="shared" ca="1" si="26"/>
        <v>50665</v>
      </c>
      <c r="C153" s="15">
        <f ca="1">(1+'Symulacja Pożyczka'!$B$7*(Arkusz1!B153-Arkusz1!B152)/365)</f>
        <v>1.0054356164383562</v>
      </c>
      <c r="D153" s="15">
        <f ca="1">(1+'Symulacja Pożyczka'!$B$7*(Arkusz1!B153-Arkusz1!B152)/366)</f>
        <v>1.0054207650273224</v>
      </c>
      <c r="E153" s="15">
        <f t="shared" ca="1" si="18"/>
        <v>0</v>
      </c>
      <c r="F153" s="15">
        <f t="shared" ca="1" si="19"/>
        <v>0</v>
      </c>
      <c r="G153">
        <f ca="1">IF(E153=1,(1+'Symulacja Pożyczka'!$B$7*(((Arkusz1!B153-DATE(YEAR(B153),1,1)+1)/365)+((DATE(YEAR(B152),12,31)-Arkusz1!B152)/366))),IF(F153=1,(1+'Symulacja Pożyczka'!$B$7*(((Arkusz1!B153-DATE(YEAR(B153),1,1)+1)/366)+((DATE(YEAR(B152),12,31)-Arkusz1!B152)/365))),0))</f>
        <v>0</v>
      </c>
      <c r="H153">
        <f t="shared" ca="1" si="20"/>
        <v>0</v>
      </c>
      <c r="I153">
        <f t="shared" ca="1" si="21"/>
        <v>1.0054356164383562</v>
      </c>
      <c r="J153">
        <f t="shared" ca="1" si="22"/>
        <v>1.0054356164383562</v>
      </c>
      <c r="K153">
        <f ca="1">PRODUCT($J$3:J153)</f>
        <v>2.2272353227319583</v>
      </c>
      <c r="L153">
        <f t="shared" ca="1" si="23"/>
        <v>0.44898713207070812</v>
      </c>
      <c r="M153">
        <f ca="1">SUM($L$3:L153)</f>
        <v>103.77877162370734</v>
      </c>
      <c r="O153">
        <f ca="1">(Q152*Arkusz1!J153)-Q152</f>
        <v>-2445.485070129158</v>
      </c>
      <c r="P153" s="16">
        <f t="shared" ca="1" si="24"/>
        <v>16314.645942468889</v>
      </c>
      <c r="Q153" s="17">
        <f t="shared" ca="1" si="25"/>
        <v>-466214.87305795989</v>
      </c>
    </row>
    <row r="154" spans="1:17" x14ac:dyDescent="0.35">
      <c r="A154">
        <v>152</v>
      </c>
      <c r="B154" s="14">
        <f t="shared" ca="1" si="26"/>
        <v>50695</v>
      </c>
      <c r="C154" s="15">
        <f ca="1">(1+'Symulacja Pożyczka'!$B$7*(Arkusz1!B154-Arkusz1!B153)/365)</f>
        <v>1.0052602739726026</v>
      </c>
      <c r="D154" s="15">
        <f ca="1">(1+'Symulacja Pożyczka'!$B$7*(Arkusz1!B154-Arkusz1!B153)/366)</f>
        <v>1.0052459016393442</v>
      </c>
      <c r="E154" s="15">
        <f t="shared" ca="1" si="18"/>
        <v>0</v>
      </c>
      <c r="F154" s="15">
        <f t="shared" ca="1" si="19"/>
        <v>0</v>
      </c>
      <c r="G154">
        <f ca="1">IF(E154=1,(1+'Symulacja Pożyczka'!$B$7*(((Arkusz1!B154-DATE(YEAR(B154),1,1)+1)/365)+((DATE(YEAR(B153),12,31)-Arkusz1!B153)/366))),IF(F154=1,(1+'Symulacja Pożyczka'!$B$7*(((Arkusz1!B154-DATE(YEAR(B154),1,1)+1)/366)+((DATE(YEAR(B153),12,31)-Arkusz1!B153)/365))),0))</f>
        <v>0</v>
      </c>
      <c r="H154">
        <f t="shared" ca="1" si="20"/>
        <v>0</v>
      </c>
      <c r="I154">
        <f t="shared" ca="1" si="21"/>
        <v>1.0052602739726026</v>
      </c>
      <c r="J154">
        <f t="shared" ca="1" si="22"/>
        <v>1.0052602739726026</v>
      </c>
      <c r="K154">
        <f ca="1">PRODUCT($J$3:J154)</f>
        <v>2.2389511907309867</v>
      </c>
      <c r="L154">
        <f t="shared" ca="1" si="23"/>
        <v>0.44663769542627402</v>
      </c>
      <c r="M154">
        <f ca="1">SUM($L$3:L154)</f>
        <v>104.22540931913362</v>
      </c>
      <c r="O154">
        <f ca="1">(Q153*Arkusz1!J154)-Q153</f>
        <v>-2452.4179623870295</v>
      </c>
      <c r="P154" s="16">
        <f t="shared" ca="1" si="24"/>
        <v>16321.578834726761</v>
      </c>
      <c r="Q154" s="17">
        <f t="shared" ca="1" si="25"/>
        <v>-482536.45189268666</v>
      </c>
    </row>
    <row r="155" spans="1:17" x14ac:dyDescent="0.35">
      <c r="A155">
        <v>153</v>
      </c>
      <c r="B155" s="14">
        <f t="shared" ca="1" si="26"/>
        <v>50726</v>
      </c>
      <c r="C155" s="15">
        <f ca="1">(1+'Symulacja Pożyczka'!$B$7*(Arkusz1!B155-Arkusz1!B154)/365)</f>
        <v>1.0054356164383562</v>
      </c>
      <c r="D155" s="15">
        <f ca="1">(1+'Symulacja Pożyczka'!$B$7*(Arkusz1!B155-Arkusz1!B154)/366)</f>
        <v>1.0054207650273224</v>
      </c>
      <c r="E155" s="15">
        <f t="shared" ca="1" si="18"/>
        <v>0</v>
      </c>
      <c r="F155" s="15">
        <f t="shared" ca="1" si="19"/>
        <v>0</v>
      </c>
      <c r="G155">
        <f ca="1">IF(E155=1,(1+'Symulacja Pożyczka'!$B$7*(((Arkusz1!B155-DATE(YEAR(B155),1,1)+1)/365)+((DATE(YEAR(B154),12,31)-Arkusz1!B154)/366))),IF(F155=1,(1+'Symulacja Pożyczka'!$B$7*(((Arkusz1!B155-DATE(YEAR(B155),1,1)+1)/366)+((DATE(YEAR(B154),12,31)-Arkusz1!B154)/365))),0))</f>
        <v>0</v>
      </c>
      <c r="H155">
        <f t="shared" ca="1" si="20"/>
        <v>0</v>
      </c>
      <c r="I155">
        <f t="shared" ca="1" si="21"/>
        <v>1.0054356164383562</v>
      </c>
      <c r="J155">
        <f t="shared" ca="1" si="22"/>
        <v>1.0054356164383562</v>
      </c>
      <c r="K155">
        <f ca="1">PRODUCT($J$3:J155)</f>
        <v>2.2511212706280013</v>
      </c>
      <c r="L155">
        <f t="shared" ca="1" si="23"/>
        <v>0.44422306920898463</v>
      </c>
      <c r="M155">
        <f ca="1">SUM($L$3:L155)</f>
        <v>104.66963238834261</v>
      </c>
      <c r="O155">
        <f ca="1">(Q154*Arkusz1!J155)-Q154</f>
        <v>-2622.8830700139515</v>
      </c>
      <c r="P155" s="16">
        <f t="shared" ca="1" si="24"/>
        <v>16492.043942353681</v>
      </c>
      <c r="Q155" s="17">
        <f t="shared" ca="1" si="25"/>
        <v>-499028.49583504035</v>
      </c>
    </row>
    <row r="156" spans="1:17" x14ac:dyDescent="0.35">
      <c r="A156">
        <v>154</v>
      </c>
      <c r="B156" s="14">
        <f t="shared" ca="1" si="26"/>
        <v>50756</v>
      </c>
      <c r="C156" s="15">
        <f ca="1">(1+'Symulacja Pożyczka'!$B$7*(Arkusz1!B156-Arkusz1!B155)/365)</f>
        <v>1.0052602739726026</v>
      </c>
      <c r="D156" s="15">
        <f ca="1">(1+'Symulacja Pożyczka'!$B$7*(Arkusz1!B156-Arkusz1!B155)/366)</f>
        <v>1.0052459016393442</v>
      </c>
      <c r="E156" s="15">
        <f t="shared" ca="1" si="18"/>
        <v>0</v>
      </c>
      <c r="F156" s="15">
        <f t="shared" ca="1" si="19"/>
        <v>0</v>
      </c>
      <c r="G156">
        <f ca="1">IF(E156=1,(1+'Symulacja Pożyczka'!$B$7*(((Arkusz1!B156-DATE(YEAR(B156),1,1)+1)/365)+((DATE(YEAR(B155),12,31)-Arkusz1!B155)/366))),IF(F156=1,(1+'Symulacja Pożyczka'!$B$7*(((Arkusz1!B156-DATE(YEAR(B156),1,1)+1)/366)+((DATE(YEAR(B155),12,31)-Arkusz1!B155)/365))),0))</f>
        <v>0</v>
      </c>
      <c r="H156">
        <f t="shared" ca="1" si="20"/>
        <v>0</v>
      </c>
      <c r="I156">
        <f t="shared" ca="1" si="21"/>
        <v>1.0052602739726026</v>
      </c>
      <c r="J156">
        <f t="shared" ca="1" si="22"/>
        <v>1.0052602739726026</v>
      </c>
      <c r="K156">
        <f ca="1">PRODUCT($J$3:J156)</f>
        <v>2.262962785257058</v>
      </c>
      <c r="L156">
        <f t="shared" ca="1" si="23"/>
        <v>0.44189856170631037</v>
      </c>
      <c r="M156">
        <f ca="1">SUM($L$3:L156)</f>
        <v>105.11153095004892</v>
      </c>
      <c r="O156">
        <f ca="1">(Q155*Arkusz1!J156)-Q155</f>
        <v>-2625.0266082281014</v>
      </c>
      <c r="P156" s="16">
        <f t="shared" ca="1" si="24"/>
        <v>16494.187480567831</v>
      </c>
      <c r="Q156" s="17">
        <f t="shared" ca="1" si="25"/>
        <v>-515522.68331560818</v>
      </c>
    </row>
    <row r="157" spans="1:17" x14ac:dyDescent="0.35">
      <c r="A157">
        <v>155</v>
      </c>
      <c r="B157" s="14">
        <f t="shared" ca="1" si="26"/>
        <v>50787</v>
      </c>
      <c r="C157" s="15">
        <f ca="1">(1+'Symulacja Pożyczka'!$B$7*(Arkusz1!B157-Arkusz1!B156)/365)</f>
        <v>1.0054356164383562</v>
      </c>
      <c r="D157" s="15">
        <f ca="1">(1+'Symulacja Pożyczka'!$B$7*(Arkusz1!B157-Arkusz1!B156)/366)</f>
        <v>1.0054207650273224</v>
      </c>
      <c r="E157" s="15">
        <f t="shared" ca="1" si="18"/>
        <v>0</v>
      </c>
      <c r="F157" s="15">
        <f t="shared" ca="1" si="19"/>
        <v>0</v>
      </c>
      <c r="G157">
        <f ca="1">IF(E157=1,(1+'Symulacja Pożyczka'!$B$7*(((Arkusz1!B157-DATE(YEAR(B157),1,1)+1)/365)+((DATE(YEAR(B156),12,31)-Arkusz1!B156)/366))),IF(F157=1,(1+'Symulacja Pożyczka'!$B$7*(((Arkusz1!B157-DATE(YEAR(B157),1,1)+1)/366)+((DATE(YEAR(B156),12,31)-Arkusz1!B156)/365))),0))</f>
        <v>0</v>
      </c>
      <c r="H157">
        <f t="shared" ca="1" si="20"/>
        <v>0</v>
      </c>
      <c r="I157">
        <f t="shared" ca="1" si="21"/>
        <v>1.0054356164383562</v>
      </c>
      <c r="J157">
        <f t="shared" ca="1" si="22"/>
        <v>1.0054356164383562</v>
      </c>
      <c r="K157">
        <f ca="1">PRODUCT($J$3:J157)</f>
        <v>2.2752633829719895</v>
      </c>
      <c r="L157">
        <f t="shared" ca="1" si="23"/>
        <v>0.43950955633706995</v>
      </c>
      <c r="M157">
        <f ca="1">SUM($L$3:L157)</f>
        <v>105.55104050638599</v>
      </c>
      <c r="O157">
        <f ca="1">(Q156*Arkusz1!J157)-Q156</f>
        <v>-2802.1835717758513</v>
      </c>
      <c r="P157" s="16">
        <f t="shared" ca="1" si="24"/>
        <v>16671.344444115581</v>
      </c>
      <c r="Q157" s="17">
        <f t="shared" ca="1" si="25"/>
        <v>-532194.02775972371</v>
      </c>
    </row>
    <row r="158" spans="1:17" x14ac:dyDescent="0.35">
      <c r="A158">
        <v>156</v>
      </c>
      <c r="B158" s="14">
        <f t="shared" ca="1" si="26"/>
        <v>50818</v>
      </c>
      <c r="C158" s="15">
        <f ca="1">(1+'Symulacja Pożyczka'!$B$7*(Arkusz1!B158-Arkusz1!B157)/365)</f>
        <v>1.0054356164383562</v>
      </c>
      <c r="D158" s="15">
        <f ca="1">(1+'Symulacja Pożyczka'!$B$7*(Arkusz1!B158-Arkusz1!B157)/366)</f>
        <v>1.0054207650273224</v>
      </c>
      <c r="E158" s="15">
        <f t="shared" ca="1" si="18"/>
        <v>0</v>
      </c>
      <c r="F158" s="15">
        <f t="shared" ca="1" si="19"/>
        <v>0</v>
      </c>
      <c r="G158">
        <f ca="1">IF(E158=1,(1+'Symulacja Pożyczka'!$B$7*(((Arkusz1!B158-DATE(YEAR(B158),1,1)+1)/365)+((DATE(YEAR(B157),12,31)-Arkusz1!B157)/366))),IF(F158=1,(1+'Symulacja Pożyczka'!$B$7*(((Arkusz1!B158-DATE(YEAR(B158),1,1)+1)/366)+((DATE(YEAR(B157),12,31)-Arkusz1!B157)/365))),0))</f>
        <v>0</v>
      </c>
      <c r="H158">
        <f t="shared" ca="1" si="20"/>
        <v>0</v>
      </c>
      <c r="I158">
        <f t="shared" ca="1" si="21"/>
        <v>1.0054356164383562</v>
      </c>
      <c r="J158">
        <f t="shared" ca="1" si="22"/>
        <v>1.0054356164383562</v>
      </c>
      <c r="K158">
        <f ca="1">PRODUCT($J$3:J158)</f>
        <v>2.287630842018062</v>
      </c>
      <c r="L158">
        <f t="shared" ca="1" si="23"/>
        <v>0.43713346648091067</v>
      </c>
      <c r="M158">
        <f ca="1">SUM($L$3:L158)</f>
        <v>105.9881739728669</v>
      </c>
      <c r="O158">
        <f ca="1">(Q157*Arkusz1!J158)-Q157</f>
        <v>-2892.802605685778</v>
      </c>
      <c r="P158" s="16">
        <f t="shared" ca="1" si="24"/>
        <v>16761.963478025507</v>
      </c>
      <c r="Q158" s="17">
        <f t="shared" ca="1" si="25"/>
        <v>-548955.99123774923</v>
      </c>
    </row>
    <row r="159" spans="1:17" x14ac:dyDescent="0.35">
      <c r="A159">
        <v>157</v>
      </c>
      <c r="B159" s="14">
        <f t="shared" ca="1" si="26"/>
        <v>50846</v>
      </c>
      <c r="C159" s="15">
        <f ca="1">(1+'Symulacja Pożyczka'!$B$7*(Arkusz1!B159-Arkusz1!B158)/365)</f>
        <v>1.004909589041096</v>
      </c>
      <c r="D159" s="15">
        <f ca="1">(1+'Symulacja Pożyczka'!$B$7*(Arkusz1!B159-Arkusz1!B158)/366)</f>
        <v>1.004896174863388</v>
      </c>
      <c r="E159" s="15">
        <f t="shared" ca="1" si="18"/>
        <v>0</v>
      </c>
      <c r="F159" s="15">
        <f t="shared" ca="1" si="19"/>
        <v>0</v>
      </c>
      <c r="G159">
        <f ca="1">IF(E159=1,(1+'Symulacja Pożyczka'!$B$7*(((Arkusz1!B159-DATE(YEAR(B159),1,1)+1)/365)+((DATE(YEAR(B158),12,31)-Arkusz1!B158)/366))),IF(F159=1,(1+'Symulacja Pożyczka'!$B$7*(((Arkusz1!B159-DATE(YEAR(B159),1,1)+1)/366)+((DATE(YEAR(B158),12,31)-Arkusz1!B158)/365))),0))</f>
        <v>0</v>
      </c>
      <c r="H159">
        <f t="shared" ca="1" si="20"/>
        <v>0</v>
      </c>
      <c r="I159">
        <f t="shared" ca="1" si="21"/>
        <v>1.004909589041096</v>
      </c>
      <c r="J159">
        <f t="shared" ca="1" si="22"/>
        <v>1.004909589041096</v>
      </c>
      <c r="K159">
        <f ca="1">PRODUCT($J$3:J159)</f>
        <v>2.298862169330107</v>
      </c>
      <c r="L159">
        <f t="shared" ca="1" si="23"/>
        <v>0.43499780601957622</v>
      </c>
      <c r="M159">
        <f ca="1">SUM($L$3:L159)</f>
        <v>106.42317177888648</v>
      </c>
      <c r="O159">
        <f ca="1">(Q158*Arkusz1!J159)-Q158</f>
        <v>-2695.1483186248224</v>
      </c>
      <c r="P159" s="16">
        <f t="shared" ca="1" si="24"/>
        <v>16564.309190964552</v>
      </c>
      <c r="Q159" s="17">
        <f t="shared" ca="1" si="25"/>
        <v>-565520.30042871379</v>
      </c>
    </row>
    <row r="160" spans="1:17" x14ac:dyDescent="0.35">
      <c r="A160">
        <v>158</v>
      </c>
      <c r="B160" s="14">
        <f t="shared" ca="1" si="26"/>
        <v>50877</v>
      </c>
      <c r="C160" s="15">
        <f ca="1">(1+'Symulacja Pożyczka'!$B$7*(Arkusz1!B160-Arkusz1!B159)/365)</f>
        <v>1.0054356164383562</v>
      </c>
      <c r="D160" s="15">
        <f ca="1">(1+'Symulacja Pożyczka'!$B$7*(Arkusz1!B160-Arkusz1!B159)/366)</f>
        <v>1.0054207650273224</v>
      </c>
      <c r="E160" s="15">
        <f t="shared" ca="1" si="18"/>
        <v>0</v>
      </c>
      <c r="F160" s="15">
        <f t="shared" ca="1" si="19"/>
        <v>0</v>
      </c>
      <c r="G160">
        <f ca="1">IF(E160=1,(1+'Symulacja Pożyczka'!$B$7*(((Arkusz1!B160-DATE(YEAR(B160),1,1)+1)/365)+((DATE(YEAR(B159),12,31)-Arkusz1!B159)/366))),IF(F160=1,(1+'Symulacja Pożyczka'!$B$7*(((Arkusz1!B160-DATE(YEAR(B160),1,1)+1)/366)+((DATE(YEAR(B159),12,31)-Arkusz1!B159)/365))),0))</f>
        <v>0</v>
      </c>
      <c r="H160">
        <f t="shared" ca="1" si="20"/>
        <v>0</v>
      </c>
      <c r="I160">
        <f t="shared" ca="1" si="21"/>
        <v>1.0054356164383562</v>
      </c>
      <c r="J160">
        <f t="shared" ca="1" si="22"/>
        <v>1.0054356164383562</v>
      </c>
      <c r="K160">
        <f ca="1">PRODUCT($J$3:J160)</f>
        <v>2.311357902327233</v>
      </c>
      <c r="L160">
        <f t="shared" ca="1" si="23"/>
        <v>0.4326461077244384</v>
      </c>
      <c r="M160">
        <f ca="1">SUM($L$3:L160)</f>
        <v>106.85581788661092</v>
      </c>
      <c r="O160">
        <f ca="1">(Q159*Arkusz1!J160)-Q159</f>
        <v>-3073.9514412344433</v>
      </c>
      <c r="P160" s="16">
        <f t="shared" ca="1" si="24"/>
        <v>16943.112313574173</v>
      </c>
      <c r="Q160" s="17">
        <f t="shared" ca="1" si="25"/>
        <v>-582463.41274228797</v>
      </c>
    </row>
    <row r="161" spans="1:17" x14ac:dyDescent="0.35">
      <c r="A161">
        <v>159</v>
      </c>
      <c r="B161" s="14">
        <f t="shared" ca="1" si="26"/>
        <v>50907</v>
      </c>
      <c r="C161" s="15">
        <f ca="1">(1+'Symulacja Pożyczka'!$B$7*(Arkusz1!B161-Arkusz1!B160)/365)</f>
        <v>1.0052602739726026</v>
      </c>
      <c r="D161" s="15">
        <f ca="1">(1+'Symulacja Pożyczka'!$B$7*(Arkusz1!B161-Arkusz1!B160)/366)</f>
        <v>1.0052459016393442</v>
      </c>
      <c r="E161" s="15">
        <f t="shared" ca="1" si="18"/>
        <v>0</v>
      </c>
      <c r="F161" s="15">
        <f t="shared" ca="1" si="19"/>
        <v>0</v>
      </c>
      <c r="G161">
        <f ca="1">IF(E161=1,(1+'Symulacja Pożyczka'!$B$7*(((Arkusz1!B161-DATE(YEAR(B161),1,1)+1)/365)+((DATE(YEAR(B160),12,31)-Arkusz1!B160)/366))),IF(F161=1,(1+'Symulacja Pożyczka'!$B$7*(((Arkusz1!B161-DATE(YEAR(B161),1,1)+1)/366)+((DATE(YEAR(B160),12,31)-Arkusz1!B160)/365))),0))</f>
        <v>0</v>
      </c>
      <c r="H161">
        <f t="shared" ca="1" si="20"/>
        <v>0</v>
      </c>
      <c r="I161">
        <f t="shared" ca="1" si="21"/>
        <v>1.0052602739726026</v>
      </c>
      <c r="J161">
        <f t="shared" ca="1" si="22"/>
        <v>1.0052602739726026</v>
      </c>
      <c r="K161">
        <f ca="1">PRODUCT($J$3:J161)</f>
        <v>2.3235162781422143</v>
      </c>
      <c r="L161">
        <f t="shared" ca="1" si="23"/>
        <v>0.43038217954709485</v>
      </c>
      <c r="M161">
        <f ca="1">SUM($L$3:L161)</f>
        <v>107.28620006615802</v>
      </c>
      <c r="O161">
        <f ca="1">(Q160*Arkusz1!J161)-Q160</f>
        <v>-3063.9171300415182</v>
      </c>
      <c r="P161" s="16">
        <f t="shared" ca="1" si="24"/>
        <v>16933.078002381248</v>
      </c>
      <c r="Q161" s="17">
        <f t="shared" ca="1" si="25"/>
        <v>-599396.49074466922</v>
      </c>
    </row>
    <row r="162" spans="1:17" x14ac:dyDescent="0.35">
      <c r="A162">
        <v>160</v>
      </c>
      <c r="B162" s="14">
        <f t="shared" ca="1" si="26"/>
        <v>50938</v>
      </c>
      <c r="C162" s="15">
        <f ca="1">(1+'Symulacja Pożyczka'!$B$7*(Arkusz1!B162-Arkusz1!B161)/365)</f>
        <v>1.0054356164383562</v>
      </c>
      <c r="D162" s="15">
        <f ca="1">(1+'Symulacja Pożyczka'!$B$7*(Arkusz1!B162-Arkusz1!B161)/366)</f>
        <v>1.0054207650273224</v>
      </c>
      <c r="E162" s="15">
        <f t="shared" ca="1" si="18"/>
        <v>0</v>
      </c>
      <c r="F162" s="15">
        <f t="shared" ca="1" si="19"/>
        <v>0</v>
      </c>
      <c r="G162">
        <f ca="1">IF(E162=1,(1+'Symulacja Pożyczka'!$B$7*(((Arkusz1!B162-DATE(YEAR(B162),1,1)+1)/365)+((DATE(YEAR(B161),12,31)-Arkusz1!B161)/366))),IF(F162=1,(1+'Symulacja Pożyczka'!$B$7*(((Arkusz1!B162-DATE(YEAR(B162),1,1)+1)/366)+((DATE(YEAR(B161),12,31)-Arkusz1!B161)/365))),0))</f>
        <v>0</v>
      </c>
      <c r="H162">
        <f t="shared" ca="1" si="20"/>
        <v>0</v>
      </c>
      <c r="I162">
        <f t="shared" ca="1" si="21"/>
        <v>1.0054356164383562</v>
      </c>
      <c r="J162">
        <f t="shared" ca="1" si="22"/>
        <v>1.0054356164383562</v>
      </c>
      <c r="K162">
        <f ca="1">PRODUCT($J$3:J162)</f>
        <v>2.3361460214184722</v>
      </c>
      <c r="L162">
        <f t="shared" ca="1" si="23"/>
        <v>0.42805543439138932</v>
      </c>
      <c r="M162">
        <f ca="1">SUM($L$3:L162)</f>
        <v>107.71425550054941</v>
      </c>
      <c r="O162">
        <f ca="1">(Q161*Arkusz1!J162)-Q161</f>
        <v>-3258.0894181847107</v>
      </c>
      <c r="P162" s="16">
        <f t="shared" ca="1" si="24"/>
        <v>17127.25029052444</v>
      </c>
      <c r="Q162" s="17">
        <f t="shared" ca="1" si="25"/>
        <v>-616523.74103519367</v>
      </c>
    </row>
    <row r="163" spans="1:17" x14ac:dyDescent="0.35">
      <c r="A163">
        <v>161</v>
      </c>
      <c r="B163" s="14">
        <f t="shared" ca="1" si="26"/>
        <v>50968</v>
      </c>
      <c r="C163" s="15">
        <f ca="1">(1+'Symulacja Pożyczka'!$B$7*(Arkusz1!B163-Arkusz1!B162)/365)</f>
        <v>1.0052602739726026</v>
      </c>
      <c r="D163" s="15">
        <f ca="1">(1+'Symulacja Pożyczka'!$B$7*(Arkusz1!B163-Arkusz1!B162)/366)</f>
        <v>1.0052459016393442</v>
      </c>
      <c r="E163" s="15">
        <f t="shared" ca="1" si="18"/>
        <v>0</v>
      </c>
      <c r="F163" s="15">
        <f t="shared" ca="1" si="19"/>
        <v>0</v>
      </c>
      <c r="G163">
        <f ca="1">IF(E163=1,(1+'Symulacja Pożyczka'!$B$7*(((Arkusz1!B163-DATE(YEAR(B163),1,1)+1)/365)+((DATE(YEAR(B162),12,31)-Arkusz1!B162)/366))),IF(F163=1,(1+'Symulacja Pożyczka'!$B$7*(((Arkusz1!B163-DATE(YEAR(B163),1,1)+1)/366)+((DATE(YEAR(B162),12,31)-Arkusz1!B162)/365))),0))</f>
        <v>0</v>
      </c>
      <c r="H163">
        <f t="shared" ca="1" si="20"/>
        <v>0</v>
      </c>
      <c r="I163">
        <f t="shared" ca="1" si="21"/>
        <v>1.0052602739726026</v>
      </c>
      <c r="J163">
        <f t="shared" ca="1" si="22"/>
        <v>1.0052602739726026</v>
      </c>
      <c r="K163">
        <f ca="1">PRODUCT($J$3:J163)</f>
        <v>2.3484347895311388</v>
      </c>
      <c r="L163">
        <f t="shared" ca="1" si="23"/>
        <v>0.42581552805204709</v>
      </c>
      <c r="M163">
        <f ca="1">SUM($L$3:L163)</f>
        <v>108.14007102860145</v>
      </c>
      <c r="O163">
        <f ca="1">(Q162*Arkusz1!J163)-Q162</f>
        <v>-3243.0837884590728</v>
      </c>
      <c r="P163" s="16">
        <f t="shared" ca="1" si="24"/>
        <v>17112.244660798802</v>
      </c>
      <c r="Q163" s="17">
        <f t="shared" ca="1" si="25"/>
        <v>-633635.98569599248</v>
      </c>
    </row>
    <row r="164" spans="1:17" x14ac:dyDescent="0.35">
      <c r="A164">
        <v>162</v>
      </c>
      <c r="B164" s="14">
        <f t="shared" ca="1" si="26"/>
        <v>50999</v>
      </c>
      <c r="C164" s="15">
        <f ca="1">(1+'Symulacja Pożyczka'!$B$7*(Arkusz1!B164-Arkusz1!B163)/365)</f>
        <v>1.0054356164383562</v>
      </c>
      <c r="D164" s="15">
        <f ca="1">(1+'Symulacja Pożyczka'!$B$7*(Arkusz1!B164-Arkusz1!B163)/366)</f>
        <v>1.0054207650273224</v>
      </c>
      <c r="E164" s="15">
        <f t="shared" ca="1" si="18"/>
        <v>0</v>
      </c>
      <c r="F164" s="15">
        <f t="shared" ca="1" si="19"/>
        <v>0</v>
      </c>
      <c r="G164">
        <f ca="1">IF(E164=1,(1+'Symulacja Pożyczka'!$B$7*(((Arkusz1!B164-DATE(YEAR(B164),1,1)+1)/365)+((DATE(YEAR(B163),12,31)-Arkusz1!B163)/366))),IF(F164=1,(1+'Symulacja Pożyczka'!$B$7*(((Arkusz1!B164-DATE(YEAR(B164),1,1)+1)/366)+((DATE(YEAR(B163),12,31)-Arkusz1!B163)/365))),0))</f>
        <v>0</v>
      </c>
      <c r="H164">
        <f t="shared" ca="1" si="20"/>
        <v>0</v>
      </c>
      <c r="I164">
        <f t="shared" ca="1" si="21"/>
        <v>1.0054356164383562</v>
      </c>
      <c r="J164">
        <f t="shared" ca="1" si="22"/>
        <v>1.0054356164383562</v>
      </c>
      <c r="K164">
        <f ca="1">PRODUCT($J$3:J164)</f>
        <v>2.3611999802775219</v>
      </c>
      <c r="L164">
        <f t="shared" ca="1" si="23"/>
        <v>0.4235134712657696</v>
      </c>
      <c r="M164">
        <f ca="1">SUM($L$3:L164)</f>
        <v>108.56358449986722</v>
      </c>
      <c r="O164">
        <f ca="1">(Q163*Arkusz1!J164)-Q163</f>
        <v>-3444.2021797831403</v>
      </c>
      <c r="P164" s="16">
        <f t="shared" ca="1" si="24"/>
        <v>17313.36305212287</v>
      </c>
      <c r="Q164" s="17">
        <f t="shared" ca="1" si="25"/>
        <v>-650949.34874811536</v>
      </c>
    </row>
    <row r="165" spans="1:17" x14ac:dyDescent="0.35">
      <c r="A165">
        <v>163</v>
      </c>
      <c r="B165" s="14">
        <f t="shared" ca="1" si="26"/>
        <v>51030</v>
      </c>
      <c r="C165" s="15">
        <f ca="1">(1+'Symulacja Pożyczka'!$B$7*(Arkusz1!B165-Arkusz1!B164)/365)</f>
        <v>1.0054356164383562</v>
      </c>
      <c r="D165" s="15">
        <f ca="1">(1+'Symulacja Pożyczka'!$B$7*(Arkusz1!B165-Arkusz1!B164)/366)</f>
        <v>1.0054207650273224</v>
      </c>
      <c r="E165" s="15">
        <f t="shared" ca="1" si="18"/>
        <v>0</v>
      </c>
      <c r="F165" s="15">
        <f t="shared" ca="1" si="19"/>
        <v>0</v>
      </c>
      <c r="G165">
        <f ca="1">IF(E165=1,(1+'Symulacja Pożyczka'!$B$7*(((Arkusz1!B165-DATE(YEAR(B165),1,1)+1)/365)+((DATE(YEAR(B164),12,31)-Arkusz1!B164)/366))),IF(F165=1,(1+'Symulacja Pożyczka'!$B$7*(((Arkusz1!B165-DATE(YEAR(B165),1,1)+1)/366)+((DATE(YEAR(B164),12,31)-Arkusz1!B164)/365))),0))</f>
        <v>0</v>
      </c>
      <c r="H165">
        <f t="shared" ca="1" si="20"/>
        <v>0</v>
      </c>
      <c r="I165">
        <f t="shared" ca="1" si="21"/>
        <v>1.0054356164383562</v>
      </c>
      <c r="J165">
        <f t="shared" ca="1" si="22"/>
        <v>1.0054356164383562</v>
      </c>
      <c r="K165">
        <f ca="1">PRODUCT($J$3:J165)</f>
        <v>2.3740345577045647</v>
      </c>
      <c r="L165">
        <f t="shared" ca="1" si="23"/>
        <v>0.4212238599285143</v>
      </c>
      <c r="M165">
        <f ca="1">SUM($L$3:L165)</f>
        <v>108.98480835979574</v>
      </c>
      <c r="O165">
        <f ca="1">(Q164*Arkusz1!J165)-Q164</f>
        <v>-3538.3109805925051</v>
      </c>
      <c r="P165" s="16">
        <f t="shared" ca="1" si="24"/>
        <v>17407.471852932234</v>
      </c>
      <c r="Q165" s="17">
        <f t="shared" ca="1" si="25"/>
        <v>-668356.8206010476</v>
      </c>
    </row>
    <row r="166" spans="1:17" x14ac:dyDescent="0.35">
      <c r="A166">
        <v>164</v>
      </c>
      <c r="B166" s="14">
        <f t="shared" ca="1" si="26"/>
        <v>51060</v>
      </c>
      <c r="C166" s="15">
        <f ca="1">(1+'Symulacja Pożyczka'!$B$7*(Arkusz1!B166-Arkusz1!B165)/365)</f>
        <v>1.0052602739726026</v>
      </c>
      <c r="D166" s="15">
        <f ca="1">(1+'Symulacja Pożyczka'!$B$7*(Arkusz1!B166-Arkusz1!B165)/366)</f>
        <v>1.0052459016393442</v>
      </c>
      <c r="E166" s="15">
        <f t="shared" ca="1" si="18"/>
        <v>0</v>
      </c>
      <c r="F166" s="15">
        <f t="shared" ca="1" si="19"/>
        <v>0</v>
      </c>
      <c r="G166">
        <f ca="1">IF(E166=1,(1+'Symulacja Pożyczka'!$B$7*(((Arkusz1!B166-DATE(YEAR(B166),1,1)+1)/365)+((DATE(YEAR(B165),12,31)-Arkusz1!B165)/366))),IF(F166=1,(1+'Symulacja Pożyczka'!$B$7*(((Arkusz1!B166-DATE(YEAR(B166),1,1)+1)/366)+((DATE(YEAR(B165),12,31)-Arkusz1!B165)/365))),0))</f>
        <v>0</v>
      </c>
      <c r="H166">
        <f t="shared" ca="1" si="20"/>
        <v>0</v>
      </c>
      <c r="I166">
        <f t="shared" ca="1" si="21"/>
        <v>1.0052602739726026</v>
      </c>
      <c r="J166">
        <f t="shared" ca="1" si="22"/>
        <v>1.0052602739726026</v>
      </c>
      <c r="K166">
        <f ca="1">PRODUCT($J$3:J166)</f>
        <v>2.3865226298985172</v>
      </c>
      <c r="L166">
        <f t="shared" ca="1" si="23"/>
        <v>0.41901970149871293</v>
      </c>
      <c r="M166">
        <f ca="1">SUM($L$3:L166)</f>
        <v>109.40382806129445</v>
      </c>
      <c r="O166">
        <f ca="1">(Q165*Arkusz1!J166)-Q165</f>
        <v>-3515.7399878191063</v>
      </c>
      <c r="P166" s="16">
        <f t="shared" ca="1" si="24"/>
        <v>17384.900860158836</v>
      </c>
      <c r="Q166" s="17">
        <f t="shared" ca="1" si="25"/>
        <v>-685741.72146120644</v>
      </c>
    </row>
    <row r="167" spans="1:17" x14ac:dyDescent="0.35">
      <c r="A167">
        <v>165</v>
      </c>
      <c r="B167" s="14">
        <f t="shared" ca="1" si="26"/>
        <v>51091</v>
      </c>
      <c r="C167" s="15">
        <f ca="1">(1+'Symulacja Pożyczka'!$B$7*(Arkusz1!B167-Arkusz1!B166)/365)</f>
        <v>1.0054356164383562</v>
      </c>
      <c r="D167" s="15">
        <f ca="1">(1+'Symulacja Pożyczka'!$B$7*(Arkusz1!B167-Arkusz1!B166)/366)</f>
        <v>1.0054207650273224</v>
      </c>
      <c r="E167" s="15">
        <f t="shared" ca="1" si="18"/>
        <v>0</v>
      </c>
      <c r="F167" s="15">
        <f t="shared" ca="1" si="19"/>
        <v>0</v>
      </c>
      <c r="G167">
        <f ca="1">IF(E167=1,(1+'Symulacja Pożyczka'!$B$7*(((Arkusz1!B167-DATE(YEAR(B167),1,1)+1)/365)+((DATE(YEAR(B166),12,31)-Arkusz1!B166)/366))),IF(F167=1,(1+'Symulacja Pożyczka'!$B$7*(((Arkusz1!B167-DATE(YEAR(B167),1,1)+1)/366)+((DATE(YEAR(B166),12,31)-Arkusz1!B166)/365))),0))</f>
        <v>0</v>
      </c>
      <c r="H167">
        <f t="shared" ca="1" si="20"/>
        <v>0</v>
      </c>
      <c r="I167">
        <f t="shared" ca="1" si="21"/>
        <v>1.0054356164383562</v>
      </c>
      <c r="J167">
        <f t="shared" ca="1" si="22"/>
        <v>1.0054356164383562</v>
      </c>
      <c r="K167">
        <f ca="1">PRODUCT($J$3:J167)</f>
        <v>2.3994948515361028</v>
      </c>
      <c r="L167">
        <f t="shared" ca="1" si="23"/>
        <v>0.41675438451548352</v>
      </c>
      <c r="M167">
        <f ca="1">SUM($L$3:L167)</f>
        <v>109.82058244580993</v>
      </c>
      <c r="O167">
        <f ca="1">(Q166*Arkusz1!J167)-Q166</f>
        <v>-3727.4289736412466</v>
      </c>
      <c r="P167" s="16">
        <f t="shared" ca="1" si="24"/>
        <v>17596.589845980976</v>
      </c>
      <c r="Q167" s="17">
        <f t="shared" ca="1" si="25"/>
        <v>-703338.31130718742</v>
      </c>
    </row>
    <row r="168" spans="1:17" x14ac:dyDescent="0.35">
      <c r="A168">
        <v>166</v>
      </c>
      <c r="B168" s="14">
        <f t="shared" ca="1" si="26"/>
        <v>51121</v>
      </c>
      <c r="C168" s="15">
        <f ca="1">(1+'Symulacja Pożyczka'!$B$7*(Arkusz1!B168-Arkusz1!B167)/365)</f>
        <v>1.0052602739726026</v>
      </c>
      <c r="D168" s="15">
        <f ca="1">(1+'Symulacja Pożyczka'!$B$7*(Arkusz1!B168-Arkusz1!B167)/366)</f>
        <v>1.0052459016393442</v>
      </c>
      <c r="E168" s="15">
        <f t="shared" ca="1" si="18"/>
        <v>0</v>
      </c>
      <c r="F168" s="15">
        <f t="shared" ca="1" si="19"/>
        <v>0</v>
      </c>
      <c r="G168">
        <f ca="1">IF(E168=1,(1+'Symulacja Pożyczka'!$B$7*(((Arkusz1!B168-DATE(YEAR(B168),1,1)+1)/365)+((DATE(YEAR(B167),12,31)-Arkusz1!B167)/366))),IF(F168=1,(1+'Symulacja Pożyczka'!$B$7*(((Arkusz1!B168-DATE(YEAR(B168),1,1)+1)/366)+((DATE(YEAR(B167),12,31)-Arkusz1!B167)/365))),0))</f>
        <v>0</v>
      </c>
      <c r="H168">
        <f t="shared" ca="1" si="20"/>
        <v>0</v>
      </c>
      <c r="I168">
        <f t="shared" ca="1" si="21"/>
        <v>1.0052602739726026</v>
      </c>
      <c r="J168">
        <f t="shared" ca="1" si="22"/>
        <v>1.0052602739726026</v>
      </c>
      <c r="K168">
        <f ca="1">PRODUCT($J$3:J168)</f>
        <v>2.4121168518510321</v>
      </c>
      <c r="L168">
        <f t="shared" ca="1" si="23"/>
        <v>0.41457361372547558</v>
      </c>
      <c r="M168">
        <f ca="1">SUM($L$3:L168)</f>
        <v>110.23515605953541</v>
      </c>
      <c r="O168">
        <f ca="1">(Q167*Arkusz1!J168)-Q167</f>
        <v>-3699.7522129034624</v>
      </c>
      <c r="P168" s="16">
        <f t="shared" ca="1" si="24"/>
        <v>17568.913085243192</v>
      </c>
      <c r="Q168" s="17">
        <f t="shared" ca="1" si="25"/>
        <v>-720907.22439243062</v>
      </c>
    </row>
    <row r="169" spans="1:17" x14ac:dyDescent="0.35">
      <c r="A169">
        <v>167</v>
      </c>
      <c r="B169" s="14">
        <f t="shared" ca="1" si="26"/>
        <v>51152</v>
      </c>
      <c r="C169" s="15">
        <f ca="1">(1+'Symulacja Pożyczka'!$B$7*(Arkusz1!B169-Arkusz1!B168)/365)</f>
        <v>1.0054356164383562</v>
      </c>
      <c r="D169" s="15">
        <f ca="1">(1+'Symulacja Pożyczka'!$B$7*(Arkusz1!B169-Arkusz1!B168)/366)</f>
        <v>1.0054207650273224</v>
      </c>
      <c r="E169" s="15">
        <f t="shared" ca="1" si="18"/>
        <v>0</v>
      </c>
      <c r="F169" s="15">
        <f t="shared" ca="1" si="19"/>
        <v>1</v>
      </c>
      <c r="G169">
        <f ca="1">IF(E169=1,(1+'Symulacja Pożyczka'!$B$7*(((Arkusz1!B169-DATE(YEAR(B169),1,1)+1)/365)+((DATE(YEAR(B168),12,31)-Arkusz1!B168)/366))),IF(F169=1,(1+'Symulacja Pożyczka'!$B$7*(((Arkusz1!B169-DATE(YEAR(B169),1,1)+1)/366)+((DATE(YEAR(B168),12,31)-Arkusz1!B168)/365))),0))</f>
        <v>1.0054274721161764</v>
      </c>
      <c r="H169">
        <f t="shared" ca="1" si="20"/>
        <v>1</v>
      </c>
      <c r="I169">
        <f t="shared" ca="1" si="21"/>
        <v>1.0054207650273224</v>
      </c>
      <c r="J169">
        <f t="shared" ca="1" si="22"/>
        <v>1.0054274721161764</v>
      </c>
      <c r="K169">
        <f ca="1">PRODUCT($J$3:J169)</f>
        <v>2.4252085488054127</v>
      </c>
      <c r="L169">
        <f t="shared" ca="1" si="23"/>
        <v>0.41233567335583199</v>
      </c>
      <c r="M169">
        <f ca="1">SUM($L$3:L169)</f>
        <v>110.64749173289124</v>
      </c>
      <c r="O169">
        <f ca="1">(Q168*Arkusz1!J169)-Q168</f>
        <v>-3912.7038587400457</v>
      </c>
      <c r="P169" s="16">
        <f t="shared" ca="1" si="24"/>
        <v>17781.864731079775</v>
      </c>
      <c r="Q169" s="17">
        <f t="shared" ca="1" si="25"/>
        <v>-738689.08912351041</v>
      </c>
    </row>
    <row r="170" spans="1:17" x14ac:dyDescent="0.35">
      <c r="A170">
        <v>168</v>
      </c>
      <c r="B170" s="14">
        <f t="shared" ca="1" si="26"/>
        <v>51183</v>
      </c>
      <c r="C170" s="15">
        <f ca="1">(1+'Symulacja Pożyczka'!$B$7*(Arkusz1!B170-Arkusz1!B169)/365)</f>
        <v>1.0054356164383562</v>
      </c>
      <c r="D170" s="15">
        <f ca="1">(1+'Symulacja Pożyczka'!$B$7*(Arkusz1!B170-Arkusz1!B169)/366)</f>
        <v>1.0054207650273224</v>
      </c>
      <c r="E170" s="15">
        <f t="shared" ca="1" si="18"/>
        <v>0</v>
      </c>
      <c r="F170" s="15">
        <f t="shared" ca="1" si="19"/>
        <v>0</v>
      </c>
      <c r="G170">
        <f ca="1">IF(E170=1,(1+'Symulacja Pożyczka'!$B$7*(((Arkusz1!B170-DATE(YEAR(B170),1,1)+1)/365)+((DATE(YEAR(B169),12,31)-Arkusz1!B169)/366))),IF(F170=1,(1+'Symulacja Pożyczka'!$B$7*(((Arkusz1!B170-DATE(YEAR(B170),1,1)+1)/366)+((DATE(YEAR(B169),12,31)-Arkusz1!B169)/365))),0))</f>
        <v>0</v>
      </c>
      <c r="H170">
        <f t="shared" ca="1" si="20"/>
        <v>1</v>
      </c>
      <c r="I170">
        <f t="shared" ca="1" si="21"/>
        <v>1.0054207650273224</v>
      </c>
      <c r="J170">
        <f t="shared" ca="1" si="22"/>
        <v>1.0054207650273224</v>
      </c>
      <c r="K170">
        <f ca="1">PRODUCT($J$3:J170)</f>
        <v>2.4383550344907401</v>
      </c>
      <c r="L170">
        <f t="shared" ca="1" si="23"/>
        <v>0.41011254958974991</v>
      </c>
      <c r="M170">
        <f ca="1">SUM($L$3:L170)</f>
        <v>111.05760428248099</v>
      </c>
      <c r="O170">
        <f ca="1">(Q169*Arkusz1!J170)-Q169</f>
        <v>-4004.2599803853082</v>
      </c>
      <c r="P170" s="16">
        <f t="shared" ca="1" si="24"/>
        <v>17873.420852725038</v>
      </c>
      <c r="Q170" s="17">
        <f t="shared" ca="1" si="25"/>
        <v>-756562.50997623545</v>
      </c>
    </row>
    <row r="171" spans="1:17" x14ac:dyDescent="0.35">
      <c r="A171">
        <v>169</v>
      </c>
      <c r="B171" s="14">
        <f t="shared" ca="1" si="26"/>
        <v>51212</v>
      </c>
      <c r="C171" s="15">
        <f ca="1">(1+'Symulacja Pożyczka'!$B$7*(Arkusz1!B171-Arkusz1!B170)/365)</f>
        <v>1.0050849315068493</v>
      </c>
      <c r="D171" s="15">
        <f ca="1">(1+'Symulacja Pożyczka'!$B$7*(Arkusz1!B171-Arkusz1!B170)/366)</f>
        <v>1.0050710382513661</v>
      </c>
      <c r="E171" s="15">
        <f t="shared" ca="1" si="18"/>
        <v>0</v>
      </c>
      <c r="F171" s="15">
        <f t="shared" ca="1" si="19"/>
        <v>0</v>
      </c>
      <c r="G171">
        <f ca="1">IF(E171=1,(1+'Symulacja Pożyczka'!$B$7*(((Arkusz1!B171-DATE(YEAR(B171),1,1)+1)/365)+((DATE(YEAR(B170),12,31)-Arkusz1!B170)/366))),IF(F171=1,(1+'Symulacja Pożyczka'!$B$7*(((Arkusz1!B171-DATE(YEAR(B171),1,1)+1)/366)+((DATE(YEAR(B170),12,31)-Arkusz1!B170)/365))),0))</f>
        <v>0</v>
      </c>
      <c r="H171">
        <f t="shared" ca="1" si="20"/>
        <v>1</v>
      </c>
      <c r="I171">
        <f t="shared" ca="1" si="21"/>
        <v>1.0050710382513661</v>
      </c>
      <c r="J171">
        <f t="shared" ca="1" si="22"/>
        <v>1.0050710382513661</v>
      </c>
      <c r="K171">
        <f ca="1">PRODUCT($J$3:J171)</f>
        <v>2.4507200261410538</v>
      </c>
      <c r="L171">
        <f t="shared" ca="1" si="23"/>
        <v>0.40804334617309074</v>
      </c>
      <c r="M171">
        <f ca="1">SUM($L$3:L171)</f>
        <v>111.46564762865408</v>
      </c>
      <c r="O171">
        <f ca="1">(Q170*Arkusz1!J171)-Q170</f>
        <v>-3836.5574276390253</v>
      </c>
      <c r="P171" s="16">
        <f t="shared" ca="1" si="24"/>
        <v>17705.718299978755</v>
      </c>
      <c r="Q171" s="17">
        <f t="shared" ca="1" si="25"/>
        <v>-774268.22827621421</v>
      </c>
    </row>
    <row r="172" spans="1:17" x14ac:dyDescent="0.35">
      <c r="A172">
        <v>170</v>
      </c>
      <c r="B172" s="14">
        <f t="shared" ca="1" si="26"/>
        <v>51243</v>
      </c>
      <c r="C172" s="15">
        <f ca="1">(1+'Symulacja Pożyczka'!$B$7*(Arkusz1!B172-Arkusz1!B171)/365)</f>
        <v>1.0054356164383562</v>
      </c>
      <c r="D172" s="15">
        <f ca="1">(1+'Symulacja Pożyczka'!$B$7*(Arkusz1!B172-Arkusz1!B171)/366)</f>
        <v>1.0054207650273224</v>
      </c>
      <c r="E172" s="15">
        <f t="shared" ca="1" si="18"/>
        <v>0</v>
      </c>
      <c r="F172" s="15">
        <f t="shared" ca="1" si="19"/>
        <v>0</v>
      </c>
      <c r="G172">
        <f ca="1">IF(E172=1,(1+'Symulacja Pożyczka'!$B$7*(((Arkusz1!B172-DATE(YEAR(B172),1,1)+1)/365)+((DATE(YEAR(B171),12,31)-Arkusz1!B171)/366))),IF(F172=1,(1+'Symulacja Pożyczka'!$B$7*(((Arkusz1!B172-DATE(YEAR(B172),1,1)+1)/366)+((DATE(YEAR(B171),12,31)-Arkusz1!B171)/365))),0))</f>
        <v>0</v>
      </c>
      <c r="H172">
        <f t="shared" ca="1" si="20"/>
        <v>1</v>
      </c>
      <c r="I172">
        <f t="shared" ca="1" si="21"/>
        <v>1.0054207650273224</v>
      </c>
      <c r="J172">
        <f t="shared" ca="1" si="22"/>
        <v>1.0054207650273224</v>
      </c>
      <c r="K172">
        <f ca="1">PRODUCT($J$3:J172)</f>
        <v>2.4640048035505178</v>
      </c>
      <c r="L172">
        <f t="shared" ca="1" si="23"/>
        <v>0.40584336465539594</v>
      </c>
      <c r="M172">
        <f ca="1">SUM($L$3:L172)</f>
        <v>111.87149099330948</v>
      </c>
      <c r="O172">
        <f ca="1">(Q171*Arkusz1!J172)-Q171</f>
        <v>-4197.1261336065363</v>
      </c>
      <c r="P172" s="16">
        <f t="shared" ca="1" si="24"/>
        <v>18066.287005946266</v>
      </c>
      <c r="Q172" s="17">
        <f t="shared" ca="1" si="25"/>
        <v>-792334.51528216049</v>
      </c>
    </row>
    <row r="173" spans="1:17" x14ac:dyDescent="0.35">
      <c r="A173">
        <v>171</v>
      </c>
      <c r="B173" s="14">
        <f t="shared" ca="1" si="26"/>
        <v>51273</v>
      </c>
      <c r="C173" s="15">
        <f ca="1">(1+'Symulacja Pożyczka'!$B$7*(Arkusz1!B173-Arkusz1!B172)/365)</f>
        <v>1.0052602739726026</v>
      </c>
      <c r="D173" s="15">
        <f ca="1">(1+'Symulacja Pożyczka'!$B$7*(Arkusz1!B173-Arkusz1!B172)/366)</f>
        <v>1.0052459016393442</v>
      </c>
      <c r="E173" s="15">
        <f t="shared" ca="1" si="18"/>
        <v>0</v>
      </c>
      <c r="F173" s="15">
        <f t="shared" ca="1" si="19"/>
        <v>0</v>
      </c>
      <c r="G173">
        <f ca="1">IF(E173=1,(1+'Symulacja Pożyczka'!$B$7*(((Arkusz1!B173-DATE(YEAR(B173),1,1)+1)/365)+((DATE(YEAR(B172),12,31)-Arkusz1!B172)/366))),IF(F173=1,(1+'Symulacja Pożyczka'!$B$7*(((Arkusz1!B173-DATE(YEAR(B173),1,1)+1)/366)+((DATE(YEAR(B172),12,31)-Arkusz1!B172)/365))),0))</f>
        <v>0</v>
      </c>
      <c r="H173">
        <f t="shared" ca="1" si="20"/>
        <v>1</v>
      </c>
      <c r="I173">
        <f t="shared" ca="1" si="21"/>
        <v>1.0052459016393442</v>
      </c>
      <c r="J173">
        <f t="shared" ca="1" si="22"/>
        <v>1.0052459016393442</v>
      </c>
      <c r="K173">
        <f ca="1">PRODUCT($J$3:J173)</f>
        <v>2.4769307303888155</v>
      </c>
      <c r="L173">
        <f t="shared" ca="1" si="23"/>
        <v>0.40372546059979048</v>
      </c>
      <c r="M173">
        <f ca="1">SUM($L$3:L173)</f>
        <v>112.27521645390927</v>
      </c>
      <c r="O173">
        <f ca="1">(Q172*Arkusz1!J173)-Q172</f>
        <v>-4156.5089326277375</v>
      </c>
      <c r="P173" s="16">
        <f t="shared" ca="1" si="24"/>
        <v>18025.669804967467</v>
      </c>
      <c r="Q173" s="17">
        <f t="shared" ca="1" si="25"/>
        <v>-810360.18508712796</v>
      </c>
    </row>
    <row r="174" spans="1:17" x14ac:dyDescent="0.35">
      <c r="A174">
        <v>172</v>
      </c>
      <c r="B174" s="14">
        <f t="shared" ca="1" si="26"/>
        <v>51304</v>
      </c>
      <c r="C174" s="15">
        <f ca="1">(1+'Symulacja Pożyczka'!$B$7*(Arkusz1!B174-Arkusz1!B173)/365)</f>
        <v>1.0054356164383562</v>
      </c>
      <c r="D174" s="15">
        <f ca="1">(1+'Symulacja Pożyczka'!$B$7*(Arkusz1!B174-Arkusz1!B173)/366)</f>
        <v>1.0054207650273224</v>
      </c>
      <c r="E174" s="15">
        <f t="shared" ca="1" si="18"/>
        <v>0</v>
      </c>
      <c r="F174" s="15">
        <f t="shared" ca="1" si="19"/>
        <v>0</v>
      </c>
      <c r="G174">
        <f ca="1">IF(E174=1,(1+'Symulacja Pożyczka'!$B$7*(((Arkusz1!B174-DATE(YEAR(B174),1,1)+1)/365)+((DATE(YEAR(B173),12,31)-Arkusz1!B173)/366))),IF(F174=1,(1+'Symulacja Pożyczka'!$B$7*(((Arkusz1!B174-DATE(YEAR(B174),1,1)+1)/366)+((DATE(YEAR(B173),12,31)-Arkusz1!B173)/365))),0))</f>
        <v>0</v>
      </c>
      <c r="H174">
        <f t="shared" ca="1" si="20"/>
        <v>1</v>
      </c>
      <c r="I174">
        <f t="shared" ca="1" si="21"/>
        <v>1.0054207650273224</v>
      </c>
      <c r="J174">
        <f t="shared" ca="1" si="22"/>
        <v>1.0054207650273224</v>
      </c>
      <c r="K174">
        <f ca="1">PRODUCT($J$3:J174)</f>
        <v>2.490357589867207</v>
      </c>
      <c r="L174">
        <f t="shared" ca="1" si="23"/>
        <v>0.40154875912953641</v>
      </c>
      <c r="M174">
        <f ca="1">SUM($L$3:L174)</f>
        <v>112.67676521303881</v>
      </c>
      <c r="O174">
        <f ca="1">(Q173*Arkusz1!J174)-Q173</f>
        <v>-4392.7721508548129</v>
      </c>
      <c r="P174" s="16">
        <f t="shared" ca="1" si="24"/>
        <v>18261.933023194542</v>
      </c>
      <c r="Q174" s="17">
        <f t="shared" ca="1" si="25"/>
        <v>-828622.11811032251</v>
      </c>
    </row>
    <row r="175" spans="1:17" x14ac:dyDescent="0.35">
      <c r="A175">
        <v>173</v>
      </c>
      <c r="B175" s="14">
        <f t="shared" ca="1" si="26"/>
        <v>51334</v>
      </c>
      <c r="C175" s="15">
        <f ca="1">(1+'Symulacja Pożyczka'!$B$7*(Arkusz1!B175-Arkusz1!B174)/365)</f>
        <v>1.0052602739726026</v>
      </c>
      <c r="D175" s="15">
        <f ca="1">(1+'Symulacja Pożyczka'!$B$7*(Arkusz1!B175-Arkusz1!B174)/366)</f>
        <v>1.0052459016393442</v>
      </c>
      <c r="E175" s="15">
        <f t="shared" ca="1" si="18"/>
        <v>0</v>
      </c>
      <c r="F175" s="15">
        <f t="shared" ca="1" si="19"/>
        <v>0</v>
      </c>
      <c r="G175">
        <f ca="1">IF(E175=1,(1+'Symulacja Pożyczka'!$B$7*(((Arkusz1!B175-DATE(YEAR(B175),1,1)+1)/365)+((DATE(YEAR(B174),12,31)-Arkusz1!B174)/366))),IF(F175=1,(1+'Symulacja Pożyczka'!$B$7*(((Arkusz1!B175-DATE(YEAR(B175),1,1)+1)/366)+((DATE(YEAR(B174),12,31)-Arkusz1!B174)/365))),0))</f>
        <v>0</v>
      </c>
      <c r="H175">
        <f t="shared" ca="1" si="20"/>
        <v>1</v>
      </c>
      <c r="I175">
        <f t="shared" ca="1" si="21"/>
        <v>1.0052459016393442</v>
      </c>
      <c r="J175">
        <f t="shared" ca="1" si="22"/>
        <v>1.0052459016393442</v>
      </c>
      <c r="K175">
        <f ca="1">PRODUCT($J$3:J175)</f>
        <v>2.5034217608304448</v>
      </c>
      <c r="L175">
        <f t="shared" ca="1" si="23"/>
        <v>0.39945326658352454</v>
      </c>
      <c r="M175">
        <f ca="1">SUM($L$3:L175)</f>
        <v>113.07621847962233</v>
      </c>
      <c r="O175">
        <f ca="1">(Q174*Arkusz1!J175)-Q174</f>
        <v>-4346.8701277918881</v>
      </c>
      <c r="P175" s="16">
        <f t="shared" ca="1" si="24"/>
        <v>18216.031000131617</v>
      </c>
      <c r="Q175" s="17">
        <f t="shared" ca="1" si="25"/>
        <v>-846838.14911045413</v>
      </c>
    </row>
    <row r="176" spans="1:17" x14ac:dyDescent="0.35">
      <c r="A176">
        <v>174</v>
      </c>
      <c r="B176" s="14">
        <f t="shared" ca="1" si="26"/>
        <v>51365</v>
      </c>
      <c r="C176" s="15">
        <f ca="1">(1+'Symulacja Pożyczka'!$B$7*(Arkusz1!B176-Arkusz1!B175)/365)</f>
        <v>1.0054356164383562</v>
      </c>
      <c r="D176" s="15">
        <f ca="1">(1+'Symulacja Pożyczka'!$B$7*(Arkusz1!B176-Arkusz1!B175)/366)</f>
        <v>1.0054207650273224</v>
      </c>
      <c r="E176" s="15">
        <f t="shared" ca="1" si="18"/>
        <v>0</v>
      </c>
      <c r="F176" s="15">
        <f t="shared" ca="1" si="19"/>
        <v>0</v>
      </c>
      <c r="G176">
        <f ca="1">IF(E176=1,(1+'Symulacja Pożyczka'!$B$7*(((Arkusz1!B176-DATE(YEAR(B176),1,1)+1)/365)+((DATE(YEAR(B175),12,31)-Arkusz1!B175)/366))),IF(F176=1,(1+'Symulacja Pożyczka'!$B$7*(((Arkusz1!B176-DATE(YEAR(B176),1,1)+1)/366)+((DATE(YEAR(B175),12,31)-Arkusz1!B175)/365))),0))</f>
        <v>0</v>
      </c>
      <c r="H176">
        <f t="shared" ca="1" si="20"/>
        <v>1</v>
      </c>
      <c r="I176">
        <f t="shared" ca="1" si="21"/>
        <v>1.0054207650273224</v>
      </c>
      <c r="J176">
        <f t="shared" ca="1" si="22"/>
        <v>1.0054207650273224</v>
      </c>
      <c r="K176">
        <f ca="1">PRODUCT($J$3:J176)</f>
        <v>2.5169922219601921</v>
      </c>
      <c r="L176">
        <f t="shared" ca="1" si="23"/>
        <v>0.39729959881291027</v>
      </c>
      <c r="M176">
        <f ca="1">SUM($L$3:L176)</f>
        <v>113.47351807843523</v>
      </c>
      <c r="O176">
        <f ca="1">(Q175*Arkusz1!J176)-Q175</f>
        <v>-4590.5106225003256</v>
      </c>
      <c r="P176" s="16">
        <f t="shared" ca="1" si="24"/>
        <v>18459.671494840055</v>
      </c>
      <c r="Q176" s="17">
        <f t="shared" ca="1" si="25"/>
        <v>-865297.8206052942</v>
      </c>
    </row>
    <row r="177" spans="1:17" x14ac:dyDescent="0.35">
      <c r="A177">
        <v>175</v>
      </c>
      <c r="B177" s="14">
        <f t="shared" ca="1" si="26"/>
        <v>51396</v>
      </c>
      <c r="C177" s="15">
        <f ca="1">(1+'Symulacja Pożyczka'!$B$7*(Arkusz1!B177-Arkusz1!B176)/365)</f>
        <v>1.0054356164383562</v>
      </c>
      <c r="D177" s="15">
        <f ca="1">(1+'Symulacja Pożyczka'!$B$7*(Arkusz1!B177-Arkusz1!B176)/366)</f>
        <v>1.0054207650273224</v>
      </c>
      <c r="E177" s="15">
        <f t="shared" ca="1" si="18"/>
        <v>0</v>
      </c>
      <c r="F177" s="15">
        <f t="shared" ca="1" si="19"/>
        <v>0</v>
      </c>
      <c r="G177">
        <f ca="1">IF(E177=1,(1+'Symulacja Pożyczka'!$B$7*(((Arkusz1!B177-DATE(YEAR(B177),1,1)+1)/365)+((DATE(YEAR(B176),12,31)-Arkusz1!B176)/366))),IF(F177=1,(1+'Symulacja Pożyczka'!$B$7*(((Arkusz1!B177-DATE(YEAR(B177),1,1)+1)/366)+((DATE(YEAR(B176),12,31)-Arkusz1!B176)/365))),0))</f>
        <v>0</v>
      </c>
      <c r="H177">
        <f t="shared" ca="1" si="20"/>
        <v>1</v>
      </c>
      <c r="I177">
        <f t="shared" ca="1" si="21"/>
        <v>1.0054207650273224</v>
      </c>
      <c r="J177">
        <f t="shared" ca="1" si="22"/>
        <v>1.0054207650273224</v>
      </c>
      <c r="K177">
        <f ca="1">PRODUCT($J$3:J177)</f>
        <v>2.5306362453710363</v>
      </c>
      <c r="L177">
        <f t="shared" ca="1" si="23"/>
        <v>0.39515754262556302</v>
      </c>
      <c r="M177">
        <f ca="1">SUM($L$3:L177)</f>
        <v>113.8686756210608</v>
      </c>
      <c r="O177">
        <f ca="1">(Q176*Arkusz1!J177)-Q176</f>
        <v>-4690.5761641553836</v>
      </c>
      <c r="P177" s="16">
        <f t="shared" ca="1" si="24"/>
        <v>18559.737036495113</v>
      </c>
      <c r="Q177" s="17">
        <f t="shared" ca="1" si="25"/>
        <v>-883857.55764178932</v>
      </c>
    </row>
    <row r="178" spans="1:17" x14ac:dyDescent="0.35">
      <c r="A178">
        <v>176</v>
      </c>
      <c r="B178" s="14">
        <f t="shared" ca="1" si="26"/>
        <v>51426</v>
      </c>
      <c r="C178" s="15">
        <f ca="1">(1+'Symulacja Pożyczka'!$B$7*(Arkusz1!B178-Arkusz1!B177)/365)</f>
        <v>1.0052602739726026</v>
      </c>
      <c r="D178" s="15">
        <f ca="1">(1+'Symulacja Pożyczka'!$B$7*(Arkusz1!B178-Arkusz1!B177)/366)</f>
        <v>1.0052459016393442</v>
      </c>
      <c r="E178" s="15">
        <f t="shared" ca="1" si="18"/>
        <v>0</v>
      </c>
      <c r="F178" s="15">
        <f t="shared" ca="1" si="19"/>
        <v>0</v>
      </c>
      <c r="G178">
        <f ca="1">IF(E178=1,(1+'Symulacja Pożyczka'!$B$7*(((Arkusz1!B178-DATE(YEAR(B178),1,1)+1)/365)+((DATE(YEAR(B177),12,31)-Arkusz1!B177)/366))),IF(F178=1,(1+'Symulacja Pożyczka'!$B$7*(((Arkusz1!B178-DATE(YEAR(B178),1,1)+1)/366)+((DATE(YEAR(B177),12,31)-Arkusz1!B177)/365))),0))</f>
        <v>0</v>
      </c>
      <c r="H178">
        <f t="shared" ca="1" si="20"/>
        <v>1</v>
      </c>
      <c r="I178">
        <f t="shared" ca="1" si="21"/>
        <v>1.0052459016393442</v>
      </c>
      <c r="J178">
        <f t="shared" ca="1" si="22"/>
        <v>1.0052459016393442</v>
      </c>
      <c r="K178">
        <f ca="1">PRODUCT($J$3:J178)</f>
        <v>2.5439117141992122</v>
      </c>
      <c r="L178">
        <f t="shared" ca="1" si="23"/>
        <v>0.39309540280755617</v>
      </c>
      <c r="M178">
        <f ca="1">SUM($L$3:L178)</f>
        <v>114.26177102386836</v>
      </c>
      <c r="O178">
        <f ca="1">(Q177*Arkusz1!J178)-Q177</f>
        <v>-4636.6298105798196</v>
      </c>
      <c r="P178" s="16">
        <f t="shared" ca="1" si="24"/>
        <v>18505.790682919549</v>
      </c>
      <c r="Q178" s="17">
        <f t="shared" ca="1" si="25"/>
        <v>-902363.34832470887</v>
      </c>
    </row>
    <row r="179" spans="1:17" x14ac:dyDescent="0.35">
      <c r="A179">
        <v>177</v>
      </c>
      <c r="B179" s="14">
        <f t="shared" ca="1" si="26"/>
        <v>51457</v>
      </c>
      <c r="C179" s="15">
        <f ca="1">(1+'Symulacja Pożyczka'!$B$7*(Arkusz1!B179-Arkusz1!B178)/365)</f>
        <v>1.0054356164383562</v>
      </c>
      <c r="D179" s="15">
        <f ca="1">(1+'Symulacja Pożyczka'!$B$7*(Arkusz1!B179-Arkusz1!B178)/366)</f>
        <v>1.0054207650273224</v>
      </c>
      <c r="E179" s="15">
        <f t="shared" ca="1" si="18"/>
        <v>0</v>
      </c>
      <c r="F179" s="15">
        <f t="shared" ca="1" si="19"/>
        <v>0</v>
      </c>
      <c r="G179">
        <f ca="1">IF(E179=1,(1+'Symulacja Pożyczka'!$B$7*(((Arkusz1!B179-DATE(YEAR(B179),1,1)+1)/365)+((DATE(YEAR(B178),12,31)-Arkusz1!B178)/366))),IF(F179=1,(1+'Symulacja Pożyczka'!$B$7*(((Arkusz1!B179-DATE(YEAR(B179),1,1)+1)/366)+((DATE(YEAR(B178),12,31)-Arkusz1!B178)/365))),0))</f>
        <v>0</v>
      </c>
      <c r="H179">
        <f t="shared" ca="1" si="20"/>
        <v>1</v>
      </c>
      <c r="I179">
        <f t="shared" ca="1" si="21"/>
        <v>1.0054207650273224</v>
      </c>
      <c r="J179">
        <f t="shared" ca="1" si="22"/>
        <v>1.0054207650273224</v>
      </c>
      <c r="K179">
        <f ca="1">PRODUCT($J$3:J179)</f>
        <v>2.5577016618521391</v>
      </c>
      <c r="L179">
        <f t="shared" ca="1" si="23"/>
        <v>0.3909760137059371</v>
      </c>
      <c r="M179">
        <f ca="1">SUM($L$3:L179)</f>
        <v>114.6527470375743</v>
      </c>
      <c r="O179">
        <f ca="1">(Q178*Arkusz1!J179)-Q178</f>
        <v>-4891.4996805361006</v>
      </c>
      <c r="P179" s="16">
        <f t="shared" ca="1" si="24"/>
        <v>18760.66055287583</v>
      </c>
      <c r="Q179" s="17">
        <f t="shared" ca="1" si="25"/>
        <v>-921124.00887758471</v>
      </c>
    </row>
    <row r="180" spans="1:17" x14ac:dyDescent="0.35">
      <c r="A180">
        <v>178</v>
      </c>
      <c r="B180" s="14">
        <f t="shared" ca="1" si="26"/>
        <v>51487</v>
      </c>
      <c r="C180" s="15">
        <f ca="1">(1+'Symulacja Pożyczka'!$B$7*(Arkusz1!B180-Arkusz1!B179)/365)</f>
        <v>1.0052602739726026</v>
      </c>
      <c r="D180" s="15">
        <f ca="1">(1+'Symulacja Pożyczka'!$B$7*(Arkusz1!B180-Arkusz1!B179)/366)</f>
        <v>1.0052459016393442</v>
      </c>
      <c r="E180" s="15">
        <f t="shared" ca="1" si="18"/>
        <v>0</v>
      </c>
      <c r="F180" s="15">
        <f t="shared" ca="1" si="19"/>
        <v>0</v>
      </c>
      <c r="G180">
        <f ca="1">IF(E180=1,(1+'Symulacja Pożyczka'!$B$7*(((Arkusz1!B180-DATE(YEAR(B180),1,1)+1)/365)+((DATE(YEAR(B179),12,31)-Arkusz1!B179)/366))),IF(F180=1,(1+'Symulacja Pożyczka'!$B$7*(((Arkusz1!B180-DATE(YEAR(B180),1,1)+1)/366)+((DATE(YEAR(B179),12,31)-Arkusz1!B179)/365))),0))</f>
        <v>0</v>
      </c>
      <c r="H180">
        <f t="shared" ca="1" si="20"/>
        <v>1</v>
      </c>
      <c r="I180">
        <f t="shared" ca="1" si="21"/>
        <v>1.0052459016393442</v>
      </c>
      <c r="J180">
        <f t="shared" ca="1" si="22"/>
        <v>1.0052459016393442</v>
      </c>
      <c r="K180">
        <f ca="1">PRODUCT($J$3:J180)</f>
        <v>2.5711191131930029</v>
      </c>
      <c r="L180">
        <f t="shared" ca="1" si="23"/>
        <v>0.38893569530434052</v>
      </c>
      <c r="M180">
        <f ca="1">SUM($L$3:L180)</f>
        <v>115.04168273287864</v>
      </c>
      <c r="O180">
        <f ca="1">(Q179*Arkusz1!J180)-Q179</f>
        <v>-4832.1259482102469</v>
      </c>
      <c r="P180" s="16">
        <f t="shared" ca="1" si="24"/>
        <v>18701.286820549976</v>
      </c>
      <c r="Q180" s="17">
        <f t="shared" ca="1" si="25"/>
        <v>-939825.29569813469</v>
      </c>
    </row>
    <row r="181" spans="1:17" x14ac:dyDescent="0.35">
      <c r="A181">
        <v>179</v>
      </c>
      <c r="B181" s="14">
        <f t="shared" ca="1" si="26"/>
        <v>51518</v>
      </c>
      <c r="C181" s="15">
        <f ca="1">(1+'Symulacja Pożyczka'!$B$7*(Arkusz1!B181-Arkusz1!B180)/365)</f>
        <v>1.0054356164383562</v>
      </c>
      <c r="D181" s="15">
        <f ca="1">(1+'Symulacja Pożyczka'!$B$7*(Arkusz1!B181-Arkusz1!B180)/366)</f>
        <v>1.0054207650273224</v>
      </c>
      <c r="E181" s="15">
        <f t="shared" ca="1" si="18"/>
        <v>1</v>
      </c>
      <c r="F181" s="15">
        <f t="shared" ca="1" si="19"/>
        <v>0</v>
      </c>
      <c r="G181">
        <f ca="1">IF(E181=1,(1+'Symulacja Pożyczka'!$B$7*(((Arkusz1!B181-DATE(YEAR(B181),1,1)+1)/365)+((DATE(YEAR(B180),12,31)-Arkusz1!B180)/366))),IF(F181=1,(1+'Symulacja Pożyczka'!$B$7*(((Arkusz1!B181-DATE(YEAR(B181),1,1)+1)/366)+((DATE(YEAR(B180),12,31)-Arkusz1!B180)/365))),0))</f>
        <v>1.0054289093495021</v>
      </c>
      <c r="H181">
        <f t="shared" ca="1" si="20"/>
        <v>0</v>
      </c>
      <c r="I181">
        <f t="shared" ca="1" si="21"/>
        <v>1.0054356164383562</v>
      </c>
      <c r="J181">
        <f t="shared" ca="1" si="22"/>
        <v>1.0054289093495021</v>
      </c>
      <c r="K181">
        <f ca="1">PRODUCT($J$3:J181)</f>
        <v>2.5850774857853001</v>
      </c>
      <c r="L181">
        <f t="shared" ca="1" si="23"/>
        <v>0.38683559989932681</v>
      </c>
      <c r="M181">
        <f ca="1">SUM($L$3:L181)</f>
        <v>115.42851833277797</v>
      </c>
      <c r="O181">
        <f ca="1">(Q180*Arkusz1!J181)-Q180</f>
        <v>-5102.2263347142143</v>
      </c>
      <c r="P181" s="16">
        <f t="shared" ca="1" si="24"/>
        <v>18971.387207053944</v>
      </c>
      <c r="Q181" s="17">
        <f t="shared" ca="1" si="25"/>
        <v>-958796.68290518865</v>
      </c>
    </row>
    <row r="182" spans="1:17" x14ac:dyDescent="0.35">
      <c r="A182">
        <v>180</v>
      </c>
      <c r="B182" s="14">
        <f t="shared" ca="1" si="26"/>
        <v>51549</v>
      </c>
      <c r="C182" s="15">
        <f ca="1">(1+'Symulacja Pożyczka'!$B$7*(Arkusz1!B182-Arkusz1!B181)/365)</f>
        <v>1.0054356164383562</v>
      </c>
      <c r="D182" s="15">
        <f ca="1">(1+'Symulacja Pożyczka'!$B$7*(Arkusz1!B182-Arkusz1!B181)/366)</f>
        <v>1.0054207650273224</v>
      </c>
      <c r="E182" s="15">
        <f t="shared" ca="1" si="18"/>
        <v>0</v>
      </c>
      <c r="F182" s="15">
        <f t="shared" ca="1" si="19"/>
        <v>0</v>
      </c>
      <c r="G182">
        <f ca="1">IF(E182=1,(1+'Symulacja Pożyczka'!$B$7*(((Arkusz1!B182-DATE(YEAR(B182),1,1)+1)/365)+((DATE(YEAR(B181),12,31)-Arkusz1!B181)/366))),IF(F182=1,(1+'Symulacja Pożyczka'!$B$7*(((Arkusz1!B182-DATE(YEAR(B182),1,1)+1)/366)+((DATE(YEAR(B181),12,31)-Arkusz1!B181)/365))),0))</f>
        <v>0</v>
      </c>
      <c r="H182">
        <f t="shared" ca="1" si="20"/>
        <v>0</v>
      </c>
      <c r="I182">
        <f t="shared" ca="1" si="21"/>
        <v>1.0054356164383562</v>
      </c>
      <c r="J182">
        <f t="shared" ca="1" si="22"/>
        <v>1.0054356164383562</v>
      </c>
      <c r="K182">
        <f ca="1">PRODUCT($J$3:J182)</f>
        <v>2.599128975461459</v>
      </c>
      <c r="L182">
        <f t="shared" ca="1" si="23"/>
        <v>0.38474427757955193</v>
      </c>
      <c r="M182">
        <f ca="1">SUM($L$3:L182)</f>
        <v>115.81326261035753</v>
      </c>
      <c r="O182">
        <f ca="1">(Q181*Arkusz1!J182)-Q181</f>
        <v>-5211.6510106408969</v>
      </c>
      <c r="P182" s="16">
        <f t="shared" ca="1" si="24"/>
        <v>19080.811882980626</v>
      </c>
      <c r="Q182" s="17">
        <f t="shared" ca="1" si="25"/>
        <v>-977877.49478816928</v>
      </c>
    </row>
  </sheetData>
  <pageMargins left="0.7" right="0.7" top="0.75" bottom="0.75" header="0.3" footer="0.3"/>
  <pageSetup paperSize="9" orientation="portrait" horizontalDpi="300"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Arkusz23"/>
  <dimension ref="A1:Q182"/>
  <sheetViews>
    <sheetView topLeftCell="D1" workbookViewId="0">
      <pane ySplit="1" topLeftCell="A2" activePane="bottomLeft" state="frozen"/>
      <selection pane="bottomLeft" activeCell="N2" sqref="N2"/>
    </sheetView>
  </sheetViews>
  <sheetFormatPr defaultRowHeight="14.5" x14ac:dyDescent="0.35"/>
  <cols>
    <col min="1" max="1" width="4" bestFit="1" customWidth="1"/>
    <col min="2" max="2" width="16.1796875" customWidth="1"/>
    <col min="3" max="3" width="16.1796875" style="15" customWidth="1"/>
    <col min="4" max="11" width="16.1796875" customWidth="1"/>
    <col min="12" max="12" width="17.453125" customWidth="1"/>
    <col min="13" max="13" width="12.1796875" customWidth="1"/>
    <col min="15" max="15" width="15.1796875" customWidth="1"/>
    <col min="16" max="16" width="16.81640625" customWidth="1"/>
    <col min="17" max="17" width="16.1796875" customWidth="1"/>
  </cols>
  <sheetData>
    <row r="1" spans="1:17" x14ac:dyDescent="0.35">
      <c r="A1" s="1" t="s">
        <v>6</v>
      </c>
      <c r="B1" s="2"/>
      <c r="C1" s="3" t="s">
        <v>7</v>
      </c>
      <c r="D1" s="2" t="s">
        <v>8</v>
      </c>
      <c r="E1" s="2" t="s">
        <v>9</v>
      </c>
      <c r="F1" s="2" t="s">
        <v>10</v>
      </c>
      <c r="G1" s="2" t="s">
        <v>11</v>
      </c>
      <c r="H1" s="2" t="s">
        <v>12</v>
      </c>
      <c r="I1" s="2" t="s">
        <v>13</v>
      </c>
      <c r="J1" s="2" t="s">
        <v>14</v>
      </c>
      <c r="K1" s="2" t="s">
        <v>15</v>
      </c>
      <c r="L1" s="4" t="s">
        <v>16</v>
      </c>
      <c r="M1" s="5" t="s">
        <v>17</v>
      </c>
      <c r="N1" s="4" t="s">
        <v>18</v>
      </c>
      <c r="O1" s="6" t="s">
        <v>19</v>
      </c>
      <c r="P1" s="7" t="s">
        <v>20</v>
      </c>
      <c r="Q1" s="7" t="s">
        <v>21</v>
      </c>
    </row>
    <row r="2" spans="1:17" x14ac:dyDescent="0.35">
      <c r="A2" s="8">
        <v>0</v>
      </c>
      <c r="B2" s="9">
        <f ca="1">'Symulacja Pożyczka'!B10</f>
        <v>46083</v>
      </c>
      <c r="C2" s="10"/>
      <c r="D2" s="9"/>
      <c r="E2" s="9"/>
      <c r="F2" s="9"/>
      <c r="G2" s="11"/>
      <c r="H2" s="11"/>
      <c r="I2" s="11"/>
      <c r="J2" s="11"/>
      <c r="K2" s="11"/>
      <c r="L2" s="7"/>
      <c r="M2" s="12"/>
      <c r="N2" s="13">
        <f ca="1">'Symulacja Pożyczka'!B3/VLOOKUP('Symulacja Pożyczka'!B4,'Arkusz1 (2)'!$A$1:$O$182,13,1)</f>
        <v>16461.281548369465</v>
      </c>
      <c r="O2" s="7"/>
    </row>
    <row r="3" spans="1:17" x14ac:dyDescent="0.35">
      <c r="A3">
        <v>1</v>
      </c>
      <c r="B3" s="14">
        <f ca="1">'Symulacja Pożyczka'!B11</f>
        <v>46098</v>
      </c>
      <c r="C3" s="15">
        <f ca="1">(1+('Symulacja Pożyczka'!$B$7+4%)*('Arkusz1 (2)'!B3-'Arkusz1 (2)'!B2)/365)</f>
        <v>1.0042739726027397</v>
      </c>
      <c r="D3" s="15">
        <f ca="1">(1+('Symulacja Pożyczka'!$B$7+4%)*('Arkusz1 (2)'!B3-'Arkusz1 (2)'!B2)/366)</f>
        <v>1.0042622950819673</v>
      </c>
      <c r="E3" s="15">
        <f ca="1">IF(AND(MOD(YEAR(B2),4)=0,MOD(YEAR(B3),4)&lt;&gt;0),1,0)</f>
        <v>0</v>
      </c>
      <c r="F3" s="15">
        <f ca="1">IF(AND(MOD(YEAR(B3),4)=0,MOD(YEAR(B2),4)&lt;&gt;0),1,0)</f>
        <v>0</v>
      </c>
      <c r="G3">
        <f ca="1">IF(E3=1,(1+('Symulacja Pożyczka'!$B$7+4%)*((('Arkusz1 (2)'!B3-DATE(YEAR(B3),1,1)+1)/365)+((DATE(YEAR(B2),12,31)-'Arkusz1 (2)'!B2)/366))),IF(F3=1,(1+('Symulacja Pożyczka'!$B$7+4%)*((('Arkusz1 (2)'!B3-DATE(YEAR(B3),1,1)+1)/366)+((DATE(YEAR(B2),12,31)-'Arkusz1 (2)'!B2)/365))),0))</f>
        <v>0</v>
      </c>
      <c r="H3">
        <f ca="1">IF(MOD(YEAR(B3),4)=0,1,0)</f>
        <v>0</v>
      </c>
      <c r="I3">
        <f ca="1">IF(H3=0,C3,IF(H3=1,D3,"blad"))</f>
        <v>1.0042739726027397</v>
      </c>
      <c r="J3">
        <f ca="1">IF(OR(E3=1,F3=1),G3,I3)</f>
        <v>1.0042739726027397</v>
      </c>
      <c r="K3">
        <f ca="1">J3</f>
        <v>1.0042739726027397</v>
      </c>
      <c r="L3">
        <f ca="1">1/K3</f>
        <v>0.9957442164993453</v>
      </c>
      <c r="O3">
        <f ca="1">('Symulacja Pożyczka'!$B$3*'Arkusz1 (2)'!J3)-'Symulacja Pożyczka'!$B$3</f>
        <v>5256.9863013697322</v>
      </c>
      <c r="P3" s="16">
        <f ca="1">$N$2-O3</f>
        <v>11204.295246999733</v>
      </c>
      <c r="Q3" s="17">
        <f ca="1">'Symulacja Pożyczka'!B3-P3</f>
        <v>1218795.7047530003</v>
      </c>
    </row>
    <row r="4" spans="1:17" x14ac:dyDescent="0.35">
      <c r="A4">
        <v>2</v>
      </c>
      <c r="B4" s="14">
        <f ca="1">DATE(YEAR((B3)),MONTH((B3))+1,IF(AND(DAY(B3)&gt;28,MONTH((B3))+1=2),IF(MOD(YEAR(B3),4)=0,29,28),DAY(B3)))</f>
        <v>46129</v>
      </c>
      <c r="C4" s="15">
        <f ca="1">(1+('Symulacja Pożyczka'!$B$7+4%)*('Arkusz1 (2)'!B4-'Arkusz1 (2)'!B3)/365)</f>
        <v>1.0088328767123287</v>
      </c>
      <c r="D4" s="15">
        <f ca="1">(1+('Symulacja Pożyczka'!$B$7+4%)*('Arkusz1 (2)'!B4-'Arkusz1 (2)'!B3)/366)</f>
        <v>1.0088087431693988</v>
      </c>
      <c r="E4" s="15">
        <f t="shared" ref="E4:E67" ca="1" si="0">IF(AND(MOD(YEAR(B3),4)=0,MOD(YEAR(B4),4)&lt;&gt;0),1,0)</f>
        <v>0</v>
      </c>
      <c r="F4" s="15">
        <f t="shared" ref="F4:F67" ca="1" si="1">IF(AND(MOD(YEAR(B4),4)=0,MOD(YEAR(B3),4)&lt;&gt;0),1,0)</f>
        <v>0</v>
      </c>
      <c r="G4">
        <f ca="1">IF(E4=1,(1+('Symulacja Pożyczka'!$B$7+4%)*((('Arkusz1 (2)'!B4-DATE(YEAR(B4),1,1)+1)/365)+((DATE(YEAR(B3),12,31)-'Arkusz1 (2)'!B3)/366))),IF(F4=1,(1+('Symulacja Pożyczka'!$B$7+4%)*((('Arkusz1 (2)'!B4-DATE(YEAR(B4),1,1)+1)/366)+((DATE(YEAR(B3),12,31)-'Arkusz1 (2)'!B3)/365))),0))</f>
        <v>0</v>
      </c>
      <c r="H4">
        <f t="shared" ref="H4:H67" ca="1" si="2">IF(MOD(YEAR(B4),4)=0,1,0)</f>
        <v>0</v>
      </c>
      <c r="I4">
        <f t="shared" ref="I4:I67" ca="1" si="3">IF(H4=0,C4,IF(H4=1,D4,"blad"))</f>
        <v>1.0088328767123287</v>
      </c>
      <c r="J4">
        <f t="shared" ref="J4:J67" ca="1" si="4">IF(OR(E4=1,F4=1),G4,I4)</f>
        <v>1.0088328767123287</v>
      </c>
      <c r="K4">
        <f ca="1">PRODUCT($J$3:J4)</f>
        <v>1.0131446007881402</v>
      </c>
      <c r="L4">
        <f t="shared" ref="L4:L67" ca="1" si="5">1/K4</f>
        <v>0.98702593807644556</v>
      </c>
      <c r="M4">
        <f ca="1">L3+L4</f>
        <v>1.9827701545757908</v>
      </c>
      <c r="O4">
        <f ca="1">(Q3*'Arkusz1 (2)'!J4)-Q3</f>
        <v>10765.472197599011</v>
      </c>
      <c r="P4" s="16">
        <f ca="1">$N$2-O4</f>
        <v>5695.8093507704543</v>
      </c>
      <c r="Q4" s="17">
        <f ca="1">Q3-P4</f>
        <v>1213099.8954022299</v>
      </c>
    </row>
    <row r="5" spans="1:17" x14ac:dyDescent="0.35">
      <c r="A5">
        <v>3</v>
      </c>
      <c r="B5" s="14">
        <f ca="1">DATE(YEAR((B4)),MONTH((B4))+1,IF(AND(DAY(B4)&gt;28,MONTH((B4))+1=2),IF(MOD(YEAR(B4),4)=0,29,28),IF(AND(OR(DAY(B4)=28,DAY(B4)=29),MONTH((B4))=2),DAY(B3),DAY(B4))))</f>
        <v>46159</v>
      </c>
      <c r="C5" s="15">
        <f ca="1">(1+('Symulacja Pożyczka'!$B$7+4%)*('Arkusz1 (2)'!B5-'Arkusz1 (2)'!B4)/365)</f>
        <v>1.0085479452054795</v>
      </c>
      <c r="D5" s="15">
        <f ca="1">(1+('Symulacja Pożyczka'!$B$7+4%)*('Arkusz1 (2)'!B5-'Arkusz1 (2)'!B4)/366)</f>
        <v>1.0085245901639344</v>
      </c>
      <c r="E5" s="15">
        <f t="shared" ca="1" si="0"/>
        <v>0</v>
      </c>
      <c r="F5" s="15">
        <f t="shared" ca="1" si="1"/>
        <v>0</v>
      </c>
      <c r="G5">
        <f ca="1">IF(E5=1,(1+('Symulacja Pożyczka'!$B$7+4%)*((('Arkusz1 (2)'!B5-DATE(YEAR(B5),1,1)+1)/365)+((DATE(YEAR(B4),12,31)-'Arkusz1 (2)'!B4)/366))),IF(F5=1,(1+('Symulacja Pożyczka'!$B$7+4%)*((('Arkusz1 (2)'!B5-DATE(YEAR(B5),1,1)+1)/366)+((DATE(YEAR(B4),12,31)-'Arkusz1 (2)'!B4)/365))),0))</f>
        <v>0</v>
      </c>
      <c r="H5">
        <f t="shared" ca="1" si="2"/>
        <v>0</v>
      </c>
      <c r="I5">
        <f t="shared" ca="1" si="3"/>
        <v>1.0085479452054795</v>
      </c>
      <c r="J5">
        <f t="shared" ca="1" si="4"/>
        <v>1.0085479452054795</v>
      </c>
      <c r="K5">
        <f ca="1">PRODUCT($J$3:J5)</f>
        <v>1.0218049053209046</v>
      </c>
      <c r="L5">
        <f t="shared" ca="1" si="5"/>
        <v>0.97866040258041564</v>
      </c>
      <c r="M5">
        <f ca="1">SUM($L$3:L5)</f>
        <v>2.9614305571562065</v>
      </c>
      <c r="O5">
        <f ca="1">(Q4*'Arkusz1 (2)'!J5)-Q4</f>
        <v>10369.511434671236</v>
      </c>
      <c r="P5" s="16">
        <f t="shared" ref="P5:P68" ca="1" si="6">$N$2-O5</f>
        <v>6091.7701136982287</v>
      </c>
      <c r="Q5" s="17">
        <f t="shared" ref="Q5:Q68" ca="1" si="7">Q4-P5</f>
        <v>1207008.1252885316</v>
      </c>
    </row>
    <row r="6" spans="1:17" x14ac:dyDescent="0.35">
      <c r="A6">
        <v>4</v>
      </c>
      <c r="B6" s="14">
        <f t="shared" ref="B6:B69" ca="1" si="8">DATE(YEAR((B5)),MONTH((B5))+1,IF(AND(DAY(B5)&gt;28,MONTH((B5))+1=2),IF(MOD(YEAR(B5),4)=0,29,28),IF(AND(OR(DAY(B5)=28,DAY(B5)=29),MONTH((B5))=2),DAY(B4),DAY(B5))))</f>
        <v>46190</v>
      </c>
      <c r="C6" s="15">
        <f ca="1">(1+('Symulacja Pożyczka'!$B$7+4%)*('Arkusz1 (2)'!B6-'Arkusz1 (2)'!B5)/365)</f>
        <v>1.0088328767123287</v>
      </c>
      <c r="D6" s="15">
        <f ca="1">(1+('Symulacja Pożyczka'!$B$7+4%)*('Arkusz1 (2)'!B6-'Arkusz1 (2)'!B5)/366)</f>
        <v>1.0088087431693988</v>
      </c>
      <c r="E6" s="15">
        <f t="shared" ca="1" si="0"/>
        <v>0</v>
      </c>
      <c r="F6" s="15">
        <f t="shared" ca="1" si="1"/>
        <v>0</v>
      </c>
      <c r="G6">
        <f ca="1">IF(E6=1,(1+('Symulacja Pożyczka'!$B$7+4%)*((('Arkusz1 (2)'!B6-DATE(YEAR(B6),1,1)+1)/365)+((DATE(YEAR(B5),12,31)-'Arkusz1 (2)'!B5)/366))),IF(F6=1,(1+('Symulacja Pożyczka'!$B$7+4%)*((('Arkusz1 (2)'!B6-DATE(YEAR(B6),1,1)+1)/366)+((DATE(YEAR(B5),12,31)-'Arkusz1 (2)'!B5)/365))),0))</f>
        <v>0</v>
      </c>
      <c r="H6">
        <f t="shared" ca="1" si="2"/>
        <v>0</v>
      </c>
      <c r="I6">
        <f t="shared" ca="1" si="3"/>
        <v>1.0088328767123287</v>
      </c>
      <c r="J6">
        <f t="shared" ca="1" si="4"/>
        <v>1.0088328767123287</v>
      </c>
      <c r="K6">
        <f ca="1">PRODUCT($J$3:J6)</f>
        <v>1.0308303820736568</v>
      </c>
      <c r="L6">
        <f t="shared" ca="1" si="5"/>
        <v>0.97009170217544682</v>
      </c>
      <c r="M6">
        <f ca="1">SUM($L$3:L6)</f>
        <v>3.9315222593316532</v>
      </c>
      <c r="O6">
        <f ca="1">(Q5*'Arkusz1 (2)'!J6)-Q5</f>
        <v>10661.353961452609</v>
      </c>
      <c r="P6" s="16">
        <f t="shared" ca="1" si="6"/>
        <v>5799.9275869168559</v>
      </c>
      <c r="Q6" s="17">
        <f t="shared" ca="1" si="7"/>
        <v>1201208.1977016148</v>
      </c>
    </row>
    <row r="7" spans="1:17" x14ac:dyDescent="0.35">
      <c r="A7">
        <v>5</v>
      </c>
      <c r="B7" s="14">
        <f t="shared" ca="1" si="8"/>
        <v>46220</v>
      </c>
      <c r="C7" s="15">
        <f ca="1">(1+('Symulacja Pożyczka'!$B$7+4%)*('Arkusz1 (2)'!B7-'Arkusz1 (2)'!B6)/365)</f>
        <v>1.0085479452054795</v>
      </c>
      <c r="D7" s="15">
        <f ca="1">(1+('Symulacja Pożyczka'!$B$7+4%)*('Arkusz1 (2)'!B7-'Arkusz1 (2)'!B6)/366)</f>
        <v>1.0085245901639344</v>
      </c>
      <c r="E7" s="15">
        <f t="shared" ca="1" si="0"/>
        <v>0</v>
      </c>
      <c r="F7" s="15">
        <f t="shared" ca="1" si="1"/>
        <v>0</v>
      </c>
      <c r="G7">
        <f ca="1">IF(E7=1,(1+('Symulacja Pożyczka'!$B$7+4%)*((('Arkusz1 (2)'!B7-DATE(YEAR(B7),1,1)+1)/365)+((DATE(YEAR(B6),12,31)-'Arkusz1 (2)'!B6)/366))),IF(F7=1,(1+('Symulacja Pożyczka'!$B$7+4%)*((('Arkusz1 (2)'!B7-DATE(YEAR(B7),1,1)+1)/366)+((DATE(YEAR(B6),12,31)-'Arkusz1 (2)'!B6)/365))),0))</f>
        <v>0</v>
      </c>
      <c r="H7">
        <f t="shared" ca="1" si="2"/>
        <v>0</v>
      </c>
      <c r="I7">
        <f t="shared" ca="1" si="3"/>
        <v>1.0085479452054795</v>
      </c>
      <c r="J7">
        <f t="shared" ca="1" si="4"/>
        <v>1.0085479452054795</v>
      </c>
      <c r="K7">
        <f ca="1">PRODUCT($J$3:J7)</f>
        <v>1.0396418636957661</v>
      </c>
      <c r="L7">
        <f t="shared" ca="1" si="5"/>
        <v>0.96186969274703371</v>
      </c>
      <c r="M7">
        <f ca="1">SUM($L$3:L7)</f>
        <v>4.8933919520786873</v>
      </c>
      <c r="O7">
        <f ca="1">(Q6*'Arkusz1 (2)'!J7)-Q6</f>
        <v>10267.861854326213</v>
      </c>
      <c r="P7" s="16">
        <f t="shared" ca="1" si="6"/>
        <v>6193.4196940432521</v>
      </c>
      <c r="Q7" s="17">
        <f t="shared" ca="1" si="7"/>
        <v>1195014.7780075716</v>
      </c>
    </row>
    <row r="8" spans="1:17" x14ac:dyDescent="0.35">
      <c r="A8">
        <v>6</v>
      </c>
      <c r="B8" s="14">
        <f t="shared" ca="1" si="8"/>
        <v>46251</v>
      </c>
      <c r="C8" s="15">
        <f ca="1">(1+('Symulacja Pożyczka'!$B$7+4%)*('Arkusz1 (2)'!B8-'Arkusz1 (2)'!B7)/365)</f>
        <v>1.0088328767123287</v>
      </c>
      <c r="D8" s="15">
        <f ca="1">(1+('Symulacja Pożyczka'!$B$7+4%)*('Arkusz1 (2)'!B8-'Arkusz1 (2)'!B7)/366)</f>
        <v>1.0088087431693988</v>
      </c>
      <c r="E8" s="15">
        <f t="shared" ca="1" si="0"/>
        <v>0</v>
      </c>
      <c r="F8" s="15">
        <f t="shared" ca="1" si="1"/>
        <v>0</v>
      </c>
      <c r="G8">
        <f ca="1">IF(E8=1,(1+('Symulacja Pożyczka'!$B$7+4%)*((('Arkusz1 (2)'!B8-DATE(YEAR(B8),1,1)+1)/365)+((DATE(YEAR(B7),12,31)-'Arkusz1 (2)'!B7)/366))),IF(F8=1,(1+('Symulacja Pożyczka'!$B$7+4%)*((('Arkusz1 (2)'!B8-DATE(YEAR(B8),1,1)+1)/366)+((DATE(YEAR(B7),12,31)-'Arkusz1 (2)'!B7)/365))),0))</f>
        <v>0</v>
      </c>
      <c r="H8">
        <f t="shared" ca="1" si="2"/>
        <v>0</v>
      </c>
      <c r="I8">
        <f t="shared" ca="1" si="3"/>
        <v>1.0088328767123287</v>
      </c>
      <c r="J8">
        <f t="shared" ca="1" si="4"/>
        <v>1.0088328767123287</v>
      </c>
      <c r="K8">
        <f ca="1">PRODUCT($J$3:J8)</f>
        <v>1.0488248921027663</v>
      </c>
      <c r="L8">
        <f t="shared" ca="1" si="5"/>
        <v>0.95344800407541974</v>
      </c>
      <c r="M8">
        <f ca="1">SUM($L$3:L8)</f>
        <v>5.8468399561541071</v>
      </c>
      <c r="O8">
        <f ca="1">(Q7*'Arkusz1 (2)'!J8)-Q7</f>
        <v>10555.418203551788</v>
      </c>
      <c r="P8" s="16">
        <f t="shared" ca="1" si="6"/>
        <v>5905.863344817677</v>
      </c>
      <c r="Q8" s="17">
        <f t="shared" ca="1" si="7"/>
        <v>1189108.9146627539</v>
      </c>
    </row>
    <row r="9" spans="1:17" x14ac:dyDescent="0.35">
      <c r="A9">
        <v>7</v>
      </c>
      <c r="B9" s="14">
        <f t="shared" ca="1" si="8"/>
        <v>46282</v>
      </c>
      <c r="C9" s="15">
        <f ca="1">(1+('Symulacja Pożyczka'!$B$7+4%)*('Arkusz1 (2)'!B9-'Arkusz1 (2)'!B8)/365)</f>
        <v>1.0088328767123287</v>
      </c>
      <c r="D9" s="15">
        <f ca="1">(1+('Symulacja Pożyczka'!$B$7+4%)*('Arkusz1 (2)'!B9-'Arkusz1 (2)'!B8)/366)</f>
        <v>1.0088087431693988</v>
      </c>
      <c r="E9" s="15">
        <f t="shared" ca="1" si="0"/>
        <v>0</v>
      </c>
      <c r="F9" s="15">
        <f t="shared" ca="1" si="1"/>
        <v>0</v>
      </c>
      <c r="G9">
        <f ca="1">IF(E9=1,(1+('Symulacja Pożyczka'!$B$7+4%)*((('Arkusz1 (2)'!B9-DATE(YEAR(B9),1,1)+1)/365)+((DATE(YEAR(B8),12,31)-'Arkusz1 (2)'!B8)/366))),IF(F9=1,(1+('Symulacja Pożyczka'!$B$7+4%)*((('Arkusz1 (2)'!B9-DATE(YEAR(B9),1,1)+1)/366)+((DATE(YEAR(B8),12,31)-'Arkusz1 (2)'!B8)/365))),0))</f>
        <v>0</v>
      </c>
      <c r="H9">
        <f t="shared" ca="1" si="2"/>
        <v>0</v>
      </c>
      <c r="I9">
        <f t="shared" ca="1" si="3"/>
        <v>1.0088328767123287</v>
      </c>
      <c r="J9">
        <f t="shared" ca="1" si="4"/>
        <v>1.0088328767123287</v>
      </c>
      <c r="K9">
        <f ca="1">PRODUCT($J$3:J9)</f>
        <v>1.0580890330675314</v>
      </c>
      <c r="L9">
        <f t="shared" ca="1" si="5"/>
        <v>0.94510005183673051</v>
      </c>
      <c r="M9">
        <f ca="1">SUM($L$3:L9)</f>
        <v>6.7919400079908376</v>
      </c>
      <c r="O9">
        <f ca="1">(Q8*'Arkusz1 (2)'!J9)-Q8</f>
        <v>10503.252440747106</v>
      </c>
      <c r="P9" s="16">
        <f t="shared" ca="1" si="6"/>
        <v>5958.0291076223584</v>
      </c>
      <c r="Q9" s="17">
        <f t="shared" ca="1" si="7"/>
        <v>1183150.8855551316</v>
      </c>
    </row>
    <row r="10" spans="1:17" x14ac:dyDescent="0.35">
      <c r="A10">
        <v>8</v>
      </c>
      <c r="B10" s="14">
        <f t="shared" ca="1" si="8"/>
        <v>46312</v>
      </c>
      <c r="C10" s="15">
        <f ca="1">(1+('Symulacja Pożyczka'!$B$7+4%)*('Arkusz1 (2)'!B10-'Arkusz1 (2)'!B9)/365)</f>
        <v>1.0085479452054795</v>
      </c>
      <c r="D10" s="15">
        <f ca="1">(1+('Symulacja Pożyczka'!$B$7+4%)*('Arkusz1 (2)'!B10-'Arkusz1 (2)'!B9)/366)</f>
        <v>1.0085245901639344</v>
      </c>
      <c r="E10" s="15">
        <f t="shared" ca="1" si="0"/>
        <v>0</v>
      </c>
      <c r="F10" s="15">
        <f t="shared" ca="1" si="1"/>
        <v>0</v>
      </c>
      <c r="G10">
        <f ca="1">IF(E10=1,(1+('Symulacja Pożyczka'!$B$7+4%)*((('Arkusz1 (2)'!B10-DATE(YEAR(B10),1,1)+1)/365)+((DATE(YEAR(B9),12,31)-'Arkusz1 (2)'!B9)/366))),IF(F10=1,(1+('Symulacja Pożyczka'!$B$7+4%)*((('Arkusz1 (2)'!B10-DATE(YEAR(B10),1,1)+1)/366)+((DATE(YEAR(B9),12,31)-'Arkusz1 (2)'!B9)/365))),0))</f>
        <v>0</v>
      </c>
      <c r="H10">
        <f t="shared" ca="1" si="2"/>
        <v>0</v>
      </c>
      <c r="I10">
        <f t="shared" ca="1" si="3"/>
        <v>1.0085479452054795</v>
      </c>
      <c r="J10">
        <f t="shared" ca="1" si="4"/>
        <v>1.0085479452054795</v>
      </c>
      <c r="K10">
        <f ca="1">PRODUCT($J$3:J10)</f>
        <v>1.0671335201447114</v>
      </c>
      <c r="L10">
        <f t="shared" ca="1" si="5"/>
        <v>0.93708985906879994</v>
      </c>
      <c r="M10">
        <f ca="1">SUM($L$3:L10)</f>
        <v>7.7290298670596371</v>
      </c>
      <c r="O10">
        <f ca="1">(Q9*'Arkusz1 (2)'!J10)-Q9</f>
        <v>10113.508939539781</v>
      </c>
      <c r="P10" s="16">
        <f t="shared" ca="1" si="6"/>
        <v>6347.772608829684</v>
      </c>
      <c r="Q10" s="17">
        <f t="shared" ca="1" si="7"/>
        <v>1176803.1129463019</v>
      </c>
    </row>
    <row r="11" spans="1:17" x14ac:dyDescent="0.35">
      <c r="A11">
        <v>9</v>
      </c>
      <c r="B11" s="14">
        <f t="shared" ca="1" si="8"/>
        <v>46343</v>
      </c>
      <c r="C11" s="15">
        <f ca="1">(1+('Symulacja Pożyczka'!$B$7+4%)*('Arkusz1 (2)'!B11-'Arkusz1 (2)'!B10)/365)</f>
        <v>1.0088328767123287</v>
      </c>
      <c r="D11" s="15">
        <f ca="1">(1+('Symulacja Pożyczka'!$B$7+4%)*('Arkusz1 (2)'!B11-'Arkusz1 (2)'!B10)/366)</f>
        <v>1.0088087431693988</v>
      </c>
      <c r="E11" s="15">
        <f t="shared" ca="1" si="0"/>
        <v>0</v>
      </c>
      <c r="F11" s="15">
        <f t="shared" ca="1" si="1"/>
        <v>0</v>
      </c>
      <c r="G11">
        <f ca="1">IF(E11=1,(1+('Symulacja Pożyczka'!$B$7+4%)*((('Arkusz1 (2)'!B11-DATE(YEAR(B11),1,1)+1)/365)+((DATE(YEAR(B10),12,31)-'Arkusz1 (2)'!B10)/366))),IF(F11=1,(1+('Symulacja Pożyczka'!$B$7+4%)*((('Arkusz1 (2)'!B11-DATE(YEAR(B11),1,1)+1)/366)+((DATE(YEAR(B10),12,31)-'Arkusz1 (2)'!B10)/365))),0))</f>
        <v>0</v>
      </c>
      <c r="H11">
        <f t="shared" ca="1" si="2"/>
        <v>0</v>
      </c>
      <c r="I11">
        <f t="shared" ca="1" si="3"/>
        <v>1.0088328767123287</v>
      </c>
      <c r="J11">
        <f t="shared" ca="1" si="4"/>
        <v>1.0088328767123287</v>
      </c>
      <c r="K11">
        <f ca="1">PRODUCT($J$3:J11)</f>
        <v>1.0765593789637429</v>
      </c>
      <c r="L11">
        <f t="shared" ca="1" si="5"/>
        <v>0.92888513122477634</v>
      </c>
      <c r="M11">
        <f ca="1">SUM($L$3:L11)</f>
        <v>8.6579149982844132</v>
      </c>
      <c r="O11">
        <f ca="1">(Q10*'Arkusz1 (2)'!J11)-Q10</f>
        <v>10394.556811339222</v>
      </c>
      <c r="P11" s="16">
        <f t="shared" ca="1" si="6"/>
        <v>6066.724737030243</v>
      </c>
      <c r="Q11" s="17">
        <f t="shared" ca="1" si="7"/>
        <v>1170736.3882092717</v>
      </c>
    </row>
    <row r="12" spans="1:17" x14ac:dyDescent="0.35">
      <c r="A12">
        <v>10</v>
      </c>
      <c r="B12" s="14">
        <f t="shared" ca="1" si="8"/>
        <v>46373</v>
      </c>
      <c r="C12" s="15">
        <f ca="1">(1+('Symulacja Pożyczka'!$B$7+4%)*('Arkusz1 (2)'!B12-'Arkusz1 (2)'!B11)/365)</f>
        <v>1.0085479452054795</v>
      </c>
      <c r="D12" s="15">
        <f ca="1">(1+('Symulacja Pożyczka'!$B$7+4%)*('Arkusz1 (2)'!B12-'Arkusz1 (2)'!B11)/366)</f>
        <v>1.0085245901639344</v>
      </c>
      <c r="E12" s="15">
        <f t="shared" ca="1" si="0"/>
        <v>0</v>
      </c>
      <c r="F12" s="15">
        <f t="shared" ca="1" si="1"/>
        <v>0</v>
      </c>
      <c r="G12">
        <f ca="1">IF(E12=1,(1+('Symulacja Pożyczka'!$B$7+4%)*((('Arkusz1 (2)'!B12-DATE(YEAR(B12),1,1)+1)/365)+((DATE(YEAR(B11),12,31)-'Arkusz1 (2)'!B11)/366))),IF(F12=1,(1+('Symulacja Pożyczka'!$B$7+4%)*((('Arkusz1 (2)'!B12-DATE(YEAR(B12),1,1)+1)/366)+((DATE(YEAR(B11),12,31)-'Arkusz1 (2)'!B11)/365))),0))</f>
        <v>0</v>
      </c>
      <c r="H12">
        <f t="shared" ca="1" si="2"/>
        <v>0</v>
      </c>
      <c r="I12">
        <f t="shared" ca="1" si="3"/>
        <v>1.0085479452054795</v>
      </c>
      <c r="J12">
        <f t="shared" ca="1" si="4"/>
        <v>1.0085479452054795</v>
      </c>
      <c r="K12">
        <f ca="1">PRODUCT($J$3:J12)</f>
        <v>1.08576174954557</v>
      </c>
      <c r="L12">
        <f t="shared" ca="1" si="5"/>
        <v>0.92101236796980146</v>
      </c>
      <c r="M12">
        <f ca="1">SUM($L$3:L12)</f>
        <v>9.5789273662542147</v>
      </c>
      <c r="O12">
        <f ca="1">(Q11*'Arkusz1 (2)'!J12)-Q11</f>
        <v>10007.390496473759</v>
      </c>
      <c r="P12" s="16">
        <f t="shared" ca="1" si="6"/>
        <v>6453.8910518957055</v>
      </c>
      <c r="Q12" s="17">
        <f t="shared" ca="1" si="7"/>
        <v>1164282.497157376</v>
      </c>
    </row>
    <row r="13" spans="1:17" x14ac:dyDescent="0.35">
      <c r="A13">
        <v>11</v>
      </c>
      <c r="B13" s="14">
        <f t="shared" ca="1" si="8"/>
        <v>46404</v>
      </c>
      <c r="C13" s="15">
        <f ca="1">(1+('Symulacja Pożyczka'!$B$7+4%)*('Arkusz1 (2)'!B13-'Arkusz1 (2)'!B12)/365)</f>
        <v>1.0088328767123287</v>
      </c>
      <c r="D13" s="15">
        <f ca="1">(1+('Symulacja Pożyczka'!$B$7+4%)*('Arkusz1 (2)'!B13-'Arkusz1 (2)'!B12)/366)</f>
        <v>1.0088087431693988</v>
      </c>
      <c r="E13" s="15">
        <f t="shared" ca="1" si="0"/>
        <v>0</v>
      </c>
      <c r="F13" s="15">
        <f t="shared" ca="1" si="1"/>
        <v>0</v>
      </c>
      <c r="G13">
        <f ca="1">IF(E13=1,(1+('Symulacja Pożyczka'!$B$7+4%)*((('Arkusz1 (2)'!B13-DATE(YEAR(B13),1,1)+1)/365)+((DATE(YEAR(B12),12,31)-'Arkusz1 (2)'!B12)/366))),IF(F13=1,(1+('Symulacja Pożyczka'!$B$7+4%)*((('Arkusz1 (2)'!B13-DATE(YEAR(B13),1,1)+1)/366)+((DATE(YEAR(B12),12,31)-'Arkusz1 (2)'!B12)/365))),0))</f>
        <v>0</v>
      </c>
      <c r="H13">
        <f t="shared" ca="1" si="2"/>
        <v>0</v>
      </c>
      <c r="I13">
        <f t="shared" ca="1" si="3"/>
        <v>1.0088328767123287</v>
      </c>
      <c r="J13">
        <f t="shared" ca="1" si="4"/>
        <v>1.0088328767123287</v>
      </c>
      <c r="K13">
        <f ca="1">PRODUCT($J$3:J13)</f>
        <v>1.0953521492182683</v>
      </c>
      <c r="L13">
        <f t="shared" ca="1" si="5"/>
        <v>0.91294840724389936</v>
      </c>
      <c r="M13">
        <f ca="1">SUM($L$3:L13)</f>
        <v>10.491875773498114</v>
      </c>
      <c r="O13">
        <f ca="1">(Q12*'Arkusz1 (2)'!J13)-Q12</f>
        <v>10283.96375571331</v>
      </c>
      <c r="P13" s="16">
        <f t="shared" ca="1" si="6"/>
        <v>6177.3177926561548</v>
      </c>
      <c r="Q13" s="17">
        <f t="shared" ca="1" si="7"/>
        <v>1158105.1793647199</v>
      </c>
    </row>
    <row r="14" spans="1:17" x14ac:dyDescent="0.35">
      <c r="A14">
        <v>12</v>
      </c>
      <c r="B14" s="14">
        <f t="shared" ca="1" si="8"/>
        <v>46435</v>
      </c>
      <c r="C14" s="15">
        <f ca="1">(1+('Symulacja Pożyczka'!$B$7+4%)*('Arkusz1 (2)'!B14-'Arkusz1 (2)'!B13)/365)</f>
        <v>1.0088328767123287</v>
      </c>
      <c r="D14" s="15">
        <f ca="1">(1+('Symulacja Pożyczka'!$B$7+4%)*('Arkusz1 (2)'!B14-'Arkusz1 (2)'!B13)/366)</f>
        <v>1.0088087431693988</v>
      </c>
      <c r="E14" s="15">
        <f t="shared" ca="1" si="0"/>
        <v>0</v>
      </c>
      <c r="F14" s="15">
        <f t="shared" ca="1" si="1"/>
        <v>0</v>
      </c>
      <c r="G14">
        <f ca="1">IF(E14=1,(1+('Symulacja Pożyczka'!$B$7+4%)*((('Arkusz1 (2)'!B14-DATE(YEAR(B14),1,1)+1)/365)+((DATE(YEAR(B13),12,31)-'Arkusz1 (2)'!B13)/366))),IF(F14=1,(1+('Symulacja Pożyczka'!$B$7+4%)*((('Arkusz1 (2)'!B14-DATE(YEAR(B14),1,1)+1)/366)+((DATE(YEAR(B13),12,31)-'Arkusz1 (2)'!B13)/365))),0))</f>
        <v>0</v>
      </c>
      <c r="H14">
        <f t="shared" ca="1" si="2"/>
        <v>0</v>
      </c>
      <c r="I14">
        <f t="shared" ca="1" si="3"/>
        <v>1.0088328767123287</v>
      </c>
      <c r="J14">
        <f t="shared" ca="1" si="4"/>
        <v>1.0088328767123287</v>
      </c>
      <c r="K14">
        <f ca="1">PRODUCT($J$3:J14)</f>
        <v>1.1050272597088975</v>
      </c>
      <c r="L14">
        <f t="shared" ca="1" si="5"/>
        <v>0.90495505084954619</v>
      </c>
      <c r="M14">
        <f ca="1">SUM($L$3:L14)</f>
        <v>11.39683082434766</v>
      </c>
      <c r="O14">
        <f ca="1">(Q13*'Arkusz1 (2)'!J14)-Q13</f>
        <v>10229.400269237813</v>
      </c>
      <c r="P14" s="16">
        <f t="shared" ca="1" si="6"/>
        <v>6231.8812791316523</v>
      </c>
      <c r="Q14" s="17">
        <f t="shared" ca="1" si="7"/>
        <v>1151873.2980855883</v>
      </c>
    </row>
    <row r="15" spans="1:17" x14ac:dyDescent="0.35">
      <c r="A15">
        <v>13</v>
      </c>
      <c r="B15" s="14">
        <f t="shared" ca="1" si="8"/>
        <v>46463</v>
      </c>
      <c r="C15" s="15">
        <f ca="1">(1+('Symulacja Pożyczka'!$B$7+4%)*('Arkusz1 (2)'!B15-'Arkusz1 (2)'!B14)/365)</f>
        <v>1.0079780821917808</v>
      </c>
      <c r="D15" s="15">
        <f ca="1">(1+('Symulacja Pożyczka'!$B$7+4%)*('Arkusz1 (2)'!B15-'Arkusz1 (2)'!B14)/366)</f>
        <v>1.0079562841530054</v>
      </c>
      <c r="E15" s="15">
        <f t="shared" ca="1" si="0"/>
        <v>0</v>
      </c>
      <c r="F15" s="15">
        <f t="shared" ca="1" si="1"/>
        <v>0</v>
      </c>
      <c r="G15">
        <f ca="1">IF(E15=1,(1+('Symulacja Pożyczka'!$B$7+4%)*((('Arkusz1 (2)'!B15-DATE(YEAR(B15),1,1)+1)/365)+((DATE(YEAR(B14),12,31)-'Arkusz1 (2)'!B14)/366))),IF(F15=1,(1+('Symulacja Pożyczka'!$B$7+4%)*((('Arkusz1 (2)'!B15-DATE(YEAR(B15),1,1)+1)/366)+((DATE(YEAR(B14),12,31)-'Arkusz1 (2)'!B14)/365))),0))</f>
        <v>0</v>
      </c>
      <c r="H15">
        <f t="shared" ca="1" si="2"/>
        <v>0</v>
      </c>
      <c r="I15">
        <f t="shared" ca="1" si="3"/>
        <v>1.0079780821917808</v>
      </c>
      <c r="J15">
        <f t="shared" ca="1" si="4"/>
        <v>1.0079780821917808</v>
      </c>
      <c r="K15">
        <f ca="1">PRODUCT($J$3:J15)</f>
        <v>1.1138432580110134</v>
      </c>
      <c r="L15">
        <f t="shared" ca="1" si="5"/>
        <v>0.89779238937594963</v>
      </c>
      <c r="M15">
        <f ca="1">SUM($L$3:L15)</f>
        <v>12.294623213723609</v>
      </c>
      <c r="O15">
        <f ca="1">(Q14*'Arkusz1 (2)'!J15)-Q14</f>
        <v>9189.7398466444574</v>
      </c>
      <c r="P15" s="16">
        <f t="shared" ca="1" si="6"/>
        <v>7271.5417017250074</v>
      </c>
      <c r="Q15" s="17">
        <f t="shared" ca="1" si="7"/>
        <v>1144601.7563838633</v>
      </c>
    </row>
    <row r="16" spans="1:17" x14ac:dyDescent="0.35">
      <c r="A16">
        <v>14</v>
      </c>
      <c r="B16" s="14">
        <f t="shared" ca="1" si="8"/>
        <v>46494</v>
      </c>
      <c r="C16" s="15">
        <f ca="1">(1+('Symulacja Pożyczka'!$B$7+4%)*('Arkusz1 (2)'!B16-'Arkusz1 (2)'!B15)/365)</f>
        <v>1.0088328767123287</v>
      </c>
      <c r="D16" s="15">
        <f ca="1">(1+('Symulacja Pożyczka'!$B$7+4%)*('Arkusz1 (2)'!B16-'Arkusz1 (2)'!B15)/366)</f>
        <v>1.0088087431693988</v>
      </c>
      <c r="E16" s="15">
        <f t="shared" ca="1" si="0"/>
        <v>0</v>
      </c>
      <c r="F16" s="15">
        <f t="shared" ca="1" si="1"/>
        <v>0</v>
      </c>
      <c r="G16">
        <f ca="1">IF(E16=1,(1+('Symulacja Pożyczka'!$B$7+4%)*((('Arkusz1 (2)'!B16-DATE(YEAR(B16),1,1)+1)/365)+((DATE(YEAR(B15),12,31)-'Arkusz1 (2)'!B15)/366))),IF(F16=1,(1+('Symulacja Pożyczka'!$B$7+4%)*((('Arkusz1 (2)'!B16-DATE(YEAR(B16),1,1)+1)/366)+((DATE(YEAR(B15),12,31)-'Arkusz1 (2)'!B15)/365))),0))</f>
        <v>0</v>
      </c>
      <c r="H16">
        <f t="shared" ca="1" si="2"/>
        <v>0</v>
      </c>
      <c r="I16">
        <f t="shared" ca="1" si="3"/>
        <v>1.0088328767123287</v>
      </c>
      <c r="J16">
        <f t="shared" ca="1" si="4"/>
        <v>1.0088328767123287</v>
      </c>
      <c r="K16">
        <f ca="1">PRODUCT($J$3:J16)</f>
        <v>1.1236816981858833</v>
      </c>
      <c r="L16">
        <f t="shared" ca="1" si="5"/>
        <v>0.88993173210388676</v>
      </c>
      <c r="M16">
        <f ca="1">SUM($L$3:L16)</f>
        <v>13.184554945827497</v>
      </c>
      <c r="O16">
        <f ca="1">(Q15*'Arkusz1 (2)'!J16)-Q15</f>
        <v>10110.126198853599</v>
      </c>
      <c r="P16" s="16">
        <f t="shared" ca="1" si="6"/>
        <v>6351.155349515866</v>
      </c>
      <c r="Q16" s="17">
        <f t="shared" ca="1" si="7"/>
        <v>1138250.6010343474</v>
      </c>
    </row>
    <row r="17" spans="1:17" x14ac:dyDescent="0.35">
      <c r="A17">
        <v>15</v>
      </c>
      <c r="B17" s="14">
        <f t="shared" ca="1" si="8"/>
        <v>46524</v>
      </c>
      <c r="C17" s="15">
        <f ca="1">(1+('Symulacja Pożyczka'!$B$7+4%)*('Arkusz1 (2)'!B17-'Arkusz1 (2)'!B16)/365)</f>
        <v>1.0085479452054795</v>
      </c>
      <c r="D17" s="15">
        <f ca="1">(1+('Symulacja Pożyczka'!$B$7+4%)*('Arkusz1 (2)'!B17-'Arkusz1 (2)'!B16)/366)</f>
        <v>1.0085245901639344</v>
      </c>
      <c r="E17" s="15">
        <f t="shared" ca="1" si="0"/>
        <v>0</v>
      </c>
      <c r="F17" s="15">
        <f t="shared" ca="1" si="1"/>
        <v>0</v>
      </c>
      <c r="G17">
        <f ca="1">IF(E17=1,(1+('Symulacja Pożyczka'!$B$7+4%)*((('Arkusz1 (2)'!B17-DATE(YEAR(B17),1,1)+1)/365)+((DATE(YEAR(B16),12,31)-'Arkusz1 (2)'!B16)/366))),IF(F17=1,(1+('Symulacja Pożyczka'!$B$7+4%)*((('Arkusz1 (2)'!B17-DATE(YEAR(B17),1,1)+1)/366)+((DATE(YEAR(B16),12,31)-'Arkusz1 (2)'!B16)/365))),0))</f>
        <v>0</v>
      </c>
      <c r="H17">
        <f t="shared" ca="1" si="2"/>
        <v>0</v>
      </c>
      <c r="I17">
        <f t="shared" ca="1" si="3"/>
        <v>1.0085479452054795</v>
      </c>
      <c r="J17">
        <f t="shared" ca="1" si="4"/>
        <v>1.0085479452054795</v>
      </c>
      <c r="K17">
        <f ca="1">PRODUCT($J$3:J17)</f>
        <v>1.1332868677703765</v>
      </c>
      <c r="L17">
        <f t="shared" ca="1" si="5"/>
        <v>0.88238911827099487</v>
      </c>
      <c r="M17">
        <f ca="1">SUM($L$3:L17)</f>
        <v>14.066944064098491</v>
      </c>
      <c r="O17">
        <f ca="1">(Q16*'Arkusz1 (2)'!J17)-Q16</f>
        <v>9729.7037677457556</v>
      </c>
      <c r="P17" s="16">
        <f t="shared" ca="1" si="6"/>
        <v>6731.5777806237093</v>
      </c>
      <c r="Q17" s="17">
        <f t="shared" ca="1" si="7"/>
        <v>1131519.0232537237</v>
      </c>
    </row>
    <row r="18" spans="1:17" x14ac:dyDescent="0.35">
      <c r="A18">
        <v>16</v>
      </c>
      <c r="B18" s="14">
        <f t="shared" ca="1" si="8"/>
        <v>46555</v>
      </c>
      <c r="C18" s="15">
        <f ca="1">(1+('Symulacja Pożyczka'!$B$7+4%)*('Arkusz1 (2)'!B18-'Arkusz1 (2)'!B17)/365)</f>
        <v>1.0088328767123287</v>
      </c>
      <c r="D18" s="15">
        <f ca="1">(1+('Symulacja Pożyczka'!$B$7+4%)*('Arkusz1 (2)'!B18-'Arkusz1 (2)'!B17)/366)</f>
        <v>1.0088087431693988</v>
      </c>
      <c r="E18" s="15">
        <f t="shared" ca="1" si="0"/>
        <v>0</v>
      </c>
      <c r="F18" s="15">
        <f t="shared" ca="1" si="1"/>
        <v>0</v>
      </c>
      <c r="G18">
        <f ca="1">IF(E18=1,(1+('Symulacja Pożyczka'!$B$7+4%)*((('Arkusz1 (2)'!B18-DATE(YEAR(B18),1,1)+1)/365)+((DATE(YEAR(B17),12,31)-'Arkusz1 (2)'!B17)/366))),IF(F18=1,(1+('Symulacja Pożyczka'!$B$7+4%)*((('Arkusz1 (2)'!B18-DATE(YEAR(B18),1,1)+1)/366)+((DATE(YEAR(B17),12,31)-'Arkusz1 (2)'!B17)/365))),0))</f>
        <v>0</v>
      </c>
      <c r="H18">
        <f t="shared" ca="1" si="2"/>
        <v>0</v>
      </c>
      <c r="I18">
        <f t="shared" ca="1" si="3"/>
        <v>1.0088328767123287</v>
      </c>
      <c r="J18">
        <f t="shared" ca="1" si="4"/>
        <v>1.0088328767123287</v>
      </c>
      <c r="K18">
        <f ca="1">PRODUCT($J$3:J18)</f>
        <v>1.1432970509530933</v>
      </c>
      <c r="L18">
        <f t="shared" ca="1" si="5"/>
        <v>0.8746633249568555</v>
      </c>
      <c r="M18">
        <f ca="1">SUM($L$3:L18)</f>
        <v>14.941607389055347</v>
      </c>
      <c r="O18">
        <f ca="1">(Q17*'Arkusz1 (2)'!J18)-Q17</f>
        <v>9994.568030054681</v>
      </c>
      <c r="P18" s="16">
        <f t="shared" ca="1" si="6"/>
        <v>6466.7135183147839</v>
      </c>
      <c r="Q18" s="17">
        <f t="shared" ca="1" si="7"/>
        <v>1125052.309735409</v>
      </c>
    </row>
    <row r="19" spans="1:17" x14ac:dyDescent="0.35">
      <c r="A19">
        <v>17</v>
      </c>
      <c r="B19" s="14">
        <f t="shared" ca="1" si="8"/>
        <v>46585</v>
      </c>
      <c r="C19" s="15">
        <f ca="1">(1+('Symulacja Pożyczka'!$B$7+4%)*('Arkusz1 (2)'!B19-'Arkusz1 (2)'!B18)/365)</f>
        <v>1.0085479452054795</v>
      </c>
      <c r="D19" s="15">
        <f ca="1">(1+('Symulacja Pożyczka'!$B$7+4%)*('Arkusz1 (2)'!B19-'Arkusz1 (2)'!B18)/366)</f>
        <v>1.0085245901639344</v>
      </c>
      <c r="E19" s="15">
        <f t="shared" ca="1" si="0"/>
        <v>0</v>
      </c>
      <c r="F19" s="15">
        <f t="shared" ca="1" si="1"/>
        <v>0</v>
      </c>
      <c r="G19">
        <f ca="1">IF(E19=1,(1+('Symulacja Pożyczka'!$B$7+4%)*((('Arkusz1 (2)'!B19-DATE(YEAR(B19),1,1)+1)/365)+((DATE(YEAR(B18),12,31)-'Arkusz1 (2)'!B18)/366))),IF(F19=1,(1+('Symulacja Pożyczka'!$B$7+4%)*((('Arkusz1 (2)'!B19-DATE(YEAR(B19),1,1)+1)/366)+((DATE(YEAR(B18),12,31)-'Arkusz1 (2)'!B18)/365))),0))</f>
        <v>0</v>
      </c>
      <c r="H19">
        <f t="shared" ca="1" si="2"/>
        <v>0</v>
      </c>
      <c r="I19">
        <f t="shared" ca="1" si="3"/>
        <v>1.0085479452054795</v>
      </c>
      <c r="J19">
        <f t="shared" ca="1" si="4"/>
        <v>1.0085479452054795</v>
      </c>
      <c r="K19">
        <f ca="1">PRODUCT($J$3:J19)</f>
        <v>1.1530698914982267</v>
      </c>
      <c r="L19">
        <f t="shared" ca="1" si="5"/>
        <v>0.86725011846477296</v>
      </c>
      <c r="M19">
        <f ca="1">SUM($L$3:L19)</f>
        <v>15.80885750752012</v>
      </c>
      <c r="O19">
        <f ca="1">(Q18*'Arkusz1 (2)'!J19)-Q18</f>
        <v>9616.8854969164822</v>
      </c>
      <c r="P19" s="16">
        <f t="shared" ca="1" si="6"/>
        <v>6844.3960514529826</v>
      </c>
      <c r="Q19" s="17">
        <f t="shared" ca="1" si="7"/>
        <v>1118207.913683956</v>
      </c>
    </row>
    <row r="20" spans="1:17" x14ac:dyDescent="0.35">
      <c r="A20">
        <v>18</v>
      </c>
      <c r="B20" s="14">
        <f t="shared" ca="1" si="8"/>
        <v>46616</v>
      </c>
      <c r="C20" s="15">
        <f ca="1">(1+('Symulacja Pożyczka'!$B$7+4%)*('Arkusz1 (2)'!B20-'Arkusz1 (2)'!B19)/365)</f>
        <v>1.0088328767123287</v>
      </c>
      <c r="D20" s="15">
        <f ca="1">(1+('Symulacja Pożyczka'!$B$7+4%)*('Arkusz1 (2)'!B20-'Arkusz1 (2)'!B19)/366)</f>
        <v>1.0088087431693988</v>
      </c>
      <c r="E20" s="15">
        <f t="shared" ca="1" si="0"/>
        <v>0</v>
      </c>
      <c r="F20" s="15">
        <f t="shared" ca="1" si="1"/>
        <v>0</v>
      </c>
      <c r="G20">
        <f ca="1">IF(E20=1,(1+('Symulacja Pożyczka'!$B$7+4%)*((('Arkusz1 (2)'!B20-DATE(YEAR(B20),1,1)+1)/365)+((DATE(YEAR(B19),12,31)-'Arkusz1 (2)'!B19)/366))),IF(F20=1,(1+('Symulacja Pożyczka'!$B$7+4%)*((('Arkusz1 (2)'!B20-DATE(YEAR(B20),1,1)+1)/366)+((DATE(YEAR(B19),12,31)-'Arkusz1 (2)'!B19)/365))),0))</f>
        <v>0</v>
      </c>
      <c r="H20">
        <f t="shared" ca="1" si="2"/>
        <v>0</v>
      </c>
      <c r="I20">
        <f t="shared" ca="1" si="3"/>
        <v>1.0088328767123287</v>
      </c>
      <c r="J20">
        <f t="shared" ca="1" si="4"/>
        <v>1.0088328767123287</v>
      </c>
      <c r="K20">
        <f ca="1">PRODUCT($J$3:J20)</f>
        <v>1.1632548156905287</v>
      </c>
      <c r="L20">
        <f t="shared" ca="1" si="5"/>
        <v>0.85965687527060208</v>
      </c>
      <c r="M20">
        <f ca="1">SUM($L$3:L20)</f>
        <v>16.668514382790722</v>
      </c>
      <c r="O20">
        <f ca="1">(Q19*'Arkusz1 (2)'!J20)-Q19</f>
        <v>9876.9926403206773</v>
      </c>
      <c r="P20" s="16">
        <f t="shared" ca="1" si="6"/>
        <v>6584.2889080487876</v>
      </c>
      <c r="Q20" s="17">
        <f t="shared" ca="1" si="7"/>
        <v>1111623.6247759073</v>
      </c>
    </row>
    <row r="21" spans="1:17" x14ac:dyDescent="0.35">
      <c r="A21">
        <v>19</v>
      </c>
      <c r="B21" s="14">
        <f t="shared" ca="1" si="8"/>
        <v>46647</v>
      </c>
      <c r="C21" s="15">
        <f ca="1">(1+('Symulacja Pożyczka'!$B$7+4%)*('Arkusz1 (2)'!B21-'Arkusz1 (2)'!B20)/365)</f>
        <v>1.0088328767123287</v>
      </c>
      <c r="D21" s="15">
        <f ca="1">(1+('Symulacja Pożyczka'!$B$7+4%)*('Arkusz1 (2)'!B21-'Arkusz1 (2)'!B20)/366)</f>
        <v>1.0088087431693988</v>
      </c>
      <c r="E21" s="15">
        <f t="shared" ca="1" si="0"/>
        <v>0</v>
      </c>
      <c r="F21" s="15">
        <f t="shared" ca="1" si="1"/>
        <v>0</v>
      </c>
      <c r="G21">
        <f ca="1">IF(E21=1,(1+('Symulacja Pożyczka'!$B$7+4%)*((('Arkusz1 (2)'!B21-DATE(YEAR(B21),1,1)+1)/365)+((DATE(YEAR(B20),12,31)-'Arkusz1 (2)'!B20)/366))),IF(F21=1,(1+('Symulacja Pożyczka'!$B$7+4%)*((('Arkusz1 (2)'!B21-DATE(YEAR(B21),1,1)+1)/366)+((DATE(YEAR(B20),12,31)-'Arkusz1 (2)'!B20)/365))),0))</f>
        <v>0</v>
      </c>
      <c r="H21">
        <f t="shared" ca="1" si="2"/>
        <v>0</v>
      </c>
      <c r="I21">
        <f t="shared" ca="1" si="3"/>
        <v>1.0088328767123287</v>
      </c>
      <c r="J21">
        <f t="shared" ca="1" si="4"/>
        <v>1.0088328767123287</v>
      </c>
      <c r="K21">
        <f ca="1">PRODUCT($J$3:J21)</f>
        <v>1.1735297020625457</v>
      </c>
      <c r="L21">
        <f t="shared" ca="1" si="5"/>
        <v>0.85213011502175251</v>
      </c>
      <c r="M21">
        <f ca="1">SUM($L$3:L21)</f>
        <v>17.520644497812473</v>
      </c>
      <c r="O21">
        <f ca="1">(Q20*'Arkusz1 (2)'!J21)-Q20</f>
        <v>9818.8344281574246</v>
      </c>
      <c r="P21" s="16">
        <f t="shared" ca="1" si="6"/>
        <v>6642.4471202120403</v>
      </c>
      <c r="Q21" s="17">
        <f t="shared" ca="1" si="7"/>
        <v>1104981.1776556952</v>
      </c>
    </row>
    <row r="22" spans="1:17" x14ac:dyDescent="0.35">
      <c r="A22">
        <v>20</v>
      </c>
      <c r="B22" s="14">
        <f t="shared" ca="1" si="8"/>
        <v>46677</v>
      </c>
      <c r="C22" s="15">
        <f ca="1">(1+('Symulacja Pożyczka'!$B$7+4%)*('Arkusz1 (2)'!B22-'Arkusz1 (2)'!B21)/365)</f>
        <v>1.0085479452054795</v>
      </c>
      <c r="D22" s="15">
        <f ca="1">(1+('Symulacja Pożyczka'!$B$7+4%)*('Arkusz1 (2)'!B22-'Arkusz1 (2)'!B21)/366)</f>
        <v>1.0085245901639344</v>
      </c>
      <c r="E22" s="15">
        <f t="shared" ca="1" si="0"/>
        <v>0</v>
      </c>
      <c r="F22" s="15">
        <f t="shared" ca="1" si="1"/>
        <v>0</v>
      </c>
      <c r="G22">
        <f ca="1">IF(E22=1,(1+('Symulacja Pożyczka'!$B$7+4%)*((('Arkusz1 (2)'!B22-DATE(YEAR(B22),1,1)+1)/365)+((DATE(YEAR(B21),12,31)-'Arkusz1 (2)'!B21)/366))),IF(F22=1,(1+('Symulacja Pożyczka'!$B$7+4%)*((('Arkusz1 (2)'!B22-DATE(YEAR(B22),1,1)+1)/366)+((DATE(YEAR(B21),12,31)-'Arkusz1 (2)'!B21)/365))),0))</f>
        <v>0</v>
      </c>
      <c r="H22">
        <f t="shared" ca="1" si="2"/>
        <v>0</v>
      </c>
      <c r="I22">
        <f t="shared" ca="1" si="3"/>
        <v>1.0085479452054795</v>
      </c>
      <c r="J22">
        <f t="shared" ca="1" si="4"/>
        <v>1.0085479452054795</v>
      </c>
      <c r="K22">
        <f ca="1">PRODUCT($J$3:J22)</f>
        <v>1.1835609696527791</v>
      </c>
      <c r="L22">
        <f t="shared" ca="1" si="5"/>
        <v>0.84490788868559064</v>
      </c>
      <c r="M22">
        <f ca="1">SUM($L$3:L22)</f>
        <v>18.365552386498063</v>
      </c>
      <c r="O22">
        <f ca="1">(Q21*'Arkusz1 (2)'!J22)-Q21</f>
        <v>9445.318559687119</v>
      </c>
      <c r="P22" s="16">
        <f t="shared" ca="1" si="6"/>
        <v>7015.9629886823459</v>
      </c>
      <c r="Q22" s="17">
        <f t="shared" ca="1" si="7"/>
        <v>1097965.2146670129</v>
      </c>
    </row>
    <row r="23" spans="1:17" x14ac:dyDescent="0.35">
      <c r="A23">
        <v>21</v>
      </c>
      <c r="B23" s="14">
        <f t="shared" ca="1" si="8"/>
        <v>46708</v>
      </c>
      <c r="C23" s="15">
        <f ca="1">(1+('Symulacja Pożyczka'!$B$7+4%)*('Arkusz1 (2)'!B23-'Arkusz1 (2)'!B22)/365)</f>
        <v>1.0088328767123287</v>
      </c>
      <c r="D23" s="15">
        <f ca="1">(1+('Symulacja Pożyczka'!$B$7+4%)*('Arkusz1 (2)'!B23-'Arkusz1 (2)'!B22)/366)</f>
        <v>1.0088087431693988</v>
      </c>
      <c r="E23" s="15">
        <f t="shared" ca="1" si="0"/>
        <v>0</v>
      </c>
      <c r="F23" s="15">
        <f t="shared" ca="1" si="1"/>
        <v>0</v>
      </c>
      <c r="G23">
        <f ca="1">IF(E23=1,(1+('Symulacja Pożyczka'!$B$7+4%)*((('Arkusz1 (2)'!B23-DATE(YEAR(B23),1,1)+1)/365)+((DATE(YEAR(B22),12,31)-'Arkusz1 (2)'!B22)/366))),IF(F23=1,(1+('Symulacja Pożyczka'!$B$7+4%)*((('Arkusz1 (2)'!B23-DATE(YEAR(B23),1,1)+1)/366)+((DATE(YEAR(B22),12,31)-'Arkusz1 (2)'!B22)/365))),0))</f>
        <v>0</v>
      </c>
      <c r="H23">
        <f t="shared" ca="1" si="2"/>
        <v>0</v>
      </c>
      <c r="I23">
        <f t="shared" ca="1" si="3"/>
        <v>1.0088328767123287</v>
      </c>
      <c r="J23">
        <f t="shared" ca="1" si="4"/>
        <v>1.0088328767123287</v>
      </c>
      <c r="K23">
        <f ca="1">PRODUCT($J$3:J23)</f>
        <v>1.1940152177792462</v>
      </c>
      <c r="L23">
        <f t="shared" ca="1" si="5"/>
        <v>0.83751026378030935</v>
      </c>
      <c r="M23">
        <f ca="1">SUM($L$3:L23)</f>
        <v>19.203062650278373</v>
      </c>
      <c r="O23">
        <f ca="1">(Q22*'Arkusz1 (2)'!J23)-Q22</f>
        <v>9698.1913755792193</v>
      </c>
      <c r="P23" s="16">
        <f t="shared" ca="1" si="6"/>
        <v>6763.0901727902456</v>
      </c>
      <c r="Q23" s="17">
        <f t="shared" ca="1" si="7"/>
        <v>1091202.1244942227</v>
      </c>
    </row>
    <row r="24" spans="1:17" x14ac:dyDescent="0.35">
      <c r="A24">
        <v>22</v>
      </c>
      <c r="B24" s="14">
        <f t="shared" ca="1" si="8"/>
        <v>46738</v>
      </c>
      <c r="C24" s="15">
        <f ca="1">(1+('Symulacja Pożyczka'!$B$7+4%)*('Arkusz1 (2)'!B24-'Arkusz1 (2)'!B23)/365)</f>
        <v>1.0085479452054795</v>
      </c>
      <c r="D24" s="15">
        <f ca="1">(1+('Symulacja Pożyczka'!$B$7+4%)*('Arkusz1 (2)'!B24-'Arkusz1 (2)'!B23)/366)</f>
        <v>1.0085245901639344</v>
      </c>
      <c r="E24" s="15">
        <f t="shared" ca="1" si="0"/>
        <v>0</v>
      </c>
      <c r="F24" s="15">
        <f t="shared" ca="1" si="1"/>
        <v>0</v>
      </c>
      <c r="G24">
        <f ca="1">IF(E24=1,(1+('Symulacja Pożyczka'!$B$7+4%)*((('Arkusz1 (2)'!B24-DATE(YEAR(B24),1,1)+1)/365)+((DATE(YEAR(B23),12,31)-'Arkusz1 (2)'!B23)/366))),IF(F24=1,(1+('Symulacja Pożyczka'!$B$7+4%)*((('Arkusz1 (2)'!B24-DATE(YEAR(B24),1,1)+1)/366)+((DATE(YEAR(B23),12,31)-'Arkusz1 (2)'!B23)/365))),0))</f>
        <v>0</v>
      </c>
      <c r="H24">
        <f t="shared" ca="1" si="2"/>
        <v>0</v>
      </c>
      <c r="I24">
        <f t="shared" ca="1" si="3"/>
        <v>1.0085479452054795</v>
      </c>
      <c r="J24">
        <f t="shared" ca="1" si="4"/>
        <v>1.0085479452054795</v>
      </c>
      <c r="K24">
        <f ca="1">PRODUCT($J$3:J24)</f>
        <v>1.2042215944353318</v>
      </c>
      <c r="L24">
        <f t="shared" ca="1" si="5"/>
        <v>0.83041194795124662</v>
      </c>
      <c r="M24">
        <f ca="1">SUM($L$3:L24)</f>
        <v>20.033474598229621</v>
      </c>
      <c r="O24">
        <f ca="1">(Q23*'Arkusz1 (2)'!J24)-Q23</f>
        <v>9327.535968279466</v>
      </c>
      <c r="P24" s="16">
        <f t="shared" ca="1" si="6"/>
        <v>7133.7455800899988</v>
      </c>
      <c r="Q24" s="17">
        <f t="shared" ca="1" si="7"/>
        <v>1084068.3789141327</v>
      </c>
    </row>
    <row r="25" spans="1:17" x14ac:dyDescent="0.35">
      <c r="A25">
        <v>23</v>
      </c>
      <c r="B25" s="14">
        <f t="shared" ca="1" si="8"/>
        <v>46769</v>
      </c>
      <c r="C25" s="15">
        <f ca="1">(1+('Symulacja Pożyczka'!$B$7+4%)*('Arkusz1 (2)'!B25-'Arkusz1 (2)'!B24)/365)</f>
        <v>1.0088328767123287</v>
      </c>
      <c r="D25" s="15">
        <f ca="1">(1+('Symulacja Pożyczka'!$B$7+4%)*('Arkusz1 (2)'!B25-'Arkusz1 (2)'!B24)/366)</f>
        <v>1.0088087431693988</v>
      </c>
      <c r="E25" s="15">
        <f t="shared" ca="1" si="0"/>
        <v>0</v>
      </c>
      <c r="F25" s="15">
        <f t="shared" ca="1" si="1"/>
        <v>1</v>
      </c>
      <c r="G25">
        <f ca="1">IF(E25=1,(1+('Symulacja Pożyczka'!$B$7+4%)*((('Arkusz1 (2)'!B25-DATE(YEAR(B25),1,1)+1)/365)+((DATE(YEAR(B24),12,31)-'Arkusz1 (2)'!B24)/366))),IF(F25=1,(1+('Symulacja Pożyczka'!$B$7+4%)*((('Arkusz1 (2)'!B25-DATE(YEAR(B25),1,1)+1)/366)+((DATE(YEAR(B24),12,31)-'Arkusz1 (2)'!B24)/365))),0))</f>
        <v>1.0088196421887865</v>
      </c>
      <c r="H25">
        <f t="shared" ca="1" si="2"/>
        <v>1</v>
      </c>
      <c r="I25">
        <f t="shared" ca="1" si="3"/>
        <v>1.0088087431693988</v>
      </c>
      <c r="J25">
        <f t="shared" ca="1" si="4"/>
        <v>1.0088196421887865</v>
      </c>
      <c r="K25">
        <f ca="1">PRODUCT($J$3:J25)</f>
        <v>1.2148423980142615</v>
      </c>
      <c r="L25">
        <f t="shared" ca="1" si="5"/>
        <v>0.82315204147843757</v>
      </c>
      <c r="M25">
        <f ca="1">SUM($L$3:L25)</f>
        <v>20.856626639708058</v>
      </c>
      <c r="O25">
        <f ca="1">(Q24*'Arkusz1 (2)'!J25)-Q24</f>
        <v>9561.0952102004085</v>
      </c>
      <c r="P25" s="16">
        <f t="shared" ca="1" si="6"/>
        <v>6900.1863381690564</v>
      </c>
      <c r="Q25" s="17">
        <f t="shared" ca="1" si="7"/>
        <v>1077168.1925759637</v>
      </c>
    </row>
    <row r="26" spans="1:17" x14ac:dyDescent="0.35">
      <c r="A26">
        <v>24</v>
      </c>
      <c r="B26" s="14">
        <f t="shared" ca="1" si="8"/>
        <v>46800</v>
      </c>
      <c r="C26" s="15">
        <f ca="1">(1+('Symulacja Pożyczka'!$B$7+4%)*('Arkusz1 (2)'!B26-'Arkusz1 (2)'!B25)/365)</f>
        <v>1.0088328767123287</v>
      </c>
      <c r="D26" s="15">
        <f ca="1">(1+('Symulacja Pożyczka'!$B$7+4%)*('Arkusz1 (2)'!B26-'Arkusz1 (2)'!B25)/366)</f>
        <v>1.0088087431693988</v>
      </c>
      <c r="E26" s="15">
        <f t="shared" ca="1" si="0"/>
        <v>0</v>
      </c>
      <c r="F26" s="15">
        <f t="shared" ca="1" si="1"/>
        <v>0</v>
      </c>
      <c r="G26">
        <f ca="1">IF(E26=1,(1+('Symulacja Pożyczka'!$B$7+4%)*((('Arkusz1 (2)'!B26-DATE(YEAR(B26),1,1)+1)/365)+((DATE(YEAR(B25),12,31)-'Arkusz1 (2)'!B25)/366))),IF(F26=1,(1+('Symulacja Pożyczka'!$B$7+4%)*((('Arkusz1 (2)'!B26-DATE(YEAR(B26),1,1)+1)/366)+((DATE(YEAR(B25),12,31)-'Arkusz1 (2)'!B25)/365))),0))</f>
        <v>0</v>
      </c>
      <c r="H26">
        <f t="shared" ca="1" si="2"/>
        <v>1</v>
      </c>
      <c r="I26">
        <f t="shared" ca="1" si="3"/>
        <v>1.0088087431693988</v>
      </c>
      <c r="J26">
        <f t="shared" ca="1" si="4"/>
        <v>1.0088087431693988</v>
      </c>
      <c r="K26">
        <f ca="1">PRODUCT($J$3:J26)</f>
        <v>1.2255436326896658</v>
      </c>
      <c r="L26">
        <f t="shared" ca="1" si="5"/>
        <v>0.81596442046320983</v>
      </c>
      <c r="M26">
        <f ca="1">SUM($L$3:L26)</f>
        <v>21.672591060171268</v>
      </c>
      <c r="O26">
        <f ca="1">(Q25*'Arkusz1 (2)'!J26)-Q25</f>
        <v>9488.49795864732</v>
      </c>
      <c r="P26" s="16">
        <f t="shared" ca="1" si="6"/>
        <v>6972.7835897221448</v>
      </c>
      <c r="Q26" s="17">
        <f t="shared" ca="1" si="7"/>
        <v>1070195.4089862416</v>
      </c>
    </row>
    <row r="27" spans="1:17" x14ac:dyDescent="0.35">
      <c r="A27">
        <v>25</v>
      </c>
      <c r="B27" s="14">
        <f t="shared" ca="1" si="8"/>
        <v>46829</v>
      </c>
      <c r="C27" s="15">
        <f ca="1">(1+('Symulacja Pożyczka'!$B$7+4%)*('Arkusz1 (2)'!B27-'Arkusz1 (2)'!B26)/365)</f>
        <v>1.0082630136986301</v>
      </c>
      <c r="D27" s="15">
        <f ca="1">(1+('Symulacja Pożyczka'!$B$7+4%)*('Arkusz1 (2)'!B27-'Arkusz1 (2)'!B26)/366)</f>
        <v>1.0082404371584699</v>
      </c>
      <c r="E27" s="15">
        <f t="shared" ca="1" si="0"/>
        <v>0</v>
      </c>
      <c r="F27" s="15">
        <f t="shared" ca="1" si="1"/>
        <v>0</v>
      </c>
      <c r="G27">
        <f ca="1">IF(E27=1,(1+('Symulacja Pożyczka'!$B$7+4%)*((('Arkusz1 (2)'!B27-DATE(YEAR(B27),1,1)+1)/365)+((DATE(YEAR(B26),12,31)-'Arkusz1 (2)'!B26)/366))),IF(F27=1,(1+('Symulacja Pożyczka'!$B$7+4%)*((('Arkusz1 (2)'!B27-DATE(YEAR(B27),1,1)+1)/366)+((DATE(YEAR(B26),12,31)-'Arkusz1 (2)'!B26)/365))),0))</f>
        <v>0</v>
      </c>
      <c r="H27">
        <f t="shared" ca="1" si="2"/>
        <v>1</v>
      </c>
      <c r="I27">
        <f t="shared" ca="1" si="3"/>
        <v>1.0082404371584699</v>
      </c>
      <c r="J27">
        <f t="shared" ca="1" si="4"/>
        <v>1.0082404371584699</v>
      </c>
      <c r="K27">
        <f ca="1">PRODUCT($J$3:J27)</f>
        <v>1.2356426479798079</v>
      </c>
      <c r="L27">
        <f t="shared" ca="1" si="5"/>
        <v>0.80929547198369389</v>
      </c>
      <c r="M27">
        <f ca="1">SUM($L$3:L27)</f>
        <v>22.481886532154963</v>
      </c>
      <c r="O27">
        <f ca="1">(Q26*'Arkusz1 (2)'!J27)-Q26</f>
        <v>8818.8780150341336</v>
      </c>
      <c r="P27" s="16">
        <f t="shared" ca="1" si="6"/>
        <v>7642.4035333353313</v>
      </c>
      <c r="Q27" s="17">
        <f t="shared" ca="1" si="7"/>
        <v>1062553.0054529062</v>
      </c>
    </row>
    <row r="28" spans="1:17" x14ac:dyDescent="0.35">
      <c r="A28">
        <v>26</v>
      </c>
      <c r="B28" s="14">
        <f t="shared" ca="1" si="8"/>
        <v>46860</v>
      </c>
      <c r="C28" s="15">
        <f ca="1">(1+('Symulacja Pożyczka'!$B$7+4%)*('Arkusz1 (2)'!B28-'Arkusz1 (2)'!B27)/365)</f>
        <v>1.0088328767123287</v>
      </c>
      <c r="D28" s="15">
        <f ca="1">(1+('Symulacja Pożyczka'!$B$7+4%)*('Arkusz1 (2)'!B28-'Arkusz1 (2)'!B27)/366)</f>
        <v>1.0088087431693988</v>
      </c>
      <c r="E28" s="15">
        <f t="shared" ca="1" si="0"/>
        <v>0</v>
      </c>
      <c r="F28" s="15">
        <f t="shared" ca="1" si="1"/>
        <v>0</v>
      </c>
      <c r="G28">
        <f ca="1">IF(E28=1,(1+('Symulacja Pożyczka'!$B$7+4%)*((('Arkusz1 (2)'!B28-DATE(YEAR(B28),1,1)+1)/365)+((DATE(YEAR(B27),12,31)-'Arkusz1 (2)'!B27)/366))),IF(F28=1,(1+('Symulacja Pożyczka'!$B$7+4%)*((('Arkusz1 (2)'!B28-DATE(YEAR(B28),1,1)+1)/366)+((DATE(YEAR(B27),12,31)-'Arkusz1 (2)'!B27)/365))),0))</f>
        <v>0</v>
      </c>
      <c r="H28">
        <f t="shared" ca="1" si="2"/>
        <v>1</v>
      </c>
      <c r="I28">
        <f t="shared" ca="1" si="3"/>
        <v>1.0088087431693988</v>
      </c>
      <c r="J28">
        <f t="shared" ca="1" si="4"/>
        <v>1.0088087431693988</v>
      </c>
      <c r="K28">
        <f ca="1">PRODUCT($J$3:J28)</f>
        <v>1.2465271067150179</v>
      </c>
      <c r="L28">
        <f t="shared" ca="1" si="5"/>
        <v>0.80222884413264584</v>
      </c>
      <c r="M28">
        <f ca="1">SUM($L$3:L28)</f>
        <v>23.284115376287609</v>
      </c>
      <c r="O28">
        <f ca="1">(Q27*'Arkusz1 (2)'!J28)-Q27</f>
        <v>9359.7565289074555</v>
      </c>
      <c r="P28" s="16">
        <f t="shared" ca="1" si="6"/>
        <v>7101.5250194620094</v>
      </c>
      <c r="Q28" s="17">
        <f t="shared" ca="1" si="7"/>
        <v>1055451.4804334443</v>
      </c>
    </row>
    <row r="29" spans="1:17" x14ac:dyDescent="0.35">
      <c r="A29">
        <v>27</v>
      </c>
      <c r="B29" s="14">
        <f t="shared" ca="1" si="8"/>
        <v>46890</v>
      </c>
      <c r="C29" s="15">
        <f ca="1">(1+('Symulacja Pożyczka'!$B$7+4%)*('Arkusz1 (2)'!B29-'Arkusz1 (2)'!B28)/365)</f>
        <v>1.0085479452054795</v>
      </c>
      <c r="D29" s="15">
        <f ca="1">(1+('Symulacja Pożyczka'!$B$7+4%)*('Arkusz1 (2)'!B29-'Arkusz1 (2)'!B28)/366)</f>
        <v>1.0085245901639344</v>
      </c>
      <c r="E29" s="15">
        <f t="shared" ca="1" si="0"/>
        <v>0</v>
      </c>
      <c r="F29" s="15">
        <f t="shared" ca="1" si="1"/>
        <v>0</v>
      </c>
      <c r="G29">
        <f ca="1">IF(E29=1,(1+('Symulacja Pożyczka'!$B$7+4%)*((('Arkusz1 (2)'!B29-DATE(YEAR(B29),1,1)+1)/365)+((DATE(YEAR(B28),12,31)-'Arkusz1 (2)'!B28)/366))),IF(F29=1,(1+('Symulacja Pożyczka'!$B$7+4%)*((('Arkusz1 (2)'!B29-DATE(YEAR(B29),1,1)+1)/366)+((DATE(YEAR(B28),12,31)-'Arkusz1 (2)'!B28)/365))),0))</f>
        <v>0</v>
      </c>
      <c r="H29">
        <f t="shared" ca="1" si="2"/>
        <v>1</v>
      </c>
      <c r="I29">
        <f t="shared" ca="1" si="3"/>
        <v>1.0085245901639344</v>
      </c>
      <c r="J29">
        <f t="shared" ca="1" si="4"/>
        <v>1.0085245901639344</v>
      </c>
      <c r="K29">
        <f ca="1">PRODUCT($J$3:J29)</f>
        <v>1.2571532394279983</v>
      </c>
      <c r="L29">
        <f t="shared" ca="1" si="5"/>
        <v>0.79544797613932694</v>
      </c>
      <c r="M29">
        <f ca="1">SUM($L$3:L29)</f>
        <v>24.079563352426938</v>
      </c>
      <c r="O29">
        <f ca="1">(Q28*'Arkusz1 (2)'!J29)-Q28</f>
        <v>8997.2913086127955</v>
      </c>
      <c r="P29" s="16">
        <f t="shared" ca="1" si="6"/>
        <v>7463.9902397566693</v>
      </c>
      <c r="Q29" s="17">
        <f t="shared" ca="1" si="7"/>
        <v>1047987.4901936876</v>
      </c>
    </row>
    <row r="30" spans="1:17" x14ac:dyDescent="0.35">
      <c r="A30">
        <v>28</v>
      </c>
      <c r="B30" s="14">
        <f t="shared" ca="1" si="8"/>
        <v>46921</v>
      </c>
      <c r="C30" s="15">
        <f ca="1">(1+('Symulacja Pożyczka'!$B$7+4%)*('Arkusz1 (2)'!B30-'Arkusz1 (2)'!B29)/365)</f>
        <v>1.0088328767123287</v>
      </c>
      <c r="D30" s="15">
        <f ca="1">(1+('Symulacja Pożyczka'!$B$7+4%)*('Arkusz1 (2)'!B30-'Arkusz1 (2)'!B29)/366)</f>
        <v>1.0088087431693988</v>
      </c>
      <c r="E30" s="15">
        <f t="shared" ca="1" si="0"/>
        <v>0</v>
      </c>
      <c r="F30" s="15">
        <f t="shared" ca="1" si="1"/>
        <v>0</v>
      </c>
      <c r="G30">
        <f ca="1">IF(E30=1,(1+('Symulacja Pożyczka'!$B$7+4%)*((('Arkusz1 (2)'!B30-DATE(YEAR(B30),1,1)+1)/365)+((DATE(YEAR(B29),12,31)-'Arkusz1 (2)'!B29)/366))),IF(F30=1,(1+('Symulacja Pożyczka'!$B$7+4%)*((('Arkusz1 (2)'!B30-DATE(YEAR(B30),1,1)+1)/366)+((DATE(YEAR(B29),12,31)-'Arkusz1 (2)'!B29)/365))),0))</f>
        <v>0</v>
      </c>
      <c r="H30">
        <f t="shared" ca="1" si="2"/>
        <v>1</v>
      </c>
      <c r="I30">
        <f t="shared" ca="1" si="3"/>
        <v>1.0088087431693988</v>
      </c>
      <c r="J30">
        <f t="shared" ca="1" si="4"/>
        <v>1.0088087431693988</v>
      </c>
      <c r="K30">
        <f ca="1">PRODUCT($J$3:J30)</f>
        <v>1.2682271794386972</v>
      </c>
      <c r="L30">
        <f t="shared" ca="1" si="5"/>
        <v>0.78850226222291542</v>
      </c>
      <c r="M30">
        <f ca="1">SUM($L$3:L30)</f>
        <v>24.868065614649854</v>
      </c>
      <c r="O30">
        <f ca="1">(Q29*'Arkusz1 (2)'!J30)-Q29</f>
        <v>9231.4526458589826</v>
      </c>
      <c r="P30" s="16">
        <f t="shared" ca="1" si="6"/>
        <v>7229.8289025104823</v>
      </c>
      <c r="Q30" s="17">
        <f t="shared" ca="1" si="7"/>
        <v>1040757.6612911772</v>
      </c>
    </row>
    <row r="31" spans="1:17" x14ac:dyDescent="0.35">
      <c r="A31">
        <v>29</v>
      </c>
      <c r="B31" s="14">
        <f t="shared" ca="1" si="8"/>
        <v>46951</v>
      </c>
      <c r="C31" s="15">
        <f ca="1">(1+('Symulacja Pożyczka'!$B$7+4%)*('Arkusz1 (2)'!B31-'Arkusz1 (2)'!B30)/365)</f>
        <v>1.0085479452054795</v>
      </c>
      <c r="D31" s="15">
        <f ca="1">(1+('Symulacja Pożyczka'!$B$7+4%)*('Arkusz1 (2)'!B31-'Arkusz1 (2)'!B30)/366)</f>
        <v>1.0085245901639344</v>
      </c>
      <c r="E31" s="15">
        <f t="shared" ca="1" si="0"/>
        <v>0</v>
      </c>
      <c r="F31" s="15">
        <f t="shared" ca="1" si="1"/>
        <v>0</v>
      </c>
      <c r="G31">
        <f ca="1">IF(E31=1,(1+('Symulacja Pożyczka'!$B$7+4%)*((('Arkusz1 (2)'!B31-DATE(YEAR(B31),1,1)+1)/365)+((DATE(YEAR(B30),12,31)-'Arkusz1 (2)'!B30)/366))),IF(F31=1,(1+('Symulacja Pożyczka'!$B$7+4%)*((('Arkusz1 (2)'!B31-DATE(YEAR(B31),1,1)+1)/366)+((DATE(YEAR(B30),12,31)-'Arkusz1 (2)'!B30)/365))),0))</f>
        <v>0</v>
      </c>
      <c r="H31">
        <f t="shared" ca="1" si="2"/>
        <v>1</v>
      </c>
      <c r="I31">
        <f t="shared" ca="1" si="3"/>
        <v>1.0085245901639344</v>
      </c>
      <c r="J31">
        <f t="shared" ca="1" si="4"/>
        <v>1.0085245901639344</v>
      </c>
      <c r="K31">
        <f ca="1">PRODUCT($J$3:J31)</f>
        <v>1.2790382963781746</v>
      </c>
      <c r="L31">
        <f t="shared" ca="1" si="5"/>
        <v>0.78183741865406109</v>
      </c>
      <c r="M31">
        <f ca="1">SUM($L$3:L31)</f>
        <v>25.649903033303914</v>
      </c>
      <c r="O31">
        <f ca="1">(Q30*'Arkusz1 (2)'!J31)-Q30</f>
        <v>8872.032522482099</v>
      </c>
      <c r="P31" s="16">
        <f t="shared" ca="1" si="6"/>
        <v>7589.2490258873659</v>
      </c>
      <c r="Q31" s="17">
        <f t="shared" ca="1" si="7"/>
        <v>1033168.4122652898</v>
      </c>
    </row>
    <row r="32" spans="1:17" x14ac:dyDescent="0.35">
      <c r="A32">
        <v>30</v>
      </c>
      <c r="B32" s="14">
        <f t="shared" ca="1" si="8"/>
        <v>46982</v>
      </c>
      <c r="C32" s="15">
        <f ca="1">(1+('Symulacja Pożyczka'!$B$7+4%)*('Arkusz1 (2)'!B32-'Arkusz1 (2)'!B31)/365)</f>
        <v>1.0088328767123287</v>
      </c>
      <c r="D32" s="15">
        <f ca="1">(1+('Symulacja Pożyczka'!$B$7+4%)*('Arkusz1 (2)'!B32-'Arkusz1 (2)'!B31)/366)</f>
        <v>1.0088087431693988</v>
      </c>
      <c r="E32" s="15">
        <f t="shared" ca="1" si="0"/>
        <v>0</v>
      </c>
      <c r="F32" s="15">
        <f t="shared" ca="1" si="1"/>
        <v>0</v>
      </c>
      <c r="G32">
        <f ca="1">IF(E32=1,(1+('Symulacja Pożyczka'!$B$7+4%)*((('Arkusz1 (2)'!B32-DATE(YEAR(B32),1,1)+1)/365)+((DATE(YEAR(B31),12,31)-'Arkusz1 (2)'!B31)/366))),IF(F32=1,(1+('Symulacja Pożyczka'!$B$7+4%)*((('Arkusz1 (2)'!B32-DATE(YEAR(B32),1,1)+1)/366)+((DATE(YEAR(B31),12,31)-'Arkusz1 (2)'!B31)/365))),0))</f>
        <v>0</v>
      </c>
      <c r="H32">
        <f t="shared" ca="1" si="2"/>
        <v>1</v>
      </c>
      <c r="I32">
        <f t="shared" ca="1" si="3"/>
        <v>1.0088087431693988</v>
      </c>
      <c r="J32">
        <f t="shared" ca="1" si="4"/>
        <v>1.0088087431693988</v>
      </c>
      <c r="K32">
        <f ca="1">PRODUCT($J$3:J32)</f>
        <v>1.2903050162347953</v>
      </c>
      <c r="L32">
        <f t="shared" ca="1" si="5"/>
        <v>0.77501054976758388</v>
      </c>
      <c r="M32">
        <f ca="1">SUM($L$3:L32)</f>
        <v>26.424913583071497</v>
      </c>
      <c r="O32">
        <f ca="1">(Q31*'Arkusz1 (2)'!J32)-Q31</f>
        <v>9100.9151943805628</v>
      </c>
      <c r="P32" s="16">
        <f t="shared" ca="1" si="6"/>
        <v>7360.3663539889021</v>
      </c>
      <c r="Q32" s="17">
        <f t="shared" ca="1" si="7"/>
        <v>1025808.0459113009</v>
      </c>
    </row>
    <row r="33" spans="1:17" x14ac:dyDescent="0.35">
      <c r="A33">
        <v>31</v>
      </c>
      <c r="B33" s="14">
        <f t="shared" ca="1" si="8"/>
        <v>47013</v>
      </c>
      <c r="C33" s="15">
        <f ca="1">(1+('Symulacja Pożyczka'!$B$7+4%)*('Arkusz1 (2)'!B33-'Arkusz1 (2)'!B32)/365)</f>
        <v>1.0088328767123287</v>
      </c>
      <c r="D33" s="15">
        <f ca="1">(1+('Symulacja Pożyczka'!$B$7+4%)*('Arkusz1 (2)'!B33-'Arkusz1 (2)'!B32)/366)</f>
        <v>1.0088087431693988</v>
      </c>
      <c r="E33" s="15">
        <f t="shared" ca="1" si="0"/>
        <v>0</v>
      </c>
      <c r="F33" s="15">
        <f t="shared" ca="1" si="1"/>
        <v>0</v>
      </c>
      <c r="G33">
        <f ca="1">IF(E33=1,(1+('Symulacja Pożyczka'!$B$7+4%)*((('Arkusz1 (2)'!B33-DATE(YEAR(B33),1,1)+1)/365)+((DATE(YEAR(B32),12,31)-'Arkusz1 (2)'!B32)/366))),IF(F33=1,(1+('Symulacja Pożyczka'!$B$7+4%)*((('Arkusz1 (2)'!B33-DATE(YEAR(B33),1,1)+1)/366)+((DATE(YEAR(B32),12,31)-'Arkusz1 (2)'!B32)/365))),0))</f>
        <v>0</v>
      </c>
      <c r="H33">
        <f t="shared" ca="1" si="2"/>
        <v>1</v>
      </c>
      <c r="I33">
        <f t="shared" ca="1" si="3"/>
        <v>1.0088087431693988</v>
      </c>
      <c r="J33">
        <f t="shared" ca="1" si="4"/>
        <v>1.0088087431693988</v>
      </c>
      <c r="K33">
        <f ca="1">PRODUCT($J$3:J33)</f>
        <v>1.3016709817329946</v>
      </c>
      <c r="L33">
        <f t="shared" ca="1" si="5"/>
        <v>0.76824329191746943</v>
      </c>
      <c r="M33">
        <f ca="1">SUM($L$3:L33)</f>
        <v>27.193156874988965</v>
      </c>
      <c r="O33">
        <f ca="1">(Q32*'Arkusz1 (2)'!J33)-Q32</f>
        <v>9036.079617535579</v>
      </c>
      <c r="P33" s="16">
        <f t="shared" ca="1" si="6"/>
        <v>7425.2019308338859</v>
      </c>
      <c r="Q33" s="17">
        <f t="shared" ca="1" si="7"/>
        <v>1018382.8439804671</v>
      </c>
    </row>
    <row r="34" spans="1:17" x14ac:dyDescent="0.35">
      <c r="A34">
        <v>32</v>
      </c>
      <c r="B34" s="14">
        <f t="shared" ca="1" si="8"/>
        <v>47043</v>
      </c>
      <c r="C34" s="15">
        <f ca="1">(1+('Symulacja Pożyczka'!$B$7+4%)*('Arkusz1 (2)'!B34-'Arkusz1 (2)'!B33)/365)</f>
        <v>1.0085479452054795</v>
      </c>
      <c r="D34" s="15">
        <f ca="1">(1+('Symulacja Pożyczka'!$B$7+4%)*('Arkusz1 (2)'!B34-'Arkusz1 (2)'!B33)/366)</f>
        <v>1.0085245901639344</v>
      </c>
      <c r="E34" s="15">
        <f t="shared" ca="1" si="0"/>
        <v>0</v>
      </c>
      <c r="F34" s="15">
        <f t="shared" ca="1" si="1"/>
        <v>0</v>
      </c>
      <c r="G34">
        <f ca="1">IF(E34=1,(1+('Symulacja Pożyczka'!$B$7+4%)*((('Arkusz1 (2)'!B34-DATE(YEAR(B34),1,1)+1)/365)+((DATE(YEAR(B33),12,31)-'Arkusz1 (2)'!B33)/366))),IF(F34=1,(1+('Symulacja Pożyczka'!$B$7+4%)*((('Arkusz1 (2)'!B34-DATE(YEAR(B34),1,1)+1)/366)+((DATE(YEAR(B33),12,31)-'Arkusz1 (2)'!B33)/365))),0))</f>
        <v>0</v>
      </c>
      <c r="H34">
        <f t="shared" ca="1" si="2"/>
        <v>1</v>
      </c>
      <c r="I34">
        <f t="shared" ca="1" si="3"/>
        <v>1.0085245901639344</v>
      </c>
      <c r="J34">
        <f t="shared" ca="1" si="4"/>
        <v>1.0085245901639344</v>
      </c>
      <c r="K34">
        <f ca="1">PRODUCT($J$3:J34)</f>
        <v>1.3127671933805545</v>
      </c>
      <c r="L34">
        <f t="shared" ca="1" si="5"/>
        <v>0.76174968801959753</v>
      </c>
      <c r="M34">
        <f ca="1">SUM($L$3:L34)</f>
        <v>27.954906563008564</v>
      </c>
      <c r="O34">
        <f ca="1">(Q33*'Arkusz1 (2)'!J34)-Q33</f>
        <v>8681.2963749154005</v>
      </c>
      <c r="P34" s="16">
        <f t="shared" ca="1" si="6"/>
        <v>7779.9851734540644</v>
      </c>
      <c r="Q34" s="17">
        <f t="shared" ca="1" si="7"/>
        <v>1010602.858807013</v>
      </c>
    </row>
    <row r="35" spans="1:17" x14ac:dyDescent="0.35">
      <c r="A35">
        <v>33</v>
      </c>
      <c r="B35" s="14">
        <f t="shared" ca="1" si="8"/>
        <v>47074</v>
      </c>
      <c r="C35" s="15">
        <f ca="1">(1+('Symulacja Pożyczka'!$B$7+4%)*('Arkusz1 (2)'!B35-'Arkusz1 (2)'!B34)/365)</f>
        <v>1.0088328767123287</v>
      </c>
      <c r="D35" s="15">
        <f ca="1">(1+('Symulacja Pożyczka'!$B$7+4%)*('Arkusz1 (2)'!B35-'Arkusz1 (2)'!B34)/366)</f>
        <v>1.0088087431693988</v>
      </c>
      <c r="E35" s="15">
        <f t="shared" ca="1" si="0"/>
        <v>0</v>
      </c>
      <c r="F35" s="15">
        <f t="shared" ca="1" si="1"/>
        <v>0</v>
      </c>
      <c r="G35">
        <f ca="1">IF(E35=1,(1+('Symulacja Pożyczka'!$B$7+4%)*((('Arkusz1 (2)'!B35-DATE(YEAR(B35),1,1)+1)/365)+((DATE(YEAR(B34),12,31)-'Arkusz1 (2)'!B34)/366))),IF(F35=1,(1+('Symulacja Pożyczka'!$B$7+4%)*((('Arkusz1 (2)'!B35-DATE(YEAR(B35),1,1)+1)/366)+((DATE(YEAR(B34),12,31)-'Arkusz1 (2)'!B34)/365))),0))</f>
        <v>0</v>
      </c>
      <c r="H35">
        <f t="shared" ca="1" si="2"/>
        <v>1</v>
      </c>
      <c r="I35">
        <f t="shared" ca="1" si="3"/>
        <v>1.0088087431693988</v>
      </c>
      <c r="J35">
        <f t="shared" ca="1" si="4"/>
        <v>1.0088087431693988</v>
      </c>
      <c r="K35">
        <f ca="1">PRODUCT($J$3:J35)</f>
        <v>1.3243310224282563</v>
      </c>
      <c r="L35">
        <f t="shared" ca="1" si="5"/>
        <v>0.75509822171682428</v>
      </c>
      <c r="M35">
        <f ca="1">SUM($L$3:L35)</f>
        <v>28.710004784725388</v>
      </c>
      <c r="O35">
        <f ca="1">(Q34*'Arkusz1 (2)'!J35)-Q34</f>
        <v>8902.1410294912057</v>
      </c>
      <c r="P35" s="16">
        <f t="shared" ca="1" si="6"/>
        <v>7559.1405188782592</v>
      </c>
      <c r="Q35" s="17">
        <f t="shared" ca="1" si="7"/>
        <v>1003043.7182881348</v>
      </c>
    </row>
    <row r="36" spans="1:17" x14ac:dyDescent="0.35">
      <c r="A36">
        <v>34</v>
      </c>
      <c r="B36" s="14">
        <f t="shared" ca="1" si="8"/>
        <v>47104</v>
      </c>
      <c r="C36" s="15">
        <f ca="1">(1+('Symulacja Pożyczka'!$B$7+4%)*('Arkusz1 (2)'!B36-'Arkusz1 (2)'!B35)/365)</f>
        <v>1.0085479452054795</v>
      </c>
      <c r="D36" s="15">
        <f ca="1">(1+('Symulacja Pożyczka'!$B$7+4%)*('Arkusz1 (2)'!B36-'Arkusz1 (2)'!B35)/366)</f>
        <v>1.0085245901639344</v>
      </c>
      <c r="E36" s="15">
        <f t="shared" ca="1" si="0"/>
        <v>0</v>
      </c>
      <c r="F36" s="15">
        <f t="shared" ca="1" si="1"/>
        <v>0</v>
      </c>
      <c r="G36">
        <f ca="1">IF(E36=1,(1+('Symulacja Pożyczka'!$B$7+4%)*((('Arkusz1 (2)'!B36-DATE(YEAR(B36),1,1)+1)/365)+((DATE(YEAR(B35),12,31)-'Arkusz1 (2)'!B35)/366))),IF(F36=1,(1+('Symulacja Pożyczka'!$B$7+4%)*((('Arkusz1 (2)'!B36-DATE(YEAR(B36),1,1)+1)/366)+((DATE(YEAR(B35),12,31)-'Arkusz1 (2)'!B35)/365))),0))</f>
        <v>0</v>
      </c>
      <c r="H36">
        <f t="shared" ca="1" si="2"/>
        <v>1</v>
      </c>
      <c r="I36">
        <f t="shared" ca="1" si="3"/>
        <v>1.0085245901639344</v>
      </c>
      <c r="J36">
        <f t="shared" ca="1" si="4"/>
        <v>1.0085245901639344</v>
      </c>
      <c r="K36">
        <f ca="1">PRODUCT($J$3:J36)</f>
        <v>1.3356204016358413</v>
      </c>
      <c r="L36">
        <f t="shared" ca="1" si="5"/>
        <v>0.74871572699490052</v>
      </c>
      <c r="M36">
        <f ca="1">SUM($L$3:L36)</f>
        <v>29.458720511720287</v>
      </c>
      <c r="O36">
        <f ca="1">(Q35*'Arkusz1 (2)'!J36)-Q35</f>
        <v>8550.5366149152396</v>
      </c>
      <c r="P36" s="16">
        <f t="shared" ca="1" si="6"/>
        <v>7910.7449334542252</v>
      </c>
      <c r="Q36" s="17">
        <f t="shared" ca="1" si="7"/>
        <v>995132.97335468058</v>
      </c>
    </row>
    <row r="37" spans="1:17" x14ac:dyDescent="0.35">
      <c r="A37">
        <v>35</v>
      </c>
      <c r="B37" s="14">
        <f t="shared" ca="1" si="8"/>
        <v>47135</v>
      </c>
      <c r="C37" s="15">
        <f ca="1">(1+('Symulacja Pożyczka'!$B$7+4%)*('Arkusz1 (2)'!B37-'Arkusz1 (2)'!B36)/365)</f>
        <v>1.0088328767123287</v>
      </c>
      <c r="D37" s="15">
        <f ca="1">(1+('Symulacja Pożyczka'!$B$7+4%)*('Arkusz1 (2)'!B37-'Arkusz1 (2)'!B36)/366)</f>
        <v>1.0088087431693988</v>
      </c>
      <c r="E37" s="15">
        <f t="shared" ca="1" si="0"/>
        <v>1</v>
      </c>
      <c r="F37" s="15">
        <f t="shared" ca="1" si="1"/>
        <v>0</v>
      </c>
      <c r="G37">
        <f ca="1">IF(E37=1,(1+('Symulacja Pożyczka'!$B$7+4%)*((('Arkusz1 (2)'!B37-DATE(YEAR(B37),1,1)+1)/365)+((DATE(YEAR(B36),12,31)-'Arkusz1 (2)'!B36)/366))),IF(F37=1,(1+('Symulacja Pożyczka'!$B$7+4%)*((('Arkusz1 (2)'!B37-DATE(YEAR(B37),1,1)+1)/366)+((DATE(YEAR(B36),12,31)-'Arkusz1 (2)'!B36)/365))),0))</f>
        <v>1.008821977692941</v>
      </c>
      <c r="H37">
        <f t="shared" ca="1" si="2"/>
        <v>0</v>
      </c>
      <c r="I37">
        <f t="shared" ca="1" si="3"/>
        <v>1.0088328767123287</v>
      </c>
      <c r="J37">
        <f t="shared" ca="1" si="4"/>
        <v>1.008821977692941</v>
      </c>
      <c r="K37">
        <f ca="1">PRODUCT($J$3:J37)</f>
        <v>1.3474032150253097</v>
      </c>
      <c r="L37">
        <f t="shared" ca="1" si="5"/>
        <v>0.74216833450350339</v>
      </c>
      <c r="M37">
        <f ca="1">SUM($L$3:L37)</f>
        <v>30.200888846223791</v>
      </c>
      <c r="O37">
        <f ca="1">(Q36*'Arkusz1 (2)'!J37)-Q36</f>
        <v>8779.0408924450167</v>
      </c>
      <c r="P37" s="16">
        <f t="shared" ca="1" si="6"/>
        <v>7682.2406559244482</v>
      </c>
      <c r="Q37" s="17">
        <f t="shared" ca="1" si="7"/>
        <v>987450.73269875615</v>
      </c>
    </row>
    <row r="38" spans="1:17" x14ac:dyDescent="0.35">
      <c r="A38">
        <v>36</v>
      </c>
      <c r="B38" s="14">
        <f t="shared" ca="1" si="8"/>
        <v>47166</v>
      </c>
      <c r="C38" s="15">
        <f ca="1">(1+('Symulacja Pożyczka'!$B$7+4%)*('Arkusz1 (2)'!B38-'Arkusz1 (2)'!B37)/365)</f>
        <v>1.0088328767123287</v>
      </c>
      <c r="D38" s="15">
        <f ca="1">(1+('Symulacja Pożyczka'!$B$7+4%)*('Arkusz1 (2)'!B38-'Arkusz1 (2)'!B37)/366)</f>
        <v>1.0088087431693988</v>
      </c>
      <c r="E38" s="15">
        <f t="shared" ca="1" si="0"/>
        <v>0</v>
      </c>
      <c r="F38" s="15">
        <f t="shared" ca="1" si="1"/>
        <v>0</v>
      </c>
      <c r="G38">
        <f ca="1">IF(E38=1,(1+('Symulacja Pożyczka'!$B$7+4%)*((('Arkusz1 (2)'!B38-DATE(YEAR(B38),1,1)+1)/365)+((DATE(YEAR(B37),12,31)-'Arkusz1 (2)'!B37)/366))),IF(F38=1,(1+('Symulacja Pożyczka'!$B$7+4%)*((('Arkusz1 (2)'!B38-DATE(YEAR(B38),1,1)+1)/366)+((DATE(YEAR(B37),12,31)-'Arkusz1 (2)'!B37)/365))),0))</f>
        <v>0</v>
      </c>
      <c r="H38">
        <f t="shared" ca="1" si="2"/>
        <v>0</v>
      </c>
      <c r="I38">
        <f t="shared" ca="1" si="3"/>
        <v>1.0088328767123287</v>
      </c>
      <c r="J38">
        <f t="shared" ca="1" si="4"/>
        <v>1.0088328767123287</v>
      </c>
      <c r="K38">
        <f ca="1">PRODUCT($J$3:J38)</f>
        <v>1.3593046615054236</v>
      </c>
      <c r="L38">
        <f t="shared" ca="1" si="5"/>
        <v>0.73567024988533813</v>
      </c>
      <c r="M38">
        <f ca="1">SUM($L$3:L38)</f>
        <v>30.936559096109129</v>
      </c>
      <c r="O38">
        <f ca="1">(Q37*'Arkusz1 (2)'!J38)-Q37</f>
        <v>8722.0305814266903</v>
      </c>
      <c r="P38" s="16">
        <f t="shared" ca="1" si="6"/>
        <v>7739.2509669427745</v>
      </c>
      <c r="Q38" s="17">
        <f t="shared" ca="1" si="7"/>
        <v>979711.4817318134</v>
      </c>
    </row>
    <row r="39" spans="1:17" x14ac:dyDescent="0.35">
      <c r="A39">
        <v>37</v>
      </c>
      <c r="B39" s="14">
        <f t="shared" ca="1" si="8"/>
        <v>47194</v>
      </c>
      <c r="C39" s="15">
        <f ca="1">(1+('Symulacja Pożyczka'!$B$7+4%)*('Arkusz1 (2)'!B39-'Arkusz1 (2)'!B38)/365)</f>
        <v>1.0079780821917808</v>
      </c>
      <c r="D39" s="15">
        <f ca="1">(1+('Symulacja Pożyczka'!$B$7+4%)*('Arkusz1 (2)'!B39-'Arkusz1 (2)'!B38)/366)</f>
        <v>1.0079562841530054</v>
      </c>
      <c r="E39" s="15">
        <f t="shared" ca="1" si="0"/>
        <v>0</v>
      </c>
      <c r="F39" s="15">
        <f t="shared" ca="1" si="1"/>
        <v>0</v>
      </c>
      <c r="G39">
        <f ca="1">IF(E39=1,(1+('Symulacja Pożyczka'!$B$7+4%)*((('Arkusz1 (2)'!B39-DATE(YEAR(B39),1,1)+1)/365)+((DATE(YEAR(B38),12,31)-'Arkusz1 (2)'!B38)/366))),IF(F39=1,(1+('Symulacja Pożyczka'!$B$7+4%)*((('Arkusz1 (2)'!B39-DATE(YEAR(B39),1,1)+1)/366)+((DATE(YEAR(B38),12,31)-'Arkusz1 (2)'!B38)/365))),0))</f>
        <v>0</v>
      </c>
      <c r="H39">
        <f t="shared" ca="1" si="2"/>
        <v>0</v>
      </c>
      <c r="I39">
        <f t="shared" ca="1" si="3"/>
        <v>1.0079780821917808</v>
      </c>
      <c r="J39">
        <f t="shared" ca="1" si="4"/>
        <v>1.0079780821917808</v>
      </c>
      <c r="K39">
        <f ca="1">PRODUCT($J$3:J39)</f>
        <v>1.3701493058185845</v>
      </c>
      <c r="L39">
        <f t="shared" ca="1" si="5"/>
        <v>0.72984746680768353</v>
      </c>
      <c r="M39">
        <f ca="1">SUM($L$3:L39)</f>
        <v>31.666406562916812</v>
      </c>
      <c r="O39">
        <f ca="1">(Q38*'Arkusz1 (2)'!J39)-Q38</f>
        <v>7816.2187254877063</v>
      </c>
      <c r="P39" s="16">
        <f t="shared" ca="1" si="6"/>
        <v>8645.0628228817586</v>
      </c>
      <c r="Q39" s="17">
        <f t="shared" ca="1" si="7"/>
        <v>971066.41890893166</v>
      </c>
    </row>
    <row r="40" spans="1:17" x14ac:dyDescent="0.35">
      <c r="A40">
        <v>38</v>
      </c>
      <c r="B40" s="14">
        <f t="shared" ca="1" si="8"/>
        <v>47225</v>
      </c>
      <c r="C40" s="15">
        <f ca="1">(1+('Symulacja Pożyczka'!$B$7+4%)*('Arkusz1 (2)'!B40-'Arkusz1 (2)'!B39)/365)</f>
        <v>1.0088328767123287</v>
      </c>
      <c r="D40" s="15">
        <f ca="1">(1+('Symulacja Pożyczka'!$B$7+4%)*('Arkusz1 (2)'!B40-'Arkusz1 (2)'!B39)/366)</f>
        <v>1.0088087431693988</v>
      </c>
      <c r="E40" s="15">
        <f t="shared" ca="1" si="0"/>
        <v>0</v>
      </c>
      <c r="F40" s="15">
        <f t="shared" ca="1" si="1"/>
        <v>0</v>
      </c>
      <c r="G40">
        <f ca="1">IF(E40=1,(1+('Symulacja Pożyczka'!$B$7+4%)*((('Arkusz1 (2)'!B40-DATE(YEAR(B40),1,1)+1)/365)+((DATE(YEAR(B39),12,31)-'Arkusz1 (2)'!B39)/366))),IF(F40=1,(1+('Symulacja Pożyczka'!$B$7+4%)*((('Arkusz1 (2)'!B40-DATE(YEAR(B40),1,1)+1)/366)+((DATE(YEAR(B39),12,31)-'Arkusz1 (2)'!B39)/365))),0))</f>
        <v>0</v>
      </c>
      <c r="H40">
        <f t="shared" ca="1" si="2"/>
        <v>0</v>
      </c>
      <c r="I40">
        <f t="shared" ca="1" si="3"/>
        <v>1.0088328767123287</v>
      </c>
      <c r="J40">
        <f t="shared" ca="1" si="4"/>
        <v>1.0088328767123287</v>
      </c>
      <c r="K40">
        <f ca="1">PRODUCT($J$3:J40)</f>
        <v>1.3822516657143629</v>
      </c>
      <c r="L40">
        <f t="shared" ca="1" si="5"/>
        <v>0.72345725804076999</v>
      </c>
      <c r="M40">
        <f ca="1">SUM($L$3:L40)</f>
        <v>32.389863820957579</v>
      </c>
      <c r="O40">
        <f ca="1">(Q39*'Arkusz1 (2)'!J40)-Q39</f>
        <v>8577.3099577050889</v>
      </c>
      <c r="P40" s="16">
        <f t="shared" ca="1" si="6"/>
        <v>7883.971590664376</v>
      </c>
      <c r="Q40" s="17">
        <f t="shared" ca="1" si="7"/>
        <v>963182.44731826731</v>
      </c>
    </row>
    <row r="41" spans="1:17" x14ac:dyDescent="0.35">
      <c r="A41">
        <v>39</v>
      </c>
      <c r="B41" s="14">
        <f t="shared" ca="1" si="8"/>
        <v>47255</v>
      </c>
      <c r="C41" s="15">
        <f ca="1">(1+('Symulacja Pożyczka'!$B$7+4%)*('Arkusz1 (2)'!B41-'Arkusz1 (2)'!B40)/365)</f>
        <v>1.0085479452054795</v>
      </c>
      <c r="D41" s="15">
        <f ca="1">(1+('Symulacja Pożyczka'!$B$7+4%)*('Arkusz1 (2)'!B41-'Arkusz1 (2)'!B40)/366)</f>
        <v>1.0085245901639344</v>
      </c>
      <c r="E41" s="15">
        <f t="shared" ca="1" si="0"/>
        <v>0</v>
      </c>
      <c r="F41" s="15">
        <f t="shared" ca="1" si="1"/>
        <v>0</v>
      </c>
      <c r="G41">
        <f ca="1">IF(E41=1,(1+('Symulacja Pożyczka'!$B$7+4%)*((('Arkusz1 (2)'!B41-DATE(YEAR(B41),1,1)+1)/365)+((DATE(YEAR(B40),12,31)-'Arkusz1 (2)'!B40)/366))),IF(F41=1,(1+('Symulacja Pożyczka'!$B$7+4%)*((('Arkusz1 (2)'!B41-DATE(YEAR(B41),1,1)+1)/366)+((DATE(YEAR(B40),12,31)-'Arkusz1 (2)'!B40)/365))),0))</f>
        <v>0</v>
      </c>
      <c r="H41">
        <f t="shared" ca="1" si="2"/>
        <v>0</v>
      </c>
      <c r="I41">
        <f t="shared" ca="1" si="3"/>
        <v>1.0085479452054795</v>
      </c>
      <c r="J41">
        <f t="shared" ca="1" si="4"/>
        <v>1.0085479452054795</v>
      </c>
      <c r="K41">
        <f ca="1">PRODUCT($J$3:J41)</f>
        <v>1.3940670772130721</v>
      </c>
      <c r="L41">
        <f t="shared" ca="1" si="5"/>
        <v>0.71732559813343755</v>
      </c>
      <c r="M41">
        <f ca="1">SUM($L$3:L41)</f>
        <v>33.107189419091014</v>
      </c>
      <c r="O41">
        <f ca="1">(Q40*'Arkusz1 (2)'!J41)-Q40</f>
        <v>8233.2307825562311</v>
      </c>
      <c r="P41" s="16">
        <f t="shared" ca="1" si="6"/>
        <v>8228.0507658132337</v>
      </c>
      <c r="Q41" s="17">
        <f t="shared" ca="1" si="7"/>
        <v>954954.3965524541</v>
      </c>
    </row>
    <row r="42" spans="1:17" x14ac:dyDescent="0.35">
      <c r="A42">
        <v>40</v>
      </c>
      <c r="B42" s="14">
        <f t="shared" ca="1" si="8"/>
        <v>47286</v>
      </c>
      <c r="C42" s="15">
        <f ca="1">(1+('Symulacja Pożyczka'!$B$7+4%)*('Arkusz1 (2)'!B42-'Arkusz1 (2)'!B41)/365)</f>
        <v>1.0088328767123287</v>
      </c>
      <c r="D42" s="15">
        <f ca="1">(1+('Symulacja Pożyczka'!$B$7+4%)*('Arkusz1 (2)'!B42-'Arkusz1 (2)'!B41)/366)</f>
        <v>1.0088087431693988</v>
      </c>
      <c r="E42" s="15">
        <f t="shared" ca="1" si="0"/>
        <v>0</v>
      </c>
      <c r="F42" s="15">
        <f t="shared" ca="1" si="1"/>
        <v>0</v>
      </c>
      <c r="G42">
        <f ca="1">IF(E42=1,(1+('Symulacja Pożyczka'!$B$7+4%)*((('Arkusz1 (2)'!B42-DATE(YEAR(B42),1,1)+1)/365)+((DATE(YEAR(B41),12,31)-'Arkusz1 (2)'!B41)/366))),IF(F42=1,(1+('Symulacja Pożyczka'!$B$7+4%)*((('Arkusz1 (2)'!B42-DATE(YEAR(B42),1,1)+1)/366)+((DATE(YEAR(B41),12,31)-'Arkusz1 (2)'!B41)/365))),0))</f>
        <v>0</v>
      </c>
      <c r="H42">
        <f t="shared" ca="1" si="2"/>
        <v>0</v>
      </c>
      <c r="I42">
        <f t="shared" ca="1" si="3"/>
        <v>1.0088328767123287</v>
      </c>
      <c r="J42">
        <f t="shared" ca="1" si="4"/>
        <v>1.0088328767123287</v>
      </c>
      <c r="K42">
        <f ca="1">PRODUCT($J$3:J42)</f>
        <v>1.4063806998348116</v>
      </c>
      <c r="L42">
        <f t="shared" ca="1" si="5"/>
        <v>0.71104502508990375</v>
      </c>
      <c r="M42">
        <f ca="1">SUM($L$3:L42)</f>
        <v>33.818234444180916</v>
      </c>
      <c r="O42">
        <f ca="1">(Q41*'Arkusz1 (2)'!J42)-Q41</f>
        <v>8434.9944506440079</v>
      </c>
      <c r="P42" s="16">
        <f t="shared" ca="1" si="6"/>
        <v>8026.287097725457</v>
      </c>
      <c r="Q42" s="17">
        <f t="shared" ca="1" si="7"/>
        <v>946928.10945472866</v>
      </c>
    </row>
    <row r="43" spans="1:17" x14ac:dyDescent="0.35">
      <c r="A43">
        <v>41</v>
      </c>
      <c r="B43" s="14">
        <f t="shared" ca="1" si="8"/>
        <v>47316</v>
      </c>
      <c r="C43" s="15">
        <f ca="1">(1+('Symulacja Pożyczka'!$B$7+4%)*('Arkusz1 (2)'!B43-'Arkusz1 (2)'!B42)/365)</f>
        <v>1.0085479452054795</v>
      </c>
      <c r="D43" s="15">
        <f ca="1">(1+('Symulacja Pożyczka'!$B$7+4%)*('Arkusz1 (2)'!B43-'Arkusz1 (2)'!B42)/366)</f>
        <v>1.0085245901639344</v>
      </c>
      <c r="E43" s="15">
        <f t="shared" ca="1" si="0"/>
        <v>0</v>
      </c>
      <c r="F43" s="15">
        <f t="shared" ca="1" si="1"/>
        <v>0</v>
      </c>
      <c r="G43">
        <f ca="1">IF(E43=1,(1+('Symulacja Pożyczka'!$B$7+4%)*((('Arkusz1 (2)'!B43-DATE(YEAR(B43),1,1)+1)/365)+((DATE(YEAR(B42),12,31)-'Arkusz1 (2)'!B42)/366))),IF(F43=1,(1+('Symulacja Pożyczka'!$B$7+4%)*((('Arkusz1 (2)'!B43-DATE(YEAR(B43),1,1)+1)/366)+((DATE(YEAR(B42),12,31)-'Arkusz1 (2)'!B42)/365))),0))</f>
        <v>0</v>
      </c>
      <c r="H43">
        <f t="shared" ca="1" si="2"/>
        <v>0</v>
      </c>
      <c r="I43">
        <f t="shared" ca="1" si="3"/>
        <v>1.0085479452054795</v>
      </c>
      <c r="J43">
        <f t="shared" ca="1" si="4"/>
        <v>1.0085479452054795</v>
      </c>
      <c r="K43">
        <f ca="1">PRODUCT($J$3:J43)</f>
        <v>1.4184023649950435</v>
      </c>
      <c r="L43">
        <f t="shared" ca="1" si="5"/>
        <v>0.70501856502720539</v>
      </c>
      <c r="M43">
        <f ca="1">SUM($L$3:L43)</f>
        <v>34.523253009208119</v>
      </c>
      <c r="O43">
        <f ca="1">(Q42*'Arkusz1 (2)'!J43)-Q42</f>
        <v>8094.2895931473467</v>
      </c>
      <c r="P43" s="16">
        <f t="shared" ca="1" si="6"/>
        <v>8366.9919552221181</v>
      </c>
      <c r="Q43" s="17">
        <f t="shared" ca="1" si="7"/>
        <v>938561.11749950657</v>
      </c>
    </row>
    <row r="44" spans="1:17" x14ac:dyDescent="0.35">
      <c r="A44">
        <v>42</v>
      </c>
      <c r="B44" s="14">
        <f t="shared" ca="1" si="8"/>
        <v>47347</v>
      </c>
      <c r="C44" s="15">
        <f ca="1">(1+('Symulacja Pożyczka'!$B$7+4%)*('Arkusz1 (2)'!B44-'Arkusz1 (2)'!B43)/365)</f>
        <v>1.0088328767123287</v>
      </c>
      <c r="D44" s="15">
        <f ca="1">(1+('Symulacja Pożyczka'!$B$7+4%)*('Arkusz1 (2)'!B44-'Arkusz1 (2)'!B43)/366)</f>
        <v>1.0088087431693988</v>
      </c>
      <c r="E44" s="15">
        <f t="shared" ca="1" si="0"/>
        <v>0</v>
      </c>
      <c r="F44" s="15">
        <f t="shared" ca="1" si="1"/>
        <v>0</v>
      </c>
      <c r="G44">
        <f ca="1">IF(E44=1,(1+('Symulacja Pożyczka'!$B$7+4%)*((('Arkusz1 (2)'!B44-DATE(YEAR(B44),1,1)+1)/365)+((DATE(YEAR(B43),12,31)-'Arkusz1 (2)'!B43)/366))),IF(F44=1,(1+('Symulacja Pożyczka'!$B$7+4%)*((('Arkusz1 (2)'!B44-DATE(YEAR(B44),1,1)+1)/366)+((DATE(YEAR(B43),12,31)-'Arkusz1 (2)'!B43)/365))),0))</f>
        <v>0</v>
      </c>
      <c r="H44">
        <f t="shared" ca="1" si="2"/>
        <v>0</v>
      </c>
      <c r="I44">
        <f t="shared" ca="1" si="3"/>
        <v>1.0088328767123287</v>
      </c>
      <c r="J44">
        <f t="shared" ca="1" si="4"/>
        <v>1.0088328767123287</v>
      </c>
      <c r="K44">
        <f ca="1">PRODUCT($J$3:J44)</f>
        <v>1.43093093821352</v>
      </c>
      <c r="L44">
        <f t="shared" ca="1" si="5"/>
        <v>0.6988457467056195</v>
      </c>
      <c r="M44">
        <f ca="1">SUM($L$3:L44)</f>
        <v>35.222098755913741</v>
      </c>
      <c r="O44">
        <f ca="1">(Q43*'Arkusz1 (2)'!J44)-Q43</f>
        <v>8290.1946378585417</v>
      </c>
      <c r="P44" s="16">
        <f t="shared" ca="1" si="6"/>
        <v>8171.0869105109232</v>
      </c>
      <c r="Q44" s="17">
        <f t="shared" ca="1" si="7"/>
        <v>930390.03058899567</v>
      </c>
    </row>
    <row r="45" spans="1:17" x14ac:dyDescent="0.35">
      <c r="A45">
        <v>43</v>
      </c>
      <c r="B45" s="14">
        <f t="shared" ca="1" si="8"/>
        <v>47378</v>
      </c>
      <c r="C45" s="15">
        <f ca="1">(1+('Symulacja Pożyczka'!$B$7+4%)*('Arkusz1 (2)'!B45-'Arkusz1 (2)'!B44)/365)</f>
        <v>1.0088328767123287</v>
      </c>
      <c r="D45" s="15">
        <f ca="1">(1+('Symulacja Pożyczka'!$B$7+4%)*('Arkusz1 (2)'!B45-'Arkusz1 (2)'!B44)/366)</f>
        <v>1.0088087431693988</v>
      </c>
      <c r="E45" s="15">
        <f t="shared" ca="1" si="0"/>
        <v>0</v>
      </c>
      <c r="F45" s="15">
        <f t="shared" ca="1" si="1"/>
        <v>0</v>
      </c>
      <c r="G45">
        <f ca="1">IF(E45=1,(1+('Symulacja Pożyczka'!$B$7+4%)*((('Arkusz1 (2)'!B45-DATE(YEAR(B45),1,1)+1)/365)+((DATE(YEAR(B44),12,31)-'Arkusz1 (2)'!B44)/366))),IF(F45=1,(1+('Symulacja Pożyczka'!$B$7+4%)*((('Arkusz1 (2)'!B45-DATE(YEAR(B45),1,1)+1)/366)+((DATE(YEAR(B44),12,31)-'Arkusz1 (2)'!B44)/365))),0))</f>
        <v>0</v>
      </c>
      <c r="H45">
        <f t="shared" ca="1" si="2"/>
        <v>0</v>
      </c>
      <c r="I45">
        <f t="shared" ca="1" si="3"/>
        <v>1.0088328767123287</v>
      </c>
      <c r="J45">
        <f t="shared" ca="1" si="4"/>
        <v>1.0088328767123287</v>
      </c>
      <c r="K45">
        <f ca="1">PRODUCT($J$3:J45)</f>
        <v>1.4435701747746168</v>
      </c>
      <c r="L45">
        <f t="shared" ca="1" si="5"/>
        <v>0.69272697474241529</v>
      </c>
      <c r="M45">
        <f ca="1">SUM($L$3:L45)</f>
        <v>35.914825730656155</v>
      </c>
      <c r="O45">
        <f ca="1">(Q44*'Arkusz1 (2)'!J45)-Q44</f>
        <v>8218.0204345723614</v>
      </c>
      <c r="P45" s="16">
        <f t="shared" ca="1" si="6"/>
        <v>8243.2611137971035</v>
      </c>
      <c r="Q45" s="17">
        <f t="shared" ca="1" si="7"/>
        <v>922146.76947519858</v>
      </c>
    </row>
    <row r="46" spans="1:17" x14ac:dyDescent="0.35">
      <c r="A46">
        <v>44</v>
      </c>
      <c r="B46" s="14">
        <f t="shared" ca="1" si="8"/>
        <v>47408</v>
      </c>
      <c r="C46" s="15">
        <f ca="1">(1+('Symulacja Pożyczka'!$B$7+4%)*('Arkusz1 (2)'!B46-'Arkusz1 (2)'!B45)/365)</f>
        <v>1.0085479452054795</v>
      </c>
      <c r="D46" s="15">
        <f ca="1">(1+('Symulacja Pożyczka'!$B$7+4%)*('Arkusz1 (2)'!B46-'Arkusz1 (2)'!B45)/366)</f>
        <v>1.0085245901639344</v>
      </c>
      <c r="E46" s="15">
        <f t="shared" ca="1" si="0"/>
        <v>0</v>
      </c>
      <c r="F46" s="15">
        <f t="shared" ca="1" si="1"/>
        <v>0</v>
      </c>
      <c r="G46">
        <f ca="1">IF(E46=1,(1+('Symulacja Pożyczka'!$B$7+4%)*((('Arkusz1 (2)'!B46-DATE(YEAR(B46),1,1)+1)/365)+((DATE(YEAR(B45),12,31)-'Arkusz1 (2)'!B45)/366))),IF(F46=1,(1+('Symulacja Pożyczka'!$B$7+4%)*((('Arkusz1 (2)'!B46-DATE(YEAR(B46),1,1)+1)/366)+((DATE(YEAR(B45),12,31)-'Arkusz1 (2)'!B45)/365))),0))</f>
        <v>0</v>
      </c>
      <c r="H46">
        <f t="shared" ca="1" si="2"/>
        <v>0</v>
      </c>
      <c r="I46">
        <f t="shared" ca="1" si="3"/>
        <v>1.0085479452054795</v>
      </c>
      <c r="J46">
        <f t="shared" ca="1" si="4"/>
        <v>1.0085479452054795</v>
      </c>
      <c r="K46">
        <f ca="1">PRODUCT($J$3:J46)</f>
        <v>1.4559097335288547</v>
      </c>
      <c r="L46">
        <f t="shared" ca="1" si="5"/>
        <v>0.68685576926269032</v>
      </c>
      <c r="M46">
        <f ca="1">SUM($L$3:L46)</f>
        <v>36.601681499918847</v>
      </c>
      <c r="O46">
        <f ca="1">(Q45*'Arkusz1 (2)'!J46)-Q45</f>
        <v>7882.4600568839815</v>
      </c>
      <c r="P46" s="16">
        <f t="shared" ca="1" si="6"/>
        <v>8578.8214914854834</v>
      </c>
      <c r="Q46" s="17">
        <f t="shared" ca="1" si="7"/>
        <v>913567.94798371312</v>
      </c>
    </row>
    <row r="47" spans="1:17" x14ac:dyDescent="0.35">
      <c r="A47">
        <v>45</v>
      </c>
      <c r="B47" s="14">
        <f t="shared" ca="1" si="8"/>
        <v>47439</v>
      </c>
      <c r="C47" s="15">
        <f ca="1">(1+('Symulacja Pożyczka'!$B$7+4%)*('Arkusz1 (2)'!B47-'Arkusz1 (2)'!B46)/365)</f>
        <v>1.0088328767123287</v>
      </c>
      <c r="D47" s="15">
        <f ca="1">(1+('Symulacja Pożyczka'!$B$7+4%)*('Arkusz1 (2)'!B47-'Arkusz1 (2)'!B46)/366)</f>
        <v>1.0088087431693988</v>
      </c>
      <c r="E47" s="15">
        <f t="shared" ca="1" si="0"/>
        <v>0</v>
      </c>
      <c r="F47" s="15">
        <f t="shared" ca="1" si="1"/>
        <v>0</v>
      </c>
      <c r="G47">
        <f ca="1">IF(E47=1,(1+('Symulacja Pożyczka'!$B$7+4%)*((('Arkusz1 (2)'!B47-DATE(YEAR(B47),1,1)+1)/365)+((DATE(YEAR(B46),12,31)-'Arkusz1 (2)'!B46)/366))),IF(F47=1,(1+('Symulacja Pożyczka'!$B$7+4%)*((('Arkusz1 (2)'!B47-DATE(YEAR(B47),1,1)+1)/366)+((DATE(YEAR(B46),12,31)-'Arkusz1 (2)'!B46)/365))),0))</f>
        <v>0</v>
      </c>
      <c r="H47">
        <f t="shared" ca="1" si="2"/>
        <v>0</v>
      </c>
      <c r="I47">
        <f t="shared" ca="1" si="3"/>
        <v>1.0088328767123287</v>
      </c>
      <c r="J47">
        <f t="shared" ca="1" si="4"/>
        <v>1.0088328767123287</v>
      </c>
      <c r="K47">
        <f ca="1">PRODUCT($J$3:J47)</f>
        <v>1.4687696047093943</v>
      </c>
      <c r="L47">
        <f t="shared" ca="1" si="5"/>
        <v>0.68084197602785801</v>
      </c>
      <c r="M47">
        <f ca="1">SUM($L$3:L47)</f>
        <v>37.282523475946704</v>
      </c>
      <c r="O47">
        <f ca="1">(Q46*'Arkusz1 (2)'!J47)-Q46</f>
        <v>8069.433052875218</v>
      </c>
      <c r="P47" s="16">
        <f t="shared" ca="1" si="6"/>
        <v>8391.8484954942469</v>
      </c>
      <c r="Q47" s="17">
        <f t="shared" ca="1" si="7"/>
        <v>905176.0994882189</v>
      </c>
    </row>
    <row r="48" spans="1:17" x14ac:dyDescent="0.35">
      <c r="A48">
        <v>46</v>
      </c>
      <c r="B48" s="14">
        <f t="shared" ca="1" si="8"/>
        <v>47469</v>
      </c>
      <c r="C48" s="15">
        <f ca="1">(1+('Symulacja Pożyczka'!$B$7+4%)*('Arkusz1 (2)'!B48-'Arkusz1 (2)'!B47)/365)</f>
        <v>1.0085479452054795</v>
      </c>
      <c r="D48" s="15">
        <f ca="1">(1+('Symulacja Pożyczka'!$B$7+4%)*('Arkusz1 (2)'!B48-'Arkusz1 (2)'!B47)/366)</f>
        <v>1.0085245901639344</v>
      </c>
      <c r="E48" s="15">
        <f t="shared" ca="1" si="0"/>
        <v>0</v>
      </c>
      <c r="F48" s="15">
        <f t="shared" ca="1" si="1"/>
        <v>0</v>
      </c>
      <c r="G48">
        <f ca="1">IF(E48=1,(1+('Symulacja Pożyczka'!$B$7+4%)*((('Arkusz1 (2)'!B48-DATE(YEAR(B48),1,1)+1)/365)+((DATE(YEAR(B47),12,31)-'Arkusz1 (2)'!B47)/366))),IF(F48=1,(1+('Symulacja Pożyczka'!$B$7+4%)*((('Arkusz1 (2)'!B48-DATE(YEAR(B48),1,1)+1)/366)+((DATE(YEAR(B47),12,31)-'Arkusz1 (2)'!B47)/365))),0))</f>
        <v>0</v>
      </c>
      <c r="H48">
        <f t="shared" ca="1" si="2"/>
        <v>0</v>
      </c>
      <c r="I48">
        <f t="shared" ca="1" si="3"/>
        <v>1.0085479452054795</v>
      </c>
      <c r="J48">
        <f t="shared" ca="1" si="4"/>
        <v>1.0085479452054795</v>
      </c>
      <c r="K48">
        <f ca="1">PRODUCT($J$3:J48)</f>
        <v>1.481324566809924</v>
      </c>
      <c r="L48">
        <f t="shared" ca="1" si="5"/>
        <v>0.67507150182051556</v>
      </c>
      <c r="M48">
        <f ca="1">SUM($L$3:L48)</f>
        <v>37.957594977767222</v>
      </c>
      <c r="O48">
        <f ca="1">(Q47*'Arkusz1 (2)'!J48)-Q47</f>
        <v>7737.3956997350324</v>
      </c>
      <c r="P48" s="16">
        <f t="shared" ca="1" si="6"/>
        <v>8723.8858486344325</v>
      </c>
      <c r="Q48" s="17">
        <f t="shared" ca="1" si="7"/>
        <v>896452.21363958449</v>
      </c>
    </row>
    <row r="49" spans="1:17" x14ac:dyDescent="0.35">
      <c r="A49">
        <v>47</v>
      </c>
      <c r="B49" s="14">
        <f t="shared" ca="1" si="8"/>
        <v>47500</v>
      </c>
      <c r="C49" s="15">
        <f ca="1">(1+('Symulacja Pożyczka'!$B$7+4%)*('Arkusz1 (2)'!B49-'Arkusz1 (2)'!B48)/365)</f>
        <v>1.0088328767123287</v>
      </c>
      <c r="D49" s="15">
        <f ca="1">(1+('Symulacja Pożyczka'!$B$7+4%)*('Arkusz1 (2)'!B49-'Arkusz1 (2)'!B48)/366)</f>
        <v>1.0088087431693988</v>
      </c>
      <c r="E49" s="15">
        <f t="shared" ca="1" si="0"/>
        <v>0</v>
      </c>
      <c r="F49" s="15">
        <f t="shared" ca="1" si="1"/>
        <v>0</v>
      </c>
      <c r="G49">
        <f ca="1">IF(E49=1,(1+('Symulacja Pożyczka'!$B$7+4%)*((('Arkusz1 (2)'!B49-DATE(YEAR(B49),1,1)+1)/365)+((DATE(YEAR(B48),12,31)-'Arkusz1 (2)'!B48)/366))),IF(F49=1,(1+('Symulacja Pożyczka'!$B$7+4%)*((('Arkusz1 (2)'!B49-DATE(YEAR(B49),1,1)+1)/366)+((DATE(YEAR(B48),12,31)-'Arkusz1 (2)'!B48)/365))),0))</f>
        <v>0</v>
      </c>
      <c r="H49">
        <f t="shared" ca="1" si="2"/>
        <v>0</v>
      </c>
      <c r="I49">
        <f t="shared" ca="1" si="3"/>
        <v>1.0088328767123287</v>
      </c>
      <c r="J49">
        <f t="shared" ca="1" si="4"/>
        <v>1.0088328767123287</v>
      </c>
      <c r="K49">
        <f ca="1">PRODUCT($J$3:J49)</f>
        <v>1.4944089240794998</v>
      </c>
      <c r="L49">
        <f t="shared" ca="1" si="5"/>
        <v>0.66916088621189329</v>
      </c>
      <c r="M49">
        <f ca="1">SUM($L$3:L49)</f>
        <v>38.626755863979113</v>
      </c>
      <c r="O49">
        <f ca="1">(Q48*'Arkusz1 (2)'!J49)-Q48</f>
        <v>7918.2518815725343</v>
      </c>
      <c r="P49" s="16">
        <f t="shared" ca="1" si="6"/>
        <v>8543.0296667969305</v>
      </c>
      <c r="Q49" s="17">
        <f t="shared" ca="1" si="7"/>
        <v>887909.18397278758</v>
      </c>
    </row>
    <row r="50" spans="1:17" x14ac:dyDescent="0.35">
      <c r="A50">
        <v>48</v>
      </c>
      <c r="B50" s="14">
        <f t="shared" ca="1" si="8"/>
        <v>47531</v>
      </c>
      <c r="C50" s="15">
        <f ca="1">(1+('Symulacja Pożyczka'!$B$7+4%)*('Arkusz1 (2)'!B50-'Arkusz1 (2)'!B49)/365)</f>
        <v>1.0088328767123287</v>
      </c>
      <c r="D50" s="15">
        <f ca="1">(1+('Symulacja Pożyczka'!$B$7+4%)*('Arkusz1 (2)'!B50-'Arkusz1 (2)'!B49)/366)</f>
        <v>1.0088087431693988</v>
      </c>
      <c r="E50" s="15">
        <f t="shared" ca="1" si="0"/>
        <v>0</v>
      </c>
      <c r="F50" s="15">
        <f t="shared" ca="1" si="1"/>
        <v>0</v>
      </c>
      <c r="G50">
        <f ca="1">IF(E50=1,(1+('Symulacja Pożyczka'!$B$7+4%)*((('Arkusz1 (2)'!B50-DATE(YEAR(B50),1,1)+1)/365)+((DATE(YEAR(B49),12,31)-'Arkusz1 (2)'!B49)/366))),IF(F50=1,(1+('Symulacja Pożyczka'!$B$7+4%)*((('Arkusz1 (2)'!B50-DATE(YEAR(B50),1,1)+1)/366)+((DATE(YEAR(B49),12,31)-'Arkusz1 (2)'!B49)/365))),0))</f>
        <v>0</v>
      </c>
      <c r="H50">
        <f t="shared" ca="1" si="2"/>
        <v>0</v>
      </c>
      <c r="I50">
        <f t="shared" ca="1" si="3"/>
        <v>1.0088328767123287</v>
      </c>
      <c r="J50">
        <f t="shared" ca="1" si="4"/>
        <v>1.0088328767123287</v>
      </c>
      <c r="K50">
        <f ca="1">PRODUCT($J$3:J50)</f>
        <v>1.5076088538636978</v>
      </c>
      <c r="L50">
        <f t="shared" ca="1" si="5"/>
        <v>0.66330202123528359</v>
      </c>
      <c r="M50">
        <f ca="1">SUM($L$3:L50)</f>
        <v>39.290057885214395</v>
      </c>
      <c r="O50">
        <f ca="1">(Q49*'Arkusz1 (2)'!J50)-Q49</f>
        <v>7842.7923537760507</v>
      </c>
      <c r="P50" s="16">
        <f t="shared" ca="1" si="6"/>
        <v>8618.4891945934141</v>
      </c>
      <c r="Q50" s="17">
        <f t="shared" ca="1" si="7"/>
        <v>879290.69477819419</v>
      </c>
    </row>
    <row r="51" spans="1:17" x14ac:dyDescent="0.35">
      <c r="A51">
        <v>49</v>
      </c>
      <c r="B51" s="14">
        <f t="shared" ca="1" si="8"/>
        <v>47559</v>
      </c>
      <c r="C51" s="15">
        <f ca="1">(1+('Symulacja Pożyczka'!$B$7+4%)*('Arkusz1 (2)'!B51-'Arkusz1 (2)'!B50)/365)</f>
        <v>1.0079780821917808</v>
      </c>
      <c r="D51" s="15">
        <f ca="1">(1+('Symulacja Pożyczka'!$B$7+4%)*('Arkusz1 (2)'!B51-'Arkusz1 (2)'!B50)/366)</f>
        <v>1.0079562841530054</v>
      </c>
      <c r="E51" s="15">
        <f t="shared" ca="1" si="0"/>
        <v>0</v>
      </c>
      <c r="F51" s="15">
        <f t="shared" ca="1" si="1"/>
        <v>0</v>
      </c>
      <c r="G51">
        <f ca="1">IF(E51=1,(1+('Symulacja Pożyczka'!$B$7+4%)*((('Arkusz1 (2)'!B51-DATE(YEAR(B51),1,1)+1)/365)+((DATE(YEAR(B50),12,31)-'Arkusz1 (2)'!B50)/366))),IF(F51=1,(1+('Symulacja Pożyczka'!$B$7+4%)*((('Arkusz1 (2)'!B51-DATE(YEAR(B51),1,1)+1)/366)+((DATE(YEAR(B50),12,31)-'Arkusz1 (2)'!B50)/365))),0))</f>
        <v>0</v>
      </c>
      <c r="H51">
        <f t="shared" ca="1" si="2"/>
        <v>0</v>
      </c>
      <c r="I51">
        <f t="shared" ca="1" si="3"/>
        <v>1.0079780821917808</v>
      </c>
      <c r="J51">
        <f t="shared" ca="1" si="4"/>
        <v>1.0079780821917808</v>
      </c>
      <c r="K51">
        <f ca="1">PRODUCT($J$3:J51)</f>
        <v>1.5196366812128788</v>
      </c>
      <c r="L51">
        <f t="shared" ca="1" si="5"/>
        <v>0.65805202806888197</v>
      </c>
      <c r="M51">
        <f ca="1">SUM($L$3:L51)</f>
        <v>39.948109913283275</v>
      </c>
      <c r="O51">
        <f ca="1">(Q50*'Arkusz1 (2)'!J51)-Q50</f>
        <v>7015.053433408495</v>
      </c>
      <c r="P51" s="16">
        <f t="shared" ca="1" si="6"/>
        <v>9446.2281149609698</v>
      </c>
      <c r="Q51" s="17">
        <f t="shared" ca="1" si="7"/>
        <v>869844.46666323324</v>
      </c>
    </row>
    <row r="52" spans="1:17" x14ac:dyDescent="0.35">
      <c r="A52">
        <v>50</v>
      </c>
      <c r="B52" s="14">
        <f t="shared" ca="1" si="8"/>
        <v>47590</v>
      </c>
      <c r="C52" s="15">
        <f ca="1">(1+('Symulacja Pożyczka'!$B$7+4%)*('Arkusz1 (2)'!B52-'Arkusz1 (2)'!B51)/365)</f>
        <v>1.0088328767123287</v>
      </c>
      <c r="D52" s="15">
        <f ca="1">(1+('Symulacja Pożyczka'!$B$7+4%)*('Arkusz1 (2)'!B52-'Arkusz1 (2)'!B51)/366)</f>
        <v>1.0088087431693988</v>
      </c>
      <c r="E52" s="15">
        <f t="shared" ca="1" si="0"/>
        <v>0</v>
      </c>
      <c r="F52" s="15">
        <f t="shared" ca="1" si="1"/>
        <v>0</v>
      </c>
      <c r="G52">
        <f ca="1">IF(E52=1,(1+('Symulacja Pożyczka'!$B$7+4%)*((('Arkusz1 (2)'!B52-DATE(YEAR(B52),1,1)+1)/365)+((DATE(YEAR(B51),12,31)-'Arkusz1 (2)'!B51)/366))),IF(F52=1,(1+('Symulacja Pożyczka'!$B$7+4%)*((('Arkusz1 (2)'!B52-DATE(YEAR(B52),1,1)+1)/366)+((DATE(YEAR(B51),12,31)-'Arkusz1 (2)'!B51)/365))),0))</f>
        <v>0</v>
      </c>
      <c r="H52">
        <f t="shared" ca="1" si="2"/>
        <v>0</v>
      </c>
      <c r="I52">
        <f t="shared" ca="1" si="3"/>
        <v>1.0088328767123287</v>
      </c>
      <c r="J52">
        <f t="shared" ca="1" si="4"/>
        <v>1.0088328767123287</v>
      </c>
      <c r="K52">
        <f ca="1">PRODUCT($J$3:J52)</f>
        <v>1.5330594446655645</v>
      </c>
      <c r="L52">
        <f t="shared" ca="1" si="5"/>
        <v>0.65229042714527552</v>
      </c>
      <c r="M52">
        <f ca="1">SUM($L$3:L52)</f>
        <v>40.60040034042855</v>
      </c>
      <c r="O52">
        <f ca="1">(Q51*'Arkusz1 (2)'!J52)-Q51</f>
        <v>7683.2289329376072</v>
      </c>
      <c r="P52" s="16">
        <f t="shared" ca="1" si="6"/>
        <v>8778.0526154318577</v>
      </c>
      <c r="Q52" s="17">
        <f t="shared" ca="1" si="7"/>
        <v>861066.4140478014</v>
      </c>
    </row>
    <row r="53" spans="1:17" x14ac:dyDescent="0.35">
      <c r="A53">
        <v>51</v>
      </c>
      <c r="B53" s="14">
        <f t="shared" ca="1" si="8"/>
        <v>47620</v>
      </c>
      <c r="C53" s="15">
        <f ca="1">(1+('Symulacja Pożyczka'!$B$7+4%)*('Arkusz1 (2)'!B53-'Arkusz1 (2)'!B52)/365)</f>
        <v>1.0085479452054795</v>
      </c>
      <c r="D53" s="15">
        <f ca="1">(1+('Symulacja Pożyczka'!$B$7+4%)*('Arkusz1 (2)'!B53-'Arkusz1 (2)'!B52)/366)</f>
        <v>1.0085245901639344</v>
      </c>
      <c r="E53" s="15">
        <f t="shared" ca="1" si="0"/>
        <v>0</v>
      </c>
      <c r="F53" s="15">
        <f t="shared" ca="1" si="1"/>
        <v>0</v>
      </c>
      <c r="G53">
        <f ca="1">IF(E53=1,(1+('Symulacja Pożyczka'!$B$7+4%)*((('Arkusz1 (2)'!B53-DATE(YEAR(B53),1,1)+1)/365)+((DATE(YEAR(B52),12,31)-'Arkusz1 (2)'!B52)/366))),IF(F53=1,(1+('Symulacja Pożyczka'!$B$7+4%)*((('Arkusz1 (2)'!B53-DATE(YEAR(B53),1,1)+1)/366)+((DATE(YEAR(B52),12,31)-'Arkusz1 (2)'!B52)/365))),0))</f>
        <v>0</v>
      </c>
      <c r="H53">
        <f t="shared" ca="1" si="2"/>
        <v>0</v>
      </c>
      <c r="I53">
        <f t="shared" ca="1" si="3"/>
        <v>1.0085479452054795</v>
      </c>
      <c r="J53">
        <f t="shared" ca="1" si="4"/>
        <v>1.0085479452054795</v>
      </c>
      <c r="K53">
        <f ca="1">PRODUCT($J$3:J53)</f>
        <v>1.5461639527953086</v>
      </c>
      <c r="L53">
        <f t="shared" ca="1" si="5"/>
        <v>0.64676194150827326</v>
      </c>
      <c r="M53">
        <f ca="1">SUM($L$3:L53)</f>
        <v>41.247162281936824</v>
      </c>
      <c r="O53">
        <f ca="1">(Q52*'Arkusz1 (2)'!J53)-Q52</f>
        <v>7360.3485255592968</v>
      </c>
      <c r="P53" s="16">
        <f t="shared" ca="1" si="6"/>
        <v>9100.933022810168</v>
      </c>
      <c r="Q53" s="17">
        <f t="shared" ca="1" si="7"/>
        <v>851965.48102499126</v>
      </c>
    </row>
    <row r="54" spans="1:17" x14ac:dyDescent="0.35">
      <c r="A54">
        <v>52</v>
      </c>
      <c r="B54" s="14">
        <f t="shared" ca="1" si="8"/>
        <v>47651</v>
      </c>
      <c r="C54" s="15">
        <f ca="1">(1+('Symulacja Pożyczka'!$B$7+4%)*('Arkusz1 (2)'!B54-'Arkusz1 (2)'!B53)/365)</f>
        <v>1.0088328767123287</v>
      </c>
      <c r="D54" s="15">
        <f ca="1">(1+('Symulacja Pożyczka'!$B$7+4%)*('Arkusz1 (2)'!B54-'Arkusz1 (2)'!B53)/366)</f>
        <v>1.0088087431693988</v>
      </c>
      <c r="E54" s="15">
        <f t="shared" ca="1" si="0"/>
        <v>0</v>
      </c>
      <c r="F54" s="15">
        <f t="shared" ca="1" si="1"/>
        <v>0</v>
      </c>
      <c r="G54">
        <f ca="1">IF(E54=1,(1+('Symulacja Pożyczka'!$B$7+4%)*((('Arkusz1 (2)'!B54-DATE(YEAR(B54),1,1)+1)/365)+((DATE(YEAR(B53),12,31)-'Arkusz1 (2)'!B53)/366))),IF(F54=1,(1+('Symulacja Pożyczka'!$B$7+4%)*((('Arkusz1 (2)'!B54-DATE(YEAR(B54),1,1)+1)/366)+((DATE(YEAR(B53),12,31)-'Arkusz1 (2)'!B53)/365))),0))</f>
        <v>0</v>
      </c>
      <c r="H54">
        <f t="shared" ca="1" si="2"/>
        <v>0</v>
      </c>
      <c r="I54">
        <f t="shared" ca="1" si="3"/>
        <v>1.0088328767123287</v>
      </c>
      <c r="J54">
        <f t="shared" ca="1" si="4"/>
        <v>1.0088328767123287</v>
      </c>
      <c r="K54">
        <f ca="1">PRODUCT($J$3:J54)</f>
        <v>1.5598210283673963</v>
      </c>
      <c r="L54">
        <f t="shared" ca="1" si="5"/>
        <v>0.64109919139034877</v>
      </c>
      <c r="M54">
        <f ca="1">SUM($L$3:L54)</f>
        <v>41.888261473327169</v>
      </c>
      <c r="O54">
        <f ca="1">(Q53*'Arkusz1 (2)'!J54)-Q53</f>
        <v>7525.3060570535017</v>
      </c>
      <c r="P54" s="16">
        <f t="shared" ca="1" si="6"/>
        <v>8935.9754913159632</v>
      </c>
      <c r="Q54" s="17">
        <f t="shared" ca="1" si="7"/>
        <v>843029.50553367531</v>
      </c>
    </row>
    <row r="55" spans="1:17" x14ac:dyDescent="0.35">
      <c r="A55">
        <v>53</v>
      </c>
      <c r="B55" s="14">
        <f t="shared" ca="1" si="8"/>
        <v>47681</v>
      </c>
      <c r="C55" s="15">
        <f ca="1">(1+('Symulacja Pożyczka'!$B$7+4%)*('Arkusz1 (2)'!B55-'Arkusz1 (2)'!B54)/365)</f>
        <v>1.0085479452054795</v>
      </c>
      <c r="D55" s="15">
        <f ca="1">(1+('Symulacja Pożyczka'!$B$7+4%)*('Arkusz1 (2)'!B55-'Arkusz1 (2)'!B54)/366)</f>
        <v>1.0085245901639344</v>
      </c>
      <c r="E55" s="15">
        <f t="shared" ca="1" si="0"/>
        <v>0</v>
      </c>
      <c r="F55" s="15">
        <f t="shared" ca="1" si="1"/>
        <v>0</v>
      </c>
      <c r="G55">
        <f ca="1">IF(E55=1,(1+('Symulacja Pożyczka'!$B$7+4%)*((('Arkusz1 (2)'!B55-DATE(YEAR(B55),1,1)+1)/365)+((DATE(YEAR(B54),12,31)-'Arkusz1 (2)'!B54)/366))),IF(F55=1,(1+('Symulacja Pożyczka'!$B$7+4%)*((('Arkusz1 (2)'!B55-DATE(YEAR(B55),1,1)+1)/366)+((DATE(YEAR(B54),12,31)-'Arkusz1 (2)'!B54)/365))),0))</f>
        <v>0</v>
      </c>
      <c r="H55">
        <f t="shared" ca="1" si="2"/>
        <v>0</v>
      </c>
      <c r="I55">
        <f t="shared" ca="1" si="3"/>
        <v>1.0085479452054795</v>
      </c>
      <c r="J55">
        <f t="shared" ca="1" si="4"/>
        <v>1.0085479452054795</v>
      </c>
      <c r="K55">
        <f ca="1">PRODUCT($J$3:J55)</f>
        <v>1.5731542930482356</v>
      </c>
      <c r="L55">
        <f t="shared" ca="1" si="5"/>
        <v>0.63566555703976224</v>
      </c>
      <c r="M55">
        <f ca="1">SUM($L$3:L55)</f>
        <v>42.523927030366934</v>
      </c>
      <c r="O55">
        <f ca="1">(Q54*'Arkusz1 (2)'!J55)-Q54</f>
        <v>7206.1700199043844</v>
      </c>
      <c r="P55" s="16">
        <f t="shared" ca="1" si="6"/>
        <v>9255.1115284650805</v>
      </c>
      <c r="Q55" s="17">
        <f t="shared" ca="1" si="7"/>
        <v>833774.39400521026</v>
      </c>
    </row>
    <row r="56" spans="1:17" x14ac:dyDescent="0.35">
      <c r="A56">
        <v>54</v>
      </c>
      <c r="B56" s="14">
        <f t="shared" ca="1" si="8"/>
        <v>47712</v>
      </c>
      <c r="C56" s="15">
        <f ca="1">(1+('Symulacja Pożyczka'!$B$7+4%)*('Arkusz1 (2)'!B56-'Arkusz1 (2)'!B55)/365)</f>
        <v>1.0088328767123287</v>
      </c>
      <c r="D56" s="15">
        <f ca="1">(1+('Symulacja Pożyczka'!$B$7+4%)*('Arkusz1 (2)'!B56-'Arkusz1 (2)'!B55)/366)</f>
        <v>1.0088087431693988</v>
      </c>
      <c r="E56" s="15">
        <f t="shared" ca="1" si="0"/>
        <v>0</v>
      </c>
      <c r="F56" s="15">
        <f t="shared" ca="1" si="1"/>
        <v>0</v>
      </c>
      <c r="G56">
        <f ca="1">IF(E56=1,(1+('Symulacja Pożyczka'!$B$7+4%)*((('Arkusz1 (2)'!B56-DATE(YEAR(B56),1,1)+1)/365)+((DATE(YEAR(B55),12,31)-'Arkusz1 (2)'!B55)/366))),IF(F56=1,(1+('Symulacja Pożyczka'!$B$7+4%)*((('Arkusz1 (2)'!B56-DATE(YEAR(B56),1,1)+1)/366)+((DATE(YEAR(B55),12,31)-'Arkusz1 (2)'!B55)/365))),0))</f>
        <v>0</v>
      </c>
      <c r="H56">
        <f t="shared" ca="1" si="2"/>
        <v>0</v>
      </c>
      <c r="I56">
        <f t="shared" ca="1" si="3"/>
        <v>1.0088328767123287</v>
      </c>
      <c r="J56">
        <f t="shared" ca="1" si="4"/>
        <v>1.0088328767123287</v>
      </c>
      <c r="K56">
        <f ca="1">PRODUCT($J$3:J56)</f>
        <v>1.5870497709682012</v>
      </c>
      <c r="L56">
        <f t="shared" ca="1" si="5"/>
        <v>0.63009996176108352</v>
      </c>
      <c r="M56">
        <f ca="1">SUM($L$3:L56)</f>
        <v>43.154026992128017</v>
      </c>
      <c r="O56">
        <f ca="1">(Q55*'Arkusz1 (2)'!J56)-Q55</f>
        <v>7364.6264281446347</v>
      </c>
      <c r="P56" s="16">
        <f t="shared" ca="1" si="6"/>
        <v>9096.6551202248302</v>
      </c>
      <c r="Q56" s="17">
        <f t="shared" ca="1" si="7"/>
        <v>824677.73888498545</v>
      </c>
    </row>
    <row r="57" spans="1:17" x14ac:dyDescent="0.35">
      <c r="A57">
        <v>55</v>
      </c>
      <c r="B57" s="14">
        <f t="shared" ca="1" si="8"/>
        <v>47743</v>
      </c>
      <c r="C57" s="15">
        <f ca="1">(1+('Symulacja Pożyczka'!$B$7+4%)*('Arkusz1 (2)'!B57-'Arkusz1 (2)'!B56)/365)</f>
        <v>1.0088328767123287</v>
      </c>
      <c r="D57" s="15">
        <f ca="1">(1+('Symulacja Pożyczka'!$B$7+4%)*('Arkusz1 (2)'!B57-'Arkusz1 (2)'!B56)/366)</f>
        <v>1.0088087431693988</v>
      </c>
      <c r="E57" s="15">
        <f t="shared" ca="1" si="0"/>
        <v>0</v>
      </c>
      <c r="F57" s="15">
        <f t="shared" ca="1" si="1"/>
        <v>0</v>
      </c>
      <c r="G57">
        <f ca="1">IF(E57=1,(1+('Symulacja Pożyczka'!$B$7+4%)*((('Arkusz1 (2)'!B57-DATE(YEAR(B57),1,1)+1)/365)+((DATE(YEAR(B56),12,31)-'Arkusz1 (2)'!B56)/366))),IF(F57=1,(1+('Symulacja Pożyczka'!$B$7+4%)*((('Arkusz1 (2)'!B57-DATE(YEAR(B57),1,1)+1)/366)+((DATE(YEAR(B56),12,31)-'Arkusz1 (2)'!B56)/365))),0))</f>
        <v>0</v>
      </c>
      <c r="H57">
        <f t="shared" ca="1" si="2"/>
        <v>0</v>
      </c>
      <c r="I57">
        <f t="shared" ca="1" si="3"/>
        <v>1.0088328767123287</v>
      </c>
      <c r="J57">
        <f t="shared" ca="1" si="4"/>
        <v>1.0088328767123287</v>
      </c>
      <c r="K57">
        <f ca="1">PRODUCT($J$3:J57)</f>
        <v>1.6010679859314929</v>
      </c>
      <c r="L57">
        <f t="shared" ca="1" si="5"/>
        <v>0.62458309627508124</v>
      </c>
      <c r="M57">
        <f ca="1">SUM($L$3:L57)</f>
        <v>43.778610088403099</v>
      </c>
      <c r="O57">
        <f ca="1">(Q56*'Arkusz1 (2)'!J57)-Q56</f>
        <v>7284.2767949730624</v>
      </c>
      <c r="P57" s="16">
        <f t="shared" ca="1" si="6"/>
        <v>9177.0047533964025</v>
      </c>
      <c r="Q57" s="17">
        <f t="shared" ca="1" si="7"/>
        <v>815500.73413158907</v>
      </c>
    </row>
    <row r="58" spans="1:17" x14ac:dyDescent="0.35">
      <c r="A58">
        <v>56</v>
      </c>
      <c r="B58" s="14">
        <f t="shared" ca="1" si="8"/>
        <v>47773</v>
      </c>
      <c r="C58" s="15">
        <f ca="1">(1+('Symulacja Pożyczka'!$B$7+4%)*('Arkusz1 (2)'!B58-'Arkusz1 (2)'!B57)/365)</f>
        <v>1.0085479452054795</v>
      </c>
      <c r="D58" s="15">
        <f ca="1">(1+('Symulacja Pożyczka'!$B$7+4%)*('Arkusz1 (2)'!B58-'Arkusz1 (2)'!B57)/366)</f>
        <v>1.0085245901639344</v>
      </c>
      <c r="E58" s="15">
        <f t="shared" ca="1" si="0"/>
        <v>0</v>
      </c>
      <c r="F58" s="15">
        <f t="shared" ca="1" si="1"/>
        <v>0</v>
      </c>
      <c r="G58">
        <f ca="1">IF(E58=1,(1+('Symulacja Pożyczka'!$B$7+4%)*((('Arkusz1 (2)'!B58-DATE(YEAR(B58),1,1)+1)/365)+((DATE(YEAR(B57),12,31)-'Arkusz1 (2)'!B57)/366))),IF(F58=1,(1+('Symulacja Pożyczka'!$B$7+4%)*((('Arkusz1 (2)'!B58-DATE(YEAR(B58),1,1)+1)/366)+((DATE(YEAR(B57),12,31)-'Arkusz1 (2)'!B57)/365))),0))</f>
        <v>0</v>
      </c>
      <c r="H58">
        <f t="shared" ca="1" si="2"/>
        <v>0</v>
      </c>
      <c r="I58">
        <f t="shared" ca="1" si="3"/>
        <v>1.0085479452054795</v>
      </c>
      <c r="J58">
        <f t="shared" ca="1" si="4"/>
        <v>1.0085479452054795</v>
      </c>
      <c r="K58">
        <f ca="1">PRODUCT($J$3:J58)</f>
        <v>1.6147538273454827</v>
      </c>
      <c r="L58">
        <f t="shared" ca="1" si="5"/>
        <v>0.61928944404108621</v>
      </c>
      <c r="M58">
        <f ca="1">SUM($L$3:L58)</f>
        <v>44.397899532444185</v>
      </c>
      <c r="O58">
        <f ca="1">(Q57*'Arkusz1 (2)'!J58)-Q57</f>
        <v>6970.855590385152</v>
      </c>
      <c r="P58" s="16">
        <f t="shared" ca="1" si="6"/>
        <v>9490.4259579843128</v>
      </c>
      <c r="Q58" s="17">
        <f t="shared" ca="1" si="7"/>
        <v>806010.30817360478</v>
      </c>
    </row>
    <row r="59" spans="1:17" x14ac:dyDescent="0.35">
      <c r="A59">
        <v>57</v>
      </c>
      <c r="B59" s="14">
        <f t="shared" ca="1" si="8"/>
        <v>47804</v>
      </c>
      <c r="C59" s="15">
        <f ca="1">(1+('Symulacja Pożyczka'!$B$7+4%)*('Arkusz1 (2)'!B59-'Arkusz1 (2)'!B58)/365)</f>
        <v>1.0088328767123287</v>
      </c>
      <c r="D59" s="15">
        <f ca="1">(1+('Symulacja Pożyczka'!$B$7+4%)*('Arkusz1 (2)'!B59-'Arkusz1 (2)'!B58)/366)</f>
        <v>1.0088087431693988</v>
      </c>
      <c r="E59" s="15">
        <f t="shared" ca="1" si="0"/>
        <v>0</v>
      </c>
      <c r="F59" s="15">
        <f t="shared" ca="1" si="1"/>
        <v>0</v>
      </c>
      <c r="G59">
        <f ca="1">IF(E59=1,(1+('Symulacja Pożyczka'!$B$7+4%)*((('Arkusz1 (2)'!B59-DATE(YEAR(B59),1,1)+1)/365)+((DATE(YEAR(B58),12,31)-'Arkusz1 (2)'!B58)/366))),IF(F59=1,(1+('Symulacja Pożyczka'!$B$7+4%)*((('Arkusz1 (2)'!B59-DATE(YEAR(B59),1,1)+1)/366)+((DATE(YEAR(B58),12,31)-'Arkusz1 (2)'!B58)/365))),0))</f>
        <v>0</v>
      </c>
      <c r="H59">
        <f t="shared" ca="1" si="2"/>
        <v>0</v>
      </c>
      <c r="I59">
        <f t="shared" ca="1" si="3"/>
        <v>1.0088328767123287</v>
      </c>
      <c r="J59">
        <f t="shared" ca="1" si="4"/>
        <v>1.0088328767123287</v>
      </c>
      <c r="K59">
        <f ca="1">PRODUCT($J$3:J59)</f>
        <v>1.6290167488231861</v>
      </c>
      <c r="L59">
        <f t="shared" ca="1" si="5"/>
        <v>0.61386723047654823</v>
      </c>
      <c r="M59">
        <f ca="1">SUM($L$3:L59)</f>
        <v>45.011766762920736</v>
      </c>
      <c r="O59">
        <f ca="1">(Q58*'Arkusz1 (2)'!J59)-Q58</f>
        <v>7119.3896809634753</v>
      </c>
      <c r="P59" s="16">
        <f t="shared" ca="1" si="6"/>
        <v>9341.8918674059896</v>
      </c>
      <c r="Q59" s="17">
        <f t="shared" ca="1" si="7"/>
        <v>796668.41630619881</v>
      </c>
    </row>
    <row r="60" spans="1:17" x14ac:dyDescent="0.35">
      <c r="A60">
        <v>58</v>
      </c>
      <c r="B60" s="14">
        <f t="shared" ca="1" si="8"/>
        <v>47834</v>
      </c>
      <c r="C60" s="15">
        <f ca="1">(1+('Symulacja Pożyczka'!$B$7+4%)*('Arkusz1 (2)'!B60-'Arkusz1 (2)'!B59)/365)</f>
        <v>1.0085479452054795</v>
      </c>
      <c r="D60" s="15">
        <f ca="1">(1+('Symulacja Pożyczka'!$B$7+4%)*('Arkusz1 (2)'!B60-'Arkusz1 (2)'!B59)/366)</f>
        <v>1.0085245901639344</v>
      </c>
      <c r="E60" s="15">
        <f t="shared" ca="1" si="0"/>
        <v>0</v>
      </c>
      <c r="F60" s="15">
        <f t="shared" ca="1" si="1"/>
        <v>0</v>
      </c>
      <c r="G60">
        <f ca="1">IF(E60=1,(1+('Symulacja Pożyczka'!$B$7+4%)*((('Arkusz1 (2)'!B60-DATE(YEAR(B60),1,1)+1)/365)+((DATE(YEAR(B59),12,31)-'Arkusz1 (2)'!B59)/366))),IF(F60=1,(1+('Symulacja Pożyczka'!$B$7+4%)*((('Arkusz1 (2)'!B60-DATE(YEAR(B60),1,1)+1)/366)+((DATE(YEAR(B59),12,31)-'Arkusz1 (2)'!B59)/365))),0))</f>
        <v>0</v>
      </c>
      <c r="H60">
        <f t="shared" ca="1" si="2"/>
        <v>0</v>
      </c>
      <c r="I60">
        <f t="shared" ca="1" si="3"/>
        <v>1.0085479452054795</v>
      </c>
      <c r="J60">
        <f t="shared" ca="1" si="4"/>
        <v>1.0085479452054795</v>
      </c>
      <c r="K60">
        <f ca="1">PRODUCT($J$3:J60)</f>
        <v>1.6429414947309351</v>
      </c>
      <c r="L60">
        <f t="shared" ca="1" si="5"/>
        <v>0.60866440053227233</v>
      </c>
      <c r="M60">
        <f ca="1">SUM($L$3:L60)</f>
        <v>45.620431163453006</v>
      </c>
      <c r="O60">
        <f ca="1">(Q59*'Arkusz1 (2)'!J60)-Q59</f>
        <v>6809.8779695215635</v>
      </c>
      <c r="P60" s="16">
        <f t="shared" ca="1" si="6"/>
        <v>9651.4035788479014</v>
      </c>
      <c r="Q60" s="17">
        <f t="shared" ca="1" si="7"/>
        <v>787017.01272735093</v>
      </c>
    </row>
    <row r="61" spans="1:17" x14ac:dyDescent="0.35">
      <c r="A61">
        <v>59</v>
      </c>
      <c r="B61" s="14">
        <f t="shared" ca="1" si="8"/>
        <v>47865</v>
      </c>
      <c r="C61" s="15">
        <f ca="1">(1+('Symulacja Pożyczka'!$B$7+4%)*('Arkusz1 (2)'!B61-'Arkusz1 (2)'!B60)/365)</f>
        <v>1.0088328767123287</v>
      </c>
      <c r="D61" s="15">
        <f ca="1">(1+('Symulacja Pożyczka'!$B$7+4%)*('Arkusz1 (2)'!B61-'Arkusz1 (2)'!B60)/366)</f>
        <v>1.0088087431693988</v>
      </c>
      <c r="E61" s="15">
        <f t="shared" ca="1" si="0"/>
        <v>0</v>
      </c>
      <c r="F61" s="15">
        <f t="shared" ca="1" si="1"/>
        <v>0</v>
      </c>
      <c r="G61">
        <f ca="1">IF(E61=1,(1+('Symulacja Pożyczka'!$B$7+4%)*((('Arkusz1 (2)'!B61-DATE(YEAR(B61),1,1)+1)/365)+((DATE(YEAR(B60),12,31)-'Arkusz1 (2)'!B60)/366))),IF(F61=1,(1+('Symulacja Pożyczka'!$B$7+4%)*((('Arkusz1 (2)'!B61-DATE(YEAR(B61),1,1)+1)/366)+((DATE(YEAR(B60),12,31)-'Arkusz1 (2)'!B60)/365))),0))</f>
        <v>0</v>
      </c>
      <c r="H61">
        <f t="shared" ca="1" si="2"/>
        <v>0</v>
      </c>
      <c r="I61">
        <f t="shared" ca="1" si="3"/>
        <v>1.0088328767123287</v>
      </c>
      <c r="J61">
        <f t="shared" ca="1" si="4"/>
        <v>1.0088328767123287</v>
      </c>
      <c r="K61">
        <f ca="1">PRODUCT($J$3:J61)</f>
        <v>1.6574533943994625</v>
      </c>
      <c r="L61">
        <f t="shared" ca="1" si="5"/>
        <v>0.60333521496230391</v>
      </c>
      <c r="M61">
        <f ca="1">SUM($L$3:L61)</f>
        <v>46.223766378415313</v>
      </c>
      <c r="O61">
        <f ca="1">(Q60*'Arkusz1 (2)'!J61)-Q60</f>
        <v>6951.6242439259076</v>
      </c>
      <c r="P61" s="16">
        <f t="shared" ca="1" si="6"/>
        <v>9509.6573044435572</v>
      </c>
      <c r="Q61" s="17">
        <f t="shared" ca="1" si="7"/>
        <v>777507.35542290739</v>
      </c>
    </row>
    <row r="62" spans="1:17" x14ac:dyDescent="0.35">
      <c r="A62">
        <v>60</v>
      </c>
      <c r="B62" s="14">
        <f t="shared" ca="1" si="8"/>
        <v>47896</v>
      </c>
      <c r="C62" s="15">
        <f ca="1">(1+('Symulacja Pożyczka'!$B$7+4%)*('Arkusz1 (2)'!B62-'Arkusz1 (2)'!B61)/365)</f>
        <v>1.0088328767123287</v>
      </c>
      <c r="D62" s="15">
        <f ca="1">(1+('Symulacja Pożyczka'!$B$7+4%)*('Arkusz1 (2)'!B62-'Arkusz1 (2)'!B61)/366)</f>
        <v>1.0088087431693988</v>
      </c>
      <c r="E62" s="15">
        <f t="shared" ca="1" si="0"/>
        <v>0</v>
      </c>
      <c r="F62" s="15">
        <f t="shared" ca="1" si="1"/>
        <v>0</v>
      </c>
      <c r="G62">
        <f ca="1">IF(E62=1,(1+('Symulacja Pożyczka'!$B$7+4%)*((('Arkusz1 (2)'!B62-DATE(YEAR(B62),1,1)+1)/365)+((DATE(YEAR(B61),12,31)-'Arkusz1 (2)'!B61)/366))),IF(F62=1,(1+('Symulacja Pożyczka'!$B$7+4%)*((('Arkusz1 (2)'!B62-DATE(YEAR(B62),1,1)+1)/366)+((DATE(YEAR(B61),12,31)-'Arkusz1 (2)'!B61)/365))),0))</f>
        <v>0</v>
      </c>
      <c r="H62">
        <f t="shared" ca="1" si="2"/>
        <v>0</v>
      </c>
      <c r="I62">
        <f t="shared" ca="1" si="3"/>
        <v>1.0088328767123287</v>
      </c>
      <c r="J62">
        <f t="shared" ca="1" si="4"/>
        <v>1.0088328767123287</v>
      </c>
      <c r="K62">
        <f ca="1">PRODUCT($J$3:J62)</f>
        <v>1.6720934758886237</v>
      </c>
      <c r="L62">
        <f t="shared" ca="1" si="5"/>
        <v>0.59805268929032585</v>
      </c>
      <c r="M62">
        <f ca="1">SUM($L$3:L62)</f>
        <v>46.82181906770564</v>
      </c>
      <c r="O62">
        <f ca="1">(Q61*'Arkusz1 (2)'!J62)-Q61</f>
        <v>6867.6266133792233</v>
      </c>
      <c r="P62" s="16">
        <f t="shared" ca="1" si="6"/>
        <v>9593.6549349902416</v>
      </c>
      <c r="Q62" s="17">
        <f t="shared" ca="1" si="7"/>
        <v>767913.70048791717</v>
      </c>
    </row>
    <row r="63" spans="1:17" x14ac:dyDescent="0.35">
      <c r="A63">
        <v>61</v>
      </c>
      <c r="B63" s="14">
        <f t="shared" ca="1" si="8"/>
        <v>47924</v>
      </c>
      <c r="C63" s="15">
        <f ca="1">(1+('Symulacja Pożyczka'!$B$7+4%)*('Arkusz1 (2)'!B63-'Arkusz1 (2)'!B62)/365)</f>
        <v>1.0079780821917808</v>
      </c>
      <c r="D63" s="15">
        <f ca="1">(1+('Symulacja Pożyczka'!$B$7+4%)*('Arkusz1 (2)'!B63-'Arkusz1 (2)'!B62)/366)</f>
        <v>1.0079562841530054</v>
      </c>
      <c r="E63" s="15">
        <f t="shared" ca="1" si="0"/>
        <v>0</v>
      </c>
      <c r="F63" s="15">
        <f t="shared" ca="1" si="1"/>
        <v>0</v>
      </c>
      <c r="G63">
        <f ca="1">IF(E63=1,(1+('Symulacja Pożyczka'!$B$7+4%)*((('Arkusz1 (2)'!B63-DATE(YEAR(B63),1,1)+1)/365)+((DATE(YEAR(B62),12,31)-'Arkusz1 (2)'!B62)/366))),IF(F63=1,(1+('Symulacja Pożyczka'!$B$7+4%)*((('Arkusz1 (2)'!B63-DATE(YEAR(B63),1,1)+1)/366)+((DATE(YEAR(B62),12,31)-'Arkusz1 (2)'!B62)/365))),0))</f>
        <v>0</v>
      </c>
      <c r="H63">
        <f t="shared" ca="1" si="2"/>
        <v>0</v>
      </c>
      <c r="I63">
        <f t="shared" ca="1" si="3"/>
        <v>1.0079780821917808</v>
      </c>
      <c r="J63">
        <f t="shared" ca="1" si="4"/>
        <v>1.0079780821917808</v>
      </c>
      <c r="K63">
        <f ca="1">PRODUCT($J$3:J63)</f>
        <v>1.6854335750716034</v>
      </c>
      <c r="L63">
        <f t="shared" ca="1" si="5"/>
        <v>0.59331914042208178</v>
      </c>
      <c r="M63">
        <f ca="1">SUM($L$3:L63)</f>
        <v>47.415138208127722</v>
      </c>
      <c r="O63">
        <f ca="1">(Q62*'Arkusz1 (2)'!J63)-Q62</f>
        <v>6126.4786186871352</v>
      </c>
      <c r="P63" s="16">
        <f t="shared" ca="1" si="6"/>
        <v>10334.80292968233</v>
      </c>
      <c r="Q63" s="17">
        <f t="shared" ca="1" si="7"/>
        <v>757578.89755823486</v>
      </c>
    </row>
    <row r="64" spans="1:17" x14ac:dyDescent="0.35">
      <c r="A64">
        <v>62</v>
      </c>
      <c r="B64" s="14">
        <f t="shared" ca="1" si="8"/>
        <v>47955</v>
      </c>
      <c r="C64" s="15">
        <f ca="1">(1+('Symulacja Pożyczka'!$B$7+4%)*('Arkusz1 (2)'!B64-'Arkusz1 (2)'!B63)/365)</f>
        <v>1.0088328767123287</v>
      </c>
      <c r="D64" s="15">
        <f ca="1">(1+('Symulacja Pożyczka'!$B$7+4%)*('Arkusz1 (2)'!B64-'Arkusz1 (2)'!B63)/366)</f>
        <v>1.0088087431693988</v>
      </c>
      <c r="E64" s="15">
        <f t="shared" ca="1" si="0"/>
        <v>0</v>
      </c>
      <c r="F64" s="15">
        <f t="shared" ca="1" si="1"/>
        <v>0</v>
      </c>
      <c r="G64">
        <f ca="1">IF(E64=1,(1+('Symulacja Pożyczka'!$B$7+4%)*((('Arkusz1 (2)'!B64-DATE(YEAR(B64),1,1)+1)/365)+((DATE(YEAR(B63),12,31)-'Arkusz1 (2)'!B63)/366))),IF(F64=1,(1+('Symulacja Pożyczka'!$B$7+4%)*((('Arkusz1 (2)'!B64-DATE(YEAR(B64),1,1)+1)/366)+((DATE(YEAR(B63),12,31)-'Arkusz1 (2)'!B63)/365))),0))</f>
        <v>0</v>
      </c>
      <c r="H64">
        <f t="shared" ca="1" si="2"/>
        <v>0</v>
      </c>
      <c r="I64">
        <f t="shared" ca="1" si="3"/>
        <v>1.0088328767123287</v>
      </c>
      <c r="J64">
        <f t="shared" ca="1" si="4"/>
        <v>1.0088328767123287</v>
      </c>
      <c r="K64">
        <f ca="1">PRODUCT($J$3:J64)</f>
        <v>1.7003208020470302</v>
      </c>
      <c r="L64">
        <f t="shared" ca="1" si="5"/>
        <v>0.58812431089244555</v>
      </c>
      <c r="M64">
        <f ca="1">SUM($L$3:L64)</f>
        <v>48.003262519020168</v>
      </c>
      <c r="O64">
        <f ca="1">(Q63*'Arkusz1 (2)'!J64)-Q63</f>
        <v>6691.601001993753</v>
      </c>
      <c r="P64" s="16">
        <f t="shared" ca="1" si="6"/>
        <v>9769.6805463757119</v>
      </c>
      <c r="Q64" s="17">
        <f t="shared" ca="1" si="7"/>
        <v>747809.21701185917</v>
      </c>
    </row>
    <row r="65" spans="1:17" x14ac:dyDescent="0.35">
      <c r="A65">
        <v>63</v>
      </c>
      <c r="B65" s="14">
        <f t="shared" ca="1" si="8"/>
        <v>47985</v>
      </c>
      <c r="C65" s="15">
        <f ca="1">(1+('Symulacja Pożyczka'!$B$7+4%)*('Arkusz1 (2)'!B65-'Arkusz1 (2)'!B64)/365)</f>
        <v>1.0085479452054795</v>
      </c>
      <c r="D65" s="15">
        <f ca="1">(1+('Symulacja Pożyczka'!$B$7+4%)*('Arkusz1 (2)'!B65-'Arkusz1 (2)'!B64)/366)</f>
        <v>1.0085245901639344</v>
      </c>
      <c r="E65" s="15">
        <f t="shared" ca="1" si="0"/>
        <v>0</v>
      </c>
      <c r="F65" s="15">
        <f t="shared" ca="1" si="1"/>
        <v>0</v>
      </c>
      <c r="G65">
        <f ca="1">IF(E65=1,(1+('Symulacja Pożyczka'!$B$7+4%)*((('Arkusz1 (2)'!B65-DATE(YEAR(B65),1,1)+1)/365)+((DATE(YEAR(B64),12,31)-'Arkusz1 (2)'!B64)/366))),IF(F65=1,(1+('Symulacja Pożyczka'!$B$7+4%)*((('Arkusz1 (2)'!B65-DATE(YEAR(B65),1,1)+1)/366)+((DATE(YEAR(B64),12,31)-'Arkusz1 (2)'!B64)/365))),0))</f>
        <v>0</v>
      </c>
      <c r="H65">
        <f t="shared" ca="1" si="2"/>
        <v>0</v>
      </c>
      <c r="I65">
        <f t="shared" ca="1" si="3"/>
        <v>1.0085479452054795</v>
      </c>
      <c r="J65">
        <f t="shared" ca="1" si="4"/>
        <v>1.0085479452054795</v>
      </c>
      <c r="K65">
        <f ca="1">PRODUCT($J$3:J65)</f>
        <v>1.7148550510946652</v>
      </c>
      <c r="L65">
        <f t="shared" ca="1" si="5"/>
        <v>0.58313966498897807</v>
      </c>
      <c r="M65">
        <f ca="1">SUM($L$3:L65)</f>
        <v>48.586402184009145</v>
      </c>
      <c r="O65">
        <f ca="1">(Q64*'Arkusz1 (2)'!J65)-Q64</f>
        <v>6392.2322111699032</v>
      </c>
      <c r="P65" s="16">
        <f t="shared" ca="1" si="6"/>
        <v>10069.049337199562</v>
      </c>
      <c r="Q65" s="17">
        <f t="shared" ca="1" si="7"/>
        <v>737740.16767465963</v>
      </c>
    </row>
    <row r="66" spans="1:17" x14ac:dyDescent="0.35">
      <c r="A66">
        <v>64</v>
      </c>
      <c r="B66" s="14">
        <f t="shared" ca="1" si="8"/>
        <v>48016</v>
      </c>
      <c r="C66" s="15">
        <f ca="1">(1+('Symulacja Pożyczka'!$B$7+4%)*('Arkusz1 (2)'!B66-'Arkusz1 (2)'!B65)/365)</f>
        <v>1.0088328767123287</v>
      </c>
      <c r="D66" s="15">
        <f ca="1">(1+('Symulacja Pożyczka'!$B$7+4%)*('Arkusz1 (2)'!B66-'Arkusz1 (2)'!B65)/366)</f>
        <v>1.0088087431693988</v>
      </c>
      <c r="E66" s="15">
        <f t="shared" ca="1" si="0"/>
        <v>0</v>
      </c>
      <c r="F66" s="15">
        <f t="shared" ca="1" si="1"/>
        <v>0</v>
      </c>
      <c r="G66">
        <f ca="1">IF(E66=1,(1+('Symulacja Pożyczka'!$B$7+4%)*((('Arkusz1 (2)'!B66-DATE(YEAR(B66),1,1)+1)/365)+((DATE(YEAR(B65),12,31)-'Arkusz1 (2)'!B65)/366))),IF(F66=1,(1+('Symulacja Pożyczka'!$B$7+4%)*((('Arkusz1 (2)'!B66-DATE(YEAR(B66),1,1)+1)/366)+((DATE(YEAR(B65),12,31)-'Arkusz1 (2)'!B65)/365))),0))</f>
        <v>0</v>
      </c>
      <c r="H66">
        <f t="shared" ca="1" si="2"/>
        <v>0</v>
      </c>
      <c r="I66">
        <f t="shared" ca="1" si="3"/>
        <v>1.0088328767123287</v>
      </c>
      <c r="J66">
        <f t="shared" ca="1" si="4"/>
        <v>1.0088328767123287</v>
      </c>
      <c r="K66">
        <f ca="1">PRODUCT($J$3:J66)</f>
        <v>1.7300021543404984</v>
      </c>
      <c r="L66">
        <f t="shared" ca="1" si="5"/>
        <v>0.57803396226475467</v>
      </c>
      <c r="M66">
        <f ca="1">SUM($L$3:L66)</f>
        <v>49.1644361462739</v>
      </c>
      <c r="O66">
        <f ca="1">(Q65*'Arkusz1 (2)'!J66)-Q65</f>
        <v>6516.3679468029877</v>
      </c>
      <c r="P66" s="16">
        <f t="shared" ca="1" si="6"/>
        <v>9944.9136015664772</v>
      </c>
      <c r="Q66" s="17">
        <f t="shared" ca="1" si="7"/>
        <v>727795.25407309318</v>
      </c>
    </row>
    <row r="67" spans="1:17" x14ac:dyDescent="0.35">
      <c r="A67">
        <v>65</v>
      </c>
      <c r="B67" s="14">
        <f t="shared" ca="1" si="8"/>
        <v>48046</v>
      </c>
      <c r="C67" s="15">
        <f ca="1">(1+('Symulacja Pożyczka'!$B$7+4%)*('Arkusz1 (2)'!B67-'Arkusz1 (2)'!B66)/365)</f>
        <v>1.0085479452054795</v>
      </c>
      <c r="D67" s="15">
        <f ca="1">(1+('Symulacja Pożyczka'!$B$7+4%)*('Arkusz1 (2)'!B67-'Arkusz1 (2)'!B66)/366)</f>
        <v>1.0085245901639344</v>
      </c>
      <c r="E67" s="15">
        <f t="shared" ca="1" si="0"/>
        <v>0</v>
      </c>
      <c r="F67" s="15">
        <f t="shared" ca="1" si="1"/>
        <v>0</v>
      </c>
      <c r="G67">
        <f ca="1">IF(E67=1,(1+('Symulacja Pożyczka'!$B$7+4%)*((('Arkusz1 (2)'!B67-DATE(YEAR(B67),1,1)+1)/365)+((DATE(YEAR(B66),12,31)-'Arkusz1 (2)'!B66)/366))),IF(F67=1,(1+('Symulacja Pożyczka'!$B$7+4%)*((('Arkusz1 (2)'!B67-DATE(YEAR(B67),1,1)+1)/366)+((DATE(YEAR(B66),12,31)-'Arkusz1 (2)'!B66)/365))),0))</f>
        <v>0</v>
      </c>
      <c r="H67">
        <f t="shared" ca="1" si="2"/>
        <v>0</v>
      </c>
      <c r="I67">
        <f t="shared" ca="1" si="3"/>
        <v>1.0085479452054795</v>
      </c>
      <c r="J67">
        <f t="shared" ca="1" si="4"/>
        <v>1.0085479452054795</v>
      </c>
      <c r="K67">
        <f ca="1">PRODUCT($J$3:J67)</f>
        <v>1.7447901179611625</v>
      </c>
      <c r="L67">
        <f t="shared" ca="1" si="5"/>
        <v>0.57313483708202617</v>
      </c>
      <c r="M67">
        <f ca="1">SUM($L$3:L67)</f>
        <v>49.737570983355923</v>
      </c>
      <c r="O67">
        <f ca="1">(Q66*'Arkusz1 (2)'!J67)-Q66</f>
        <v>6221.1539526248816</v>
      </c>
      <c r="P67" s="16">
        <f t="shared" ca="1" si="6"/>
        <v>10240.127595744583</v>
      </c>
      <c r="Q67" s="17">
        <f t="shared" ca="1" si="7"/>
        <v>717555.12647734862</v>
      </c>
    </row>
    <row r="68" spans="1:17" x14ac:dyDescent="0.35">
      <c r="A68">
        <v>66</v>
      </c>
      <c r="B68" s="14">
        <f t="shared" ca="1" si="8"/>
        <v>48077</v>
      </c>
      <c r="C68" s="15">
        <f ca="1">(1+('Symulacja Pożyczka'!$B$7+4%)*('Arkusz1 (2)'!B68-'Arkusz1 (2)'!B67)/365)</f>
        <v>1.0088328767123287</v>
      </c>
      <c r="D68" s="15">
        <f ca="1">(1+('Symulacja Pożyczka'!$B$7+4%)*('Arkusz1 (2)'!B68-'Arkusz1 (2)'!B67)/366)</f>
        <v>1.0088087431693988</v>
      </c>
      <c r="E68" s="15">
        <f t="shared" ref="E68:E131" ca="1" si="9">IF(AND(MOD(YEAR(B67),4)=0,MOD(YEAR(B68),4)&lt;&gt;0),1,0)</f>
        <v>0</v>
      </c>
      <c r="F68" s="15">
        <f t="shared" ref="F68:F131" ca="1" si="10">IF(AND(MOD(YEAR(B68),4)=0,MOD(YEAR(B67),4)&lt;&gt;0),1,0)</f>
        <v>0</v>
      </c>
      <c r="G68">
        <f ca="1">IF(E68=1,(1+('Symulacja Pożyczka'!$B$7+4%)*((('Arkusz1 (2)'!B68-DATE(YEAR(B68),1,1)+1)/365)+((DATE(YEAR(B67),12,31)-'Arkusz1 (2)'!B67)/366))),IF(F68=1,(1+('Symulacja Pożyczka'!$B$7+4%)*((('Arkusz1 (2)'!B68-DATE(YEAR(B68),1,1)+1)/366)+((DATE(YEAR(B67),12,31)-'Arkusz1 (2)'!B67)/365))),0))</f>
        <v>0</v>
      </c>
      <c r="H68">
        <f t="shared" ref="H68:H131" ca="1" si="11">IF(MOD(YEAR(B68),4)=0,1,0)</f>
        <v>0</v>
      </c>
      <c r="I68">
        <f t="shared" ref="I68:I131" ca="1" si="12">IF(H68=0,C68,IF(H68=1,D68,"blad"))</f>
        <v>1.0088328767123287</v>
      </c>
      <c r="J68">
        <f t="shared" ref="J68:J131" ca="1" si="13">IF(OR(E68=1,F68=1),G68,I68)</f>
        <v>1.0088328767123287</v>
      </c>
      <c r="K68">
        <f ca="1">PRODUCT($J$3:J68)</f>
        <v>1.7602016339620028</v>
      </c>
      <c r="L68">
        <f t="shared" ref="L68:L131" ca="1" si="14">1/K68</f>
        <v>0.56811673202979585</v>
      </c>
      <c r="M68">
        <f ca="1">SUM($L$3:L68)</f>
        <v>50.305687715385716</v>
      </c>
      <c r="O68">
        <f ca="1">(Q67*'Arkusz1 (2)'!J68)-Q67</f>
        <v>6338.0759664737852</v>
      </c>
      <c r="P68" s="16">
        <f t="shared" ca="1" si="6"/>
        <v>10123.20558189568</v>
      </c>
      <c r="Q68" s="17">
        <f t="shared" ca="1" si="7"/>
        <v>707431.92089545296</v>
      </c>
    </row>
    <row r="69" spans="1:17" x14ac:dyDescent="0.35">
      <c r="A69">
        <v>67</v>
      </c>
      <c r="B69" s="14">
        <f t="shared" ca="1" si="8"/>
        <v>48108</v>
      </c>
      <c r="C69" s="15">
        <f ca="1">(1+('Symulacja Pożyczka'!$B$7+4%)*('Arkusz1 (2)'!B69-'Arkusz1 (2)'!B68)/365)</f>
        <v>1.0088328767123287</v>
      </c>
      <c r="D69" s="15">
        <f ca="1">(1+('Symulacja Pożyczka'!$B$7+4%)*('Arkusz1 (2)'!B69-'Arkusz1 (2)'!B68)/366)</f>
        <v>1.0088087431693988</v>
      </c>
      <c r="E69" s="15">
        <f t="shared" ca="1" si="9"/>
        <v>0</v>
      </c>
      <c r="F69" s="15">
        <f t="shared" ca="1" si="10"/>
        <v>0</v>
      </c>
      <c r="G69">
        <f ca="1">IF(E69=1,(1+('Symulacja Pożyczka'!$B$7+4%)*((('Arkusz1 (2)'!B69-DATE(YEAR(B69),1,1)+1)/365)+((DATE(YEAR(B68),12,31)-'Arkusz1 (2)'!B68)/366))),IF(F69=1,(1+('Symulacja Pożyczka'!$B$7+4%)*((('Arkusz1 (2)'!B69-DATE(YEAR(B69),1,1)+1)/366)+((DATE(YEAR(B68),12,31)-'Arkusz1 (2)'!B68)/365))),0))</f>
        <v>0</v>
      </c>
      <c r="H69">
        <f t="shared" ca="1" si="11"/>
        <v>0</v>
      </c>
      <c r="I69">
        <f t="shared" ca="1" si="12"/>
        <v>1.0088328767123287</v>
      </c>
      <c r="J69">
        <f t="shared" ca="1" si="13"/>
        <v>1.0088328767123287</v>
      </c>
      <c r="K69">
        <f ca="1">PRODUCT($J$3:J69)</f>
        <v>1.7757492779836286</v>
      </c>
      <c r="L69">
        <f t="shared" ca="1" si="14"/>
        <v>0.56314256319760669</v>
      </c>
      <c r="M69">
        <f ca="1">SUM($L$3:L69)</f>
        <v>50.868830278583324</v>
      </c>
      <c r="O69">
        <f ca="1">(Q68*'Arkusz1 (2)'!J69)-Q68</f>
        <v>6248.6589396353811</v>
      </c>
      <c r="P69" s="16">
        <f t="shared" ref="P69:P132" ca="1" si="15">$N$2-O69</f>
        <v>10212.622608734084</v>
      </c>
      <c r="Q69" s="17">
        <f t="shared" ref="Q69:Q132" ca="1" si="16">Q68-P69</f>
        <v>697219.2982867189</v>
      </c>
    </row>
    <row r="70" spans="1:17" x14ac:dyDescent="0.35">
      <c r="A70">
        <v>68</v>
      </c>
      <c r="B70" s="14">
        <f t="shared" ref="B70:B133" ca="1" si="17">DATE(YEAR((B69)),MONTH((B69))+1,IF(AND(DAY(B69)&gt;28,MONTH((B69))+1=2),IF(MOD(YEAR(B69),4)=0,29,28),IF(AND(OR(DAY(B69)=28,DAY(B69)=29),MONTH((B69))=2),DAY(B68),DAY(B69))))</f>
        <v>48138</v>
      </c>
      <c r="C70" s="15">
        <f ca="1">(1+('Symulacja Pożyczka'!$B$7+4%)*('Arkusz1 (2)'!B70-'Arkusz1 (2)'!B69)/365)</f>
        <v>1.0085479452054795</v>
      </c>
      <c r="D70" s="15">
        <f ca="1">(1+('Symulacja Pożyczka'!$B$7+4%)*('Arkusz1 (2)'!B70-'Arkusz1 (2)'!B69)/366)</f>
        <v>1.0085245901639344</v>
      </c>
      <c r="E70" s="15">
        <f t="shared" ca="1" si="9"/>
        <v>0</v>
      </c>
      <c r="F70" s="15">
        <f t="shared" ca="1" si="10"/>
        <v>0</v>
      </c>
      <c r="G70">
        <f ca="1">IF(E70=1,(1+('Symulacja Pożyczka'!$B$7+4%)*((('Arkusz1 (2)'!B70-DATE(YEAR(B70),1,1)+1)/365)+((DATE(YEAR(B69),12,31)-'Arkusz1 (2)'!B69)/366))),IF(F70=1,(1+('Symulacja Pożyczka'!$B$7+4%)*((('Arkusz1 (2)'!B70-DATE(YEAR(B70),1,1)+1)/366)+((DATE(YEAR(B69),12,31)-'Arkusz1 (2)'!B69)/365))),0))</f>
        <v>0</v>
      </c>
      <c r="H70">
        <f t="shared" ca="1" si="11"/>
        <v>0</v>
      </c>
      <c r="I70">
        <f t="shared" ca="1" si="12"/>
        <v>1.0085479452054795</v>
      </c>
      <c r="J70">
        <f t="shared" ca="1" si="13"/>
        <v>1.0085479452054795</v>
      </c>
      <c r="K70">
        <f ca="1">PRODUCT($J$3:J70)</f>
        <v>1.7909282855105024</v>
      </c>
      <c r="L70">
        <f t="shared" ca="1" si="14"/>
        <v>0.558369650024792</v>
      </c>
      <c r="M70">
        <f ca="1">SUM($L$3:L70)</f>
        <v>51.427199928608118</v>
      </c>
      <c r="O70">
        <f ca="1">(Q69*'Arkusz1 (2)'!J70)-Q69</f>
        <v>5959.7923579578055</v>
      </c>
      <c r="P70" s="16">
        <f t="shared" ca="1" si="15"/>
        <v>10501.489190411659</v>
      </c>
      <c r="Q70" s="17">
        <f t="shared" ca="1" si="16"/>
        <v>686717.80909630726</v>
      </c>
    </row>
    <row r="71" spans="1:17" x14ac:dyDescent="0.35">
      <c r="A71">
        <v>69</v>
      </c>
      <c r="B71" s="14">
        <f t="shared" ca="1" si="17"/>
        <v>48169</v>
      </c>
      <c r="C71" s="15">
        <f ca="1">(1+('Symulacja Pożyczka'!$B$7+4%)*('Arkusz1 (2)'!B71-'Arkusz1 (2)'!B70)/365)</f>
        <v>1.0088328767123287</v>
      </c>
      <c r="D71" s="15">
        <f ca="1">(1+('Symulacja Pożyczka'!$B$7+4%)*('Arkusz1 (2)'!B71-'Arkusz1 (2)'!B70)/366)</f>
        <v>1.0088087431693988</v>
      </c>
      <c r="E71" s="15">
        <f t="shared" ca="1" si="9"/>
        <v>0</v>
      </c>
      <c r="F71" s="15">
        <f t="shared" ca="1" si="10"/>
        <v>0</v>
      </c>
      <c r="G71">
        <f ca="1">IF(E71=1,(1+('Symulacja Pożyczka'!$B$7+4%)*((('Arkusz1 (2)'!B71-DATE(YEAR(B71),1,1)+1)/365)+((DATE(YEAR(B70),12,31)-'Arkusz1 (2)'!B70)/366))),IF(F71=1,(1+('Symulacja Pożyczka'!$B$7+4%)*((('Arkusz1 (2)'!B71-DATE(YEAR(B71),1,1)+1)/366)+((DATE(YEAR(B70),12,31)-'Arkusz1 (2)'!B70)/365))),0))</f>
        <v>0</v>
      </c>
      <c r="H71">
        <f t="shared" ca="1" si="11"/>
        <v>0</v>
      </c>
      <c r="I71">
        <f t="shared" ca="1" si="12"/>
        <v>1.0088328767123287</v>
      </c>
      <c r="J71">
        <f t="shared" ca="1" si="13"/>
        <v>1.0088328767123287</v>
      </c>
      <c r="K71">
        <f ca="1">PRODUCT($J$3:J71)</f>
        <v>1.8067473342570388</v>
      </c>
      <c r="L71">
        <f t="shared" ca="1" si="14"/>
        <v>0.55348082216001426</v>
      </c>
      <c r="M71">
        <f ca="1">SUM($L$3:L71)</f>
        <v>51.98068075076813</v>
      </c>
      <c r="O71">
        <f ca="1">(Q70*'Arkusz1 (2)'!J71)-Q70</f>
        <v>6065.6937439081958</v>
      </c>
      <c r="P71" s="16">
        <f t="shared" ca="1" si="15"/>
        <v>10395.587804461269</v>
      </c>
      <c r="Q71" s="17">
        <f t="shared" ca="1" si="16"/>
        <v>676322.22129184601</v>
      </c>
    </row>
    <row r="72" spans="1:17" x14ac:dyDescent="0.35">
      <c r="A72">
        <v>70</v>
      </c>
      <c r="B72" s="14">
        <f t="shared" ca="1" si="17"/>
        <v>48199</v>
      </c>
      <c r="C72" s="15">
        <f ca="1">(1+('Symulacja Pożyczka'!$B$7+4%)*('Arkusz1 (2)'!B72-'Arkusz1 (2)'!B71)/365)</f>
        <v>1.0085479452054795</v>
      </c>
      <c r="D72" s="15">
        <f ca="1">(1+('Symulacja Pożyczka'!$B$7+4%)*('Arkusz1 (2)'!B72-'Arkusz1 (2)'!B71)/366)</f>
        <v>1.0085245901639344</v>
      </c>
      <c r="E72" s="15">
        <f t="shared" ca="1" si="9"/>
        <v>0</v>
      </c>
      <c r="F72" s="15">
        <f t="shared" ca="1" si="10"/>
        <v>0</v>
      </c>
      <c r="G72">
        <f ca="1">IF(E72=1,(1+('Symulacja Pożyczka'!$B$7+4%)*((('Arkusz1 (2)'!B72-DATE(YEAR(B72),1,1)+1)/365)+((DATE(YEAR(B71),12,31)-'Arkusz1 (2)'!B71)/366))),IF(F72=1,(1+('Symulacja Pożyczka'!$B$7+4%)*((('Arkusz1 (2)'!B72-DATE(YEAR(B72),1,1)+1)/366)+((DATE(YEAR(B71),12,31)-'Arkusz1 (2)'!B71)/365))),0))</f>
        <v>0</v>
      </c>
      <c r="H72">
        <f t="shared" ca="1" si="11"/>
        <v>0</v>
      </c>
      <c r="I72">
        <f t="shared" ca="1" si="12"/>
        <v>1.0085479452054795</v>
      </c>
      <c r="J72">
        <f t="shared" ca="1" si="13"/>
        <v>1.0085479452054795</v>
      </c>
      <c r="K72">
        <f ca="1">PRODUCT($J$3:J72)</f>
        <v>1.8221913114704142</v>
      </c>
      <c r="L72">
        <f t="shared" ca="1" si="14"/>
        <v>0.54878979704554276</v>
      </c>
      <c r="M72">
        <f ca="1">SUM($L$3:L72)</f>
        <v>52.529470547813673</v>
      </c>
      <c r="O72">
        <f ca="1">(Q71*'Arkusz1 (2)'!J72)-Q71</f>
        <v>5781.1652888508979</v>
      </c>
      <c r="P72" s="16">
        <f t="shared" ca="1" si="15"/>
        <v>10680.116259518567</v>
      </c>
      <c r="Q72" s="17">
        <f t="shared" ca="1" si="16"/>
        <v>665642.10503232747</v>
      </c>
    </row>
    <row r="73" spans="1:17" x14ac:dyDescent="0.35">
      <c r="A73">
        <v>71</v>
      </c>
      <c r="B73" s="14">
        <f t="shared" ca="1" si="17"/>
        <v>48230</v>
      </c>
      <c r="C73" s="15">
        <f ca="1">(1+('Symulacja Pożyczka'!$B$7+4%)*('Arkusz1 (2)'!B73-'Arkusz1 (2)'!B72)/365)</f>
        <v>1.0088328767123287</v>
      </c>
      <c r="D73" s="15">
        <f ca="1">(1+('Symulacja Pożyczka'!$B$7+4%)*('Arkusz1 (2)'!B73-'Arkusz1 (2)'!B72)/366)</f>
        <v>1.0088087431693988</v>
      </c>
      <c r="E73" s="15">
        <f t="shared" ca="1" si="9"/>
        <v>0</v>
      </c>
      <c r="F73" s="15">
        <f t="shared" ca="1" si="10"/>
        <v>1</v>
      </c>
      <c r="G73">
        <f ca="1">IF(E73=1,(1+('Symulacja Pożyczka'!$B$7+4%)*((('Arkusz1 (2)'!B73-DATE(YEAR(B73),1,1)+1)/365)+((DATE(YEAR(B72),12,31)-'Arkusz1 (2)'!B72)/366))),IF(F73=1,(1+('Symulacja Pożyczka'!$B$7+4%)*((('Arkusz1 (2)'!B73-DATE(YEAR(B73),1,1)+1)/366)+((DATE(YEAR(B72),12,31)-'Arkusz1 (2)'!B72)/365))),0))</f>
        <v>1.0088196421887865</v>
      </c>
      <c r="H73">
        <f t="shared" ca="1" si="11"/>
        <v>1</v>
      </c>
      <c r="I73">
        <f t="shared" ca="1" si="12"/>
        <v>1.0088087431693988</v>
      </c>
      <c r="J73">
        <f t="shared" ca="1" si="13"/>
        <v>1.0088196421887865</v>
      </c>
      <c r="K73">
        <f ca="1">PRODUCT($J$3:J73)</f>
        <v>1.8382623868370989</v>
      </c>
      <c r="L73">
        <f t="shared" ca="1" si="14"/>
        <v>0.54399198240714308</v>
      </c>
      <c r="M73">
        <f ca="1">SUM($L$3:L73)</f>
        <v>53.073462530220816</v>
      </c>
      <c r="O73">
        <f ca="1">(Q72*'Arkusz1 (2)'!J73)-Q72</f>
        <v>5870.7251921758289</v>
      </c>
      <c r="P73" s="16">
        <f t="shared" ca="1" si="15"/>
        <v>10590.556356193636</v>
      </c>
      <c r="Q73" s="17">
        <f t="shared" ca="1" si="16"/>
        <v>655051.54867613385</v>
      </c>
    </row>
    <row r="74" spans="1:17" x14ac:dyDescent="0.35">
      <c r="A74">
        <v>72</v>
      </c>
      <c r="B74" s="14">
        <f t="shared" ca="1" si="17"/>
        <v>48261</v>
      </c>
      <c r="C74" s="15">
        <f ca="1">(1+('Symulacja Pożyczka'!$B$7+4%)*('Arkusz1 (2)'!B74-'Arkusz1 (2)'!B73)/365)</f>
        <v>1.0088328767123287</v>
      </c>
      <c r="D74" s="15">
        <f ca="1">(1+('Symulacja Pożyczka'!$B$7+4%)*('Arkusz1 (2)'!B74-'Arkusz1 (2)'!B73)/366)</f>
        <v>1.0088087431693988</v>
      </c>
      <c r="E74" s="15">
        <f t="shared" ca="1" si="9"/>
        <v>0</v>
      </c>
      <c r="F74" s="15">
        <f t="shared" ca="1" si="10"/>
        <v>0</v>
      </c>
      <c r="G74">
        <f ca="1">IF(E74=1,(1+('Symulacja Pożyczka'!$B$7+4%)*((('Arkusz1 (2)'!B74-DATE(YEAR(B74),1,1)+1)/365)+((DATE(YEAR(B73),12,31)-'Arkusz1 (2)'!B73)/366))),IF(F74=1,(1+('Symulacja Pożyczka'!$B$7+4%)*((('Arkusz1 (2)'!B74-DATE(YEAR(B74),1,1)+1)/366)+((DATE(YEAR(B73),12,31)-'Arkusz1 (2)'!B73)/365))),0))</f>
        <v>0</v>
      </c>
      <c r="H74">
        <f t="shared" ca="1" si="11"/>
        <v>1</v>
      </c>
      <c r="I74">
        <f t="shared" ca="1" si="12"/>
        <v>1.0088087431693988</v>
      </c>
      <c r="J74">
        <f t="shared" ca="1" si="13"/>
        <v>1.0088087431693988</v>
      </c>
      <c r="K74">
        <f ca="1">PRODUCT($J$3:J74)</f>
        <v>1.8544551680807129</v>
      </c>
      <c r="L74">
        <f t="shared" ca="1" si="14"/>
        <v>0.53924193866328951</v>
      </c>
      <c r="M74">
        <f ca="1">SUM($L$3:L74)</f>
        <v>53.612704468884104</v>
      </c>
      <c r="O74">
        <f ca="1">(Q73*'Arkusz1 (2)'!J74)-Q73</f>
        <v>5770.1808550050482</v>
      </c>
      <c r="P74" s="16">
        <f t="shared" ca="1" si="15"/>
        <v>10691.100693364417</v>
      </c>
      <c r="Q74" s="17">
        <f t="shared" ca="1" si="16"/>
        <v>644360.44798276946</v>
      </c>
    </row>
    <row r="75" spans="1:17" x14ac:dyDescent="0.35">
      <c r="A75">
        <v>73</v>
      </c>
      <c r="B75" s="14">
        <f t="shared" ca="1" si="17"/>
        <v>48290</v>
      </c>
      <c r="C75" s="15">
        <f ca="1">(1+('Symulacja Pożyczka'!$B$7+4%)*('Arkusz1 (2)'!B75-'Arkusz1 (2)'!B74)/365)</f>
        <v>1.0082630136986301</v>
      </c>
      <c r="D75" s="15">
        <f ca="1">(1+('Symulacja Pożyczka'!$B$7+4%)*('Arkusz1 (2)'!B75-'Arkusz1 (2)'!B74)/366)</f>
        <v>1.0082404371584699</v>
      </c>
      <c r="E75" s="15">
        <f t="shared" ca="1" si="9"/>
        <v>0</v>
      </c>
      <c r="F75" s="15">
        <f t="shared" ca="1" si="10"/>
        <v>0</v>
      </c>
      <c r="G75">
        <f ca="1">IF(E75=1,(1+('Symulacja Pożyczka'!$B$7+4%)*((('Arkusz1 (2)'!B75-DATE(YEAR(B75),1,1)+1)/365)+((DATE(YEAR(B74),12,31)-'Arkusz1 (2)'!B74)/366))),IF(F75=1,(1+('Symulacja Pożyczka'!$B$7+4%)*((('Arkusz1 (2)'!B75-DATE(YEAR(B75),1,1)+1)/366)+((DATE(YEAR(B74),12,31)-'Arkusz1 (2)'!B74)/365))),0))</f>
        <v>0</v>
      </c>
      <c r="H75">
        <f t="shared" ca="1" si="11"/>
        <v>1</v>
      </c>
      <c r="I75">
        <f t="shared" ca="1" si="12"/>
        <v>1.0082404371584699</v>
      </c>
      <c r="J75">
        <f t="shared" ca="1" si="13"/>
        <v>1.0082404371584699</v>
      </c>
      <c r="K75">
        <f ca="1">PRODUCT($J$3:J75)</f>
        <v>1.8697366893564817</v>
      </c>
      <c r="L75">
        <f t="shared" ca="1" si="14"/>
        <v>0.5348346671980726</v>
      </c>
      <c r="M75">
        <f ca="1">SUM($L$3:L75)</f>
        <v>54.147539136082173</v>
      </c>
      <c r="O75">
        <f ca="1">(Q74*'Arkusz1 (2)'!J75)-Q74</f>
        <v>5309.8117790055694</v>
      </c>
      <c r="P75" s="16">
        <f t="shared" ca="1" si="15"/>
        <v>11151.469769363895</v>
      </c>
      <c r="Q75" s="17">
        <f t="shared" ca="1" si="16"/>
        <v>633208.97821340559</v>
      </c>
    </row>
    <row r="76" spans="1:17" x14ac:dyDescent="0.35">
      <c r="A76">
        <v>74</v>
      </c>
      <c r="B76" s="14">
        <f t="shared" ca="1" si="17"/>
        <v>48321</v>
      </c>
      <c r="C76" s="15">
        <f ca="1">(1+('Symulacja Pożyczka'!$B$7+4%)*('Arkusz1 (2)'!B76-'Arkusz1 (2)'!B75)/365)</f>
        <v>1.0088328767123287</v>
      </c>
      <c r="D76" s="15">
        <f ca="1">(1+('Symulacja Pożyczka'!$B$7+4%)*('Arkusz1 (2)'!B76-'Arkusz1 (2)'!B75)/366)</f>
        <v>1.0088087431693988</v>
      </c>
      <c r="E76" s="15">
        <f t="shared" ca="1" si="9"/>
        <v>0</v>
      </c>
      <c r="F76" s="15">
        <f t="shared" ca="1" si="10"/>
        <v>0</v>
      </c>
      <c r="G76">
        <f ca="1">IF(E76=1,(1+('Symulacja Pożyczka'!$B$7+4%)*((('Arkusz1 (2)'!B76-DATE(YEAR(B76),1,1)+1)/365)+((DATE(YEAR(B75),12,31)-'Arkusz1 (2)'!B75)/366))),IF(F76=1,(1+('Symulacja Pożyczka'!$B$7+4%)*((('Arkusz1 (2)'!B76-DATE(YEAR(B76),1,1)+1)/366)+((DATE(YEAR(B75),12,31)-'Arkusz1 (2)'!B75)/365))),0))</f>
        <v>0</v>
      </c>
      <c r="H76">
        <f t="shared" ca="1" si="11"/>
        <v>1</v>
      </c>
      <c r="I76">
        <f t="shared" ca="1" si="12"/>
        <v>1.0088087431693988</v>
      </c>
      <c r="J76">
        <f t="shared" ca="1" si="13"/>
        <v>1.0088087431693988</v>
      </c>
      <c r="K76">
        <f ca="1">PRODUCT($J$3:J76)</f>
        <v>1.886206719647425</v>
      </c>
      <c r="L76">
        <f t="shared" ca="1" si="14"/>
        <v>0.53016458354412122</v>
      </c>
      <c r="M76">
        <f ca="1">SUM($L$3:L76)</f>
        <v>54.677703719626294</v>
      </c>
      <c r="O76">
        <f ca="1">(Q75*'Arkusz1 (2)'!J76)-Q75</f>
        <v>5577.7752616393846</v>
      </c>
      <c r="P76" s="16">
        <f t="shared" ca="1" si="15"/>
        <v>10883.50628673008</v>
      </c>
      <c r="Q76" s="17">
        <f t="shared" ca="1" si="16"/>
        <v>622325.47192667553</v>
      </c>
    </row>
    <row r="77" spans="1:17" x14ac:dyDescent="0.35">
      <c r="A77">
        <v>75</v>
      </c>
      <c r="B77" s="14">
        <f t="shared" ca="1" si="17"/>
        <v>48351</v>
      </c>
      <c r="C77" s="15">
        <f ca="1">(1+('Symulacja Pożyczka'!$B$7+4%)*('Arkusz1 (2)'!B77-'Arkusz1 (2)'!B76)/365)</f>
        <v>1.0085479452054795</v>
      </c>
      <c r="D77" s="15">
        <f ca="1">(1+('Symulacja Pożyczka'!$B$7+4%)*('Arkusz1 (2)'!B77-'Arkusz1 (2)'!B76)/366)</f>
        <v>1.0085245901639344</v>
      </c>
      <c r="E77" s="15">
        <f t="shared" ca="1" si="9"/>
        <v>0</v>
      </c>
      <c r="F77" s="15">
        <f t="shared" ca="1" si="10"/>
        <v>0</v>
      </c>
      <c r="G77">
        <f ca="1">IF(E77=1,(1+('Symulacja Pożyczka'!$B$7+4%)*((('Arkusz1 (2)'!B77-DATE(YEAR(B77),1,1)+1)/365)+((DATE(YEAR(B76),12,31)-'Arkusz1 (2)'!B76)/366))),IF(F77=1,(1+('Symulacja Pożyczka'!$B$7+4%)*((('Arkusz1 (2)'!B77-DATE(YEAR(B77),1,1)+1)/366)+((DATE(YEAR(B76),12,31)-'Arkusz1 (2)'!B76)/365))),0))</f>
        <v>0</v>
      </c>
      <c r="H77">
        <f t="shared" ca="1" si="11"/>
        <v>1</v>
      </c>
      <c r="I77">
        <f t="shared" ca="1" si="12"/>
        <v>1.0085245901639344</v>
      </c>
      <c r="J77">
        <f t="shared" ca="1" si="13"/>
        <v>1.0085245901639344</v>
      </c>
      <c r="K77">
        <f ca="1">PRODUCT($J$3:J77)</f>
        <v>1.9022858588968783</v>
      </c>
      <c r="L77">
        <f t="shared" ca="1" si="14"/>
        <v>0.52568334844264297</v>
      </c>
      <c r="M77">
        <f ca="1">SUM($L$3:L77)</f>
        <v>55.203387068068935</v>
      </c>
      <c r="O77">
        <f ca="1">(Q76*'Arkusz1 (2)'!J77)-Q76</f>
        <v>5305.0695967519423</v>
      </c>
      <c r="P77" s="16">
        <f t="shared" ca="1" si="15"/>
        <v>11156.211951617523</v>
      </c>
      <c r="Q77" s="17">
        <f t="shared" ca="1" si="16"/>
        <v>611169.25997505803</v>
      </c>
    </row>
    <row r="78" spans="1:17" x14ac:dyDescent="0.35">
      <c r="A78">
        <v>76</v>
      </c>
      <c r="B78" s="14">
        <f t="shared" ca="1" si="17"/>
        <v>48382</v>
      </c>
      <c r="C78" s="15">
        <f ca="1">(1+('Symulacja Pożyczka'!$B$7+4%)*('Arkusz1 (2)'!B78-'Arkusz1 (2)'!B77)/365)</f>
        <v>1.0088328767123287</v>
      </c>
      <c r="D78" s="15">
        <f ca="1">(1+('Symulacja Pożyczka'!$B$7+4%)*('Arkusz1 (2)'!B78-'Arkusz1 (2)'!B77)/366)</f>
        <v>1.0088087431693988</v>
      </c>
      <c r="E78" s="15">
        <f t="shared" ca="1" si="9"/>
        <v>0</v>
      </c>
      <c r="F78" s="15">
        <f t="shared" ca="1" si="10"/>
        <v>0</v>
      </c>
      <c r="G78">
        <f ca="1">IF(E78=1,(1+('Symulacja Pożyczka'!$B$7+4%)*((('Arkusz1 (2)'!B78-DATE(YEAR(B78),1,1)+1)/365)+((DATE(YEAR(B77),12,31)-'Arkusz1 (2)'!B77)/366))),IF(F78=1,(1+('Symulacja Pożyczka'!$B$7+4%)*((('Arkusz1 (2)'!B78-DATE(YEAR(B78),1,1)+1)/366)+((DATE(YEAR(B77),12,31)-'Arkusz1 (2)'!B77)/365))),0))</f>
        <v>0</v>
      </c>
      <c r="H78">
        <f t="shared" ca="1" si="11"/>
        <v>1</v>
      </c>
      <c r="I78">
        <f t="shared" ca="1" si="12"/>
        <v>1.0088087431693988</v>
      </c>
      <c r="J78">
        <f t="shared" ca="1" si="13"/>
        <v>1.0088087431693988</v>
      </c>
      <c r="K78">
        <f ca="1">PRODUCT($J$3:J78)</f>
        <v>1.9190426064626802</v>
      </c>
      <c r="L78">
        <f t="shared" ca="1" si="14"/>
        <v>0.52109317251859932</v>
      </c>
      <c r="M78">
        <f ca="1">SUM($L$3:L78)</f>
        <v>55.724480240587532</v>
      </c>
      <c r="O78">
        <f ca="1">(Q77*'Arkusz1 (2)'!J78)-Q77</f>
        <v>5383.6330441518221</v>
      </c>
      <c r="P78" s="16">
        <f t="shared" ca="1" si="15"/>
        <v>11077.648504217643</v>
      </c>
      <c r="Q78" s="17">
        <f t="shared" ca="1" si="16"/>
        <v>600091.61147084041</v>
      </c>
    </row>
    <row r="79" spans="1:17" x14ac:dyDescent="0.35">
      <c r="A79">
        <v>77</v>
      </c>
      <c r="B79" s="14">
        <f t="shared" ca="1" si="17"/>
        <v>48412</v>
      </c>
      <c r="C79" s="15">
        <f ca="1">(1+('Symulacja Pożyczka'!$B$7+4%)*('Arkusz1 (2)'!B79-'Arkusz1 (2)'!B78)/365)</f>
        <v>1.0085479452054795</v>
      </c>
      <c r="D79" s="15">
        <f ca="1">(1+('Symulacja Pożyczka'!$B$7+4%)*('Arkusz1 (2)'!B79-'Arkusz1 (2)'!B78)/366)</f>
        <v>1.0085245901639344</v>
      </c>
      <c r="E79" s="15">
        <f t="shared" ca="1" si="9"/>
        <v>0</v>
      </c>
      <c r="F79" s="15">
        <f t="shared" ca="1" si="10"/>
        <v>0</v>
      </c>
      <c r="G79">
        <f ca="1">IF(E79=1,(1+('Symulacja Pożyczka'!$B$7+4%)*((('Arkusz1 (2)'!B79-DATE(YEAR(B79),1,1)+1)/365)+((DATE(YEAR(B78),12,31)-'Arkusz1 (2)'!B78)/366))),IF(F79=1,(1+('Symulacja Pożyczka'!$B$7+4%)*((('Arkusz1 (2)'!B79-DATE(YEAR(B79),1,1)+1)/366)+((DATE(YEAR(B78),12,31)-'Arkusz1 (2)'!B78)/365))),0))</f>
        <v>0</v>
      </c>
      <c r="H79">
        <f t="shared" ca="1" si="11"/>
        <v>1</v>
      </c>
      <c r="I79">
        <f t="shared" ca="1" si="12"/>
        <v>1.0085245901639344</v>
      </c>
      <c r="J79">
        <f t="shared" ca="1" si="13"/>
        <v>1.0085245901639344</v>
      </c>
      <c r="K79">
        <f ca="1">PRODUCT($J$3:J79)</f>
        <v>1.935401658189903</v>
      </c>
      <c r="L79">
        <f t="shared" ca="1" si="14"/>
        <v>0.51668861384321463</v>
      </c>
      <c r="M79">
        <f ca="1">SUM($L$3:L79)</f>
        <v>56.241168854430747</v>
      </c>
      <c r="O79">
        <f ca="1">(Q78*'Arkusz1 (2)'!J79)-Q78</f>
        <v>5115.5350486038951</v>
      </c>
      <c r="P79" s="16">
        <f t="shared" ca="1" si="15"/>
        <v>11345.74649976557</v>
      </c>
      <c r="Q79" s="17">
        <f t="shared" ca="1" si="16"/>
        <v>588745.86497107486</v>
      </c>
    </row>
    <row r="80" spans="1:17" x14ac:dyDescent="0.35">
      <c r="A80">
        <v>78</v>
      </c>
      <c r="B80" s="14">
        <f t="shared" ca="1" si="17"/>
        <v>48443</v>
      </c>
      <c r="C80" s="15">
        <f ca="1">(1+('Symulacja Pożyczka'!$B$7+4%)*('Arkusz1 (2)'!B80-'Arkusz1 (2)'!B79)/365)</f>
        <v>1.0088328767123287</v>
      </c>
      <c r="D80" s="15">
        <f ca="1">(1+('Symulacja Pożyczka'!$B$7+4%)*('Arkusz1 (2)'!B80-'Arkusz1 (2)'!B79)/366)</f>
        <v>1.0088087431693988</v>
      </c>
      <c r="E80" s="15">
        <f t="shared" ca="1" si="9"/>
        <v>0</v>
      </c>
      <c r="F80" s="15">
        <f t="shared" ca="1" si="10"/>
        <v>0</v>
      </c>
      <c r="G80">
        <f ca="1">IF(E80=1,(1+('Symulacja Pożyczka'!$B$7+4%)*((('Arkusz1 (2)'!B80-DATE(YEAR(B80),1,1)+1)/365)+((DATE(YEAR(B79),12,31)-'Arkusz1 (2)'!B79)/366))),IF(F80=1,(1+('Symulacja Pożyczka'!$B$7+4%)*((('Arkusz1 (2)'!B80-DATE(YEAR(B80),1,1)+1)/366)+((DATE(YEAR(B79),12,31)-'Arkusz1 (2)'!B79)/365))),0))</f>
        <v>0</v>
      </c>
      <c r="H80">
        <f t="shared" ca="1" si="11"/>
        <v>1</v>
      </c>
      <c r="I80">
        <f t="shared" ca="1" si="12"/>
        <v>1.0088087431693988</v>
      </c>
      <c r="J80">
        <f t="shared" ca="1" si="13"/>
        <v>1.0088087431693988</v>
      </c>
      <c r="K80">
        <f ca="1">PRODUCT($J$3:J80)</f>
        <v>1.9524501143265265</v>
      </c>
      <c r="L80">
        <f t="shared" ca="1" si="14"/>
        <v>0.51217697838335685</v>
      </c>
      <c r="M80">
        <f ca="1">SUM($L$3:L80)</f>
        <v>56.753345832814105</v>
      </c>
      <c r="O80">
        <f ca="1">(Q79*'Arkusz1 (2)'!J80)-Q79</f>
        <v>5186.1111165757757</v>
      </c>
      <c r="P80" s="16">
        <f t="shared" ca="1" si="15"/>
        <v>11275.170431793689</v>
      </c>
      <c r="Q80" s="17">
        <f t="shared" ca="1" si="16"/>
        <v>577470.69453928119</v>
      </c>
    </row>
    <row r="81" spans="1:17" x14ac:dyDescent="0.35">
      <c r="A81">
        <v>79</v>
      </c>
      <c r="B81" s="14">
        <f t="shared" ca="1" si="17"/>
        <v>48474</v>
      </c>
      <c r="C81" s="15">
        <f ca="1">(1+('Symulacja Pożyczka'!$B$7+4%)*('Arkusz1 (2)'!B81-'Arkusz1 (2)'!B80)/365)</f>
        <v>1.0088328767123287</v>
      </c>
      <c r="D81" s="15">
        <f ca="1">(1+('Symulacja Pożyczka'!$B$7+4%)*('Arkusz1 (2)'!B81-'Arkusz1 (2)'!B80)/366)</f>
        <v>1.0088087431693988</v>
      </c>
      <c r="E81" s="15">
        <f t="shared" ca="1" si="9"/>
        <v>0</v>
      </c>
      <c r="F81" s="15">
        <f t="shared" ca="1" si="10"/>
        <v>0</v>
      </c>
      <c r="G81">
        <f ca="1">IF(E81=1,(1+('Symulacja Pożyczka'!$B$7+4%)*((('Arkusz1 (2)'!B81-DATE(YEAR(B81),1,1)+1)/365)+((DATE(YEAR(B80),12,31)-'Arkusz1 (2)'!B80)/366))),IF(F81=1,(1+('Symulacja Pożyczka'!$B$7+4%)*((('Arkusz1 (2)'!B81-DATE(YEAR(B81),1,1)+1)/366)+((DATE(YEAR(B80),12,31)-'Arkusz1 (2)'!B80)/365))),0))</f>
        <v>0</v>
      </c>
      <c r="H81">
        <f t="shared" ca="1" si="11"/>
        <v>1</v>
      </c>
      <c r="I81">
        <f t="shared" ca="1" si="12"/>
        <v>1.0088087431693988</v>
      </c>
      <c r="J81">
        <f t="shared" ca="1" si="13"/>
        <v>1.0088087431693988</v>
      </c>
      <c r="K81">
        <f ca="1">PRODUCT($J$3:J81)</f>
        <v>1.9696487459346923</v>
      </c>
      <c r="L81">
        <f t="shared" ca="1" si="14"/>
        <v>0.50770473774269442</v>
      </c>
      <c r="M81">
        <f ca="1">SUM($L$3:L81)</f>
        <v>57.261050570556797</v>
      </c>
      <c r="O81">
        <f ca="1">(Q80*'Arkusz1 (2)'!J81)-Q80</f>
        <v>5086.7910360508831</v>
      </c>
      <c r="P81" s="16">
        <f t="shared" ca="1" si="15"/>
        <v>11374.490512318582</v>
      </c>
      <c r="Q81" s="17">
        <f t="shared" ca="1" si="16"/>
        <v>566096.20402696263</v>
      </c>
    </row>
    <row r="82" spans="1:17" x14ac:dyDescent="0.35">
      <c r="A82">
        <v>80</v>
      </c>
      <c r="B82" s="14">
        <f t="shared" ca="1" si="17"/>
        <v>48504</v>
      </c>
      <c r="C82" s="15">
        <f ca="1">(1+('Symulacja Pożyczka'!$B$7+4%)*('Arkusz1 (2)'!B82-'Arkusz1 (2)'!B81)/365)</f>
        <v>1.0085479452054795</v>
      </c>
      <c r="D82" s="15">
        <f ca="1">(1+('Symulacja Pożyczka'!$B$7+4%)*('Arkusz1 (2)'!B82-'Arkusz1 (2)'!B81)/366)</f>
        <v>1.0085245901639344</v>
      </c>
      <c r="E82" s="15">
        <f t="shared" ca="1" si="9"/>
        <v>0</v>
      </c>
      <c r="F82" s="15">
        <f t="shared" ca="1" si="10"/>
        <v>0</v>
      </c>
      <c r="G82">
        <f ca="1">IF(E82=1,(1+('Symulacja Pożyczka'!$B$7+4%)*((('Arkusz1 (2)'!B82-DATE(YEAR(B82),1,1)+1)/365)+((DATE(YEAR(B81),12,31)-'Arkusz1 (2)'!B81)/366))),IF(F82=1,(1+('Symulacja Pożyczka'!$B$7+4%)*((('Arkusz1 (2)'!B82-DATE(YEAR(B82),1,1)+1)/366)+((DATE(YEAR(B81),12,31)-'Arkusz1 (2)'!B81)/365))),0))</f>
        <v>0</v>
      </c>
      <c r="H82">
        <f t="shared" ca="1" si="11"/>
        <v>1</v>
      </c>
      <c r="I82">
        <f t="shared" ca="1" si="12"/>
        <v>1.0085245901639344</v>
      </c>
      <c r="J82">
        <f t="shared" ca="1" si="13"/>
        <v>1.0085245901639344</v>
      </c>
      <c r="K82">
        <f ca="1">PRODUCT($J$3:J82)</f>
        <v>1.9864391942606929</v>
      </c>
      <c r="L82">
        <f t="shared" ca="1" si="14"/>
        <v>0.50341334529103321</v>
      </c>
      <c r="M82">
        <f ca="1">SUM($L$3:L82)</f>
        <v>57.764463915847827</v>
      </c>
      <c r="O82">
        <f ca="1">(Q81*'Arkusz1 (2)'!J82)-Q81</f>
        <v>4825.7381326887989</v>
      </c>
      <c r="P82" s="16">
        <f t="shared" ca="1" si="15"/>
        <v>11635.543415680666</v>
      </c>
      <c r="Q82" s="17">
        <f t="shared" ca="1" si="16"/>
        <v>554460.66061128199</v>
      </c>
    </row>
    <row r="83" spans="1:17" x14ac:dyDescent="0.35">
      <c r="A83">
        <v>81</v>
      </c>
      <c r="B83" s="14">
        <f t="shared" ca="1" si="17"/>
        <v>48535</v>
      </c>
      <c r="C83" s="15">
        <f ca="1">(1+('Symulacja Pożyczka'!$B$7+4%)*('Arkusz1 (2)'!B83-'Arkusz1 (2)'!B82)/365)</f>
        <v>1.0088328767123287</v>
      </c>
      <c r="D83" s="15">
        <f ca="1">(1+('Symulacja Pożyczka'!$B$7+4%)*('Arkusz1 (2)'!B83-'Arkusz1 (2)'!B82)/366)</f>
        <v>1.0088087431693988</v>
      </c>
      <c r="E83" s="15">
        <f t="shared" ca="1" si="9"/>
        <v>0</v>
      </c>
      <c r="F83" s="15">
        <f t="shared" ca="1" si="10"/>
        <v>0</v>
      </c>
      <c r="G83">
        <f ca="1">IF(E83=1,(1+('Symulacja Pożyczka'!$B$7+4%)*((('Arkusz1 (2)'!B83-DATE(YEAR(B83),1,1)+1)/365)+((DATE(YEAR(B82),12,31)-'Arkusz1 (2)'!B82)/366))),IF(F83=1,(1+('Symulacja Pożyczka'!$B$7+4%)*((('Arkusz1 (2)'!B83-DATE(YEAR(B83),1,1)+1)/366)+((DATE(YEAR(B82),12,31)-'Arkusz1 (2)'!B82)/365))),0))</f>
        <v>0</v>
      </c>
      <c r="H83">
        <f t="shared" ca="1" si="11"/>
        <v>1</v>
      </c>
      <c r="I83">
        <f t="shared" ca="1" si="12"/>
        <v>1.0088087431693988</v>
      </c>
      <c r="J83">
        <f t="shared" ca="1" si="13"/>
        <v>1.0088087431693988</v>
      </c>
      <c r="K83">
        <f ca="1">PRODUCT($J$3:J83)</f>
        <v>2.0039372269445628</v>
      </c>
      <c r="L83">
        <f t="shared" ca="1" si="14"/>
        <v>0.49901762717623499</v>
      </c>
      <c r="M83">
        <f ca="1">SUM($L$3:L83)</f>
        <v>58.263481543024064</v>
      </c>
      <c r="O83">
        <f ca="1">(Q82*'Arkusz1 (2)'!J83)-Q82</f>
        <v>4884.1015568600269</v>
      </c>
      <c r="P83" s="16">
        <f t="shared" ca="1" si="15"/>
        <v>11577.179991509438</v>
      </c>
      <c r="Q83" s="17">
        <f t="shared" ca="1" si="16"/>
        <v>542883.48061977257</v>
      </c>
    </row>
    <row r="84" spans="1:17" x14ac:dyDescent="0.35">
      <c r="A84">
        <v>82</v>
      </c>
      <c r="B84" s="14">
        <f t="shared" ca="1" si="17"/>
        <v>48565</v>
      </c>
      <c r="C84" s="15">
        <f ca="1">(1+('Symulacja Pożyczka'!$B$7+4%)*('Arkusz1 (2)'!B84-'Arkusz1 (2)'!B83)/365)</f>
        <v>1.0085479452054795</v>
      </c>
      <c r="D84" s="15">
        <f ca="1">(1+('Symulacja Pożyczka'!$B$7+4%)*('Arkusz1 (2)'!B84-'Arkusz1 (2)'!B83)/366)</f>
        <v>1.0085245901639344</v>
      </c>
      <c r="E84" s="15">
        <f t="shared" ca="1" si="9"/>
        <v>0</v>
      </c>
      <c r="F84" s="15">
        <f t="shared" ca="1" si="10"/>
        <v>0</v>
      </c>
      <c r="G84">
        <f ca="1">IF(E84=1,(1+('Symulacja Pożyczka'!$B$7+4%)*((('Arkusz1 (2)'!B84-DATE(YEAR(B84),1,1)+1)/365)+((DATE(YEAR(B83),12,31)-'Arkusz1 (2)'!B83)/366))),IF(F84=1,(1+('Symulacja Pożyczka'!$B$7+4%)*((('Arkusz1 (2)'!B84-DATE(YEAR(B84),1,1)+1)/366)+((DATE(YEAR(B83),12,31)-'Arkusz1 (2)'!B83)/365))),0))</f>
        <v>0</v>
      </c>
      <c r="H84">
        <f t="shared" ca="1" si="11"/>
        <v>1</v>
      </c>
      <c r="I84">
        <f t="shared" ca="1" si="12"/>
        <v>1.0085245901639344</v>
      </c>
      <c r="J84">
        <f t="shared" ca="1" si="13"/>
        <v>1.0085245901639344</v>
      </c>
      <c r="K84">
        <f ca="1">PRODUCT($J$3:J84)</f>
        <v>2.0210199705185161</v>
      </c>
      <c r="L84">
        <f t="shared" ca="1" si="14"/>
        <v>0.49479966283729421</v>
      </c>
      <c r="M84">
        <f ca="1">SUM($L$3:L84)</f>
        <v>58.758281205861358</v>
      </c>
      <c r="O84">
        <f ca="1">(Q83*'Arkusz1 (2)'!J84)-Q83</f>
        <v>4627.8591790538048</v>
      </c>
      <c r="P84" s="16">
        <f t="shared" ca="1" si="15"/>
        <v>11833.42236931566</v>
      </c>
      <c r="Q84" s="17">
        <f t="shared" ca="1" si="16"/>
        <v>531050.05825045693</v>
      </c>
    </row>
    <row r="85" spans="1:17" x14ac:dyDescent="0.35">
      <c r="A85">
        <v>83</v>
      </c>
      <c r="B85" s="14">
        <f t="shared" ca="1" si="17"/>
        <v>48596</v>
      </c>
      <c r="C85" s="15">
        <f ca="1">(1+('Symulacja Pożyczka'!$B$7+4%)*('Arkusz1 (2)'!B85-'Arkusz1 (2)'!B84)/365)</f>
        <v>1.0088328767123287</v>
      </c>
      <c r="D85" s="15">
        <f ca="1">(1+('Symulacja Pożyczka'!$B$7+4%)*('Arkusz1 (2)'!B85-'Arkusz1 (2)'!B84)/366)</f>
        <v>1.0088087431693988</v>
      </c>
      <c r="E85" s="15">
        <f t="shared" ca="1" si="9"/>
        <v>1</v>
      </c>
      <c r="F85" s="15">
        <f t="shared" ca="1" si="10"/>
        <v>0</v>
      </c>
      <c r="G85">
        <f ca="1">IF(E85=1,(1+('Symulacja Pożyczka'!$B$7+4%)*((('Arkusz1 (2)'!B85-DATE(YEAR(B85),1,1)+1)/365)+((DATE(YEAR(B84),12,31)-'Arkusz1 (2)'!B84)/366))),IF(F85=1,(1+('Symulacja Pożyczka'!$B$7+4%)*((('Arkusz1 (2)'!B85-DATE(YEAR(B85),1,1)+1)/366)+((DATE(YEAR(B84),12,31)-'Arkusz1 (2)'!B84)/365))),0))</f>
        <v>1.008821977692941</v>
      </c>
      <c r="H85">
        <f t="shared" ca="1" si="11"/>
        <v>0</v>
      </c>
      <c r="I85">
        <f t="shared" ca="1" si="12"/>
        <v>1.0088328767123287</v>
      </c>
      <c r="J85">
        <f t="shared" ca="1" si="13"/>
        <v>1.008821977692941</v>
      </c>
      <c r="K85">
        <f ca="1">PRODUCT($J$3:J85)</f>
        <v>2.0388493636154186</v>
      </c>
      <c r="L85">
        <f t="shared" ca="1" si="14"/>
        <v>0.49047272341235443</v>
      </c>
      <c r="M85">
        <f ca="1">SUM($L$3:L85)</f>
        <v>59.248753929273711</v>
      </c>
      <c r="O85">
        <f ca="1">(Q84*'Arkusz1 (2)'!J85)-Q84</f>
        <v>4684.9117677205941</v>
      </c>
      <c r="P85" s="16">
        <f t="shared" ca="1" si="15"/>
        <v>11776.369780648871</v>
      </c>
      <c r="Q85" s="17">
        <f t="shared" ca="1" si="16"/>
        <v>519273.68846980808</v>
      </c>
    </row>
    <row r="86" spans="1:17" x14ac:dyDescent="0.35">
      <c r="A86">
        <v>84</v>
      </c>
      <c r="B86" s="14">
        <f t="shared" ca="1" si="17"/>
        <v>48627</v>
      </c>
      <c r="C86" s="15">
        <f ca="1">(1+('Symulacja Pożyczka'!$B$7+4%)*('Arkusz1 (2)'!B86-'Arkusz1 (2)'!B85)/365)</f>
        <v>1.0088328767123287</v>
      </c>
      <c r="D86" s="15">
        <f ca="1">(1+('Symulacja Pożyczka'!$B$7+4%)*('Arkusz1 (2)'!B86-'Arkusz1 (2)'!B85)/366)</f>
        <v>1.0088087431693988</v>
      </c>
      <c r="E86" s="15">
        <f t="shared" ca="1" si="9"/>
        <v>0</v>
      </c>
      <c r="F86" s="15">
        <f t="shared" ca="1" si="10"/>
        <v>0</v>
      </c>
      <c r="G86">
        <f ca="1">IF(E86=1,(1+('Symulacja Pożyczka'!$B$7+4%)*((('Arkusz1 (2)'!B86-DATE(YEAR(B86),1,1)+1)/365)+((DATE(YEAR(B85),12,31)-'Arkusz1 (2)'!B85)/366))),IF(F86=1,(1+('Symulacja Pożyczka'!$B$7+4%)*((('Arkusz1 (2)'!B86-DATE(YEAR(B86),1,1)+1)/366)+((DATE(YEAR(B85),12,31)-'Arkusz1 (2)'!B85)/365))),0))</f>
        <v>0</v>
      </c>
      <c r="H86">
        <f t="shared" ca="1" si="11"/>
        <v>0</v>
      </c>
      <c r="I86">
        <f t="shared" ca="1" si="12"/>
        <v>1.0088328767123287</v>
      </c>
      <c r="J86">
        <f t="shared" ca="1" si="13"/>
        <v>1.0088328767123287</v>
      </c>
      <c r="K86">
        <f ca="1">PRODUCT($J$3:J86)</f>
        <v>2.0568582686792434</v>
      </c>
      <c r="L86">
        <f t="shared" ca="1" si="14"/>
        <v>0.48617836981160756</v>
      </c>
      <c r="M86">
        <f ca="1">SUM($L$3:L86)</f>
        <v>59.734932299085315</v>
      </c>
      <c r="O86">
        <f ca="1">(Q85*'Arkusz1 (2)'!J86)-Q85</f>
        <v>4586.6804702099762</v>
      </c>
      <c r="P86" s="16">
        <f t="shared" ca="1" si="15"/>
        <v>11874.601078159489</v>
      </c>
      <c r="Q86" s="17">
        <f t="shared" ca="1" si="16"/>
        <v>507399.08739164862</v>
      </c>
    </row>
    <row r="87" spans="1:17" x14ac:dyDescent="0.35">
      <c r="A87">
        <v>85</v>
      </c>
      <c r="B87" s="14">
        <f t="shared" ca="1" si="17"/>
        <v>48655</v>
      </c>
      <c r="C87" s="15">
        <f ca="1">(1+('Symulacja Pożyczka'!$B$7+4%)*('Arkusz1 (2)'!B87-'Arkusz1 (2)'!B86)/365)</f>
        <v>1.0079780821917808</v>
      </c>
      <c r="D87" s="15">
        <f ca="1">(1+('Symulacja Pożyczka'!$B$7+4%)*('Arkusz1 (2)'!B87-'Arkusz1 (2)'!B86)/366)</f>
        <v>1.0079562841530054</v>
      </c>
      <c r="E87" s="15">
        <f t="shared" ca="1" si="9"/>
        <v>0</v>
      </c>
      <c r="F87" s="15">
        <f t="shared" ca="1" si="10"/>
        <v>0</v>
      </c>
      <c r="G87">
        <f ca="1">IF(E87=1,(1+('Symulacja Pożyczka'!$B$7+4%)*((('Arkusz1 (2)'!B87-DATE(YEAR(B87),1,1)+1)/365)+((DATE(YEAR(B86),12,31)-'Arkusz1 (2)'!B86)/366))),IF(F87=1,(1+('Symulacja Pożyczka'!$B$7+4%)*((('Arkusz1 (2)'!B87-DATE(YEAR(B87),1,1)+1)/366)+((DATE(YEAR(B86),12,31)-'Arkusz1 (2)'!B86)/365))),0))</f>
        <v>0</v>
      </c>
      <c r="H87">
        <f t="shared" ca="1" si="11"/>
        <v>0</v>
      </c>
      <c r="I87">
        <f t="shared" ca="1" si="12"/>
        <v>1.0079780821917808</v>
      </c>
      <c r="J87">
        <f t="shared" ca="1" si="13"/>
        <v>1.0079780821917808</v>
      </c>
      <c r="K87">
        <f ca="1">PRODUCT($J$3:J87)</f>
        <v>2.0732680530036101</v>
      </c>
      <c r="L87">
        <f t="shared" ca="1" si="14"/>
        <v>0.48233029904226221</v>
      </c>
      <c r="M87">
        <f ca="1">SUM($L$3:L87)</f>
        <v>60.217262598127576</v>
      </c>
      <c r="O87">
        <f ca="1">(Q86*'Arkusz1 (2)'!J87)-Q86</f>
        <v>4048.0716232451377</v>
      </c>
      <c r="P87" s="16">
        <f t="shared" ca="1" si="15"/>
        <v>12413.209925124327</v>
      </c>
      <c r="Q87" s="17">
        <f t="shared" ca="1" si="16"/>
        <v>494985.87746652431</v>
      </c>
    </row>
    <row r="88" spans="1:17" x14ac:dyDescent="0.35">
      <c r="A88">
        <v>86</v>
      </c>
      <c r="B88" s="14">
        <f t="shared" ca="1" si="17"/>
        <v>48686</v>
      </c>
      <c r="C88" s="15">
        <f ca="1">(1+('Symulacja Pożyczka'!$B$7+4%)*('Arkusz1 (2)'!B88-'Arkusz1 (2)'!B87)/365)</f>
        <v>1.0088328767123287</v>
      </c>
      <c r="D88" s="15">
        <f ca="1">(1+('Symulacja Pożyczka'!$B$7+4%)*('Arkusz1 (2)'!B88-'Arkusz1 (2)'!B87)/366)</f>
        <v>1.0088087431693988</v>
      </c>
      <c r="E88" s="15">
        <f t="shared" ca="1" si="9"/>
        <v>0</v>
      </c>
      <c r="F88" s="15">
        <f t="shared" ca="1" si="10"/>
        <v>0</v>
      </c>
      <c r="G88">
        <f ca="1">IF(E88=1,(1+('Symulacja Pożyczka'!$B$7+4%)*((('Arkusz1 (2)'!B88-DATE(YEAR(B88),1,1)+1)/365)+((DATE(YEAR(B87),12,31)-'Arkusz1 (2)'!B87)/366))),IF(F88=1,(1+('Symulacja Pożyczka'!$B$7+4%)*((('Arkusz1 (2)'!B88-DATE(YEAR(B88),1,1)+1)/366)+((DATE(YEAR(B87),12,31)-'Arkusz1 (2)'!B87)/365))),0))</f>
        <v>0</v>
      </c>
      <c r="H88">
        <f t="shared" ca="1" si="11"/>
        <v>0</v>
      </c>
      <c r="I88">
        <f t="shared" ca="1" si="12"/>
        <v>1.0088328767123287</v>
      </c>
      <c r="J88">
        <f t="shared" ca="1" si="13"/>
        <v>1.0088328767123287</v>
      </c>
      <c r="K88">
        <f ca="1">PRODUCT($J$3:J88)</f>
        <v>2.0915809741074005</v>
      </c>
      <c r="L88">
        <f t="shared" ca="1" si="14"/>
        <v>0.478107236764648</v>
      </c>
      <c r="M88">
        <f ca="1">SUM($L$3:L88)</f>
        <v>60.695369834892226</v>
      </c>
      <c r="O88">
        <f ca="1">(Q87*'Arkusz1 (2)'!J88)-Q87</f>
        <v>4372.149230005627</v>
      </c>
      <c r="P88" s="16">
        <f t="shared" ca="1" si="15"/>
        <v>12089.132318363838</v>
      </c>
      <c r="Q88" s="17">
        <f t="shared" ca="1" si="16"/>
        <v>482896.74514816049</v>
      </c>
    </row>
    <row r="89" spans="1:17" x14ac:dyDescent="0.35">
      <c r="A89">
        <v>87</v>
      </c>
      <c r="B89" s="14">
        <f t="shared" ca="1" si="17"/>
        <v>48716</v>
      </c>
      <c r="C89" s="15">
        <f ca="1">(1+('Symulacja Pożyczka'!$B$7+4%)*('Arkusz1 (2)'!B89-'Arkusz1 (2)'!B88)/365)</f>
        <v>1.0085479452054795</v>
      </c>
      <c r="D89" s="15">
        <f ca="1">(1+('Symulacja Pożyczka'!$B$7+4%)*('Arkusz1 (2)'!B89-'Arkusz1 (2)'!B88)/366)</f>
        <v>1.0085245901639344</v>
      </c>
      <c r="E89" s="15">
        <f t="shared" ca="1" si="9"/>
        <v>0</v>
      </c>
      <c r="F89" s="15">
        <f t="shared" ca="1" si="10"/>
        <v>0</v>
      </c>
      <c r="G89">
        <f ca="1">IF(E89=1,(1+('Symulacja Pożyczka'!$B$7+4%)*((('Arkusz1 (2)'!B89-DATE(YEAR(B89),1,1)+1)/365)+((DATE(YEAR(B88),12,31)-'Arkusz1 (2)'!B88)/366))),IF(F89=1,(1+('Symulacja Pożyczka'!$B$7+4%)*((('Arkusz1 (2)'!B89-DATE(YEAR(B89),1,1)+1)/366)+((DATE(YEAR(B88),12,31)-'Arkusz1 (2)'!B88)/365))),0))</f>
        <v>0</v>
      </c>
      <c r="H89">
        <f t="shared" ca="1" si="11"/>
        <v>0</v>
      </c>
      <c r="I89">
        <f t="shared" ca="1" si="12"/>
        <v>1.0085479452054795</v>
      </c>
      <c r="J89">
        <f t="shared" ca="1" si="13"/>
        <v>1.0085479452054795</v>
      </c>
      <c r="K89">
        <f ca="1">PRODUCT($J$3:J89)</f>
        <v>2.1094596936668939</v>
      </c>
      <c r="L89">
        <f t="shared" ca="1" si="14"/>
        <v>0.47405504025615702</v>
      </c>
      <c r="M89">
        <f ca="1">SUM($L$3:L89)</f>
        <v>61.16942487514838</v>
      </c>
      <c r="O89">
        <f ca="1">(Q88*'Arkusz1 (2)'!J89)-Q88</f>
        <v>4127.7749174308847</v>
      </c>
      <c r="P89" s="16">
        <f t="shared" ca="1" si="15"/>
        <v>12333.50663093858</v>
      </c>
      <c r="Q89" s="17">
        <f t="shared" ca="1" si="16"/>
        <v>470563.23851722194</v>
      </c>
    </row>
    <row r="90" spans="1:17" x14ac:dyDescent="0.35">
      <c r="A90">
        <v>88</v>
      </c>
      <c r="B90" s="14">
        <f t="shared" ca="1" si="17"/>
        <v>48747</v>
      </c>
      <c r="C90" s="15">
        <f ca="1">(1+('Symulacja Pożyczka'!$B$7+4%)*('Arkusz1 (2)'!B90-'Arkusz1 (2)'!B89)/365)</f>
        <v>1.0088328767123287</v>
      </c>
      <c r="D90" s="15">
        <f ca="1">(1+('Symulacja Pożyczka'!$B$7+4%)*('Arkusz1 (2)'!B90-'Arkusz1 (2)'!B89)/366)</f>
        <v>1.0088087431693988</v>
      </c>
      <c r="E90" s="15">
        <f t="shared" ca="1" si="9"/>
        <v>0</v>
      </c>
      <c r="F90" s="15">
        <f t="shared" ca="1" si="10"/>
        <v>0</v>
      </c>
      <c r="G90">
        <f ca="1">IF(E90=1,(1+('Symulacja Pożyczka'!$B$7+4%)*((('Arkusz1 (2)'!B90-DATE(YEAR(B90),1,1)+1)/365)+((DATE(YEAR(B89),12,31)-'Arkusz1 (2)'!B89)/366))),IF(F90=1,(1+('Symulacja Pożyczka'!$B$7+4%)*((('Arkusz1 (2)'!B90-DATE(YEAR(B90),1,1)+1)/366)+((DATE(YEAR(B89),12,31)-'Arkusz1 (2)'!B89)/365))),0))</f>
        <v>0</v>
      </c>
      <c r="H90">
        <f t="shared" ca="1" si="11"/>
        <v>0</v>
      </c>
      <c r="I90">
        <f t="shared" ca="1" si="12"/>
        <v>1.0088328767123287</v>
      </c>
      <c r="J90">
        <f t="shared" ca="1" si="13"/>
        <v>1.0088328767123287</v>
      </c>
      <c r="K90">
        <f ca="1">PRODUCT($J$3:J90)</f>
        <v>2.1280922910706801</v>
      </c>
      <c r="L90">
        <f t="shared" ca="1" si="14"/>
        <v>0.46990443233873219</v>
      </c>
      <c r="M90">
        <f ca="1">SUM($L$3:L90)</f>
        <v>61.63932930748711</v>
      </c>
      <c r="O90">
        <f ca="1">(Q89*'Arkusz1 (2)'!J90)-Q89</f>
        <v>4156.4270711767604</v>
      </c>
      <c r="P90" s="16">
        <f t="shared" ca="1" si="15"/>
        <v>12304.854477192705</v>
      </c>
      <c r="Q90" s="17">
        <f t="shared" ca="1" si="16"/>
        <v>458258.38404002925</v>
      </c>
    </row>
    <row r="91" spans="1:17" x14ac:dyDescent="0.35">
      <c r="A91">
        <v>89</v>
      </c>
      <c r="B91" s="14">
        <f t="shared" ca="1" si="17"/>
        <v>48777</v>
      </c>
      <c r="C91" s="15">
        <f ca="1">(1+('Symulacja Pożyczka'!$B$7+4%)*('Arkusz1 (2)'!B91-'Arkusz1 (2)'!B90)/365)</f>
        <v>1.0085479452054795</v>
      </c>
      <c r="D91" s="15">
        <f ca="1">(1+('Symulacja Pożyczka'!$B$7+4%)*('Arkusz1 (2)'!B91-'Arkusz1 (2)'!B90)/366)</f>
        <v>1.0085245901639344</v>
      </c>
      <c r="E91" s="15">
        <f t="shared" ca="1" si="9"/>
        <v>0</v>
      </c>
      <c r="F91" s="15">
        <f t="shared" ca="1" si="10"/>
        <v>0</v>
      </c>
      <c r="G91">
        <f ca="1">IF(E91=1,(1+('Symulacja Pożyczka'!$B$7+4%)*((('Arkusz1 (2)'!B91-DATE(YEAR(B91),1,1)+1)/365)+((DATE(YEAR(B90),12,31)-'Arkusz1 (2)'!B90)/366))),IF(F91=1,(1+('Symulacja Pożyczka'!$B$7+4%)*((('Arkusz1 (2)'!B91-DATE(YEAR(B91),1,1)+1)/366)+((DATE(YEAR(B90),12,31)-'Arkusz1 (2)'!B90)/365))),0))</f>
        <v>0</v>
      </c>
      <c r="H91">
        <f t="shared" ca="1" si="11"/>
        <v>0</v>
      </c>
      <c r="I91">
        <f t="shared" ca="1" si="12"/>
        <v>1.0085479452054795</v>
      </c>
      <c r="J91">
        <f t="shared" ca="1" si="13"/>
        <v>1.0085479452054795</v>
      </c>
      <c r="K91">
        <f ca="1">PRODUCT($J$3:J91)</f>
        <v>2.1462831073669557</v>
      </c>
      <c r="L91">
        <f t="shared" ca="1" si="14"/>
        <v>0.46592175867553309</v>
      </c>
      <c r="M91">
        <f ca="1">SUM($L$3:L91)</f>
        <v>62.105251066162644</v>
      </c>
      <c r="O91">
        <f ca="1">(Q90*'Arkusz1 (2)'!J91)-Q90</f>
        <v>3917.1675567257334</v>
      </c>
      <c r="P91" s="16">
        <f t="shared" ca="1" si="15"/>
        <v>12544.113991643731</v>
      </c>
      <c r="Q91" s="17">
        <f t="shared" ca="1" si="16"/>
        <v>445714.27004838554</v>
      </c>
    </row>
    <row r="92" spans="1:17" x14ac:dyDescent="0.35">
      <c r="A92">
        <v>90</v>
      </c>
      <c r="B92" s="14">
        <f t="shared" ca="1" si="17"/>
        <v>48808</v>
      </c>
      <c r="C92" s="15">
        <f ca="1">(1+('Symulacja Pożyczka'!$B$7+4%)*('Arkusz1 (2)'!B92-'Arkusz1 (2)'!B91)/365)</f>
        <v>1.0088328767123287</v>
      </c>
      <c r="D92" s="15">
        <f ca="1">(1+('Symulacja Pożyczka'!$B$7+4%)*('Arkusz1 (2)'!B92-'Arkusz1 (2)'!B91)/366)</f>
        <v>1.0088087431693988</v>
      </c>
      <c r="E92" s="15">
        <f t="shared" ca="1" si="9"/>
        <v>0</v>
      </c>
      <c r="F92" s="15">
        <f t="shared" ca="1" si="10"/>
        <v>0</v>
      </c>
      <c r="G92">
        <f ca="1">IF(E92=1,(1+('Symulacja Pożyczka'!$B$7+4%)*((('Arkusz1 (2)'!B92-DATE(YEAR(B92),1,1)+1)/365)+((DATE(YEAR(B91),12,31)-'Arkusz1 (2)'!B91)/366))),IF(F92=1,(1+('Symulacja Pożyczka'!$B$7+4%)*((('Arkusz1 (2)'!B92-DATE(YEAR(B92),1,1)+1)/366)+((DATE(YEAR(B91),12,31)-'Arkusz1 (2)'!B91)/365))),0))</f>
        <v>0</v>
      </c>
      <c r="H92">
        <f t="shared" ca="1" si="11"/>
        <v>0</v>
      </c>
      <c r="I92">
        <f t="shared" ca="1" si="12"/>
        <v>1.0088328767123287</v>
      </c>
      <c r="J92">
        <f t="shared" ca="1" si="13"/>
        <v>1.0088328767123287</v>
      </c>
      <c r="K92">
        <f ca="1">PRODUCT($J$3:J92)</f>
        <v>2.165240961444082</v>
      </c>
      <c r="L92">
        <f t="shared" ca="1" si="14"/>
        <v>0.46184236203118095</v>
      </c>
      <c r="M92">
        <f ca="1">SUM($L$3:L92)</f>
        <v>62.567093428193829</v>
      </c>
      <c r="O92">
        <f ca="1">(Q91*'Arkusz1 (2)'!J92)-Q91</f>
        <v>3936.9391962629743</v>
      </c>
      <c r="P92" s="16">
        <f t="shared" ca="1" si="15"/>
        <v>12524.342352106491</v>
      </c>
      <c r="Q92" s="17">
        <f t="shared" ca="1" si="16"/>
        <v>433189.92769627908</v>
      </c>
    </row>
    <row r="93" spans="1:17" x14ac:dyDescent="0.35">
      <c r="A93">
        <v>91</v>
      </c>
      <c r="B93" s="14">
        <f t="shared" ca="1" si="17"/>
        <v>48839</v>
      </c>
      <c r="C93" s="15">
        <f ca="1">(1+('Symulacja Pożyczka'!$B$7+4%)*('Arkusz1 (2)'!B93-'Arkusz1 (2)'!B92)/365)</f>
        <v>1.0088328767123287</v>
      </c>
      <c r="D93" s="15">
        <f ca="1">(1+('Symulacja Pożyczka'!$B$7+4%)*('Arkusz1 (2)'!B93-'Arkusz1 (2)'!B92)/366)</f>
        <v>1.0088087431693988</v>
      </c>
      <c r="E93" s="15">
        <f t="shared" ca="1" si="9"/>
        <v>0</v>
      </c>
      <c r="F93" s="15">
        <f t="shared" ca="1" si="10"/>
        <v>0</v>
      </c>
      <c r="G93">
        <f ca="1">IF(E93=1,(1+('Symulacja Pożyczka'!$B$7+4%)*((('Arkusz1 (2)'!B93-DATE(YEAR(B93),1,1)+1)/365)+((DATE(YEAR(B92),12,31)-'Arkusz1 (2)'!B92)/366))),IF(F93=1,(1+('Symulacja Pożyczka'!$B$7+4%)*((('Arkusz1 (2)'!B93-DATE(YEAR(B93),1,1)+1)/366)+((DATE(YEAR(B92),12,31)-'Arkusz1 (2)'!B92)/365))),0))</f>
        <v>0</v>
      </c>
      <c r="H93">
        <f t="shared" ca="1" si="11"/>
        <v>0</v>
      </c>
      <c r="I93">
        <f t="shared" ca="1" si="12"/>
        <v>1.0088328767123287</v>
      </c>
      <c r="J93">
        <f t="shared" ca="1" si="13"/>
        <v>1.0088328767123287</v>
      </c>
      <c r="K93">
        <f ca="1">PRODUCT($J$3:J93)</f>
        <v>2.1843662679090015</v>
      </c>
      <c r="L93">
        <f t="shared" ca="1" si="14"/>
        <v>0.45779868270775687</v>
      </c>
      <c r="M93">
        <f ca="1">SUM($L$3:L93)</f>
        <v>63.024892110901582</v>
      </c>
      <c r="O93">
        <f ca="1">(Q92*'Arkusz1 (2)'!J93)-Q92</f>
        <v>3826.3132243638393</v>
      </c>
      <c r="P93" s="16">
        <f t="shared" ca="1" si="15"/>
        <v>12634.968324005626</v>
      </c>
      <c r="Q93" s="17">
        <f t="shared" ca="1" si="16"/>
        <v>420554.95937227347</v>
      </c>
    </row>
    <row r="94" spans="1:17" x14ac:dyDescent="0.35">
      <c r="A94">
        <v>92</v>
      </c>
      <c r="B94" s="14">
        <f t="shared" ca="1" si="17"/>
        <v>48869</v>
      </c>
      <c r="C94" s="15">
        <f ca="1">(1+('Symulacja Pożyczka'!$B$7+4%)*('Arkusz1 (2)'!B94-'Arkusz1 (2)'!B93)/365)</f>
        <v>1.0085479452054795</v>
      </c>
      <c r="D94" s="15">
        <f ca="1">(1+('Symulacja Pożyczka'!$B$7+4%)*('Arkusz1 (2)'!B94-'Arkusz1 (2)'!B93)/366)</f>
        <v>1.0085245901639344</v>
      </c>
      <c r="E94" s="15">
        <f t="shared" ca="1" si="9"/>
        <v>0</v>
      </c>
      <c r="F94" s="15">
        <f t="shared" ca="1" si="10"/>
        <v>0</v>
      </c>
      <c r="G94">
        <f ca="1">IF(E94=1,(1+('Symulacja Pożyczka'!$B$7+4%)*((('Arkusz1 (2)'!B94-DATE(YEAR(B94),1,1)+1)/365)+((DATE(YEAR(B93),12,31)-'Arkusz1 (2)'!B93)/366))),IF(F94=1,(1+('Symulacja Pożyczka'!$B$7+4%)*((('Arkusz1 (2)'!B94-DATE(YEAR(B94),1,1)+1)/366)+((DATE(YEAR(B93),12,31)-'Arkusz1 (2)'!B93)/365))),0))</f>
        <v>0</v>
      </c>
      <c r="H94">
        <f t="shared" ca="1" si="11"/>
        <v>0</v>
      </c>
      <c r="I94">
        <f t="shared" ca="1" si="12"/>
        <v>1.0085479452054795</v>
      </c>
      <c r="J94">
        <f t="shared" ca="1" si="13"/>
        <v>1.0085479452054795</v>
      </c>
      <c r="K94">
        <f ca="1">PRODUCT($J$3:J94)</f>
        <v>2.2030381110757853</v>
      </c>
      <c r="L94">
        <f t="shared" ca="1" si="14"/>
        <v>0.45391861129069666</v>
      </c>
      <c r="M94">
        <f ca="1">SUM($L$3:L94)</f>
        <v>63.478810722192279</v>
      </c>
      <c r="O94">
        <f ca="1">(Q93*'Arkusz1 (2)'!J94)-Q93</f>
        <v>3594.880748606869</v>
      </c>
      <c r="P94" s="16">
        <f t="shared" ca="1" si="15"/>
        <v>12866.400799762596</v>
      </c>
      <c r="Q94" s="17">
        <f t="shared" ca="1" si="16"/>
        <v>407688.5585725109</v>
      </c>
    </row>
    <row r="95" spans="1:17" x14ac:dyDescent="0.35">
      <c r="A95">
        <v>93</v>
      </c>
      <c r="B95" s="14">
        <f t="shared" ca="1" si="17"/>
        <v>48900</v>
      </c>
      <c r="C95" s="15">
        <f ca="1">(1+('Symulacja Pożyczka'!$B$7+4%)*('Arkusz1 (2)'!B95-'Arkusz1 (2)'!B94)/365)</f>
        <v>1.0088328767123287</v>
      </c>
      <c r="D95" s="15">
        <f ca="1">(1+('Symulacja Pożyczka'!$B$7+4%)*('Arkusz1 (2)'!B95-'Arkusz1 (2)'!B94)/366)</f>
        <v>1.0088087431693988</v>
      </c>
      <c r="E95" s="15">
        <f t="shared" ca="1" si="9"/>
        <v>0</v>
      </c>
      <c r="F95" s="15">
        <f t="shared" ca="1" si="10"/>
        <v>0</v>
      </c>
      <c r="G95">
        <f ca="1">IF(E95=1,(1+('Symulacja Pożyczka'!$B$7+4%)*((('Arkusz1 (2)'!B95-DATE(YEAR(B95),1,1)+1)/365)+((DATE(YEAR(B94),12,31)-'Arkusz1 (2)'!B94)/366))),IF(F95=1,(1+('Symulacja Pożyczka'!$B$7+4%)*((('Arkusz1 (2)'!B95-DATE(YEAR(B95),1,1)+1)/366)+((DATE(YEAR(B94),12,31)-'Arkusz1 (2)'!B94)/365))),0))</f>
        <v>0</v>
      </c>
      <c r="H95">
        <f t="shared" ca="1" si="11"/>
        <v>0</v>
      </c>
      <c r="I95">
        <f t="shared" ca="1" si="12"/>
        <v>1.0088328767123287</v>
      </c>
      <c r="J95">
        <f t="shared" ca="1" si="13"/>
        <v>1.0088328767123287</v>
      </c>
      <c r="K95">
        <f ca="1">PRODUCT($J$3:J95)</f>
        <v>2.2224972751034793</v>
      </c>
      <c r="L95">
        <f t="shared" ca="1" si="14"/>
        <v>0.449944308684671</v>
      </c>
      <c r="M95">
        <f ca="1">SUM($L$3:L95)</f>
        <v>63.92875503087695</v>
      </c>
      <c r="O95">
        <f ca="1">(Q94*'Arkusz1 (2)'!J95)-Q94</f>
        <v>3601.0627748979605</v>
      </c>
      <c r="P95" s="16">
        <f t="shared" ca="1" si="15"/>
        <v>12860.218773471504</v>
      </c>
      <c r="Q95" s="17">
        <f t="shared" ca="1" si="16"/>
        <v>394828.33979903942</v>
      </c>
    </row>
    <row r="96" spans="1:17" x14ac:dyDescent="0.35">
      <c r="A96">
        <v>94</v>
      </c>
      <c r="B96" s="14">
        <f t="shared" ca="1" si="17"/>
        <v>48930</v>
      </c>
      <c r="C96" s="15">
        <f ca="1">(1+('Symulacja Pożyczka'!$B$7+4%)*('Arkusz1 (2)'!B96-'Arkusz1 (2)'!B95)/365)</f>
        <v>1.0085479452054795</v>
      </c>
      <c r="D96" s="15">
        <f ca="1">(1+('Symulacja Pożyczka'!$B$7+4%)*('Arkusz1 (2)'!B96-'Arkusz1 (2)'!B95)/366)</f>
        <v>1.0085245901639344</v>
      </c>
      <c r="E96" s="15">
        <f t="shared" ca="1" si="9"/>
        <v>0</v>
      </c>
      <c r="F96" s="15">
        <f t="shared" ca="1" si="10"/>
        <v>0</v>
      </c>
      <c r="G96">
        <f ca="1">IF(E96=1,(1+('Symulacja Pożyczka'!$B$7+4%)*((('Arkusz1 (2)'!B96-DATE(YEAR(B96),1,1)+1)/365)+((DATE(YEAR(B95),12,31)-'Arkusz1 (2)'!B95)/366))),IF(F96=1,(1+('Symulacja Pożyczka'!$B$7+4%)*((('Arkusz1 (2)'!B96-DATE(YEAR(B96),1,1)+1)/366)+((DATE(YEAR(B95),12,31)-'Arkusz1 (2)'!B95)/365))),0))</f>
        <v>0</v>
      </c>
      <c r="H96">
        <f t="shared" ca="1" si="11"/>
        <v>0</v>
      </c>
      <c r="I96">
        <f t="shared" ca="1" si="12"/>
        <v>1.0085479452054795</v>
      </c>
      <c r="J96">
        <f t="shared" ca="1" si="13"/>
        <v>1.0085479452054795</v>
      </c>
      <c r="K96">
        <f ca="1">PRODUCT($J$3:J96)</f>
        <v>2.2414950600303913</v>
      </c>
      <c r="L96">
        <f t="shared" ca="1" si="14"/>
        <v>0.44613080699202678</v>
      </c>
      <c r="M96">
        <f ca="1">SUM($L$3:L96)</f>
        <v>64.374885837868973</v>
      </c>
      <c r="O96">
        <f ca="1">(Q95*'Arkusz1 (2)'!J96)-Q95</f>
        <v>3374.9710141726537</v>
      </c>
      <c r="P96" s="16">
        <f t="shared" ca="1" si="15"/>
        <v>13086.310534196811</v>
      </c>
      <c r="Q96" s="17">
        <f t="shared" ca="1" si="16"/>
        <v>381742.02926484263</v>
      </c>
    </row>
    <row r="97" spans="1:17" x14ac:dyDescent="0.35">
      <c r="A97">
        <v>95</v>
      </c>
      <c r="B97" s="14">
        <f t="shared" ca="1" si="17"/>
        <v>48961</v>
      </c>
      <c r="C97" s="15">
        <f ca="1">(1+('Symulacja Pożyczka'!$B$7+4%)*('Arkusz1 (2)'!B97-'Arkusz1 (2)'!B96)/365)</f>
        <v>1.0088328767123287</v>
      </c>
      <c r="D97" s="15">
        <f ca="1">(1+('Symulacja Pożyczka'!$B$7+4%)*('Arkusz1 (2)'!B97-'Arkusz1 (2)'!B96)/366)</f>
        <v>1.0088087431693988</v>
      </c>
      <c r="E97" s="15">
        <f t="shared" ca="1" si="9"/>
        <v>0</v>
      </c>
      <c r="F97" s="15">
        <f t="shared" ca="1" si="10"/>
        <v>0</v>
      </c>
      <c r="G97">
        <f ca="1">IF(E97=1,(1+('Symulacja Pożyczka'!$B$7+4%)*((('Arkusz1 (2)'!B97-DATE(YEAR(B97),1,1)+1)/365)+((DATE(YEAR(B96),12,31)-'Arkusz1 (2)'!B96)/366))),IF(F97=1,(1+('Symulacja Pożyczka'!$B$7+4%)*((('Arkusz1 (2)'!B97-DATE(YEAR(B97),1,1)+1)/366)+((DATE(YEAR(B96),12,31)-'Arkusz1 (2)'!B96)/365))),0))</f>
        <v>0</v>
      </c>
      <c r="H97">
        <f t="shared" ca="1" si="11"/>
        <v>0</v>
      </c>
      <c r="I97">
        <f t="shared" ca="1" si="12"/>
        <v>1.0088328767123287</v>
      </c>
      <c r="J97">
        <f t="shared" ca="1" si="13"/>
        <v>1.0088328767123287</v>
      </c>
      <c r="K97">
        <f ca="1">PRODUCT($J$3:J97)</f>
        <v>2.2612939095469335</v>
      </c>
      <c r="L97">
        <f t="shared" ca="1" si="14"/>
        <v>0.442224690818876</v>
      </c>
      <c r="M97">
        <f ca="1">SUM($L$3:L97)</f>
        <v>64.817110528687849</v>
      </c>
      <c r="O97">
        <f ca="1">(Q96*'Arkusz1 (2)'!J97)-Q96</f>
        <v>3371.8802804105217</v>
      </c>
      <c r="P97" s="16">
        <f t="shared" ca="1" si="15"/>
        <v>13089.401267958943</v>
      </c>
      <c r="Q97" s="17">
        <f t="shared" ca="1" si="16"/>
        <v>368652.6279968837</v>
      </c>
    </row>
    <row r="98" spans="1:17" x14ac:dyDescent="0.35">
      <c r="A98">
        <v>96</v>
      </c>
      <c r="B98" s="14">
        <f t="shared" ca="1" si="17"/>
        <v>48992</v>
      </c>
      <c r="C98" s="15">
        <f ca="1">(1+('Symulacja Pożyczka'!$B$7+4%)*('Arkusz1 (2)'!B98-'Arkusz1 (2)'!B97)/365)</f>
        <v>1.0088328767123287</v>
      </c>
      <c r="D98" s="15">
        <f ca="1">(1+('Symulacja Pożyczka'!$B$7+4%)*('Arkusz1 (2)'!B98-'Arkusz1 (2)'!B97)/366)</f>
        <v>1.0088087431693988</v>
      </c>
      <c r="E98" s="15">
        <f t="shared" ca="1" si="9"/>
        <v>0</v>
      </c>
      <c r="F98" s="15">
        <f t="shared" ca="1" si="10"/>
        <v>0</v>
      </c>
      <c r="G98">
        <f ca="1">IF(E98=1,(1+('Symulacja Pożyczka'!$B$7+4%)*((('Arkusz1 (2)'!B98-DATE(YEAR(B98),1,1)+1)/365)+((DATE(YEAR(B97),12,31)-'Arkusz1 (2)'!B97)/366))),IF(F98=1,(1+('Symulacja Pożyczka'!$B$7+4%)*((('Arkusz1 (2)'!B98-DATE(YEAR(B98),1,1)+1)/366)+((DATE(YEAR(B97),12,31)-'Arkusz1 (2)'!B97)/365))),0))</f>
        <v>0</v>
      </c>
      <c r="H98">
        <f t="shared" ca="1" si="11"/>
        <v>0</v>
      </c>
      <c r="I98">
        <f t="shared" ca="1" si="12"/>
        <v>1.0088328767123287</v>
      </c>
      <c r="J98">
        <f t="shared" ca="1" si="13"/>
        <v>1.0088328767123287</v>
      </c>
      <c r="K98">
        <f ca="1">PRODUCT($J$3:J98)</f>
        <v>2.2812676398603013</v>
      </c>
      <c r="L98">
        <f t="shared" ca="1" si="14"/>
        <v>0.43835277480253798</v>
      </c>
      <c r="M98">
        <f ca="1">SUM($L$3:L98)</f>
        <v>65.255463303490387</v>
      </c>
      <c r="O98">
        <f ca="1">(Q97*'Arkusz1 (2)'!J98)-Q97</f>
        <v>3256.2632127724355</v>
      </c>
      <c r="P98" s="16">
        <f t="shared" ca="1" si="15"/>
        <v>13205.018335597029</v>
      </c>
      <c r="Q98" s="17">
        <f t="shared" ca="1" si="16"/>
        <v>355447.6096612867</v>
      </c>
    </row>
    <row r="99" spans="1:17" x14ac:dyDescent="0.35">
      <c r="A99">
        <v>97</v>
      </c>
      <c r="B99" s="14">
        <f t="shared" ca="1" si="17"/>
        <v>49020</v>
      </c>
      <c r="C99" s="15">
        <f ca="1">(1+('Symulacja Pożyczka'!$B$7+4%)*('Arkusz1 (2)'!B99-'Arkusz1 (2)'!B98)/365)</f>
        <v>1.0079780821917808</v>
      </c>
      <c r="D99" s="15">
        <f ca="1">(1+('Symulacja Pożyczka'!$B$7+4%)*('Arkusz1 (2)'!B99-'Arkusz1 (2)'!B98)/366)</f>
        <v>1.0079562841530054</v>
      </c>
      <c r="E99" s="15">
        <f t="shared" ca="1" si="9"/>
        <v>0</v>
      </c>
      <c r="F99" s="15">
        <f t="shared" ca="1" si="10"/>
        <v>0</v>
      </c>
      <c r="G99">
        <f ca="1">IF(E99=1,(1+('Symulacja Pożyczka'!$B$7+4%)*((('Arkusz1 (2)'!B99-DATE(YEAR(B99),1,1)+1)/365)+((DATE(YEAR(B98),12,31)-'Arkusz1 (2)'!B98)/366))),IF(F99=1,(1+('Symulacja Pożyczka'!$B$7+4%)*((('Arkusz1 (2)'!B99-DATE(YEAR(B99),1,1)+1)/366)+((DATE(YEAR(B98),12,31)-'Arkusz1 (2)'!B98)/365))),0))</f>
        <v>0</v>
      </c>
      <c r="H99">
        <f t="shared" ca="1" si="11"/>
        <v>0</v>
      </c>
      <c r="I99">
        <f t="shared" ca="1" si="12"/>
        <v>1.0079780821917808</v>
      </c>
      <c r="J99">
        <f t="shared" ca="1" si="13"/>
        <v>1.0079780821917808</v>
      </c>
      <c r="K99">
        <f ca="1">PRODUCT($J$3:J99)</f>
        <v>2.2994677805925567</v>
      </c>
      <c r="L99">
        <f t="shared" ca="1" si="14"/>
        <v>0.43488324056547861</v>
      </c>
      <c r="M99">
        <f ca="1">SUM($L$3:L99)</f>
        <v>65.69034654405587</v>
      </c>
      <c r="O99">
        <f ca="1">(Q98*'Arkusz1 (2)'!J99)-Q98</f>
        <v>2835.7902447497472</v>
      </c>
      <c r="P99" s="16">
        <f t="shared" ca="1" si="15"/>
        <v>13625.491303619718</v>
      </c>
      <c r="Q99" s="17">
        <f t="shared" ca="1" si="16"/>
        <v>341822.118357667</v>
      </c>
    </row>
    <row r="100" spans="1:17" x14ac:dyDescent="0.35">
      <c r="A100">
        <v>98</v>
      </c>
      <c r="B100" s="14">
        <f t="shared" ca="1" si="17"/>
        <v>49051</v>
      </c>
      <c r="C100" s="15">
        <f ca="1">(1+('Symulacja Pożyczka'!$B$7+4%)*('Arkusz1 (2)'!B100-'Arkusz1 (2)'!B99)/365)</f>
        <v>1.0088328767123287</v>
      </c>
      <c r="D100" s="15">
        <f ca="1">(1+('Symulacja Pożyczka'!$B$7+4%)*('Arkusz1 (2)'!B100-'Arkusz1 (2)'!B99)/366)</f>
        <v>1.0088087431693988</v>
      </c>
      <c r="E100" s="15">
        <f t="shared" ca="1" si="9"/>
        <v>0</v>
      </c>
      <c r="F100" s="15">
        <f t="shared" ca="1" si="10"/>
        <v>0</v>
      </c>
      <c r="G100">
        <f ca="1">IF(E100=1,(1+('Symulacja Pożyczka'!$B$7+4%)*((('Arkusz1 (2)'!B100-DATE(YEAR(B100),1,1)+1)/365)+((DATE(YEAR(B99),12,31)-'Arkusz1 (2)'!B99)/366))),IF(F100=1,(1+('Symulacja Pożyczka'!$B$7+4%)*((('Arkusz1 (2)'!B100-DATE(YEAR(B100),1,1)+1)/366)+((DATE(YEAR(B99),12,31)-'Arkusz1 (2)'!B99)/365))),0))</f>
        <v>0</v>
      </c>
      <c r="H100">
        <f t="shared" ca="1" si="11"/>
        <v>0</v>
      </c>
      <c r="I100">
        <f t="shared" ca="1" si="12"/>
        <v>1.0088328767123287</v>
      </c>
      <c r="J100">
        <f t="shared" ca="1" si="13"/>
        <v>1.0088328767123287</v>
      </c>
      <c r="K100">
        <f ca="1">PRODUCT($J$3:J100)</f>
        <v>2.3197786960025031</v>
      </c>
      <c r="L100">
        <f t="shared" ca="1" si="14"/>
        <v>0.43107560291127056</v>
      </c>
      <c r="M100">
        <f ca="1">SUM($L$3:L100)</f>
        <v>66.121422146967134</v>
      </c>
      <c r="O100">
        <f ca="1">(Q99*'Arkusz1 (2)'!J100)-Q99</f>
        <v>3019.2726290003047</v>
      </c>
      <c r="P100" s="16">
        <f t="shared" ca="1" si="15"/>
        <v>13442.00891936916</v>
      </c>
      <c r="Q100" s="17">
        <f t="shared" ca="1" si="16"/>
        <v>328380.10943829786</v>
      </c>
    </row>
    <row r="101" spans="1:17" x14ac:dyDescent="0.35">
      <c r="A101">
        <v>99</v>
      </c>
      <c r="B101" s="14">
        <f t="shared" ca="1" si="17"/>
        <v>49081</v>
      </c>
      <c r="C101" s="15">
        <f ca="1">(1+('Symulacja Pożyczka'!$B$7+4%)*('Arkusz1 (2)'!B101-'Arkusz1 (2)'!B100)/365)</f>
        <v>1.0085479452054795</v>
      </c>
      <c r="D101" s="15">
        <f ca="1">(1+('Symulacja Pożyczka'!$B$7+4%)*('Arkusz1 (2)'!B101-'Arkusz1 (2)'!B100)/366)</f>
        <v>1.0085245901639344</v>
      </c>
      <c r="E101" s="15">
        <f t="shared" ca="1" si="9"/>
        <v>0</v>
      </c>
      <c r="F101" s="15">
        <f t="shared" ca="1" si="10"/>
        <v>0</v>
      </c>
      <c r="G101">
        <f ca="1">IF(E101=1,(1+('Symulacja Pożyczka'!$B$7+4%)*((('Arkusz1 (2)'!B101-DATE(YEAR(B101),1,1)+1)/365)+((DATE(YEAR(B100),12,31)-'Arkusz1 (2)'!B100)/366))),IF(F101=1,(1+('Symulacja Pożyczka'!$B$7+4%)*((('Arkusz1 (2)'!B101-DATE(YEAR(B101),1,1)+1)/366)+((DATE(YEAR(B100),12,31)-'Arkusz1 (2)'!B100)/365))),0))</f>
        <v>0</v>
      </c>
      <c r="H101">
        <f t="shared" ca="1" si="11"/>
        <v>0</v>
      </c>
      <c r="I101">
        <f t="shared" ca="1" si="12"/>
        <v>1.0085479452054795</v>
      </c>
      <c r="J101">
        <f t="shared" ca="1" si="13"/>
        <v>1.0085479452054795</v>
      </c>
      <c r="K101">
        <f ca="1">PRODUCT($J$3:J101)</f>
        <v>2.3396080371847714</v>
      </c>
      <c r="L101">
        <f t="shared" ca="1" si="14"/>
        <v>0.42742202288007641</v>
      </c>
      <c r="M101">
        <f ca="1">SUM($L$3:L101)</f>
        <v>66.548844169847214</v>
      </c>
      <c r="O101">
        <f ca="1">(Q100*'Arkusz1 (2)'!J101)-Q100</f>
        <v>2806.9751820479287</v>
      </c>
      <c r="P101" s="16">
        <f t="shared" ca="1" si="15"/>
        <v>13654.306366321536</v>
      </c>
      <c r="Q101" s="17">
        <f t="shared" ca="1" si="16"/>
        <v>314725.80307197635</v>
      </c>
    </row>
    <row r="102" spans="1:17" x14ac:dyDescent="0.35">
      <c r="A102">
        <v>100</v>
      </c>
      <c r="B102" s="14">
        <f t="shared" ca="1" si="17"/>
        <v>49112</v>
      </c>
      <c r="C102" s="15">
        <f ca="1">(1+('Symulacja Pożyczka'!$B$7+4%)*('Arkusz1 (2)'!B102-'Arkusz1 (2)'!B101)/365)</f>
        <v>1.0088328767123287</v>
      </c>
      <c r="D102" s="15">
        <f ca="1">(1+('Symulacja Pożyczka'!$B$7+4%)*('Arkusz1 (2)'!B102-'Arkusz1 (2)'!B101)/366)</f>
        <v>1.0088087431693988</v>
      </c>
      <c r="E102" s="15">
        <f t="shared" ca="1" si="9"/>
        <v>0</v>
      </c>
      <c r="F102" s="15">
        <f t="shared" ca="1" si="10"/>
        <v>0</v>
      </c>
      <c r="G102">
        <f ca="1">IF(E102=1,(1+('Symulacja Pożyczka'!$B$7+4%)*((('Arkusz1 (2)'!B102-DATE(YEAR(B102),1,1)+1)/365)+((DATE(YEAR(B101),12,31)-'Arkusz1 (2)'!B101)/366))),IF(F102=1,(1+('Symulacja Pożyczka'!$B$7+4%)*((('Arkusz1 (2)'!B102-DATE(YEAR(B102),1,1)+1)/366)+((DATE(YEAR(B101),12,31)-'Arkusz1 (2)'!B101)/365))),0))</f>
        <v>0</v>
      </c>
      <c r="H102">
        <f t="shared" ca="1" si="11"/>
        <v>0</v>
      </c>
      <c r="I102">
        <f t="shared" ca="1" si="12"/>
        <v>1.0088328767123287</v>
      </c>
      <c r="J102">
        <f t="shared" ca="1" si="13"/>
        <v>1.0088328767123287</v>
      </c>
      <c r="K102">
        <f ca="1">PRODUCT($J$3:J102)</f>
        <v>2.3602735065323976</v>
      </c>
      <c r="L102">
        <f t="shared" ca="1" si="14"/>
        <v>0.42367971221655271</v>
      </c>
      <c r="M102">
        <f ca="1">SUM($L$3:L102)</f>
        <v>66.972523882063768</v>
      </c>
      <c r="O102">
        <f ca="1">(Q101*'Arkusz1 (2)'!J102)-Q101</f>
        <v>2779.9342167234281</v>
      </c>
      <c r="P102" s="16">
        <f t="shared" ca="1" si="15"/>
        <v>13681.347331646037</v>
      </c>
      <c r="Q102" s="17">
        <f t="shared" ca="1" si="16"/>
        <v>301044.45574033033</v>
      </c>
    </row>
    <row r="103" spans="1:17" x14ac:dyDescent="0.35">
      <c r="A103">
        <v>101</v>
      </c>
      <c r="B103" s="14">
        <f t="shared" ca="1" si="17"/>
        <v>49142</v>
      </c>
      <c r="C103" s="15">
        <f ca="1">(1+('Symulacja Pożyczka'!$B$7+4%)*('Arkusz1 (2)'!B103-'Arkusz1 (2)'!B102)/365)</f>
        <v>1.0085479452054795</v>
      </c>
      <c r="D103" s="15">
        <f ca="1">(1+('Symulacja Pożyczka'!$B$7+4%)*('Arkusz1 (2)'!B103-'Arkusz1 (2)'!B102)/366)</f>
        <v>1.0085245901639344</v>
      </c>
      <c r="E103" s="15">
        <f t="shared" ca="1" si="9"/>
        <v>0</v>
      </c>
      <c r="F103" s="15">
        <f t="shared" ca="1" si="10"/>
        <v>0</v>
      </c>
      <c r="G103">
        <f ca="1">IF(E103=1,(1+('Symulacja Pożyczka'!$B$7+4%)*((('Arkusz1 (2)'!B103-DATE(YEAR(B103),1,1)+1)/365)+((DATE(YEAR(B102),12,31)-'Arkusz1 (2)'!B102)/366))),IF(F103=1,(1+('Symulacja Pożyczka'!$B$7+4%)*((('Arkusz1 (2)'!B103-DATE(YEAR(B103),1,1)+1)/366)+((DATE(YEAR(B102),12,31)-'Arkusz1 (2)'!B102)/365))),0))</f>
        <v>0</v>
      </c>
      <c r="H103">
        <f t="shared" ca="1" si="11"/>
        <v>0</v>
      </c>
      <c r="I103">
        <f t="shared" ca="1" si="12"/>
        <v>1.0085479452054795</v>
      </c>
      <c r="J103">
        <f t="shared" ca="1" si="13"/>
        <v>1.0085479452054795</v>
      </c>
      <c r="K103">
        <f ca="1">PRODUCT($J$3:J103)</f>
        <v>2.3804489951361818</v>
      </c>
      <c r="L103">
        <f t="shared" ca="1" si="14"/>
        <v>0.42008881603564524</v>
      </c>
      <c r="M103">
        <f ca="1">SUM($L$3:L103)</f>
        <v>67.392612698099413</v>
      </c>
      <c r="O103">
        <f ca="1">(Q102*'Arkusz1 (2)'!J103)-Q102</f>
        <v>2573.3115120817674</v>
      </c>
      <c r="P103" s="16">
        <f t="shared" ca="1" si="15"/>
        <v>13887.970036287697</v>
      </c>
      <c r="Q103" s="17">
        <f t="shared" ca="1" si="16"/>
        <v>287156.48570404266</v>
      </c>
    </row>
    <row r="104" spans="1:17" x14ac:dyDescent="0.35">
      <c r="A104">
        <v>102</v>
      </c>
      <c r="B104" s="14">
        <f t="shared" ca="1" si="17"/>
        <v>49173</v>
      </c>
      <c r="C104" s="15">
        <f ca="1">(1+('Symulacja Pożyczka'!$B$7+4%)*('Arkusz1 (2)'!B104-'Arkusz1 (2)'!B103)/365)</f>
        <v>1.0088328767123287</v>
      </c>
      <c r="D104" s="15">
        <f ca="1">(1+('Symulacja Pożyczka'!$B$7+4%)*('Arkusz1 (2)'!B104-'Arkusz1 (2)'!B103)/366)</f>
        <v>1.0088087431693988</v>
      </c>
      <c r="E104" s="15">
        <f t="shared" ca="1" si="9"/>
        <v>0</v>
      </c>
      <c r="F104" s="15">
        <f t="shared" ca="1" si="10"/>
        <v>0</v>
      </c>
      <c r="G104">
        <f ca="1">IF(E104=1,(1+('Symulacja Pożyczka'!$B$7+4%)*((('Arkusz1 (2)'!B104-DATE(YEAR(B104),1,1)+1)/365)+((DATE(YEAR(B103),12,31)-'Arkusz1 (2)'!B103)/366))),IF(F104=1,(1+('Symulacja Pożyczka'!$B$7+4%)*((('Arkusz1 (2)'!B104-DATE(YEAR(B104),1,1)+1)/366)+((DATE(YEAR(B103),12,31)-'Arkusz1 (2)'!B103)/365))),0))</f>
        <v>0</v>
      </c>
      <c r="H104">
        <f t="shared" ca="1" si="11"/>
        <v>0</v>
      </c>
      <c r="I104">
        <f t="shared" ca="1" si="12"/>
        <v>1.0088328767123287</v>
      </c>
      <c r="J104">
        <f t="shared" ca="1" si="13"/>
        <v>1.0088328767123287</v>
      </c>
      <c r="K104">
        <f ca="1">PRODUCT($J$3:J104)</f>
        <v>2.4014752076302064</v>
      </c>
      <c r="L104">
        <f t="shared" ca="1" si="14"/>
        <v>0.4164107115587537</v>
      </c>
      <c r="M104">
        <f ca="1">SUM($L$3:L104)</f>
        <v>67.809023409658167</v>
      </c>
      <c r="O104">
        <f ca="1">(Q103*'Arkusz1 (2)'!J104)-Q103</f>
        <v>2536.4178353693569</v>
      </c>
      <c r="P104" s="16">
        <f t="shared" ca="1" si="15"/>
        <v>13924.863713000108</v>
      </c>
      <c r="Q104" s="17">
        <f t="shared" ca="1" si="16"/>
        <v>273231.62199104257</v>
      </c>
    </row>
    <row r="105" spans="1:17" x14ac:dyDescent="0.35">
      <c r="A105">
        <v>103</v>
      </c>
      <c r="B105" s="14">
        <f t="shared" ca="1" si="17"/>
        <v>49204</v>
      </c>
      <c r="C105" s="15">
        <f ca="1">(1+('Symulacja Pożyczka'!$B$7+4%)*('Arkusz1 (2)'!B105-'Arkusz1 (2)'!B104)/365)</f>
        <v>1.0088328767123287</v>
      </c>
      <c r="D105" s="15">
        <f ca="1">(1+('Symulacja Pożyczka'!$B$7+4%)*('Arkusz1 (2)'!B105-'Arkusz1 (2)'!B104)/366)</f>
        <v>1.0088087431693988</v>
      </c>
      <c r="E105" s="15">
        <f t="shared" ca="1" si="9"/>
        <v>0</v>
      </c>
      <c r="F105" s="15">
        <f t="shared" ca="1" si="10"/>
        <v>0</v>
      </c>
      <c r="G105">
        <f ca="1">IF(E105=1,(1+('Symulacja Pożyczka'!$B$7+4%)*((('Arkusz1 (2)'!B105-DATE(YEAR(B105),1,1)+1)/365)+((DATE(YEAR(B104),12,31)-'Arkusz1 (2)'!B104)/366))),IF(F105=1,(1+('Symulacja Pożyczka'!$B$7+4%)*((('Arkusz1 (2)'!B105-DATE(YEAR(B105),1,1)+1)/366)+((DATE(YEAR(B104),12,31)-'Arkusz1 (2)'!B104)/365))),0))</f>
        <v>0</v>
      </c>
      <c r="H105">
        <f t="shared" ca="1" si="11"/>
        <v>0</v>
      </c>
      <c r="I105">
        <f t="shared" ca="1" si="12"/>
        <v>1.0088328767123287</v>
      </c>
      <c r="J105">
        <f t="shared" ca="1" si="13"/>
        <v>1.0088328767123287</v>
      </c>
      <c r="K105">
        <f ca="1">PRODUCT($J$3:J105)</f>
        <v>2.422687142066918</v>
      </c>
      <c r="L105">
        <f t="shared" ca="1" si="14"/>
        <v>0.41276481087312372</v>
      </c>
      <c r="M105">
        <f ca="1">SUM($L$3:L105)</f>
        <v>68.221788220531295</v>
      </c>
      <c r="O105">
        <f ca="1">(Q104*'Arkusz1 (2)'!J105)-Q104</f>
        <v>2413.4212309564464</v>
      </c>
      <c r="P105" s="16">
        <f t="shared" ca="1" si="15"/>
        <v>14047.860317413018</v>
      </c>
      <c r="Q105" s="17">
        <f t="shared" ca="1" si="16"/>
        <v>259183.76167362955</v>
      </c>
    </row>
    <row r="106" spans="1:17" x14ac:dyDescent="0.35">
      <c r="A106">
        <v>104</v>
      </c>
      <c r="B106" s="14">
        <f t="shared" ca="1" si="17"/>
        <v>49234</v>
      </c>
      <c r="C106" s="15">
        <f ca="1">(1+('Symulacja Pożyczka'!$B$7+4%)*('Arkusz1 (2)'!B106-'Arkusz1 (2)'!B105)/365)</f>
        <v>1.0085479452054795</v>
      </c>
      <c r="D106" s="15">
        <f ca="1">(1+('Symulacja Pożyczka'!$B$7+4%)*('Arkusz1 (2)'!B106-'Arkusz1 (2)'!B105)/366)</f>
        <v>1.0085245901639344</v>
      </c>
      <c r="E106" s="15">
        <f t="shared" ca="1" si="9"/>
        <v>0</v>
      </c>
      <c r="F106" s="15">
        <f t="shared" ca="1" si="10"/>
        <v>0</v>
      </c>
      <c r="G106">
        <f ca="1">IF(E106=1,(1+('Symulacja Pożyczka'!$B$7+4%)*((('Arkusz1 (2)'!B106-DATE(YEAR(B106),1,1)+1)/365)+((DATE(YEAR(B105),12,31)-'Arkusz1 (2)'!B105)/366))),IF(F106=1,(1+('Symulacja Pożyczka'!$B$7+4%)*((('Arkusz1 (2)'!B106-DATE(YEAR(B106),1,1)+1)/366)+((DATE(YEAR(B105),12,31)-'Arkusz1 (2)'!B105)/365))),0))</f>
        <v>0</v>
      </c>
      <c r="H106">
        <f t="shared" ca="1" si="11"/>
        <v>0</v>
      </c>
      <c r="I106">
        <f t="shared" ca="1" si="12"/>
        <v>1.0085479452054795</v>
      </c>
      <c r="J106">
        <f t="shared" ca="1" si="13"/>
        <v>1.0085479452054795</v>
      </c>
      <c r="K106">
        <f ca="1">PRODUCT($J$3:J106)</f>
        <v>2.443396139007326</v>
      </c>
      <c r="L106">
        <f t="shared" ca="1" si="14"/>
        <v>0.40926642390712303</v>
      </c>
      <c r="M106">
        <f ca="1">SUM($L$3:L106)</f>
        <v>68.631054644438422</v>
      </c>
      <c r="O106">
        <f ca="1">(Q105*'Arkusz1 (2)'!J106)-Q105</f>
        <v>2215.4885929362499</v>
      </c>
      <c r="P106" s="16">
        <f t="shared" ca="1" si="15"/>
        <v>14245.792955433215</v>
      </c>
      <c r="Q106" s="17">
        <f t="shared" ca="1" si="16"/>
        <v>244937.96871819632</v>
      </c>
    </row>
    <row r="107" spans="1:17" x14ac:dyDescent="0.35">
      <c r="A107">
        <v>105</v>
      </c>
      <c r="B107" s="14">
        <f t="shared" ca="1" si="17"/>
        <v>49265</v>
      </c>
      <c r="C107" s="15">
        <f ca="1">(1+('Symulacja Pożyczka'!$B$7+4%)*('Arkusz1 (2)'!B107-'Arkusz1 (2)'!B106)/365)</f>
        <v>1.0088328767123287</v>
      </c>
      <c r="D107" s="15">
        <f ca="1">(1+('Symulacja Pożyczka'!$B$7+4%)*('Arkusz1 (2)'!B107-'Arkusz1 (2)'!B106)/366)</f>
        <v>1.0088087431693988</v>
      </c>
      <c r="E107" s="15">
        <f t="shared" ca="1" si="9"/>
        <v>0</v>
      </c>
      <c r="F107" s="15">
        <f t="shared" ca="1" si="10"/>
        <v>0</v>
      </c>
      <c r="G107">
        <f ca="1">IF(E107=1,(1+('Symulacja Pożyczka'!$B$7+4%)*((('Arkusz1 (2)'!B107-DATE(YEAR(B107),1,1)+1)/365)+((DATE(YEAR(B106),12,31)-'Arkusz1 (2)'!B106)/366))),IF(F107=1,(1+('Symulacja Pożyczka'!$B$7+4%)*((('Arkusz1 (2)'!B107-DATE(YEAR(B107),1,1)+1)/366)+((DATE(YEAR(B106),12,31)-'Arkusz1 (2)'!B106)/365))),0))</f>
        <v>0</v>
      </c>
      <c r="H107">
        <f t="shared" ca="1" si="11"/>
        <v>0</v>
      </c>
      <c r="I107">
        <f t="shared" ca="1" si="12"/>
        <v>1.0088328767123287</v>
      </c>
      <c r="J107">
        <f t="shared" ca="1" si="13"/>
        <v>1.0088328767123287</v>
      </c>
      <c r="K107">
        <f ca="1">PRODUCT($J$3:J107)</f>
        <v>2.4649783558625575</v>
      </c>
      <c r="L107">
        <f t="shared" ca="1" si="14"/>
        <v>0.40568307531855591</v>
      </c>
      <c r="M107">
        <f ca="1">SUM($L$3:L107)</f>
        <v>69.036737719756971</v>
      </c>
      <c r="O107">
        <f ca="1">(Q106*'Arkusz1 (2)'!J107)-Q106</f>
        <v>2163.5068798560533</v>
      </c>
      <c r="P107" s="16">
        <f t="shared" ca="1" si="15"/>
        <v>14297.774668513412</v>
      </c>
      <c r="Q107" s="17">
        <f t="shared" ca="1" si="16"/>
        <v>230640.1940496829</v>
      </c>
    </row>
    <row r="108" spans="1:17" x14ac:dyDescent="0.35">
      <c r="A108">
        <v>106</v>
      </c>
      <c r="B108" s="14">
        <f t="shared" ca="1" si="17"/>
        <v>49295</v>
      </c>
      <c r="C108" s="15">
        <f ca="1">(1+('Symulacja Pożyczka'!$B$7+4%)*('Arkusz1 (2)'!B108-'Arkusz1 (2)'!B107)/365)</f>
        <v>1.0085479452054795</v>
      </c>
      <c r="D108" s="15">
        <f ca="1">(1+('Symulacja Pożyczka'!$B$7+4%)*('Arkusz1 (2)'!B108-'Arkusz1 (2)'!B107)/366)</f>
        <v>1.0085245901639344</v>
      </c>
      <c r="E108" s="15">
        <f t="shared" ca="1" si="9"/>
        <v>0</v>
      </c>
      <c r="F108" s="15">
        <f t="shared" ca="1" si="10"/>
        <v>0</v>
      </c>
      <c r="G108">
        <f ca="1">IF(E108=1,(1+('Symulacja Pożyczka'!$B$7+4%)*((('Arkusz1 (2)'!B108-DATE(YEAR(B108),1,1)+1)/365)+((DATE(YEAR(B107),12,31)-'Arkusz1 (2)'!B107)/366))),IF(F108=1,(1+('Symulacja Pożyczka'!$B$7+4%)*((('Arkusz1 (2)'!B108-DATE(YEAR(B108),1,1)+1)/366)+((DATE(YEAR(B107),12,31)-'Arkusz1 (2)'!B107)/365))),0))</f>
        <v>0</v>
      </c>
      <c r="H108">
        <f t="shared" ca="1" si="11"/>
        <v>0</v>
      </c>
      <c r="I108">
        <f t="shared" ca="1" si="12"/>
        <v>1.0085479452054795</v>
      </c>
      <c r="J108">
        <f t="shared" ca="1" si="13"/>
        <v>1.0085479452054795</v>
      </c>
      <c r="K108">
        <f ca="1">PRODUCT($J$3:J108)</f>
        <v>2.4860488557811635</v>
      </c>
      <c r="L108">
        <f t="shared" ca="1" si="14"/>
        <v>0.40224470958185621</v>
      </c>
      <c r="M108">
        <f ca="1">SUM($L$3:L108)</f>
        <v>69.438982429338822</v>
      </c>
      <c r="O108">
        <f ca="1">(Q107*'Arkusz1 (2)'!J108)-Q107</f>
        <v>1971.4997409178468</v>
      </c>
      <c r="P108" s="16">
        <f t="shared" ca="1" si="15"/>
        <v>14489.781807451618</v>
      </c>
      <c r="Q108" s="17">
        <f t="shared" ca="1" si="16"/>
        <v>216150.41224223128</v>
      </c>
    </row>
    <row r="109" spans="1:17" x14ac:dyDescent="0.35">
      <c r="A109">
        <v>107</v>
      </c>
      <c r="B109" s="14">
        <f t="shared" ca="1" si="17"/>
        <v>49326</v>
      </c>
      <c r="C109" s="15">
        <f ca="1">(1+('Symulacja Pożyczka'!$B$7+4%)*('Arkusz1 (2)'!B109-'Arkusz1 (2)'!B108)/365)</f>
        <v>1.0088328767123287</v>
      </c>
      <c r="D109" s="15">
        <f ca="1">(1+('Symulacja Pożyczka'!$B$7+4%)*('Arkusz1 (2)'!B109-'Arkusz1 (2)'!B108)/366)</f>
        <v>1.0088087431693988</v>
      </c>
      <c r="E109" s="15">
        <f t="shared" ca="1" si="9"/>
        <v>0</v>
      </c>
      <c r="F109" s="15">
        <f t="shared" ca="1" si="10"/>
        <v>0</v>
      </c>
      <c r="G109">
        <f ca="1">IF(E109=1,(1+('Symulacja Pożyczka'!$B$7+4%)*((('Arkusz1 (2)'!B109-DATE(YEAR(B109),1,1)+1)/365)+((DATE(YEAR(B108),12,31)-'Arkusz1 (2)'!B108)/366))),IF(F109=1,(1+('Symulacja Pożyczka'!$B$7+4%)*((('Arkusz1 (2)'!B109-DATE(YEAR(B109),1,1)+1)/366)+((DATE(YEAR(B108),12,31)-'Arkusz1 (2)'!B108)/365))),0))</f>
        <v>0</v>
      </c>
      <c r="H109">
        <f t="shared" ca="1" si="11"/>
        <v>0</v>
      </c>
      <c r="I109">
        <f t="shared" ca="1" si="12"/>
        <v>1.0088328767123287</v>
      </c>
      <c r="J109">
        <f t="shared" ca="1" si="13"/>
        <v>1.0088328767123287</v>
      </c>
      <c r="K109">
        <f ca="1">PRODUCT($J$3:J109)</f>
        <v>2.5080078188251043</v>
      </c>
      <c r="L109">
        <f t="shared" ca="1" si="14"/>
        <v>0.39872283989467694</v>
      </c>
      <c r="M109">
        <f ca="1">SUM($L$3:L109)</f>
        <v>69.837705269233496</v>
      </c>
      <c r="O109">
        <f ca="1">(Q108*'Arkusz1 (2)'!J109)-Q108</f>
        <v>1909.2299426546379</v>
      </c>
      <c r="P109" s="16">
        <f t="shared" ca="1" si="15"/>
        <v>14552.051605714827</v>
      </c>
      <c r="Q109" s="17">
        <f t="shared" ca="1" si="16"/>
        <v>201598.36063651645</v>
      </c>
    </row>
    <row r="110" spans="1:17" x14ac:dyDescent="0.35">
      <c r="A110">
        <v>108</v>
      </c>
      <c r="B110" s="14">
        <f t="shared" ca="1" si="17"/>
        <v>49357</v>
      </c>
      <c r="C110" s="15">
        <f ca="1">(1+('Symulacja Pożyczka'!$B$7+4%)*('Arkusz1 (2)'!B110-'Arkusz1 (2)'!B109)/365)</f>
        <v>1.0088328767123287</v>
      </c>
      <c r="D110" s="15">
        <f ca="1">(1+('Symulacja Pożyczka'!$B$7+4%)*('Arkusz1 (2)'!B110-'Arkusz1 (2)'!B109)/366)</f>
        <v>1.0088087431693988</v>
      </c>
      <c r="E110" s="15">
        <f t="shared" ca="1" si="9"/>
        <v>0</v>
      </c>
      <c r="F110" s="15">
        <f t="shared" ca="1" si="10"/>
        <v>0</v>
      </c>
      <c r="G110">
        <f ca="1">IF(E110=1,(1+('Symulacja Pożyczka'!$B$7+4%)*((('Arkusz1 (2)'!B110-DATE(YEAR(B110),1,1)+1)/365)+((DATE(YEAR(B109),12,31)-'Arkusz1 (2)'!B109)/366))),IF(F110=1,(1+('Symulacja Pożyczka'!$B$7+4%)*((('Arkusz1 (2)'!B110-DATE(YEAR(B110),1,1)+1)/366)+((DATE(YEAR(B109),12,31)-'Arkusz1 (2)'!B109)/365))),0))</f>
        <v>0</v>
      </c>
      <c r="H110">
        <f t="shared" ca="1" si="11"/>
        <v>0</v>
      </c>
      <c r="I110">
        <f t="shared" ca="1" si="12"/>
        <v>1.0088328767123287</v>
      </c>
      <c r="J110">
        <f t="shared" ca="1" si="13"/>
        <v>1.0088328767123287</v>
      </c>
      <c r="K110">
        <f ca="1">PRODUCT($J$3:J110)</f>
        <v>2.5301607426823427</v>
      </c>
      <c r="L110">
        <f t="shared" ca="1" si="14"/>
        <v>0.39523180607879199</v>
      </c>
      <c r="M110">
        <f ca="1">SUM($L$3:L110)</f>
        <v>70.232937075312293</v>
      </c>
      <c r="O110">
        <f ca="1">(Q109*'Arkusz1 (2)'!J110)-Q109</f>
        <v>1780.693464909913</v>
      </c>
      <c r="P110" s="16">
        <f t="shared" ca="1" si="15"/>
        <v>14680.588083459552</v>
      </c>
      <c r="Q110" s="17">
        <f t="shared" ca="1" si="16"/>
        <v>186917.77255305689</v>
      </c>
    </row>
    <row r="111" spans="1:17" x14ac:dyDescent="0.35">
      <c r="A111">
        <v>109</v>
      </c>
      <c r="B111" s="14">
        <f t="shared" ca="1" si="17"/>
        <v>49385</v>
      </c>
      <c r="C111" s="15">
        <f ca="1">(1+('Symulacja Pożyczka'!$B$7+4%)*('Arkusz1 (2)'!B111-'Arkusz1 (2)'!B110)/365)</f>
        <v>1.0079780821917808</v>
      </c>
      <c r="D111" s="15">
        <f ca="1">(1+('Symulacja Pożyczka'!$B$7+4%)*('Arkusz1 (2)'!B111-'Arkusz1 (2)'!B110)/366)</f>
        <v>1.0079562841530054</v>
      </c>
      <c r="E111" s="15">
        <f t="shared" ca="1" si="9"/>
        <v>0</v>
      </c>
      <c r="F111" s="15">
        <f t="shared" ca="1" si="10"/>
        <v>0</v>
      </c>
      <c r="G111">
        <f ca="1">IF(E111=1,(1+('Symulacja Pożyczka'!$B$7+4%)*((('Arkusz1 (2)'!B111-DATE(YEAR(B111),1,1)+1)/365)+((DATE(YEAR(B110),12,31)-'Arkusz1 (2)'!B110)/366))),IF(F111=1,(1+('Symulacja Pożyczka'!$B$7+4%)*((('Arkusz1 (2)'!B111-DATE(YEAR(B111),1,1)+1)/366)+((DATE(YEAR(B110),12,31)-'Arkusz1 (2)'!B110)/365))),0))</f>
        <v>0</v>
      </c>
      <c r="H111">
        <f t="shared" ca="1" si="11"/>
        <v>0</v>
      </c>
      <c r="I111">
        <f t="shared" ca="1" si="12"/>
        <v>1.0079780821917808</v>
      </c>
      <c r="J111">
        <f t="shared" ca="1" si="13"/>
        <v>1.0079780821917808</v>
      </c>
      <c r="K111">
        <f ca="1">PRODUCT($J$3:J111)</f>
        <v>2.5503465730458794</v>
      </c>
      <c r="L111">
        <f t="shared" ca="1" si="14"/>
        <v>0.39210357155721776</v>
      </c>
      <c r="M111">
        <f ca="1">SUM($L$3:L111)</f>
        <v>70.625040646869508</v>
      </c>
      <c r="O111">
        <f ca="1">(Q110*'Arkusz1 (2)'!J111)-Q110</f>
        <v>1491.2453525328601</v>
      </c>
      <c r="P111" s="16">
        <f t="shared" ca="1" si="15"/>
        <v>14970.036195836605</v>
      </c>
      <c r="Q111" s="17">
        <f t="shared" ca="1" si="16"/>
        <v>171947.73635722027</v>
      </c>
    </row>
    <row r="112" spans="1:17" x14ac:dyDescent="0.35">
      <c r="A112">
        <v>110</v>
      </c>
      <c r="B112" s="14">
        <f t="shared" ca="1" si="17"/>
        <v>49416</v>
      </c>
      <c r="C112" s="15">
        <f ca="1">(1+('Symulacja Pożyczka'!$B$7+4%)*('Arkusz1 (2)'!B112-'Arkusz1 (2)'!B111)/365)</f>
        <v>1.0088328767123287</v>
      </c>
      <c r="D112" s="15">
        <f ca="1">(1+('Symulacja Pożyczka'!$B$7+4%)*('Arkusz1 (2)'!B112-'Arkusz1 (2)'!B111)/366)</f>
        <v>1.0088087431693988</v>
      </c>
      <c r="E112" s="15">
        <f t="shared" ca="1" si="9"/>
        <v>0</v>
      </c>
      <c r="F112" s="15">
        <f t="shared" ca="1" si="10"/>
        <v>0</v>
      </c>
      <c r="G112">
        <f ca="1">IF(E112=1,(1+('Symulacja Pożyczka'!$B$7+4%)*((('Arkusz1 (2)'!B112-DATE(YEAR(B112),1,1)+1)/365)+((DATE(YEAR(B111),12,31)-'Arkusz1 (2)'!B111)/366))),IF(F112=1,(1+('Symulacja Pożyczka'!$B$7+4%)*((('Arkusz1 (2)'!B112-DATE(YEAR(B112),1,1)+1)/366)+((DATE(YEAR(B111),12,31)-'Arkusz1 (2)'!B111)/365))),0))</f>
        <v>0</v>
      </c>
      <c r="H112">
        <f t="shared" ca="1" si="11"/>
        <v>0</v>
      </c>
      <c r="I112">
        <f t="shared" ca="1" si="12"/>
        <v>1.0088328767123287</v>
      </c>
      <c r="J112">
        <f t="shared" ca="1" si="13"/>
        <v>1.0088328767123287</v>
      </c>
      <c r="K112">
        <f ca="1">PRODUCT($J$3:J112)</f>
        <v>2.5728734698993034</v>
      </c>
      <c r="L112">
        <f t="shared" ca="1" si="14"/>
        <v>0.38867049301073392</v>
      </c>
      <c r="M112">
        <f ca="1">SUM($L$3:L112)</f>
        <v>71.013711139880243</v>
      </c>
      <c r="O112">
        <f ca="1">(Q111*'Arkusz1 (2)'!J112)-Q111</f>
        <v>1518.7931562073354</v>
      </c>
      <c r="P112" s="16">
        <f t="shared" ca="1" si="15"/>
        <v>14942.488392162129</v>
      </c>
      <c r="Q112" s="17">
        <f t="shared" ca="1" si="16"/>
        <v>157005.24796505814</v>
      </c>
    </row>
    <row r="113" spans="1:17" x14ac:dyDescent="0.35">
      <c r="A113">
        <v>111</v>
      </c>
      <c r="B113" s="14">
        <f t="shared" ca="1" si="17"/>
        <v>49446</v>
      </c>
      <c r="C113" s="15">
        <f ca="1">(1+('Symulacja Pożyczka'!$B$7+4%)*('Arkusz1 (2)'!B113-'Arkusz1 (2)'!B112)/365)</f>
        <v>1.0085479452054795</v>
      </c>
      <c r="D113" s="15">
        <f ca="1">(1+('Symulacja Pożyczka'!$B$7+4%)*('Arkusz1 (2)'!B113-'Arkusz1 (2)'!B112)/366)</f>
        <v>1.0085245901639344</v>
      </c>
      <c r="E113" s="15">
        <f t="shared" ca="1" si="9"/>
        <v>0</v>
      </c>
      <c r="F113" s="15">
        <f t="shared" ca="1" si="10"/>
        <v>0</v>
      </c>
      <c r="G113">
        <f ca="1">IF(E113=1,(1+('Symulacja Pożyczka'!$B$7+4%)*((('Arkusz1 (2)'!B113-DATE(YEAR(B113),1,1)+1)/365)+((DATE(YEAR(B112),12,31)-'Arkusz1 (2)'!B112)/366))),IF(F113=1,(1+('Symulacja Pożyczka'!$B$7+4%)*((('Arkusz1 (2)'!B113-DATE(YEAR(B113),1,1)+1)/366)+((DATE(YEAR(B112),12,31)-'Arkusz1 (2)'!B112)/365))),0))</f>
        <v>0</v>
      </c>
      <c r="H113">
        <f t="shared" ca="1" si="11"/>
        <v>0</v>
      </c>
      <c r="I113">
        <f t="shared" ca="1" si="12"/>
        <v>1.0085479452054795</v>
      </c>
      <c r="J113">
        <f t="shared" ca="1" si="13"/>
        <v>1.0085479452054795</v>
      </c>
      <c r="K113">
        <f ca="1">PRODUCT($J$3:J113)</f>
        <v>2.5948662513406346</v>
      </c>
      <c r="L113">
        <f t="shared" ca="1" si="14"/>
        <v>0.38537631736639649</v>
      </c>
      <c r="M113">
        <f ca="1">SUM($L$3:L113)</f>
        <v>71.399087457246637</v>
      </c>
      <c r="O113">
        <f ca="1">(Q112*'Arkusz1 (2)'!J113)-Q112</f>
        <v>1342.0722565780452</v>
      </c>
      <c r="P113" s="16">
        <f t="shared" ca="1" si="15"/>
        <v>15119.20929179142</v>
      </c>
      <c r="Q113" s="17">
        <f t="shared" ca="1" si="16"/>
        <v>141886.03867326671</v>
      </c>
    </row>
    <row r="114" spans="1:17" x14ac:dyDescent="0.35">
      <c r="A114">
        <v>112</v>
      </c>
      <c r="B114" s="14">
        <f t="shared" ca="1" si="17"/>
        <v>49477</v>
      </c>
      <c r="C114" s="15">
        <f ca="1">(1+('Symulacja Pożyczka'!$B$7+4%)*('Arkusz1 (2)'!B114-'Arkusz1 (2)'!B113)/365)</f>
        <v>1.0088328767123287</v>
      </c>
      <c r="D114" s="15">
        <f ca="1">(1+('Symulacja Pożyczka'!$B$7+4%)*('Arkusz1 (2)'!B114-'Arkusz1 (2)'!B113)/366)</f>
        <v>1.0088087431693988</v>
      </c>
      <c r="E114" s="15">
        <f t="shared" ca="1" si="9"/>
        <v>0</v>
      </c>
      <c r="F114" s="15">
        <f t="shared" ca="1" si="10"/>
        <v>0</v>
      </c>
      <c r="G114">
        <f ca="1">IF(E114=1,(1+('Symulacja Pożyczka'!$B$7+4%)*((('Arkusz1 (2)'!B114-DATE(YEAR(B114),1,1)+1)/365)+((DATE(YEAR(B113),12,31)-'Arkusz1 (2)'!B113)/366))),IF(F114=1,(1+('Symulacja Pożyczka'!$B$7+4%)*((('Arkusz1 (2)'!B114-DATE(YEAR(B114),1,1)+1)/366)+((DATE(YEAR(B113),12,31)-'Arkusz1 (2)'!B113)/365))),0))</f>
        <v>0</v>
      </c>
      <c r="H114">
        <f t="shared" ca="1" si="11"/>
        <v>0</v>
      </c>
      <c r="I114">
        <f t="shared" ca="1" si="12"/>
        <v>1.0088328767123287</v>
      </c>
      <c r="J114">
        <f t="shared" ca="1" si="13"/>
        <v>1.0088328767123287</v>
      </c>
      <c r="K114">
        <f ca="1">PRODUCT($J$3:J114)</f>
        <v>2.6177863850237091</v>
      </c>
      <c r="L114">
        <f t="shared" ca="1" si="14"/>
        <v>0.38200213956378382</v>
      </c>
      <c r="M114">
        <f ca="1">SUM($L$3:L114)</f>
        <v>71.781089596810418</v>
      </c>
      <c r="O114">
        <f ca="1">(Q113*'Arkusz1 (2)'!J114)-Q113</f>
        <v>1253.261886801658</v>
      </c>
      <c r="P114" s="16">
        <f t="shared" ca="1" si="15"/>
        <v>15208.019661567807</v>
      </c>
      <c r="Q114" s="17">
        <f t="shared" ca="1" si="16"/>
        <v>126678.0190116989</v>
      </c>
    </row>
    <row r="115" spans="1:17" x14ac:dyDescent="0.35">
      <c r="A115">
        <v>113</v>
      </c>
      <c r="B115" s="14">
        <f t="shared" ca="1" si="17"/>
        <v>49507</v>
      </c>
      <c r="C115" s="15">
        <f ca="1">(1+('Symulacja Pożyczka'!$B$7+4%)*('Arkusz1 (2)'!B115-'Arkusz1 (2)'!B114)/365)</f>
        <v>1.0085479452054795</v>
      </c>
      <c r="D115" s="15">
        <f ca="1">(1+('Symulacja Pożyczka'!$B$7+4%)*('Arkusz1 (2)'!B115-'Arkusz1 (2)'!B114)/366)</f>
        <v>1.0085245901639344</v>
      </c>
      <c r="E115" s="15">
        <f t="shared" ca="1" si="9"/>
        <v>0</v>
      </c>
      <c r="F115" s="15">
        <f t="shared" ca="1" si="10"/>
        <v>0</v>
      </c>
      <c r="G115">
        <f ca="1">IF(E115=1,(1+('Symulacja Pożyczka'!$B$7+4%)*((('Arkusz1 (2)'!B115-DATE(YEAR(B115),1,1)+1)/365)+((DATE(YEAR(B114),12,31)-'Arkusz1 (2)'!B114)/366))),IF(F115=1,(1+('Symulacja Pożyczka'!$B$7+4%)*((('Arkusz1 (2)'!B115-DATE(YEAR(B115),1,1)+1)/366)+((DATE(YEAR(B114),12,31)-'Arkusz1 (2)'!B114)/365))),0))</f>
        <v>0</v>
      </c>
      <c r="H115">
        <f t="shared" ca="1" si="11"/>
        <v>0</v>
      </c>
      <c r="I115">
        <f t="shared" ca="1" si="12"/>
        <v>1.0085479452054795</v>
      </c>
      <c r="J115">
        <f t="shared" ca="1" si="13"/>
        <v>1.0085479452054795</v>
      </c>
      <c r="K115">
        <f ca="1">PRODUCT($J$3:J115)</f>
        <v>2.6401630796025422</v>
      </c>
      <c r="L115">
        <f t="shared" ca="1" si="14"/>
        <v>0.37876448152988446</v>
      </c>
      <c r="M115">
        <f ca="1">SUM($L$3:L115)</f>
        <v>72.159854078340302</v>
      </c>
      <c r="O115">
        <f ca="1">(Q114*'Arkusz1 (2)'!J115)-Q114</f>
        <v>1082.8367652507004</v>
      </c>
      <c r="P115" s="16">
        <f t="shared" ca="1" si="15"/>
        <v>15378.444783118764</v>
      </c>
      <c r="Q115" s="17">
        <f t="shared" ca="1" si="16"/>
        <v>111299.57422858014</v>
      </c>
    </row>
    <row r="116" spans="1:17" x14ac:dyDescent="0.35">
      <c r="A116">
        <v>114</v>
      </c>
      <c r="B116" s="14">
        <f t="shared" ca="1" si="17"/>
        <v>49538</v>
      </c>
      <c r="C116" s="15">
        <f ca="1">(1+('Symulacja Pożyczka'!$B$7+4%)*('Arkusz1 (2)'!B116-'Arkusz1 (2)'!B115)/365)</f>
        <v>1.0088328767123287</v>
      </c>
      <c r="D116" s="15">
        <f ca="1">(1+('Symulacja Pożyczka'!$B$7+4%)*('Arkusz1 (2)'!B116-'Arkusz1 (2)'!B115)/366)</f>
        <v>1.0088087431693988</v>
      </c>
      <c r="E116" s="15">
        <f t="shared" ca="1" si="9"/>
        <v>0</v>
      </c>
      <c r="F116" s="15">
        <f t="shared" ca="1" si="10"/>
        <v>0</v>
      </c>
      <c r="G116">
        <f ca="1">IF(E116=1,(1+('Symulacja Pożyczka'!$B$7+4%)*((('Arkusz1 (2)'!B116-DATE(YEAR(B116),1,1)+1)/365)+((DATE(YEAR(B115),12,31)-'Arkusz1 (2)'!B115)/366))),IF(F116=1,(1+('Symulacja Pożyczka'!$B$7+4%)*((('Arkusz1 (2)'!B116-DATE(YEAR(B116),1,1)+1)/366)+((DATE(YEAR(B115),12,31)-'Arkusz1 (2)'!B115)/365))),0))</f>
        <v>0</v>
      </c>
      <c r="H116">
        <f t="shared" ca="1" si="11"/>
        <v>0</v>
      </c>
      <c r="I116">
        <f t="shared" ca="1" si="12"/>
        <v>1.0088328767123287</v>
      </c>
      <c r="J116">
        <f t="shared" ca="1" si="13"/>
        <v>1.0088328767123287</v>
      </c>
      <c r="K116">
        <f ca="1">PRODUCT($J$3:J116)</f>
        <v>2.6634833145851133</v>
      </c>
      <c r="L116">
        <f t="shared" ca="1" si="14"/>
        <v>0.37544819392111284</v>
      </c>
      <c r="M116">
        <f ca="1">SUM($L$3:L116)</f>
        <v>72.535302272261418</v>
      </c>
      <c r="O116">
        <f ca="1">(Q115*'Arkusz1 (2)'!J116)-Q115</f>
        <v>983.09541729572811</v>
      </c>
      <c r="P116" s="16">
        <f t="shared" ca="1" si="15"/>
        <v>15478.186131073737</v>
      </c>
      <c r="Q116" s="17">
        <f t="shared" ca="1" si="16"/>
        <v>95821.388097506395</v>
      </c>
    </row>
    <row r="117" spans="1:17" x14ac:dyDescent="0.35">
      <c r="A117">
        <v>115</v>
      </c>
      <c r="B117" s="14">
        <f t="shared" ca="1" si="17"/>
        <v>49569</v>
      </c>
      <c r="C117" s="15">
        <f ca="1">(1+('Symulacja Pożyczka'!$B$7+4%)*('Arkusz1 (2)'!B117-'Arkusz1 (2)'!B116)/365)</f>
        <v>1.0088328767123287</v>
      </c>
      <c r="D117" s="15">
        <f ca="1">(1+('Symulacja Pożyczka'!$B$7+4%)*('Arkusz1 (2)'!B117-'Arkusz1 (2)'!B116)/366)</f>
        <v>1.0088087431693988</v>
      </c>
      <c r="E117" s="15">
        <f t="shared" ca="1" si="9"/>
        <v>0</v>
      </c>
      <c r="F117" s="15">
        <f t="shared" ca="1" si="10"/>
        <v>0</v>
      </c>
      <c r="G117">
        <f ca="1">IF(E117=1,(1+('Symulacja Pożyczka'!$B$7+4%)*((('Arkusz1 (2)'!B117-DATE(YEAR(B117),1,1)+1)/365)+((DATE(YEAR(B116),12,31)-'Arkusz1 (2)'!B116)/366))),IF(F117=1,(1+('Symulacja Pożyczka'!$B$7+4%)*((('Arkusz1 (2)'!B117-DATE(YEAR(B117),1,1)+1)/366)+((DATE(YEAR(B116),12,31)-'Arkusz1 (2)'!B116)/365))),0))</f>
        <v>0</v>
      </c>
      <c r="H117">
        <f t="shared" ca="1" si="11"/>
        <v>0</v>
      </c>
      <c r="I117">
        <f t="shared" ca="1" si="12"/>
        <v>1.0088328767123287</v>
      </c>
      <c r="J117">
        <f t="shared" ca="1" si="13"/>
        <v>1.0088328767123287</v>
      </c>
      <c r="K117">
        <f ca="1">PRODUCT($J$3:J117)</f>
        <v>2.6870095343281881</v>
      </c>
      <c r="L117">
        <f t="shared" ca="1" si="14"/>
        <v>0.37216094220150286</v>
      </c>
      <c r="M117">
        <f ca="1">SUM($L$3:L117)</f>
        <v>72.907463214462922</v>
      </c>
      <c r="O117">
        <f ca="1">(Q116*'Arkusz1 (2)'!J117)-Q116</f>
        <v>846.37850746947515</v>
      </c>
      <c r="P117" s="16">
        <f t="shared" ca="1" si="15"/>
        <v>15614.90304089999</v>
      </c>
      <c r="Q117" s="17">
        <f t="shared" ca="1" si="16"/>
        <v>80206.485056606412</v>
      </c>
    </row>
    <row r="118" spans="1:17" x14ac:dyDescent="0.35">
      <c r="A118">
        <v>116</v>
      </c>
      <c r="B118" s="14">
        <f t="shared" ca="1" si="17"/>
        <v>49599</v>
      </c>
      <c r="C118" s="15">
        <f ca="1">(1+('Symulacja Pożyczka'!$B$7+4%)*('Arkusz1 (2)'!B118-'Arkusz1 (2)'!B117)/365)</f>
        <v>1.0085479452054795</v>
      </c>
      <c r="D118" s="15">
        <f ca="1">(1+('Symulacja Pożyczka'!$B$7+4%)*('Arkusz1 (2)'!B118-'Arkusz1 (2)'!B117)/366)</f>
        <v>1.0085245901639344</v>
      </c>
      <c r="E118" s="15">
        <f t="shared" ca="1" si="9"/>
        <v>0</v>
      </c>
      <c r="F118" s="15">
        <f t="shared" ca="1" si="10"/>
        <v>0</v>
      </c>
      <c r="G118">
        <f ca="1">IF(E118=1,(1+('Symulacja Pożyczka'!$B$7+4%)*((('Arkusz1 (2)'!B118-DATE(YEAR(B118),1,1)+1)/365)+((DATE(YEAR(B117),12,31)-'Arkusz1 (2)'!B117)/366))),IF(F118=1,(1+('Symulacja Pożyczka'!$B$7+4%)*((('Arkusz1 (2)'!B118-DATE(YEAR(B118),1,1)+1)/366)+((DATE(YEAR(B117),12,31)-'Arkusz1 (2)'!B117)/365))),0))</f>
        <v>0</v>
      </c>
      <c r="H118">
        <f t="shared" ca="1" si="11"/>
        <v>0</v>
      </c>
      <c r="I118">
        <f t="shared" ca="1" si="12"/>
        <v>1.0085479452054795</v>
      </c>
      <c r="J118">
        <f t="shared" ca="1" si="13"/>
        <v>1.0085479452054795</v>
      </c>
      <c r="K118">
        <f ca="1">PRODUCT($J$3:J118)</f>
        <v>2.7099779445942267</v>
      </c>
      <c r="L118">
        <f t="shared" ca="1" si="14"/>
        <v>0.36900669320750989</v>
      </c>
      <c r="M118">
        <f ca="1">SUM($L$3:L118)</f>
        <v>73.276469907670432</v>
      </c>
      <c r="O118">
        <f ca="1">(Q117*'Arkusz1 (2)'!J118)-Q117</f>
        <v>685.60063938797975</v>
      </c>
      <c r="P118" s="16">
        <f t="shared" ca="1" si="15"/>
        <v>15775.680908981485</v>
      </c>
      <c r="Q118" s="17">
        <f t="shared" ca="1" si="16"/>
        <v>64430.804147624927</v>
      </c>
    </row>
    <row r="119" spans="1:17" x14ac:dyDescent="0.35">
      <c r="A119">
        <v>117</v>
      </c>
      <c r="B119" s="14">
        <f t="shared" ca="1" si="17"/>
        <v>49630</v>
      </c>
      <c r="C119" s="15">
        <f ca="1">(1+('Symulacja Pożyczka'!$B$7+4%)*('Arkusz1 (2)'!B119-'Arkusz1 (2)'!B118)/365)</f>
        <v>1.0088328767123287</v>
      </c>
      <c r="D119" s="15">
        <f ca="1">(1+('Symulacja Pożyczka'!$B$7+4%)*('Arkusz1 (2)'!B119-'Arkusz1 (2)'!B118)/366)</f>
        <v>1.0088087431693988</v>
      </c>
      <c r="E119" s="15">
        <f t="shared" ca="1" si="9"/>
        <v>0</v>
      </c>
      <c r="F119" s="15">
        <f t="shared" ca="1" si="10"/>
        <v>0</v>
      </c>
      <c r="G119">
        <f ca="1">IF(E119=1,(1+('Symulacja Pożyczka'!$B$7+4%)*((('Arkusz1 (2)'!B119-DATE(YEAR(B119),1,1)+1)/365)+((DATE(YEAR(B118),12,31)-'Arkusz1 (2)'!B118)/366))),IF(F119=1,(1+('Symulacja Pożyczka'!$B$7+4%)*((('Arkusz1 (2)'!B119-DATE(YEAR(B119),1,1)+1)/366)+((DATE(YEAR(B118),12,31)-'Arkusz1 (2)'!B118)/365))),0))</f>
        <v>0</v>
      </c>
      <c r="H119">
        <f t="shared" ca="1" si="11"/>
        <v>0</v>
      </c>
      <c r="I119">
        <f t="shared" ca="1" si="12"/>
        <v>1.0088328767123287</v>
      </c>
      <c r="J119">
        <f t="shared" ca="1" si="13"/>
        <v>1.0088328767123287</v>
      </c>
      <c r="K119">
        <f ca="1">PRODUCT($J$3:J119)</f>
        <v>2.7339148456719573</v>
      </c>
      <c r="L119">
        <f t="shared" ca="1" si="14"/>
        <v>0.36577584030574084</v>
      </c>
      <c r="M119">
        <f ca="1">SUM($L$3:L119)</f>
        <v>73.642245747976176</v>
      </c>
      <c r="O119">
        <f ca="1">(Q118*'Arkusz1 (2)'!J119)-Q118</f>
        <v>569.10934951216768</v>
      </c>
      <c r="P119" s="16">
        <f t="shared" ca="1" si="15"/>
        <v>15892.172198857297</v>
      </c>
      <c r="Q119" s="17">
        <f t="shared" ca="1" si="16"/>
        <v>48538.63194876763</v>
      </c>
    </row>
    <row r="120" spans="1:17" x14ac:dyDescent="0.35">
      <c r="A120">
        <v>118</v>
      </c>
      <c r="B120" s="14">
        <f t="shared" ca="1" si="17"/>
        <v>49660</v>
      </c>
      <c r="C120" s="15">
        <f ca="1">(1+('Symulacja Pożyczka'!$B$7+4%)*('Arkusz1 (2)'!B120-'Arkusz1 (2)'!B119)/365)</f>
        <v>1.0085479452054795</v>
      </c>
      <c r="D120" s="15">
        <f ca="1">(1+('Symulacja Pożyczka'!$B$7+4%)*('Arkusz1 (2)'!B120-'Arkusz1 (2)'!B119)/366)</f>
        <v>1.0085245901639344</v>
      </c>
      <c r="E120" s="15">
        <f t="shared" ca="1" si="9"/>
        <v>0</v>
      </c>
      <c r="F120" s="15">
        <f t="shared" ca="1" si="10"/>
        <v>0</v>
      </c>
      <c r="G120">
        <f ca="1">IF(E120=1,(1+('Symulacja Pożyczka'!$B$7+4%)*((('Arkusz1 (2)'!B120-DATE(YEAR(B120),1,1)+1)/365)+((DATE(YEAR(B119),12,31)-'Arkusz1 (2)'!B119)/366))),IF(F120=1,(1+('Symulacja Pożyczka'!$B$7+4%)*((('Arkusz1 (2)'!B120-DATE(YEAR(B120),1,1)+1)/366)+((DATE(YEAR(B119),12,31)-'Arkusz1 (2)'!B119)/365))),0))</f>
        <v>0</v>
      </c>
      <c r="H120">
        <f t="shared" ca="1" si="11"/>
        <v>0</v>
      </c>
      <c r="I120">
        <f t="shared" ca="1" si="12"/>
        <v>1.0085479452054795</v>
      </c>
      <c r="J120">
        <f t="shared" ca="1" si="13"/>
        <v>1.0085479452054795</v>
      </c>
      <c r="K120">
        <f ca="1">PRODUCT($J$3:J120)</f>
        <v>2.7572841999692081</v>
      </c>
      <c r="L120">
        <f t="shared" ca="1" si="14"/>
        <v>0.36267570822447953</v>
      </c>
      <c r="M120">
        <f ca="1">SUM($L$3:L120)</f>
        <v>74.004921456200663</v>
      </c>
      <c r="O120">
        <f ca="1">(Q119*'Arkusz1 (2)'!J120)-Q119</f>
        <v>414.90556624700548</v>
      </c>
      <c r="P120" s="16">
        <f t="shared" ca="1" si="15"/>
        <v>16046.375982122459</v>
      </c>
      <c r="Q120" s="17">
        <f t="shared" ca="1" si="16"/>
        <v>32492.255966645171</v>
      </c>
    </row>
    <row r="121" spans="1:17" x14ac:dyDescent="0.35">
      <c r="A121">
        <v>119</v>
      </c>
      <c r="B121" s="14">
        <f t="shared" ca="1" si="17"/>
        <v>49691</v>
      </c>
      <c r="C121" s="15">
        <f ca="1">(1+('Symulacja Pożyczka'!$B$7+4%)*('Arkusz1 (2)'!B121-'Arkusz1 (2)'!B120)/365)</f>
        <v>1.0088328767123287</v>
      </c>
      <c r="D121" s="15">
        <f ca="1">(1+('Symulacja Pożyczka'!$B$7+4%)*('Arkusz1 (2)'!B121-'Arkusz1 (2)'!B120)/366)</f>
        <v>1.0088087431693988</v>
      </c>
      <c r="E121" s="15">
        <f t="shared" ca="1" si="9"/>
        <v>0</v>
      </c>
      <c r="F121" s="15">
        <f t="shared" ca="1" si="10"/>
        <v>1</v>
      </c>
      <c r="G121">
        <f ca="1">IF(E121=1,(1+('Symulacja Pożyczka'!$B$7+4%)*((('Arkusz1 (2)'!B121-DATE(YEAR(B121),1,1)+1)/365)+((DATE(YEAR(B120),12,31)-'Arkusz1 (2)'!B120)/366))),IF(F121=1,(1+('Symulacja Pożyczka'!$B$7+4%)*((('Arkusz1 (2)'!B121-DATE(YEAR(B121),1,1)+1)/366)+((DATE(YEAR(B120),12,31)-'Arkusz1 (2)'!B120)/365))),0))</f>
        <v>1.0088196421887865</v>
      </c>
      <c r="H121">
        <f t="shared" ca="1" si="11"/>
        <v>1</v>
      </c>
      <c r="I121">
        <f t="shared" ca="1" si="12"/>
        <v>1.0088087431693988</v>
      </c>
      <c r="J121">
        <f t="shared" ca="1" si="13"/>
        <v>1.0088196421887865</v>
      </c>
      <c r="K121">
        <f ca="1">PRODUCT($J$3:J121)</f>
        <v>2.7816024600257312</v>
      </c>
      <c r="L121">
        <f t="shared" ca="1" si="14"/>
        <v>0.35950500273527564</v>
      </c>
      <c r="M121">
        <f ca="1">SUM($L$3:L121)</f>
        <v>74.364426458935938</v>
      </c>
      <c r="O121">
        <f ca="1">(Q120*'Arkusz1 (2)'!J121)-Q120</f>
        <v>286.5700715322746</v>
      </c>
      <c r="P121" s="16">
        <f t="shared" ca="1" si="15"/>
        <v>16174.71147683719</v>
      </c>
      <c r="Q121" s="17">
        <f t="shared" ca="1" si="16"/>
        <v>16317.54448980798</v>
      </c>
    </row>
    <row r="122" spans="1:17" x14ac:dyDescent="0.35">
      <c r="A122">
        <v>120</v>
      </c>
      <c r="B122" s="14">
        <f t="shared" ca="1" si="17"/>
        <v>49722</v>
      </c>
      <c r="C122" s="15">
        <f ca="1">(1+('Symulacja Pożyczka'!$B$7+4%)*('Arkusz1 (2)'!B122-'Arkusz1 (2)'!B121)/365)</f>
        <v>1.0088328767123287</v>
      </c>
      <c r="D122" s="15">
        <f ca="1">(1+('Symulacja Pożyczka'!$B$7+4%)*('Arkusz1 (2)'!B122-'Arkusz1 (2)'!B121)/366)</f>
        <v>1.0088087431693988</v>
      </c>
      <c r="E122" s="15">
        <f t="shared" ca="1" si="9"/>
        <v>0</v>
      </c>
      <c r="F122" s="15">
        <f t="shared" ca="1" si="10"/>
        <v>0</v>
      </c>
      <c r="G122">
        <f ca="1">IF(E122=1,(1+('Symulacja Pożyczka'!$B$7+4%)*((('Arkusz1 (2)'!B122-DATE(YEAR(B122),1,1)+1)/365)+((DATE(YEAR(B121),12,31)-'Arkusz1 (2)'!B121)/366))),IF(F122=1,(1+('Symulacja Pożyczka'!$B$7+4%)*((('Arkusz1 (2)'!B122-DATE(YEAR(B122),1,1)+1)/366)+((DATE(YEAR(B121),12,31)-'Arkusz1 (2)'!B121)/365))),0))</f>
        <v>0</v>
      </c>
      <c r="H122">
        <f t="shared" ca="1" si="11"/>
        <v>1</v>
      </c>
      <c r="I122">
        <f t="shared" ca="1" si="12"/>
        <v>1.0088087431693988</v>
      </c>
      <c r="J122">
        <f t="shared" ca="1" si="13"/>
        <v>1.0088087431693988</v>
      </c>
      <c r="K122">
        <f ca="1">PRODUCT($J$3:J122)</f>
        <v>2.8061048816954659</v>
      </c>
      <c r="L122">
        <f t="shared" ca="1" si="14"/>
        <v>0.35636586733557651</v>
      </c>
      <c r="M122">
        <f ca="1">SUM($L$3:L122)</f>
        <v>74.720792326271521</v>
      </c>
      <c r="O122">
        <f ca="1">(Q121*'Arkusz1 (2)'!J122)-Q121</f>
        <v>143.73705856595916</v>
      </c>
      <c r="P122" s="16">
        <f t="shared" ca="1" si="15"/>
        <v>16317.544489803506</v>
      </c>
      <c r="Q122" s="17">
        <f t="shared" ca="1" si="16"/>
        <v>4.4747139327228069E-9</v>
      </c>
    </row>
    <row r="123" spans="1:17" x14ac:dyDescent="0.35">
      <c r="A123">
        <v>121</v>
      </c>
      <c r="B123" s="14">
        <f t="shared" ca="1" si="17"/>
        <v>49751</v>
      </c>
      <c r="C123" s="15">
        <f ca="1">(1+('Symulacja Pożyczka'!$B$7+4%)*('Arkusz1 (2)'!B123-'Arkusz1 (2)'!B122)/365)</f>
        <v>1.0082630136986301</v>
      </c>
      <c r="D123" s="15">
        <f ca="1">(1+('Symulacja Pożyczka'!$B$7+4%)*('Arkusz1 (2)'!B123-'Arkusz1 (2)'!B122)/366)</f>
        <v>1.0082404371584699</v>
      </c>
      <c r="E123" s="15">
        <f t="shared" ca="1" si="9"/>
        <v>0</v>
      </c>
      <c r="F123" s="15">
        <f t="shared" ca="1" si="10"/>
        <v>0</v>
      </c>
      <c r="G123">
        <f ca="1">IF(E123=1,(1+('Symulacja Pożyczka'!$B$7+4%)*((('Arkusz1 (2)'!B123-DATE(YEAR(B123),1,1)+1)/365)+((DATE(YEAR(B122),12,31)-'Arkusz1 (2)'!B122)/366))),IF(F123=1,(1+('Symulacja Pożyczka'!$B$7+4%)*((('Arkusz1 (2)'!B123-DATE(YEAR(B123),1,1)+1)/366)+((DATE(YEAR(B122),12,31)-'Arkusz1 (2)'!B122)/365))),0))</f>
        <v>0</v>
      </c>
      <c r="H123">
        <f t="shared" ca="1" si="11"/>
        <v>1</v>
      </c>
      <c r="I123">
        <f t="shared" ca="1" si="12"/>
        <v>1.0082404371584699</v>
      </c>
      <c r="J123">
        <f t="shared" ca="1" si="13"/>
        <v>1.0082404371584699</v>
      </c>
      <c r="K123">
        <f ca="1">PRODUCT($J$3:J123)</f>
        <v>2.8292284126331531</v>
      </c>
      <c r="L123">
        <f t="shared" ca="1" si="14"/>
        <v>0.35345325797477889</v>
      </c>
      <c r="M123">
        <f ca="1">SUM($L$3:L123)</f>
        <v>75.074245584246299</v>
      </c>
      <c r="O123">
        <f ca="1">(Q122*'Arkusz1 (2)'!J123)-Q122</f>
        <v>3.6873598964732186E-11</v>
      </c>
      <c r="P123" s="16">
        <f t="shared" ca="1" si="15"/>
        <v>16461.281548369428</v>
      </c>
      <c r="Q123" s="17">
        <f t="shared" ca="1" si="16"/>
        <v>-16461.281548364954</v>
      </c>
    </row>
    <row r="124" spans="1:17" x14ac:dyDescent="0.35">
      <c r="A124">
        <v>122</v>
      </c>
      <c r="B124" s="14">
        <f t="shared" ca="1" si="17"/>
        <v>49782</v>
      </c>
      <c r="C124" s="15">
        <f ca="1">(1+('Symulacja Pożyczka'!$B$7+4%)*('Arkusz1 (2)'!B124-'Arkusz1 (2)'!B123)/365)</f>
        <v>1.0088328767123287</v>
      </c>
      <c r="D124" s="15">
        <f ca="1">(1+('Symulacja Pożyczka'!$B$7+4%)*('Arkusz1 (2)'!B124-'Arkusz1 (2)'!B123)/366)</f>
        <v>1.0088087431693988</v>
      </c>
      <c r="E124" s="15">
        <f t="shared" ca="1" si="9"/>
        <v>0</v>
      </c>
      <c r="F124" s="15">
        <f t="shared" ca="1" si="10"/>
        <v>0</v>
      </c>
      <c r="G124">
        <f ca="1">IF(E124=1,(1+('Symulacja Pożyczka'!$B$7+4%)*((('Arkusz1 (2)'!B124-DATE(YEAR(B124),1,1)+1)/365)+((DATE(YEAR(B123),12,31)-'Arkusz1 (2)'!B123)/366))),IF(F124=1,(1+('Symulacja Pożyczka'!$B$7+4%)*((('Arkusz1 (2)'!B124-DATE(YEAR(B124),1,1)+1)/366)+((DATE(YEAR(B123),12,31)-'Arkusz1 (2)'!B123)/365))),0))</f>
        <v>0</v>
      </c>
      <c r="H124">
        <f t="shared" ca="1" si="11"/>
        <v>1</v>
      </c>
      <c r="I124">
        <f t="shared" ca="1" si="12"/>
        <v>1.0088087431693988</v>
      </c>
      <c r="J124">
        <f t="shared" ca="1" si="13"/>
        <v>1.0088087431693988</v>
      </c>
      <c r="K124">
        <f ca="1">PRODUCT($J$3:J124)</f>
        <v>2.8541503590876043</v>
      </c>
      <c r="L124">
        <f t="shared" ca="1" si="14"/>
        <v>0.35036696536186457</v>
      </c>
      <c r="M124">
        <f ca="1">SUM($L$3:L124)</f>
        <v>75.42461254960817</v>
      </c>
      <c r="O124">
        <f ca="1">(Q123*'Arkusz1 (2)'!J124)-Q123</f>
        <v>-145.0032013987111</v>
      </c>
      <c r="P124" s="16">
        <f t="shared" ca="1" si="15"/>
        <v>16606.284749768176</v>
      </c>
      <c r="Q124" s="17">
        <f t="shared" ca="1" si="16"/>
        <v>-33067.566298133126</v>
      </c>
    </row>
    <row r="125" spans="1:17" x14ac:dyDescent="0.35">
      <c r="A125">
        <v>123</v>
      </c>
      <c r="B125" s="14">
        <f t="shared" ca="1" si="17"/>
        <v>49812</v>
      </c>
      <c r="C125" s="15">
        <f ca="1">(1+('Symulacja Pożyczka'!$B$7+4%)*('Arkusz1 (2)'!B125-'Arkusz1 (2)'!B124)/365)</f>
        <v>1.0085479452054795</v>
      </c>
      <c r="D125" s="15">
        <f ca="1">(1+('Symulacja Pożyczka'!$B$7+4%)*('Arkusz1 (2)'!B125-'Arkusz1 (2)'!B124)/366)</f>
        <v>1.0085245901639344</v>
      </c>
      <c r="E125" s="15">
        <f t="shared" ca="1" si="9"/>
        <v>0</v>
      </c>
      <c r="F125" s="15">
        <f t="shared" ca="1" si="10"/>
        <v>0</v>
      </c>
      <c r="G125">
        <f ca="1">IF(E125=1,(1+('Symulacja Pożyczka'!$B$7+4%)*((('Arkusz1 (2)'!B125-DATE(YEAR(B125),1,1)+1)/365)+((DATE(YEAR(B124),12,31)-'Arkusz1 (2)'!B124)/366))),IF(F125=1,(1+('Symulacja Pożyczka'!$B$7+4%)*((('Arkusz1 (2)'!B125-DATE(YEAR(B125),1,1)+1)/366)+((DATE(YEAR(B124),12,31)-'Arkusz1 (2)'!B124)/365))),0))</f>
        <v>0</v>
      </c>
      <c r="H125">
        <f t="shared" ca="1" si="11"/>
        <v>1</v>
      </c>
      <c r="I125">
        <f t="shared" ca="1" si="12"/>
        <v>1.0085245901639344</v>
      </c>
      <c r="J125">
        <f t="shared" ca="1" si="13"/>
        <v>1.0085245901639344</v>
      </c>
      <c r="K125">
        <f ca="1">PRODUCT($J$3:J125)</f>
        <v>2.8784808211650721</v>
      </c>
      <c r="L125">
        <f t="shared" ca="1" si="14"/>
        <v>0.34740547605776562</v>
      </c>
      <c r="M125">
        <f ca="1">SUM($L$3:L125)</f>
        <v>75.772018025665929</v>
      </c>
      <c r="O125">
        <f ca="1">(Q124*'Arkusz1 (2)'!J125)-Q124</f>
        <v>-281.88745041031507</v>
      </c>
      <c r="P125" s="16">
        <f t="shared" ca="1" si="15"/>
        <v>16743.16899877978</v>
      </c>
      <c r="Q125" s="17">
        <f t="shared" ca="1" si="16"/>
        <v>-49810.735296912906</v>
      </c>
    </row>
    <row r="126" spans="1:17" x14ac:dyDescent="0.35">
      <c r="A126">
        <v>124</v>
      </c>
      <c r="B126" s="14">
        <f t="shared" ca="1" si="17"/>
        <v>49843</v>
      </c>
      <c r="C126" s="15">
        <f ca="1">(1+('Symulacja Pożyczka'!$B$7+4%)*('Arkusz1 (2)'!B126-'Arkusz1 (2)'!B125)/365)</f>
        <v>1.0088328767123287</v>
      </c>
      <c r="D126" s="15">
        <f ca="1">(1+('Symulacja Pożyczka'!$B$7+4%)*('Arkusz1 (2)'!B126-'Arkusz1 (2)'!B125)/366)</f>
        <v>1.0088087431693988</v>
      </c>
      <c r="E126" s="15">
        <f t="shared" ca="1" si="9"/>
        <v>0</v>
      </c>
      <c r="F126" s="15">
        <f t="shared" ca="1" si="10"/>
        <v>0</v>
      </c>
      <c r="G126">
        <f ca="1">IF(E126=1,(1+('Symulacja Pożyczka'!$B$7+4%)*((('Arkusz1 (2)'!B126-DATE(YEAR(B126),1,1)+1)/365)+((DATE(YEAR(B125),12,31)-'Arkusz1 (2)'!B125)/366))),IF(F126=1,(1+('Symulacja Pożyczka'!$B$7+4%)*((('Arkusz1 (2)'!B126-DATE(YEAR(B126),1,1)+1)/366)+((DATE(YEAR(B125),12,31)-'Arkusz1 (2)'!B125)/365))),0))</f>
        <v>0</v>
      </c>
      <c r="H126">
        <f t="shared" ca="1" si="11"/>
        <v>1</v>
      </c>
      <c r="I126">
        <f t="shared" ca="1" si="12"/>
        <v>1.0088087431693988</v>
      </c>
      <c r="J126">
        <f t="shared" ca="1" si="13"/>
        <v>1.0088087431693988</v>
      </c>
      <c r="K126">
        <f ca="1">PRODUCT($J$3:J126)</f>
        <v>2.9038366194367553</v>
      </c>
      <c r="L126">
        <f t="shared" ca="1" si="14"/>
        <v>0.34437199162877341</v>
      </c>
      <c r="M126">
        <f ca="1">SUM($L$3:L126)</f>
        <v>76.116390017294705</v>
      </c>
      <c r="O126">
        <f ca="1">(Q125*'Arkusz1 (2)'!J126)-Q125</f>
        <v>-438.76997430941265</v>
      </c>
      <c r="P126" s="16">
        <f t="shared" ca="1" si="15"/>
        <v>16900.051522678878</v>
      </c>
      <c r="Q126" s="17">
        <f t="shared" ca="1" si="16"/>
        <v>-66710.786819591784</v>
      </c>
    </row>
    <row r="127" spans="1:17" x14ac:dyDescent="0.35">
      <c r="A127">
        <v>125</v>
      </c>
      <c r="B127" s="14">
        <f t="shared" ca="1" si="17"/>
        <v>49873</v>
      </c>
      <c r="C127" s="15">
        <f ca="1">(1+('Symulacja Pożyczka'!$B$7+4%)*('Arkusz1 (2)'!B127-'Arkusz1 (2)'!B126)/365)</f>
        <v>1.0085479452054795</v>
      </c>
      <c r="D127" s="15">
        <f ca="1">(1+('Symulacja Pożyczka'!$B$7+4%)*('Arkusz1 (2)'!B127-'Arkusz1 (2)'!B126)/366)</f>
        <v>1.0085245901639344</v>
      </c>
      <c r="E127" s="15">
        <f t="shared" ca="1" si="9"/>
        <v>0</v>
      </c>
      <c r="F127" s="15">
        <f t="shared" ca="1" si="10"/>
        <v>0</v>
      </c>
      <c r="G127">
        <f ca="1">IF(E127=1,(1+('Symulacja Pożyczka'!$B$7+4%)*((('Arkusz1 (2)'!B127-DATE(YEAR(B127),1,1)+1)/365)+((DATE(YEAR(B126),12,31)-'Arkusz1 (2)'!B126)/366))),IF(F127=1,(1+('Symulacja Pożyczka'!$B$7+4%)*((('Arkusz1 (2)'!B127-DATE(YEAR(B127),1,1)+1)/366)+((DATE(YEAR(B126),12,31)-'Arkusz1 (2)'!B126)/365))),0))</f>
        <v>0</v>
      </c>
      <c r="H127">
        <f t="shared" ca="1" si="11"/>
        <v>1</v>
      </c>
      <c r="I127">
        <f t="shared" ca="1" si="12"/>
        <v>1.0085245901639344</v>
      </c>
      <c r="J127">
        <f t="shared" ca="1" si="13"/>
        <v>1.0085245901639344</v>
      </c>
      <c r="K127">
        <f ca="1">PRODUCT($J$3:J127)</f>
        <v>2.9285906365204784</v>
      </c>
      <c r="L127">
        <f t="shared" ca="1" si="14"/>
        <v>0.34146117505453805</v>
      </c>
      <c r="M127">
        <f ca="1">SUM($L$3:L127)</f>
        <v>76.457851192349239</v>
      </c>
      <c r="O127">
        <f ca="1">(Q126*'Arkusz1 (2)'!J127)-Q126</f>
        <v>-568.68211715061625</v>
      </c>
      <c r="P127" s="16">
        <f t="shared" ca="1" si="15"/>
        <v>17029.963665520081</v>
      </c>
      <c r="Q127" s="17">
        <f t="shared" ca="1" si="16"/>
        <v>-83740.750485111872</v>
      </c>
    </row>
    <row r="128" spans="1:17" x14ac:dyDescent="0.35">
      <c r="A128">
        <v>126</v>
      </c>
      <c r="B128" s="14">
        <f t="shared" ca="1" si="17"/>
        <v>49904</v>
      </c>
      <c r="C128" s="15">
        <f ca="1">(1+('Symulacja Pożyczka'!$B$7+4%)*('Arkusz1 (2)'!B128-'Arkusz1 (2)'!B127)/365)</f>
        <v>1.0088328767123287</v>
      </c>
      <c r="D128" s="15">
        <f ca="1">(1+('Symulacja Pożyczka'!$B$7+4%)*('Arkusz1 (2)'!B128-'Arkusz1 (2)'!B127)/366)</f>
        <v>1.0088087431693988</v>
      </c>
      <c r="E128" s="15">
        <f t="shared" ca="1" si="9"/>
        <v>0</v>
      </c>
      <c r="F128" s="15">
        <f t="shared" ca="1" si="10"/>
        <v>0</v>
      </c>
      <c r="G128">
        <f ca="1">IF(E128=1,(1+('Symulacja Pożyczka'!$B$7+4%)*((('Arkusz1 (2)'!B128-DATE(YEAR(B128),1,1)+1)/365)+((DATE(YEAR(B127),12,31)-'Arkusz1 (2)'!B127)/366))),IF(F128=1,(1+('Symulacja Pożyczka'!$B$7+4%)*((('Arkusz1 (2)'!B128-DATE(YEAR(B128),1,1)+1)/366)+((DATE(YEAR(B127),12,31)-'Arkusz1 (2)'!B127)/365))),0))</f>
        <v>0</v>
      </c>
      <c r="H128">
        <f t="shared" ca="1" si="11"/>
        <v>1</v>
      </c>
      <c r="I128">
        <f t="shared" ca="1" si="12"/>
        <v>1.0088087431693988</v>
      </c>
      <c r="J128">
        <f t="shared" ca="1" si="13"/>
        <v>1.0088087431693988</v>
      </c>
      <c r="K128">
        <f ca="1">PRODUCT($J$3:J128)</f>
        <v>2.9543878392858933</v>
      </c>
      <c r="L128">
        <f t="shared" ca="1" si="14"/>
        <v>0.33847959523205678</v>
      </c>
      <c r="M128">
        <f ca="1">SUM($L$3:L128)</f>
        <v>76.796330787581297</v>
      </c>
      <c r="O128">
        <f ca="1">(Q127*'Arkusz1 (2)'!J128)-Q127</f>
        <v>-737.65076383606356</v>
      </c>
      <c r="P128" s="16">
        <f t="shared" ca="1" si="15"/>
        <v>17198.932312205528</v>
      </c>
      <c r="Q128" s="17">
        <f t="shared" ca="1" si="16"/>
        <v>-100939.68279731739</v>
      </c>
    </row>
    <row r="129" spans="1:17" x14ac:dyDescent="0.35">
      <c r="A129">
        <v>127</v>
      </c>
      <c r="B129" s="14">
        <f t="shared" ca="1" si="17"/>
        <v>49935</v>
      </c>
      <c r="C129" s="15">
        <f ca="1">(1+('Symulacja Pożyczka'!$B$7+4%)*('Arkusz1 (2)'!B129-'Arkusz1 (2)'!B128)/365)</f>
        <v>1.0088328767123287</v>
      </c>
      <c r="D129" s="15">
        <f ca="1">(1+('Symulacja Pożyczka'!$B$7+4%)*('Arkusz1 (2)'!B129-'Arkusz1 (2)'!B128)/366)</f>
        <v>1.0088087431693988</v>
      </c>
      <c r="E129" s="15">
        <f t="shared" ca="1" si="9"/>
        <v>0</v>
      </c>
      <c r="F129" s="15">
        <f t="shared" ca="1" si="10"/>
        <v>0</v>
      </c>
      <c r="G129">
        <f ca="1">IF(E129=1,(1+('Symulacja Pożyczka'!$B$7+4%)*((('Arkusz1 (2)'!B129-DATE(YEAR(B129),1,1)+1)/365)+((DATE(YEAR(B128),12,31)-'Arkusz1 (2)'!B128)/366))),IF(F129=1,(1+('Symulacja Pożyczka'!$B$7+4%)*((('Arkusz1 (2)'!B129-DATE(YEAR(B129),1,1)+1)/366)+((DATE(YEAR(B128),12,31)-'Arkusz1 (2)'!B128)/365))),0))</f>
        <v>0</v>
      </c>
      <c r="H129">
        <f t="shared" ca="1" si="11"/>
        <v>1</v>
      </c>
      <c r="I129">
        <f t="shared" ca="1" si="12"/>
        <v>1.0088087431693988</v>
      </c>
      <c r="J129">
        <f t="shared" ca="1" si="13"/>
        <v>1.0088087431693988</v>
      </c>
      <c r="K129">
        <f ca="1">PRODUCT($J$3:J129)</f>
        <v>2.980412282984958</v>
      </c>
      <c r="L129">
        <f t="shared" ca="1" si="14"/>
        <v>0.33552405004802721</v>
      </c>
      <c r="M129">
        <f ca="1">SUM($L$3:L129)</f>
        <v>77.131854837629319</v>
      </c>
      <c r="O129">
        <f ca="1">(Q128*'Arkusz1 (2)'!J129)-Q128</f>
        <v>-889.15174136214773</v>
      </c>
      <c r="P129" s="16">
        <f t="shared" ca="1" si="15"/>
        <v>17350.433289731613</v>
      </c>
      <c r="Q129" s="17">
        <f t="shared" ca="1" si="16"/>
        <v>-118290.11608704901</v>
      </c>
    </row>
    <row r="130" spans="1:17" x14ac:dyDescent="0.35">
      <c r="A130">
        <v>128</v>
      </c>
      <c r="B130" s="14">
        <f t="shared" ca="1" si="17"/>
        <v>49965</v>
      </c>
      <c r="C130" s="15">
        <f ca="1">(1+('Symulacja Pożyczka'!$B$7+4%)*('Arkusz1 (2)'!B130-'Arkusz1 (2)'!B129)/365)</f>
        <v>1.0085479452054795</v>
      </c>
      <c r="D130" s="15">
        <f ca="1">(1+('Symulacja Pożyczka'!$B$7+4%)*('Arkusz1 (2)'!B130-'Arkusz1 (2)'!B129)/366)</f>
        <v>1.0085245901639344</v>
      </c>
      <c r="E130" s="15">
        <f t="shared" ca="1" si="9"/>
        <v>0</v>
      </c>
      <c r="F130" s="15">
        <f t="shared" ca="1" si="10"/>
        <v>0</v>
      </c>
      <c r="G130">
        <f ca="1">IF(E130=1,(1+('Symulacja Pożyczka'!$B$7+4%)*((('Arkusz1 (2)'!B130-DATE(YEAR(B130),1,1)+1)/365)+((DATE(YEAR(B129),12,31)-'Arkusz1 (2)'!B129)/366))),IF(F130=1,(1+('Symulacja Pożyczka'!$B$7+4%)*((('Arkusz1 (2)'!B130-DATE(YEAR(B130),1,1)+1)/366)+((DATE(YEAR(B129),12,31)-'Arkusz1 (2)'!B129)/365))),0))</f>
        <v>0</v>
      </c>
      <c r="H130">
        <f t="shared" ca="1" si="11"/>
        <v>1</v>
      </c>
      <c r="I130">
        <f t="shared" ca="1" si="12"/>
        <v>1.0085245901639344</v>
      </c>
      <c r="J130">
        <f t="shared" ca="1" si="13"/>
        <v>1.0085245901639344</v>
      </c>
      <c r="K130">
        <f ca="1">PRODUCT($J$3:J130)</f>
        <v>3.0058190762169605</v>
      </c>
      <c r="L130">
        <f t="shared" ca="1" si="14"/>
        <v>0.33268802101641193</v>
      </c>
      <c r="M130">
        <f ca="1">SUM($L$3:L130)</f>
        <v>77.464542858645729</v>
      </c>
      <c r="O130">
        <f ca="1">(Q129*'Arkusz1 (2)'!J130)-Q129</f>
        <v>-1008.3747600863135</v>
      </c>
      <c r="P130" s="16">
        <f t="shared" ca="1" si="15"/>
        <v>17469.656308455778</v>
      </c>
      <c r="Q130" s="17">
        <f t="shared" ca="1" si="16"/>
        <v>-135759.77239550478</v>
      </c>
    </row>
    <row r="131" spans="1:17" x14ac:dyDescent="0.35">
      <c r="A131">
        <v>129</v>
      </c>
      <c r="B131" s="14">
        <f t="shared" ca="1" si="17"/>
        <v>49996</v>
      </c>
      <c r="C131" s="15">
        <f ca="1">(1+('Symulacja Pożyczka'!$B$7+4%)*('Arkusz1 (2)'!B131-'Arkusz1 (2)'!B130)/365)</f>
        <v>1.0088328767123287</v>
      </c>
      <c r="D131" s="15">
        <f ca="1">(1+('Symulacja Pożyczka'!$B$7+4%)*('Arkusz1 (2)'!B131-'Arkusz1 (2)'!B130)/366)</f>
        <v>1.0088087431693988</v>
      </c>
      <c r="E131" s="15">
        <f t="shared" ca="1" si="9"/>
        <v>0</v>
      </c>
      <c r="F131" s="15">
        <f t="shared" ca="1" si="10"/>
        <v>0</v>
      </c>
      <c r="G131">
        <f ca="1">IF(E131=1,(1+('Symulacja Pożyczka'!$B$7+4%)*((('Arkusz1 (2)'!B131-DATE(YEAR(B131),1,1)+1)/365)+((DATE(YEAR(B130),12,31)-'Arkusz1 (2)'!B130)/366))),IF(F131=1,(1+('Symulacja Pożyczka'!$B$7+4%)*((('Arkusz1 (2)'!B131-DATE(YEAR(B131),1,1)+1)/366)+((DATE(YEAR(B130),12,31)-'Arkusz1 (2)'!B130)/365))),0))</f>
        <v>0</v>
      </c>
      <c r="H131">
        <f t="shared" ca="1" si="11"/>
        <v>1</v>
      </c>
      <c r="I131">
        <f t="shared" ca="1" si="12"/>
        <v>1.0088087431693988</v>
      </c>
      <c r="J131">
        <f t="shared" ca="1" si="13"/>
        <v>1.0088087431693988</v>
      </c>
      <c r="K131">
        <f ca="1">PRODUCT($J$3:J131)</f>
        <v>3.0322965644730355</v>
      </c>
      <c r="L131">
        <f t="shared" ca="1" si="14"/>
        <v>0.329783046855044</v>
      </c>
      <c r="M131">
        <f ca="1">SUM($L$3:L131)</f>
        <v>77.79432590550077</v>
      </c>
      <c r="O131">
        <f ca="1">(Q130*'Arkusz1 (2)'!J131)-Q130</f>
        <v>-1195.8729677680531</v>
      </c>
      <c r="P131" s="16">
        <f t="shared" ca="1" si="15"/>
        <v>17657.154516137518</v>
      </c>
      <c r="Q131" s="17">
        <f t="shared" ca="1" si="16"/>
        <v>-153416.92691164231</v>
      </c>
    </row>
    <row r="132" spans="1:17" x14ac:dyDescent="0.35">
      <c r="A132">
        <v>130</v>
      </c>
      <c r="B132" s="14">
        <f t="shared" ca="1" si="17"/>
        <v>50026</v>
      </c>
      <c r="C132" s="15">
        <f ca="1">(1+('Symulacja Pożyczka'!$B$7+4%)*('Arkusz1 (2)'!B132-'Arkusz1 (2)'!B131)/365)</f>
        <v>1.0085479452054795</v>
      </c>
      <c r="D132" s="15">
        <f ca="1">(1+('Symulacja Pożyczka'!$B$7+4%)*('Arkusz1 (2)'!B132-'Arkusz1 (2)'!B131)/366)</f>
        <v>1.0085245901639344</v>
      </c>
      <c r="E132" s="15">
        <f t="shared" ref="E132:E182" ca="1" si="18">IF(AND(MOD(YEAR(B131),4)=0,MOD(YEAR(B132),4)&lt;&gt;0),1,0)</f>
        <v>0</v>
      </c>
      <c r="F132" s="15">
        <f t="shared" ref="F132:F182" ca="1" si="19">IF(AND(MOD(YEAR(B132),4)=0,MOD(YEAR(B131),4)&lt;&gt;0),1,0)</f>
        <v>0</v>
      </c>
      <c r="G132">
        <f ca="1">IF(E132=1,(1+('Symulacja Pożyczka'!$B$7+4%)*((('Arkusz1 (2)'!B132-DATE(YEAR(B132),1,1)+1)/365)+((DATE(YEAR(B131),12,31)-'Arkusz1 (2)'!B131)/366))),IF(F132=1,(1+('Symulacja Pożyczka'!$B$7+4%)*((('Arkusz1 (2)'!B132-DATE(YEAR(B132),1,1)+1)/366)+((DATE(YEAR(B131),12,31)-'Arkusz1 (2)'!B131)/365))),0))</f>
        <v>0</v>
      </c>
      <c r="H132">
        <f t="shared" ref="H132:H182" ca="1" si="20">IF(MOD(YEAR(B132),4)=0,1,0)</f>
        <v>1</v>
      </c>
      <c r="I132">
        <f t="shared" ref="I132:I182" ca="1" si="21">IF(H132=0,C132,IF(H132=1,D132,"blad"))</f>
        <v>1.0085245901639344</v>
      </c>
      <c r="J132">
        <f t="shared" ref="J132:J182" ca="1" si="22">IF(OR(E132=1,F132=1),G132,I132)</f>
        <v>1.0085245901639344</v>
      </c>
      <c r="K132">
        <f ca="1">PRODUCT($J$3:J132)</f>
        <v>3.0581456499406743</v>
      </c>
      <c r="L132">
        <f t="shared" ref="L132:L182" ca="1" si="23">1/K132</f>
        <v>0.32699554385821983</v>
      </c>
      <c r="M132">
        <f ca="1">SUM($L$3:L132)</f>
        <v>78.121321449358987</v>
      </c>
      <c r="O132">
        <f ca="1">(Q131*'Arkusz1 (2)'!J132)-Q131</f>
        <v>-1307.8164261320198</v>
      </c>
      <c r="P132" s="16">
        <f t="shared" ca="1" si="15"/>
        <v>17769.097974501485</v>
      </c>
      <c r="Q132" s="17">
        <f t="shared" ca="1" si="16"/>
        <v>-171186.0248861438</v>
      </c>
    </row>
    <row r="133" spans="1:17" x14ac:dyDescent="0.35">
      <c r="A133">
        <v>131</v>
      </c>
      <c r="B133" s="14">
        <f t="shared" ca="1" si="17"/>
        <v>50057</v>
      </c>
      <c r="C133" s="15">
        <f ca="1">(1+('Symulacja Pożyczka'!$B$7+4%)*('Arkusz1 (2)'!B133-'Arkusz1 (2)'!B132)/365)</f>
        <v>1.0088328767123287</v>
      </c>
      <c r="D133" s="15">
        <f ca="1">(1+('Symulacja Pożyczka'!$B$7+4%)*('Arkusz1 (2)'!B133-'Arkusz1 (2)'!B132)/366)</f>
        <v>1.0088087431693988</v>
      </c>
      <c r="E133" s="15">
        <f t="shared" ca="1" si="18"/>
        <v>1</v>
      </c>
      <c r="F133" s="15">
        <f t="shared" ca="1" si="19"/>
        <v>0</v>
      </c>
      <c r="G133">
        <f ca="1">IF(E133=1,(1+('Symulacja Pożyczka'!$B$7+4%)*((('Arkusz1 (2)'!B133-DATE(YEAR(B133),1,1)+1)/365)+((DATE(YEAR(B132),12,31)-'Arkusz1 (2)'!B132)/366))),IF(F133=1,(1+('Symulacja Pożyczka'!$B$7+4%)*((('Arkusz1 (2)'!B133-DATE(YEAR(B133),1,1)+1)/366)+((DATE(YEAR(B132),12,31)-'Arkusz1 (2)'!B132)/365))),0))</f>
        <v>1.008821977692941</v>
      </c>
      <c r="H133">
        <f t="shared" ca="1" si="20"/>
        <v>0</v>
      </c>
      <c r="I133">
        <f t="shared" ca="1" si="21"/>
        <v>1.0088328767123287</v>
      </c>
      <c r="J133">
        <f t="shared" ca="1" si="22"/>
        <v>1.008821977692941</v>
      </c>
      <c r="K133">
        <f ca="1">PRODUCT($J$3:J133)</f>
        <v>3.0851245426462155</v>
      </c>
      <c r="L133">
        <f t="shared" ca="1" si="23"/>
        <v>0.32413602309301465</v>
      </c>
      <c r="M133">
        <f ca="1">SUM($L$3:L133)</f>
        <v>78.445457472452006</v>
      </c>
      <c r="O133">
        <f ca="1">(Q132*'Arkusz1 (2)'!J133)-Q132</f>
        <v>-1510.1992928888067</v>
      </c>
      <c r="P133" s="16">
        <f t="shared" ref="P133:P182" ca="1" si="24">$N$2-O133</f>
        <v>17971.480841258272</v>
      </c>
      <c r="Q133" s="17">
        <f t="shared" ref="Q133:Q182" ca="1" si="25">Q132-P133</f>
        <v>-189157.50572740208</v>
      </c>
    </row>
    <row r="134" spans="1:17" x14ac:dyDescent="0.35">
      <c r="A134">
        <v>132</v>
      </c>
      <c r="B134" s="14">
        <f t="shared" ref="B134:B182" ca="1" si="26">DATE(YEAR((B133)),MONTH((B133))+1,IF(AND(DAY(B133)&gt;28,MONTH((B133))+1=2),IF(MOD(YEAR(B133),4)=0,29,28),IF(AND(OR(DAY(B133)=28,DAY(B133)=29),MONTH((B133))=2),DAY(B132),DAY(B133))))</f>
        <v>50088</v>
      </c>
      <c r="C134" s="15">
        <f ca="1">(1+('Symulacja Pożyczka'!$B$7+4%)*('Arkusz1 (2)'!B134-'Arkusz1 (2)'!B133)/365)</f>
        <v>1.0088328767123287</v>
      </c>
      <c r="D134" s="15">
        <f ca="1">(1+('Symulacja Pożyczka'!$B$7+4%)*('Arkusz1 (2)'!B134-'Arkusz1 (2)'!B133)/366)</f>
        <v>1.0088087431693988</v>
      </c>
      <c r="E134" s="15">
        <f t="shared" ca="1" si="18"/>
        <v>0</v>
      </c>
      <c r="F134" s="15">
        <f t="shared" ca="1" si="19"/>
        <v>0</v>
      </c>
      <c r="G134">
        <f ca="1">IF(E134=1,(1+('Symulacja Pożyczka'!$B$7+4%)*((('Arkusz1 (2)'!B134-DATE(YEAR(B134),1,1)+1)/365)+((DATE(YEAR(B133),12,31)-'Arkusz1 (2)'!B133)/366))),IF(F134=1,(1+('Symulacja Pożyczka'!$B$7+4%)*((('Arkusz1 (2)'!B134-DATE(YEAR(B134),1,1)+1)/366)+((DATE(YEAR(B133),12,31)-'Arkusz1 (2)'!B133)/365))),0))</f>
        <v>0</v>
      </c>
      <c r="H134">
        <f t="shared" ca="1" si="20"/>
        <v>0</v>
      </c>
      <c r="I134">
        <f t="shared" ca="1" si="21"/>
        <v>1.0088328767123287</v>
      </c>
      <c r="J134">
        <f t="shared" ca="1" si="22"/>
        <v>1.0088328767123287</v>
      </c>
      <c r="K134">
        <f ca="1">PRODUCT($J$3:J134)</f>
        <v>3.112375067373589</v>
      </c>
      <c r="L134">
        <f t="shared" ca="1" si="23"/>
        <v>0.32129803714301719</v>
      </c>
      <c r="M134">
        <f ca="1">SUM($L$3:L134)</f>
        <v>78.766755509595029</v>
      </c>
      <c r="O134">
        <f ca="1">(Q133*'Arkusz1 (2)'!J134)-Q133</f>
        <v>-1670.8049273017386</v>
      </c>
      <c r="P134" s="16">
        <f t="shared" ca="1" si="24"/>
        <v>18132.086475671204</v>
      </c>
      <c r="Q134" s="17">
        <f t="shared" ca="1" si="25"/>
        <v>-207289.59220307329</v>
      </c>
    </row>
    <row r="135" spans="1:17" x14ac:dyDescent="0.35">
      <c r="A135">
        <v>133</v>
      </c>
      <c r="B135" s="14">
        <f t="shared" ca="1" si="26"/>
        <v>50116</v>
      </c>
      <c r="C135" s="15">
        <f ca="1">(1+('Symulacja Pożyczka'!$B$7+4%)*('Arkusz1 (2)'!B135-'Arkusz1 (2)'!B134)/365)</f>
        <v>1.0079780821917808</v>
      </c>
      <c r="D135" s="15">
        <f ca="1">(1+('Symulacja Pożyczka'!$B$7+4%)*('Arkusz1 (2)'!B135-'Arkusz1 (2)'!B134)/366)</f>
        <v>1.0079562841530054</v>
      </c>
      <c r="E135" s="15">
        <f t="shared" ca="1" si="18"/>
        <v>0</v>
      </c>
      <c r="F135" s="15">
        <f t="shared" ca="1" si="19"/>
        <v>0</v>
      </c>
      <c r="G135">
        <f ca="1">IF(E135=1,(1+('Symulacja Pożyczka'!$B$7+4%)*((('Arkusz1 (2)'!B135-DATE(YEAR(B135),1,1)+1)/365)+((DATE(YEAR(B134),12,31)-'Arkusz1 (2)'!B134)/366))),IF(F135=1,(1+('Symulacja Pożyczka'!$B$7+4%)*((('Arkusz1 (2)'!B135-DATE(YEAR(B135),1,1)+1)/366)+((DATE(YEAR(B134),12,31)-'Arkusz1 (2)'!B134)/365))),0))</f>
        <v>0</v>
      </c>
      <c r="H135">
        <f t="shared" ca="1" si="20"/>
        <v>0</v>
      </c>
      <c r="I135">
        <f t="shared" ca="1" si="21"/>
        <v>1.0079780821917808</v>
      </c>
      <c r="J135">
        <f t="shared" ca="1" si="22"/>
        <v>1.0079780821917808</v>
      </c>
      <c r="K135">
        <f ca="1">PRODUCT($J$3:J135)</f>
        <v>3.1372058514727446</v>
      </c>
      <c r="L135">
        <f t="shared" ca="1" si="23"/>
        <v>0.31875498368414534</v>
      </c>
      <c r="M135">
        <f ca="1">SUM($L$3:L135)</f>
        <v>79.085510493279173</v>
      </c>
      <c r="O135">
        <f ca="1">(Q134*'Arkusz1 (2)'!J135)-Q134</f>
        <v>-1653.7734040968353</v>
      </c>
      <c r="P135" s="16">
        <f t="shared" ca="1" si="24"/>
        <v>18115.0549524663</v>
      </c>
      <c r="Q135" s="17">
        <f t="shared" ca="1" si="25"/>
        <v>-225404.6471555396</v>
      </c>
    </row>
    <row r="136" spans="1:17" x14ac:dyDescent="0.35">
      <c r="A136">
        <v>134</v>
      </c>
      <c r="B136" s="14">
        <f t="shared" ca="1" si="26"/>
        <v>50147</v>
      </c>
      <c r="C136" s="15">
        <f ca="1">(1+('Symulacja Pożyczka'!$B$7+4%)*('Arkusz1 (2)'!B136-'Arkusz1 (2)'!B135)/365)</f>
        <v>1.0088328767123287</v>
      </c>
      <c r="D136" s="15">
        <f ca="1">(1+('Symulacja Pożyczka'!$B$7+4%)*('Arkusz1 (2)'!B136-'Arkusz1 (2)'!B135)/366)</f>
        <v>1.0088087431693988</v>
      </c>
      <c r="E136" s="15">
        <f t="shared" ca="1" si="18"/>
        <v>0</v>
      </c>
      <c r="F136" s="15">
        <f t="shared" ca="1" si="19"/>
        <v>0</v>
      </c>
      <c r="G136">
        <f ca="1">IF(E136=1,(1+('Symulacja Pożyczka'!$B$7+4%)*((('Arkusz1 (2)'!B136-DATE(YEAR(B136),1,1)+1)/365)+((DATE(YEAR(B135),12,31)-'Arkusz1 (2)'!B135)/366))),IF(F136=1,(1+('Symulacja Pożyczka'!$B$7+4%)*((('Arkusz1 (2)'!B136-DATE(YEAR(B136),1,1)+1)/366)+((DATE(YEAR(B135),12,31)-'Arkusz1 (2)'!B135)/365))),0))</f>
        <v>0</v>
      </c>
      <c r="H136">
        <f t="shared" ca="1" si="20"/>
        <v>0</v>
      </c>
      <c r="I136">
        <f t="shared" ca="1" si="21"/>
        <v>1.0088328767123287</v>
      </c>
      <c r="J136">
        <f t="shared" ca="1" si="22"/>
        <v>1.0088328767123287</v>
      </c>
      <c r="K136">
        <f ca="1">PRODUCT($J$3:J136)</f>
        <v>3.1649164039799995</v>
      </c>
      <c r="L136">
        <f t="shared" ca="1" si="23"/>
        <v>0.31596411164050431</v>
      </c>
      <c r="M136">
        <f ca="1">SUM($L$3:L136)</f>
        <v>79.401474604919684</v>
      </c>
      <c r="O136">
        <f ca="1">(Q135*'Arkusz1 (2)'!J136)-Q135</f>
        <v>-1990.9714587108174</v>
      </c>
      <c r="P136" s="16">
        <f t="shared" ca="1" si="24"/>
        <v>18452.253007080282</v>
      </c>
      <c r="Q136" s="17">
        <f t="shared" ca="1" si="25"/>
        <v>-243856.90016261989</v>
      </c>
    </row>
    <row r="137" spans="1:17" x14ac:dyDescent="0.35">
      <c r="A137">
        <v>135</v>
      </c>
      <c r="B137" s="14">
        <f t="shared" ca="1" si="26"/>
        <v>50177</v>
      </c>
      <c r="C137" s="15">
        <f ca="1">(1+('Symulacja Pożyczka'!$B$7+4%)*('Arkusz1 (2)'!B137-'Arkusz1 (2)'!B136)/365)</f>
        <v>1.0085479452054795</v>
      </c>
      <c r="D137" s="15">
        <f ca="1">(1+('Symulacja Pożyczka'!$B$7+4%)*('Arkusz1 (2)'!B137-'Arkusz1 (2)'!B136)/366)</f>
        <v>1.0085245901639344</v>
      </c>
      <c r="E137" s="15">
        <f t="shared" ca="1" si="18"/>
        <v>0</v>
      </c>
      <c r="F137" s="15">
        <f t="shared" ca="1" si="19"/>
        <v>0</v>
      </c>
      <c r="G137">
        <f ca="1">IF(E137=1,(1+('Symulacja Pożyczka'!$B$7+4%)*((('Arkusz1 (2)'!B137-DATE(YEAR(B137),1,1)+1)/365)+((DATE(YEAR(B136),12,31)-'Arkusz1 (2)'!B136)/366))),IF(F137=1,(1+('Symulacja Pożyczka'!$B$7+4%)*((('Arkusz1 (2)'!B137-DATE(YEAR(B137),1,1)+1)/366)+((DATE(YEAR(B136),12,31)-'Arkusz1 (2)'!B136)/365))),0))</f>
        <v>0</v>
      </c>
      <c r="H137">
        <f t="shared" ca="1" si="20"/>
        <v>0</v>
      </c>
      <c r="I137">
        <f t="shared" ca="1" si="21"/>
        <v>1.0085479452054795</v>
      </c>
      <c r="J137">
        <f t="shared" ca="1" si="22"/>
        <v>1.0085479452054795</v>
      </c>
      <c r="K137">
        <f ca="1">PRODUCT($J$3:J137)</f>
        <v>3.191969935981144</v>
      </c>
      <c r="L137">
        <f t="shared" ca="1" si="23"/>
        <v>0.31328615872211252</v>
      </c>
      <c r="M137">
        <f ca="1">SUM($L$3:L137)</f>
        <v>79.714760763641792</v>
      </c>
      <c r="O137">
        <f ca="1">(Q136*'Arkusz1 (2)'!J137)-Q136</f>
        <v>-2084.4754205681675</v>
      </c>
      <c r="P137" s="16">
        <f t="shared" ca="1" si="24"/>
        <v>18545.756968937632</v>
      </c>
      <c r="Q137" s="17">
        <f t="shared" ca="1" si="25"/>
        <v>-262402.65713155753</v>
      </c>
    </row>
    <row r="138" spans="1:17" x14ac:dyDescent="0.35">
      <c r="A138">
        <v>136</v>
      </c>
      <c r="B138" s="14">
        <f t="shared" ca="1" si="26"/>
        <v>50208</v>
      </c>
      <c r="C138" s="15">
        <f ca="1">(1+('Symulacja Pożyczka'!$B$7+4%)*('Arkusz1 (2)'!B138-'Arkusz1 (2)'!B137)/365)</f>
        <v>1.0088328767123287</v>
      </c>
      <c r="D138" s="15">
        <f ca="1">(1+('Symulacja Pożyczka'!$B$7+4%)*('Arkusz1 (2)'!B138-'Arkusz1 (2)'!B137)/366)</f>
        <v>1.0088087431693988</v>
      </c>
      <c r="E138" s="15">
        <f t="shared" ca="1" si="18"/>
        <v>0</v>
      </c>
      <c r="F138" s="15">
        <f t="shared" ca="1" si="19"/>
        <v>0</v>
      </c>
      <c r="G138">
        <f ca="1">IF(E138=1,(1+('Symulacja Pożyczka'!$B$7+4%)*((('Arkusz1 (2)'!B138-DATE(YEAR(B138),1,1)+1)/365)+((DATE(YEAR(B137),12,31)-'Arkusz1 (2)'!B137)/366))),IF(F138=1,(1+('Symulacja Pożyczka'!$B$7+4%)*((('Arkusz1 (2)'!B138-DATE(YEAR(B138),1,1)+1)/366)+((DATE(YEAR(B137),12,31)-'Arkusz1 (2)'!B137)/365))),0))</f>
        <v>0</v>
      </c>
      <c r="H138">
        <f t="shared" ca="1" si="20"/>
        <v>0</v>
      </c>
      <c r="I138">
        <f t="shared" ca="1" si="21"/>
        <v>1.0088328767123287</v>
      </c>
      <c r="J138">
        <f t="shared" ca="1" si="22"/>
        <v>1.0088328767123287</v>
      </c>
      <c r="K138">
        <f ca="1">PRODUCT($J$3:J138)</f>
        <v>3.2201642128951251</v>
      </c>
      <c r="L138">
        <f t="shared" ca="1" si="23"/>
        <v>0.31054316919475938</v>
      </c>
      <c r="M138">
        <f ca="1">SUM($L$3:L138)</f>
        <v>80.02530393283655</v>
      </c>
      <c r="O138">
        <f ca="1">(Q137*'Arkusz1 (2)'!J138)-Q137</f>
        <v>-2317.7703194305068</v>
      </c>
      <c r="P138" s="16">
        <f t="shared" ca="1" si="24"/>
        <v>18779.051867799972</v>
      </c>
      <c r="Q138" s="17">
        <f t="shared" ca="1" si="25"/>
        <v>-281181.70899935748</v>
      </c>
    </row>
    <row r="139" spans="1:17" x14ac:dyDescent="0.35">
      <c r="A139">
        <v>137</v>
      </c>
      <c r="B139" s="14">
        <f t="shared" ca="1" si="26"/>
        <v>50238</v>
      </c>
      <c r="C139" s="15">
        <f ca="1">(1+('Symulacja Pożyczka'!$B$7+4%)*('Arkusz1 (2)'!B139-'Arkusz1 (2)'!B138)/365)</f>
        <v>1.0085479452054795</v>
      </c>
      <c r="D139" s="15">
        <f ca="1">(1+('Symulacja Pożyczka'!$B$7+4%)*('Arkusz1 (2)'!B139-'Arkusz1 (2)'!B138)/366)</f>
        <v>1.0085245901639344</v>
      </c>
      <c r="E139" s="15">
        <f t="shared" ca="1" si="18"/>
        <v>0</v>
      </c>
      <c r="F139" s="15">
        <f t="shared" ca="1" si="19"/>
        <v>0</v>
      </c>
      <c r="G139">
        <f ca="1">IF(E139=1,(1+('Symulacja Pożyczka'!$B$7+4%)*((('Arkusz1 (2)'!B139-DATE(YEAR(B139),1,1)+1)/365)+((DATE(YEAR(B138),12,31)-'Arkusz1 (2)'!B138)/366))),IF(F139=1,(1+('Symulacja Pożyczka'!$B$7+4%)*((('Arkusz1 (2)'!B139-DATE(YEAR(B139),1,1)+1)/366)+((DATE(YEAR(B138),12,31)-'Arkusz1 (2)'!B138)/365))),0))</f>
        <v>0</v>
      </c>
      <c r="H139">
        <f t="shared" ca="1" si="20"/>
        <v>0</v>
      </c>
      <c r="I139">
        <f t="shared" ca="1" si="21"/>
        <v>1.0085479452054795</v>
      </c>
      <c r="J139">
        <f t="shared" ca="1" si="22"/>
        <v>1.0085479452054795</v>
      </c>
      <c r="K139">
        <f ca="1">PRODUCT($J$3:J139)</f>
        <v>3.2476900001395985</v>
      </c>
      <c r="L139">
        <f t="shared" ca="1" si="23"/>
        <v>0.30791116145845693</v>
      </c>
      <c r="M139">
        <f ca="1">SUM($L$3:L139)</f>
        <v>80.333215094295014</v>
      </c>
      <c r="O139">
        <f ca="1">(Q138*'Arkusz1 (2)'!J139)-Q138</f>
        <v>-2403.5258413095726</v>
      </c>
      <c r="P139" s="16">
        <f t="shared" ca="1" si="24"/>
        <v>18864.807389679037</v>
      </c>
      <c r="Q139" s="17">
        <f t="shared" ca="1" si="25"/>
        <v>-300046.51638903649</v>
      </c>
    </row>
    <row r="140" spans="1:17" x14ac:dyDescent="0.35">
      <c r="A140">
        <v>138</v>
      </c>
      <c r="B140" s="14">
        <f t="shared" ca="1" si="26"/>
        <v>50269</v>
      </c>
      <c r="C140" s="15">
        <f ca="1">(1+('Symulacja Pożyczka'!$B$7+4%)*('Arkusz1 (2)'!B140-'Arkusz1 (2)'!B139)/365)</f>
        <v>1.0088328767123287</v>
      </c>
      <c r="D140" s="15">
        <f ca="1">(1+('Symulacja Pożyczka'!$B$7+4%)*('Arkusz1 (2)'!B140-'Arkusz1 (2)'!B139)/366)</f>
        <v>1.0088087431693988</v>
      </c>
      <c r="E140" s="15">
        <f t="shared" ca="1" si="18"/>
        <v>0</v>
      </c>
      <c r="F140" s="15">
        <f t="shared" ca="1" si="19"/>
        <v>0</v>
      </c>
      <c r="G140">
        <f ca="1">IF(E140=1,(1+('Symulacja Pożyczka'!$B$7+4%)*((('Arkusz1 (2)'!B140-DATE(YEAR(B140),1,1)+1)/365)+((DATE(YEAR(B139),12,31)-'Arkusz1 (2)'!B139)/366))),IF(F140=1,(1+('Symulacja Pożyczka'!$B$7+4%)*((('Arkusz1 (2)'!B140-DATE(YEAR(B140),1,1)+1)/366)+((DATE(YEAR(B139),12,31)-'Arkusz1 (2)'!B139)/365))),0))</f>
        <v>0</v>
      </c>
      <c r="H140">
        <f t="shared" ca="1" si="20"/>
        <v>0</v>
      </c>
      <c r="I140">
        <f t="shared" ca="1" si="21"/>
        <v>1.0088328767123287</v>
      </c>
      <c r="J140">
        <f t="shared" ca="1" si="22"/>
        <v>1.0088328767123287</v>
      </c>
      <c r="K140">
        <f ca="1">PRODUCT($J$3:J140)</f>
        <v>3.2763764455106945</v>
      </c>
      <c r="L140">
        <f t="shared" ca="1" si="23"/>
        <v>0.30521523293521552</v>
      </c>
      <c r="M140">
        <f ca="1">SUM($L$3:L140)</f>
        <v>80.638430327230225</v>
      </c>
      <c r="O140">
        <f ca="1">(Q139*'Arkusz1 (2)'!J140)-Q139</f>
        <v>-2650.2738872280461</v>
      </c>
      <c r="P140" s="16">
        <f t="shared" ca="1" si="24"/>
        <v>19111.555435597511</v>
      </c>
      <c r="Q140" s="17">
        <f t="shared" ca="1" si="25"/>
        <v>-319158.07182463398</v>
      </c>
    </row>
    <row r="141" spans="1:17" x14ac:dyDescent="0.35">
      <c r="A141">
        <v>139</v>
      </c>
      <c r="B141" s="14">
        <f t="shared" ca="1" si="26"/>
        <v>50300</v>
      </c>
      <c r="C141" s="15">
        <f ca="1">(1+('Symulacja Pożyczka'!$B$7+4%)*('Arkusz1 (2)'!B141-'Arkusz1 (2)'!B140)/365)</f>
        <v>1.0088328767123287</v>
      </c>
      <c r="D141" s="15">
        <f ca="1">(1+('Symulacja Pożyczka'!$B$7+4%)*('Arkusz1 (2)'!B141-'Arkusz1 (2)'!B140)/366)</f>
        <v>1.0088087431693988</v>
      </c>
      <c r="E141" s="15">
        <f t="shared" ca="1" si="18"/>
        <v>0</v>
      </c>
      <c r="F141" s="15">
        <f t="shared" ca="1" si="19"/>
        <v>0</v>
      </c>
      <c r="G141">
        <f ca="1">IF(E141=1,(1+('Symulacja Pożyczka'!$B$7+4%)*((('Arkusz1 (2)'!B141-DATE(YEAR(B141),1,1)+1)/365)+((DATE(YEAR(B140),12,31)-'Arkusz1 (2)'!B140)/366))),IF(F141=1,(1+('Symulacja Pożyczka'!$B$7+4%)*((('Arkusz1 (2)'!B141-DATE(YEAR(B141),1,1)+1)/366)+((DATE(YEAR(B140),12,31)-'Arkusz1 (2)'!B140)/365))),0))</f>
        <v>0</v>
      </c>
      <c r="H141">
        <f t="shared" ca="1" si="20"/>
        <v>0</v>
      </c>
      <c r="I141">
        <f t="shared" ca="1" si="21"/>
        <v>1.0088328767123287</v>
      </c>
      <c r="J141">
        <f t="shared" ca="1" si="22"/>
        <v>1.0088328767123287</v>
      </c>
      <c r="K141">
        <f ca="1">PRODUCT($J$3:J141)</f>
        <v>3.3053162747170681</v>
      </c>
      <c r="L141">
        <f t="shared" ca="1" si="23"/>
        <v>0.30254290872228229</v>
      </c>
      <c r="M141">
        <f ca="1">SUM($L$3:L141)</f>
        <v>80.940973235952512</v>
      </c>
      <c r="O141">
        <f ca="1">(Q140*'Arkusz1 (2)'!J141)-Q140</f>
        <v>-2819.0839001715067</v>
      </c>
      <c r="P141" s="16">
        <f t="shared" ca="1" si="24"/>
        <v>19280.365448540972</v>
      </c>
      <c r="Q141" s="17">
        <f t="shared" ca="1" si="25"/>
        <v>-338438.43727317493</v>
      </c>
    </row>
    <row r="142" spans="1:17" x14ac:dyDescent="0.35">
      <c r="A142">
        <v>140</v>
      </c>
      <c r="B142" s="14">
        <f t="shared" ca="1" si="26"/>
        <v>50330</v>
      </c>
      <c r="C142" s="15">
        <f ca="1">(1+('Symulacja Pożyczka'!$B$7+4%)*('Arkusz1 (2)'!B142-'Arkusz1 (2)'!B141)/365)</f>
        <v>1.0085479452054795</v>
      </c>
      <c r="D142" s="15">
        <f ca="1">(1+('Symulacja Pożyczka'!$B$7+4%)*('Arkusz1 (2)'!B142-'Arkusz1 (2)'!B141)/366)</f>
        <v>1.0085245901639344</v>
      </c>
      <c r="E142" s="15">
        <f t="shared" ca="1" si="18"/>
        <v>0</v>
      </c>
      <c r="F142" s="15">
        <f t="shared" ca="1" si="19"/>
        <v>0</v>
      </c>
      <c r="G142">
        <f ca="1">IF(E142=1,(1+('Symulacja Pożyczka'!$B$7+4%)*((('Arkusz1 (2)'!B142-DATE(YEAR(B142),1,1)+1)/365)+((DATE(YEAR(B141),12,31)-'Arkusz1 (2)'!B141)/366))),IF(F142=1,(1+('Symulacja Pożyczka'!$B$7+4%)*((('Arkusz1 (2)'!B142-DATE(YEAR(B142),1,1)+1)/366)+((DATE(YEAR(B141),12,31)-'Arkusz1 (2)'!B141)/365))),0))</f>
        <v>0</v>
      </c>
      <c r="H142">
        <f t="shared" ca="1" si="20"/>
        <v>0</v>
      </c>
      <c r="I142">
        <f t="shared" ca="1" si="21"/>
        <v>1.0085479452054795</v>
      </c>
      <c r="J142">
        <f t="shared" ca="1" si="22"/>
        <v>1.0085479452054795</v>
      </c>
      <c r="K142">
        <f ca="1">PRODUCT($J$3:J142)</f>
        <v>3.3335699371201293</v>
      </c>
      <c r="L142">
        <f t="shared" ca="1" si="23"/>
        <v>0.29997870717057756</v>
      </c>
      <c r="M142">
        <f ca="1">SUM($L$3:L142)</f>
        <v>81.240951943123093</v>
      </c>
      <c r="O142">
        <f ca="1">(Q141*'Arkusz1 (2)'!J142)-Q141</f>
        <v>-2892.9532172392355</v>
      </c>
      <c r="P142" s="16">
        <f t="shared" ca="1" si="24"/>
        <v>19354.2347656087</v>
      </c>
      <c r="Q142" s="17">
        <f t="shared" ca="1" si="25"/>
        <v>-357792.67203878361</v>
      </c>
    </row>
    <row r="143" spans="1:17" x14ac:dyDescent="0.35">
      <c r="A143">
        <v>141</v>
      </c>
      <c r="B143" s="14">
        <f t="shared" ca="1" si="26"/>
        <v>50361</v>
      </c>
      <c r="C143" s="15">
        <f ca="1">(1+('Symulacja Pożyczka'!$B$7+4%)*('Arkusz1 (2)'!B143-'Arkusz1 (2)'!B142)/365)</f>
        <v>1.0088328767123287</v>
      </c>
      <c r="D143" s="15">
        <f ca="1">(1+('Symulacja Pożyczka'!$B$7+4%)*('Arkusz1 (2)'!B143-'Arkusz1 (2)'!B142)/366)</f>
        <v>1.0088087431693988</v>
      </c>
      <c r="E143" s="15">
        <f t="shared" ca="1" si="18"/>
        <v>0</v>
      </c>
      <c r="F143" s="15">
        <f t="shared" ca="1" si="19"/>
        <v>0</v>
      </c>
      <c r="G143">
        <f ca="1">IF(E143=1,(1+('Symulacja Pożyczka'!$B$7+4%)*((('Arkusz1 (2)'!B143-DATE(YEAR(B143),1,1)+1)/365)+((DATE(YEAR(B142),12,31)-'Arkusz1 (2)'!B142)/366))),IF(F143=1,(1+('Symulacja Pożyczka'!$B$7+4%)*((('Arkusz1 (2)'!B143-DATE(YEAR(B143),1,1)+1)/366)+((DATE(YEAR(B142),12,31)-'Arkusz1 (2)'!B142)/365))),0))</f>
        <v>0</v>
      </c>
      <c r="H143">
        <f t="shared" ca="1" si="20"/>
        <v>0</v>
      </c>
      <c r="I143">
        <f t="shared" ca="1" si="21"/>
        <v>1.0088328767123287</v>
      </c>
      <c r="J143">
        <f t="shared" ca="1" si="22"/>
        <v>1.0088328767123287</v>
      </c>
      <c r="K143">
        <f ca="1">PRODUCT($J$3:J143)</f>
        <v>3.3630149493866366</v>
      </c>
      <c r="L143">
        <f t="shared" ca="1" si="23"/>
        <v>0.29735223156899288</v>
      </c>
      <c r="M143">
        <f ca="1">SUM($L$3:L143)</f>
        <v>81.538304174692087</v>
      </c>
      <c r="O143">
        <f ca="1">(Q142*'Arkusz1 (2)'!J143)-Q142</f>
        <v>-3160.3385606931988</v>
      </c>
      <c r="P143" s="16">
        <f t="shared" ca="1" si="24"/>
        <v>19621.620109062664</v>
      </c>
      <c r="Q143" s="17">
        <f t="shared" ca="1" si="25"/>
        <v>-377414.29214784625</v>
      </c>
    </row>
    <row r="144" spans="1:17" x14ac:dyDescent="0.35">
      <c r="A144">
        <v>142</v>
      </c>
      <c r="B144" s="14">
        <f t="shared" ca="1" si="26"/>
        <v>50391</v>
      </c>
      <c r="C144" s="15">
        <f ca="1">(1+('Symulacja Pożyczka'!$B$7+4%)*('Arkusz1 (2)'!B144-'Arkusz1 (2)'!B143)/365)</f>
        <v>1.0085479452054795</v>
      </c>
      <c r="D144" s="15">
        <f ca="1">(1+('Symulacja Pożyczka'!$B$7+4%)*('Arkusz1 (2)'!B144-'Arkusz1 (2)'!B143)/366)</f>
        <v>1.0085245901639344</v>
      </c>
      <c r="E144" s="15">
        <f t="shared" ca="1" si="18"/>
        <v>0</v>
      </c>
      <c r="F144" s="15">
        <f t="shared" ca="1" si="19"/>
        <v>0</v>
      </c>
      <c r="G144">
        <f ca="1">IF(E144=1,(1+('Symulacja Pożyczka'!$B$7+4%)*((('Arkusz1 (2)'!B144-DATE(YEAR(B144),1,1)+1)/365)+((DATE(YEAR(B143),12,31)-'Arkusz1 (2)'!B143)/366))),IF(F144=1,(1+('Symulacja Pożyczka'!$B$7+4%)*((('Arkusz1 (2)'!B144-DATE(YEAR(B144),1,1)+1)/366)+((DATE(YEAR(B143),12,31)-'Arkusz1 (2)'!B143)/365))),0))</f>
        <v>0</v>
      </c>
      <c r="H144">
        <f t="shared" ca="1" si="20"/>
        <v>0</v>
      </c>
      <c r="I144">
        <f t="shared" ca="1" si="21"/>
        <v>1.0085479452054795</v>
      </c>
      <c r="J144">
        <f t="shared" ca="1" si="22"/>
        <v>1.0085479452054795</v>
      </c>
      <c r="K144">
        <f ca="1">PRODUCT($J$3:J144)</f>
        <v>3.3917618168992019</v>
      </c>
      <c r="L144">
        <f t="shared" ca="1" si="23"/>
        <v>0.29483202358655436</v>
      </c>
      <c r="M144">
        <f ca="1">SUM($L$3:L144)</f>
        <v>81.833136198278638</v>
      </c>
      <c r="O144">
        <f ca="1">(Q143*'Arkusz1 (2)'!J144)-Q143</f>
        <v>-3226.1166890446329</v>
      </c>
      <c r="P144" s="16">
        <f t="shared" ca="1" si="24"/>
        <v>19687.398237414098</v>
      </c>
      <c r="Q144" s="17">
        <f t="shared" ca="1" si="25"/>
        <v>-397101.69038526033</v>
      </c>
    </row>
    <row r="145" spans="1:17" x14ac:dyDescent="0.35">
      <c r="A145">
        <v>143</v>
      </c>
      <c r="B145" s="14">
        <f t="shared" ca="1" si="26"/>
        <v>50422</v>
      </c>
      <c r="C145" s="15">
        <f ca="1">(1+('Symulacja Pożyczka'!$B$7+4%)*('Arkusz1 (2)'!B145-'Arkusz1 (2)'!B144)/365)</f>
        <v>1.0088328767123287</v>
      </c>
      <c r="D145" s="15">
        <f ca="1">(1+('Symulacja Pożyczka'!$B$7+4%)*('Arkusz1 (2)'!B145-'Arkusz1 (2)'!B144)/366)</f>
        <v>1.0088087431693988</v>
      </c>
      <c r="E145" s="15">
        <f t="shared" ca="1" si="18"/>
        <v>0</v>
      </c>
      <c r="F145" s="15">
        <f t="shared" ca="1" si="19"/>
        <v>0</v>
      </c>
      <c r="G145">
        <f ca="1">IF(E145=1,(1+('Symulacja Pożyczka'!$B$7+4%)*((('Arkusz1 (2)'!B145-DATE(YEAR(B145),1,1)+1)/365)+((DATE(YEAR(B144),12,31)-'Arkusz1 (2)'!B144)/366))),IF(F145=1,(1+('Symulacja Pożyczka'!$B$7+4%)*((('Arkusz1 (2)'!B145-DATE(YEAR(B145),1,1)+1)/366)+((DATE(YEAR(B144),12,31)-'Arkusz1 (2)'!B144)/365))),0))</f>
        <v>0</v>
      </c>
      <c r="H145">
        <f t="shared" ca="1" si="20"/>
        <v>0</v>
      </c>
      <c r="I145">
        <f t="shared" ca="1" si="21"/>
        <v>1.0088328767123287</v>
      </c>
      <c r="J145">
        <f t="shared" ca="1" si="22"/>
        <v>1.0088328767123287</v>
      </c>
      <c r="K145">
        <f ca="1">PRODUCT($J$3:J145)</f>
        <v>3.4217208308654565</v>
      </c>
      <c r="L145">
        <f t="shared" ca="1" si="23"/>
        <v>0.29225060997950258</v>
      </c>
      <c r="M145">
        <f ca="1">SUM($L$3:L145)</f>
        <v>82.125386808258142</v>
      </c>
      <c r="O145">
        <f ca="1">(Q144*'Arkusz1 (2)'!J145)-Q144</f>
        <v>-3507.5502734303009</v>
      </c>
      <c r="P145" s="16">
        <f t="shared" ca="1" si="24"/>
        <v>19968.831821799766</v>
      </c>
      <c r="Q145" s="17">
        <f t="shared" ca="1" si="25"/>
        <v>-417070.52220706007</v>
      </c>
    </row>
    <row r="146" spans="1:17" x14ac:dyDescent="0.35">
      <c r="A146">
        <v>144</v>
      </c>
      <c r="B146" s="14">
        <f t="shared" ca="1" si="26"/>
        <v>50453</v>
      </c>
      <c r="C146" s="15">
        <f ca="1">(1+('Symulacja Pożyczka'!$B$7+4%)*('Arkusz1 (2)'!B146-'Arkusz1 (2)'!B145)/365)</f>
        <v>1.0088328767123287</v>
      </c>
      <c r="D146" s="15">
        <f ca="1">(1+('Symulacja Pożyczka'!$B$7+4%)*('Arkusz1 (2)'!B146-'Arkusz1 (2)'!B145)/366)</f>
        <v>1.0088087431693988</v>
      </c>
      <c r="E146" s="15">
        <f t="shared" ca="1" si="18"/>
        <v>0</v>
      </c>
      <c r="F146" s="15">
        <f t="shared" ca="1" si="19"/>
        <v>0</v>
      </c>
      <c r="G146">
        <f ca="1">IF(E146=1,(1+('Symulacja Pożyczka'!$B$7+4%)*((('Arkusz1 (2)'!B146-DATE(YEAR(B146),1,1)+1)/365)+((DATE(YEAR(B145),12,31)-'Arkusz1 (2)'!B145)/366))),IF(F146=1,(1+('Symulacja Pożyczka'!$B$7+4%)*((('Arkusz1 (2)'!B146-DATE(YEAR(B146),1,1)+1)/366)+((DATE(YEAR(B145),12,31)-'Arkusz1 (2)'!B145)/365))),0))</f>
        <v>0</v>
      </c>
      <c r="H146">
        <f t="shared" ca="1" si="20"/>
        <v>0</v>
      </c>
      <c r="I146">
        <f t="shared" ca="1" si="21"/>
        <v>1.0088328767123287</v>
      </c>
      <c r="J146">
        <f t="shared" ca="1" si="22"/>
        <v>1.0088328767123287</v>
      </c>
      <c r="K146">
        <f ca="1">PRODUCT($J$3:J146)</f>
        <v>3.4519444691084979</v>
      </c>
      <c r="L146">
        <f t="shared" ca="1" si="23"/>
        <v>0.28969179804281753</v>
      </c>
      <c r="M146">
        <f ca="1">SUM($L$3:L146)</f>
        <v>82.415078606300966</v>
      </c>
      <c r="O146">
        <f ca="1">(Q145*'Arkusz1 (2)'!J146)-Q145</f>
        <v>-3683.9325030015316</v>
      </c>
      <c r="P146" s="16">
        <f t="shared" ca="1" si="24"/>
        <v>20145.214051370996</v>
      </c>
      <c r="Q146" s="17">
        <f t="shared" ca="1" si="25"/>
        <v>-437215.73625843105</v>
      </c>
    </row>
    <row r="147" spans="1:17" x14ac:dyDescent="0.35">
      <c r="A147">
        <v>145</v>
      </c>
      <c r="B147" s="14">
        <f t="shared" ca="1" si="26"/>
        <v>50481</v>
      </c>
      <c r="C147" s="15">
        <f ca="1">(1+('Symulacja Pożyczka'!$B$7+4%)*('Arkusz1 (2)'!B147-'Arkusz1 (2)'!B146)/365)</f>
        <v>1.0079780821917808</v>
      </c>
      <c r="D147" s="15">
        <f ca="1">(1+('Symulacja Pożyczka'!$B$7+4%)*('Arkusz1 (2)'!B147-'Arkusz1 (2)'!B146)/366)</f>
        <v>1.0079562841530054</v>
      </c>
      <c r="E147" s="15">
        <f t="shared" ca="1" si="18"/>
        <v>0</v>
      </c>
      <c r="F147" s="15">
        <f t="shared" ca="1" si="19"/>
        <v>0</v>
      </c>
      <c r="G147">
        <f ca="1">IF(E147=1,(1+('Symulacja Pożyczka'!$B$7+4%)*((('Arkusz1 (2)'!B147-DATE(YEAR(B147),1,1)+1)/365)+((DATE(YEAR(B146),12,31)-'Arkusz1 (2)'!B146)/366))),IF(F147=1,(1+('Symulacja Pożyczka'!$B$7+4%)*((('Arkusz1 (2)'!B147-DATE(YEAR(B147),1,1)+1)/366)+((DATE(YEAR(B146),12,31)-'Arkusz1 (2)'!B146)/365))),0))</f>
        <v>0</v>
      </c>
      <c r="H147">
        <f t="shared" ca="1" si="20"/>
        <v>0</v>
      </c>
      <c r="I147">
        <f t="shared" ca="1" si="21"/>
        <v>1.0079780821917808</v>
      </c>
      <c r="J147">
        <f t="shared" ca="1" si="22"/>
        <v>1.0079780821917808</v>
      </c>
      <c r="K147">
        <f ca="1">PRODUCT($J$3:J147)</f>
        <v>3.4794843658045087</v>
      </c>
      <c r="L147">
        <f t="shared" ca="1" si="23"/>
        <v>0.28739890594932593</v>
      </c>
      <c r="M147">
        <f ca="1">SUM($L$3:L147)</f>
        <v>82.702477512250297</v>
      </c>
      <c r="O147">
        <f ca="1">(Q146*'Arkusz1 (2)'!J147)-Q146</f>
        <v>-3488.143079409725</v>
      </c>
      <c r="P147" s="16">
        <f t="shared" ca="1" si="24"/>
        <v>19949.42462777919</v>
      </c>
      <c r="Q147" s="17">
        <f t="shared" ca="1" si="25"/>
        <v>-457165.16088621021</v>
      </c>
    </row>
    <row r="148" spans="1:17" x14ac:dyDescent="0.35">
      <c r="A148">
        <v>146</v>
      </c>
      <c r="B148" s="14">
        <f t="shared" ca="1" si="26"/>
        <v>50512</v>
      </c>
      <c r="C148" s="15">
        <f ca="1">(1+('Symulacja Pożyczka'!$B$7+4%)*('Arkusz1 (2)'!B148-'Arkusz1 (2)'!B147)/365)</f>
        <v>1.0088328767123287</v>
      </c>
      <c r="D148" s="15">
        <f ca="1">(1+('Symulacja Pożyczka'!$B$7+4%)*('Arkusz1 (2)'!B148-'Arkusz1 (2)'!B147)/366)</f>
        <v>1.0088087431693988</v>
      </c>
      <c r="E148" s="15">
        <f t="shared" ca="1" si="18"/>
        <v>0</v>
      </c>
      <c r="F148" s="15">
        <f t="shared" ca="1" si="19"/>
        <v>0</v>
      </c>
      <c r="G148">
        <f ca="1">IF(E148=1,(1+('Symulacja Pożyczka'!$B$7+4%)*((('Arkusz1 (2)'!B148-DATE(YEAR(B148),1,1)+1)/365)+((DATE(YEAR(B147),12,31)-'Arkusz1 (2)'!B147)/366))),IF(F148=1,(1+('Symulacja Pożyczka'!$B$7+4%)*((('Arkusz1 (2)'!B148-DATE(YEAR(B148),1,1)+1)/366)+((DATE(YEAR(B147),12,31)-'Arkusz1 (2)'!B147)/365))),0))</f>
        <v>0</v>
      </c>
      <c r="H148">
        <f t="shared" ca="1" si="20"/>
        <v>0</v>
      </c>
      <c r="I148">
        <f t="shared" ca="1" si="21"/>
        <v>1.0088328767123287</v>
      </c>
      <c r="J148">
        <f t="shared" ca="1" si="22"/>
        <v>1.0088328767123287</v>
      </c>
      <c r="K148">
        <f ca="1">PRODUCT($J$3:J148)</f>
        <v>3.5102182222301352</v>
      </c>
      <c r="L148">
        <f t="shared" ca="1" si="23"/>
        <v>0.28488257330185968</v>
      </c>
      <c r="M148">
        <f ca="1">SUM($L$3:L148)</f>
        <v>82.987360085552154</v>
      </c>
      <c r="O148">
        <f ca="1">(Q147*'Arkusz1 (2)'!J148)-Q147</f>
        <v>-4038.0835032797768</v>
      </c>
      <c r="P148" s="16">
        <f t="shared" ca="1" si="24"/>
        <v>20499.365051649242</v>
      </c>
      <c r="Q148" s="17">
        <f t="shared" ca="1" si="25"/>
        <v>-477664.52593785943</v>
      </c>
    </row>
    <row r="149" spans="1:17" x14ac:dyDescent="0.35">
      <c r="A149">
        <v>147</v>
      </c>
      <c r="B149" s="14">
        <f t="shared" ca="1" si="26"/>
        <v>50542</v>
      </c>
      <c r="C149" s="15">
        <f ca="1">(1+('Symulacja Pożyczka'!$B$7+4%)*('Arkusz1 (2)'!B149-'Arkusz1 (2)'!B148)/365)</f>
        <v>1.0085479452054795</v>
      </c>
      <c r="D149" s="15">
        <f ca="1">(1+('Symulacja Pożyczka'!$B$7+4%)*('Arkusz1 (2)'!B149-'Arkusz1 (2)'!B148)/366)</f>
        <v>1.0085245901639344</v>
      </c>
      <c r="E149" s="15">
        <f t="shared" ca="1" si="18"/>
        <v>0</v>
      </c>
      <c r="F149" s="15">
        <f t="shared" ca="1" si="19"/>
        <v>0</v>
      </c>
      <c r="G149">
        <f ca="1">IF(E149=1,(1+('Symulacja Pożyczka'!$B$7+4%)*((('Arkusz1 (2)'!B149-DATE(YEAR(B149),1,1)+1)/365)+((DATE(YEAR(B148),12,31)-'Arkusz1 (2)'!B148)/366))),IF(F149=1,(1+('Symulacja Pożyczka'!$B$7+4%)*((('Arkusz1 (2)'!B149-DATE(YEAR(B149),1,1)+1)/366)+((DATE(YEAR(B148),12,31)-'Arkusz1 (2)'!B148)/365))),0))</f>
        <v>0</v>
      </c>
      <c r="H149">
        <f t="shared" ca="1" si="20"/>
        <v>0</v>
      </c>
      <c r="I149">
        <f t="shared" ca="1" si="21"/>
        <v>1.0085479452054795</v>
      </c>
      <c r="J149">
        <f t="shared" ca="1" si="22"/>
        <v>1.0085479452054795</v>
      </c>
      <c r="K149">
        <f ca="1">PRODUCT($J$3:J149)</f>
        <v>3.5402233752530341</v>
      </c>
      <c r="L149">
        <f t="shared" ca="1" si="23"/>
        <v>0.2824680518721579</v>
      </c>
      <c r="M149">
        <f ca="1">SUM($L$3:L149)</f>
        <v>83.269828137424312</v>
      </c>
      <c r="O149">
        <f ca="1">(Q148*'Arkusz1 (2)'!J149)-Q148</f>
        <v>-4083.0501943181735</v>
      </c>
      <c r="P149" s="16">
        <f t="shared" ca="1" si="24"/>
        <v>20544.331742687638</v>
      </c>
      <c r="Q149" s="17">
        <f t="shared" ca="1" si="25"/>
        <v>-498208.85768054705</v>
      </c>
    </row>
    <row r="150" spans="1:17" x14ac:dyDescent="0.35">
      <c r="A150">
        <v>148</v>
      </c>
      <c r="B150" s="14">
        <f t="shared" ca="1" si="26"/>
        <v>50573</v>
      </c>
      <c r="C150" s="15">
        <f ca="1">(1+('Symulacja Pożyczka'!$B$7+4%)*('Arkusz1 (2)'!B150-'Arkusz1 (2)'!B149)/365)</f>
        <v>1.0088328767123287</v>
      </c>
      <c r="D150" s="15">
        <f ca="1">(1+('Symulacja Pożyczka'!$B$7+4%)*('Arkusz1 (2)'!B150-'Arkusz1 (2)'!B149)/366)</f>
        <v>1.0088087431693988</v>
      </c>
      <c r="E150" s="15">
        <f t="shared" ca="1" si="18"/>
        <v>0</v>
      </c>
      <c r="F150" s="15">
        <f t="shared" ca="1" si="19"/>
        <v>0</v>
      </c>
      <c r="G150">
        <f ca="1">IF(E150=1,(1+('Symulacja Pożyczka'!$B$7+4%)*((('Arkusz1 (2)'!B150-DATE(YEAR(B150),1,1)+1)/365)+((DATE(YEAR(B149),12,31)-'Arkusz1 (2)'!B149)/366))),IF(F150=1,(1+('Symulacja Pożyczka'!$B$7+4%)*((('Arkusz1 (2)'!B150-DATE(YEAR(B150),1,1)+1)/366)+((DATE(YEAR(B149),12,31)-'Arkusz1 (2)'!B149)/365))),0))</f>
        <v>0</v>
      </c>
      <c r="H150">
        <f t="shared" ca="1" si="20"/>
        <v>0</v>
      </c>
      <c r="I150">
        <f t="shared" ca="1" si="21"/>
        <v>1.0088328767123287</v>
      </c>
      <c r="J150">
        <f t="shared" ca="1" si="22"/>
        <v>1.0088328767123287</v>
      </c>
      <c r="K150">
        <f ca="1">PRODUCT($J$3:J150)</f>
        <v>3.5714937318607483</v>
      </c>
      <c r="L150">
        <f t="shared" ca="1" si="23"/>
        <v>0.27999489151532125</v>
      </c>
      <c r="M150">
        <f ca="1">SUM($L$3:L150)</f>
        <v>83.549823028939628</v>
      </c>
      <c r="O150">
        <f ca="1">(Q149*'Arkusz1 (2)'!J150)-Q149</f>
        <v>-4400.6174168823636</v>
      </c>
      <c r="P150" s="16">
        <f t="shared" ca="1" si="24"/>
        <v>20861.898965251828</v>
      </c>
      <c r="Q150" s="17">
        <f t="shared" ca="1" si="25"/>
        <v>-519070.75664579886</v>
      </c>
    </row>
    <row r="151" spans="1:17" x14ac:dyDescent="0.35">
      <c r="A151">
        <v>149</v>
      </c>
      <c r="B151" s="14">
        <f t="shared" ca="1" si="26"/>
        <v>50603</v>
      </c>
      <c r="C151" s="15">
        <f ca="1">(1+('Symulacja Pożyczka'!$B$7+4%)*('Arkusz1 (2)'!B151-'Arkusz1 (2)'!B150)/365)</f>
        <v>1.0085479452054795</v>
      </c>
      <c r="D151" s="15">
        <f ca="1">(1+('Symulacja Pożyczka'!$B$7+4%)*('Arkusz1 (2)'!B151-'Arkusz1 (2)'!B150)/366)</f>
        <v>1.0085245901639344</v>
      </c>
      <c r="E151" s="15">
        <f t="shared" ca="1" si="18"/>
        <v>0</v>
      </c>
      <c r="F151" s="15">
        <f t="shared" ca="1" si="19"/>
        <v>0</v>
      </c>
      <c r="G151">
        <f ca="1">IF(E151=1,(1+('Symulacja Pożyczka'!$B$7+4%)*((('Arkusz1 (2)'!B151-DATE(YEAR(B151),1,1)+1)/365)+((DATE(YEAR(B150),12,31)-'Arkusz1 (2)'!B150)/366))),IF(F151=1,(1+('Symulacja Pożyczka'!$B$7+4%)*((('Arkusz1 (2)'!B151-DATE(YEAR(B151),1,1)+1)/366)+((DATE(YEAR(B150),12,31)-'Arkusz1 (2)'!B150)/365))),0))</f>
        <v>0</v>
      </c>
      <c r="H151">
        <f t="shared" ca="1" si="20"/>
        <v>0</v>
      </c>
      <c r="I151">
        <f t="shared" ca="1" si="21"/>
        <v>1.0085479452054795</v>
      </c>
      <c r="J151">
        <f t="shared" ca="1" si="22"/>
        <v>1.0085479452054795</v>
      </c>
      <c r="K151">
        <f ca="1">PRODUCT($J$3:J151)</f>
        <v>3.6020226645824076</v>
      </c>
      <c r="L151">
        <f t="shared" ca="1" si="23"/>
        <v>0.27762179561852723</v>
      </c>
      <c r="M151">
        <f ca="1">SUM($L$3:L151)</f>
        <v>83.827444824558157</v>
      </c>
      <c r="O151">
        <f ca="1">(Q150*'Arkusz1 (2)'!J151)-Q150</f>
        <v>-4436.9883855750668</v>
      </c>
      <c r="P151" s="16">
        <f t="shared" ca="1" si="24"/>
        <v>20898.269933944532</v>
      </c>
      <c r="Q151" s="17">
        <f t="shared" ca="1" si="25"/>
        <v>-539969.02657974337</v>
      </c>
    </row>
    <row r="152" spans="1:17" x14ac:dyDescent="0.35">
      <c r="A152">
        <v>150</v>
      </c>
      <c r="B152" s="14">
        <f t="shared" ca="1" si="26"/>
        <v>50634</v>
      </c>
      <c r="C152" s="15">
        <f ca="1">(1+('Symulacja Pożyczka'!$B$7+4%)*('Arkusz1 (2)'!B152-'Arkusz1 (2)'!B151)/365)</f>
        <v>1.0088328767123287</v>
      </c>
      <c r="D152" s="15">
        <f ca="1">(1+('Symulacja Pożyczka'!$B$7+4%)*('Arkusz1 (2)'!B152-'Arkusz1 (2)'!B151)/366)</f>
        <v>1.0088087431693988</v>
      </c>
      <c r="E152" s="15">
        <f t="shared" ca="1" si="18"/>
        <v>0</v>
      </c>
      <c r="F152" s="15">
        <f t="shared" ca="1" si="19"/>
        <v>0</v>
      </c>
      <c r="G152">
        <f ca="1">IF(E152=1,(1+('Symulacja Pożyczka'!$B$7+4%)*((('Arkusz1 (2)'!B152-DATE(YEAR(B152),1,1)+1)/365)+((DATE(YEAR(B151),12,31)-'Arkusz1 (2)'!B151)/366))),IF(F152=1,(1+('Symulacja Pożyczka'!$B$7+4%)*((('Arkusz1 (2)'!B152-DATE(YEAR(B152),1,1)+1)/366)+((DATE(YEAR(B151),12,31)-'Arkusz1 (2)'!B151)/365))),0))</f>
        <v>0</v>
      </c>
      <c r="H152">
        <f t="shared" ca="1" si="20"/>
        <v>0</v>
      </c>
      <c r="I152">
        <f t="shared" ca="1" si="21"/>
        <v>1.0088328767123287</v>
      </c>
      <c r="J152">
        <f t="shared" ca="1" si="22"/>
        <v>1.0088328767123287</v>
      </c>
      <c r="K152">
        <f ca="1">PRODUCT($J$3:J152)</f>
        <v>3.6338388866936775</v>
      </c>
      <c r="L152">
        <f t="shared" ca="1" si="23"/>
        <v>0.2751910668526833</v>
      </c>
      <c r="M152">
        <f ca="1">SUM($L$3:L152)</f>
        <v>84.102635891410841</v>
      </c>
      <c r="O152">
        <f ca="1">(Q151*'Arkusz1 (2)'!J152)-Q151</f>
        <v>-4769.4798402549932</v>
      </c>
      <c r="P152" s="16">
        <f t="shared" ca="1" si="24"/>
        <v>21230.761388624458</v>
      </c>
      <c r="Q152" s="17">
        <f t="shared" ca="1" si="25"/>
        <v>-561199.7879683678</v>
      </c>
    </row>
    <row r="153" spans="1:17" x14ac:dyDescent="0.35">
      <c r="A153">
        <v>151</v>
      </c>
      <c r="B153" s="14">
        <f t="shared" ca="1" si="26"/>
        <v>50665</v>
      </c>
      <c r="C153" s="15">
        <f ca="1">(1+('Symulacja Pożyczka'!$B$7+4%)*('Arkusz1 (2)'!B153-'Arkusz1 (2)'!B152)/365)</f>
        <v>1.0088328767123287</v>
      </c>
      <c r="D153" s="15">
        <f ca="1">(1+('Symulacja Pożyczka'!$B$7+4%)*('Arkusz1 (2)'!B153-'Arkusz1 (2)'!B152)/366)</f>
        <v>1.0088087431693988</v>
      </c>
      <c r="E153" s="15">
        <f t="shared" ca="1" si="18"/>
        <v>0</v>
      </c>
      <c r="F153" s="15">
        <f t="shared" ca="1" si="19"/>
        <v>0</v>
      </c>
      <c r="G153">
        <f ca="1">IF(E153=1,(1+('Symulacja Pożyczka'!$B$7+4%)*((('Arkusz1 (2)'!B153-DATE(YEAR(B153),1,1)+1)/365)+((DATE(YEAR(B152),12,31)-'Arkusz1 (2)'!B152)/366))),IF(F153=1,(1+('Symulacja Pożyczka'!$B$7+4%)*((('Arkusz1 (2)'!B153-DATE(YEAR(B153),1,1)+1)/366)+((DATE(YEAR(B152),12,31)-'Arkusz1 (2)'!B152)/365))),0))</f>
        <v>0</v>
      </c>
      <c r="H153">
        <f t="shared" ca="1" si="20"/>
        <v>0</v>
      </c>
      <c r="I153">
        <f t="shared" ca="1" si="21"/>
        <v>1.0088328767123287</v>
      </c>
      <c r="J153">
        <f t="shared" ca="1" si="22"/>
        <v>1.0088328767123287</v>
      </c>
      <c r="K153">
        <f ca="1">PRODUCT($J$3:J153)</f>
        <v>3.6659361375723085</v>
      </c>
      <c r="L153">
        <f t="shared" ca="1" si="23"/>
        <v>0.27278162043003551</v>
      </c>
      <c r="M153">
        <f ca="1">SUM($L$3:L153)</f>
        <v>84.37541751184088</v>
      </c>
      <c r="O153">
        <f ca="1">(Q152*'Arkusz1 (2)'!J153)-Q152</f>
        <v>-4957.0085381095996</v>
      </c>
      <c r="P153" s="16">
        <f t="shared" ca="1" si="24"/>
        <v>21418.290086479064</v>
      </c>
      <c r="Q153" s="17">
        <f t="shared" ca="1" si="25"/>
        <v>-582618.07805484685</v>
      </c>
    </row>
    <row r="154" spans="1:17" x14ac:dyDescent="0.35">
      <c r="A154">
        <v>152</v>
      </c>
      <c r="B154" s="14">
        <f t="shared" ca="1" si="26"/>
        <v>50695</v>
      </c>
      <c r="C154" s="15">
        <f ca="1">(1+('Symulacja Pożyczka'!$B$7+4%)*('Arkusz1 (2)'!B154-'Arkusz1 (2)'!B153)/365)</f>
        <v>1.0085479452054795</v>
      </c>
      <c r="D154" s="15">
        <f ca="1">(1+('Symulacja Pożyczka'!$B$7+4%)*('Arkusz1 (2)'!B154-'Arkusz1 (2)'!B153)/366)</f>
        <v>1.0085245901639344</v>
      </c>
      <c r="E154" s="15">
        <f t="shared" ca="1" si="18"/>
        <v>0</v>
      </c>
      <c r="F154" s="15">
        <f t="shared" ca="1" si="19"/>
        <v>0</v>
      </c>
      <c r="G154">
        <f ca="1">IF(E154=1,(1+('Symulacja Pożyczka'!$B$7+4%)*((('Arkusz1 (2)'!B154-DATE(YEAR(B154),1,1)+1)/365)+((DATE(YEAR(B153),12,31)-'Arkusz1 (2)'!B153)/366))),IF(F154=1,(1+('Symulacja Pożyczka'!$B$7+4%)*((('Arkusz1 (2)'!B154-DATE(YEAR(B154),1,1)+1)/366)+((DATE(YEAR(B153),12,31)-'Arkusz1 (2)'!B153)/365))),0))</f>
        <v>0</v>
      </c>
      <c r="H154">
        <f t="shared" ca="1" si="20"/>
        <v>0</v>
      </c>
      <c r="I154">
        <f t="shared" ca="1" si="21"/>
        <v>1.0085479452054795</v>
      </c>
      <c r="J154">
        <f t="shared" ca="1" si="22"/>
        <v>1.0085479452054795</v>
      </c>
      <c r="K154">
        <f ca="1">PRODUCT($J$3:J154)</f>
        <v>3.697272358803064</v>
      </c>
      <c r="L154">
        <f t="shared" ca="1" si="23"/>
        <v>0.27046966059155425</v>
      </c>
      <c r="M154">
        <f ca="1">SUM($L$3:L154)</f>
        <v>84.645887172432438</v>
      </c>
      <c r="O154">
        <f ca="1">(Q153*'Arkusz1 (2)'!J154)-Q153</f>
        <v>-4980.1874069345649</v>
      </c>
      <c r="P154" s="16">
        <f t="shared" ca="1" si="24"/>
        <v>21441.46895530403</v>
      </c>
      <c r="Q154" s="17">
        <f t="shared" ca="1" si="25"/>
        <v>-604059.54701015085</v>
      </c>
    </row>
    <row r="155" spans="1:17" x14ac:dyDescent="0.35">
      <c r="A155">
        <v>153</v>
      </c>
      <c r="B155" s="14">
        <f t="shared" ca="1" si="26"/>
        <v>50726</v>
      </c>
      <c r="C155" s="15">
        <f ca="1">(1+('Symulacja Pożyczka'!$B$7+4%)*('Arkusz1 (2)'!B155-'Arkusz1 (2)'!B154)/365)</f>
        <v>1.0088328767123287</v>
      </c>
      <c r="D155" s="15">
        <f ca="1">(1+('Symulacja Pożyczka'!$B$7+4%)*('Arkusz1 (2)'!B155-'Arkusz1 (2)'!B154)/366)</f>
        <v>1.0088087431693988</v>
      </c>
      <c r="E155" s="15">
        <f t="shared" ca="1" si="18"/>
        <v>0</v>
      </c>
      <c r="F155" s="15">
        <f t="shared" ca="1" si="19"/>
        <v>0</v>
      </c>
      <c r="G155">
        <f ca="1">IF(E155=1,(1+('Symulacja Pożyczka'!$B$7+4%)*((('Arkusz1 (2)'!B155-DATE(YEAR(B155),1,1)+1)/365)+((DATE(YEAR(B154),12,31)-'Arkusz1 (2)'!B154)/366))),IF(F155=1,(1+('Symulacja Pożyczka'!$B$7+4%)*((('Arkusz1 (2)'!B155-DATE(YEAR(B155),1,1)+1)/366)+((DATE(YEAR(B154),12,31)-'Arkusz1 (2)'!B154)/365))),0))</f>
        <v>0</v>
      </c>
      <c r="H155">
        <f t="shared" ca="1" si="20"/>
        <v>0</v>
      </c>
      <c r="I155">
        <f t="shared" ca="1" si="21"/>
        <v>1.0088328767123287</v>
      </c>
      <c r="J155">
        <f t="shared" ca="1" si="22"/>
        <v>1.0088328767123287</v>
      </c>
      <c r="K155">
        <f ca="1">PRODUCT($J$3:J155)</f>
        <v>3.7299299097202723</v>
      </c>
      <c r="L155">
        <f t="shared" ca="1" si="23"/>
        <v>0.26810155263078267</v>
      </c>
      <c r="M155">
        <f ca="1">SUM($L$3:L155)</f>
        <v>84.91398872506322</v>
      </c>
      <c r="O155">
        <f ca="1">(Q154*'Arkusz1 (2)'!J155)-Q154</f>
        <v>-5335.5835056457436</v>
      </c>
      <c r="P155" s="16">
        <f t="shared" ca="1" si="24"/>
        <v>21796.865054015208</v>
      </c>
      <c r="Q155" s="17">
        <f t="shared" ca="1" si="25"/>
        <v>-625856.41206416604</v>
      </c>
    </row>
    <row r="156" spans="1:17" x14ac:dyDescent="0.35">
      <c r="A156">
        <v>154</v>
      </c>
      <c r="B156" s="14">
        <f t="shared" ca="1" si="26"/>
        <v>50756</v>
      </c>
      <c r="C156" s="15">
        <f ca="1">(1+('Symulacja Pożyczka'!$B$7+4%)*('Arkusz1 (2)'!B156-'Arkusz1 (2)'!B155)/365)</f>
        <v>1.0085479452054795</v>
      </c>
      <c r="D156" s="15">
        <f ca="1">(1+('Symulacja Pożyczka'!$B$7+4%)*('Arkusz1 (2)'!B156-'Arkusz1 (2)'!B155)/366)</f>
        <v>1.0085245901639344</v>
      </c>
      <c r="E156" s="15">
        <f t="shared" ca="1" si="18"/>
        <v>0</v>
      </c>
      <c r="F156" s="15">
        <f t="shared" ca="1" si="19"/>
        <v>0</v>
      </c>
      <c r="G156">
        <f ca="1">IF(E156=1,(1+('Symulacja Pożyczka'!$B$7+4%)*((('Arkusz1 (2)'!B156-DATE(YEAR(B156),1,1)+1)/365)+((DATE(YEAR(B155),12,31)-'Arkusz1 (2)'!B155)/366))),IF(F156=1,(1+('Symulacja Pożyczka'!$B$7+4%)*((('Arkusz1 (2)'!B156-DATE(YEAR(B156),1,1)+1)/366)+((DATE(YEAR(B155),12,31)-'Arkusz1 (2)'!B155)/365))),0))</f>
        <v>0</v>
      </c>
      <c r="H156">
        <f t="shared" ca="1" si="20"/>
        <v>0</v>
      </c>
      <c r="I156">
        <f t="shared" ca="1" si="21"/>
        <v>1.0085479452054795</v>
      </c>
      <c r="J156">
        <f t="shared" ca="1" si="22"/>
        <v>1.0085479452054795</v>
      </c>
      <c r="K156">
        <f ca="1">PRODUCT($J$3:J156)</f>
        <v>3.7618131462088402</v>
      </c>
      <c r="L156">
        <f t="shared" ca="1" si="23"/>
        <v>0.26582925869345775</v>
      </c>
      <c r="M156">
        <f ca="1">SUM($L$3:L156)</f>
        <v>85.179817983756678</v>
      </c>
      <c r="O156">
        <f ca="1">(Q155*'Arkusz1 (2)'!J156)-Q155</f>
        <v>-5349.7863168225158</v>
      </c>
      <c r="P156" s="16">
        <f t="shared" ca="1" si="24"/>
        <v>21811.067865191981</v>
      </c>
      <c r="Q156" s="17">
        <f t="shared" ca="1" si="25"/>
        <v>-647667.479929358</v>
      </c>
    </row>
    <row r="157" spans="1:17" x14ac:dyDescent="0.35">
      <c r="A157">
        <v>155</v>
      </c>
      <c r="B157" s="14">
        <f t="shared" ca="1" si="26"/>
        <v>50787</v>
      </c>
      <c r="C157" s="15">
        <f ca="1">(1+('Symulacja Pożyczka'!$B$7+4%)*('Arkusz1 (2)'!B157-'Arkusz1 (2)'!B156)/365)</f>
        <v>1.0088328767123287</v>
      </c>
      <c r="D157" s="15">
        <f ca="1">(1+('Symulacja Pożyczka'!$B$7+4%)*('Arkusz1 (2)'!B157-'Arkusz1 (2)'!B156)/366)</f>
        <v>1.0088087431693988</v>
      </c>
      <c r="E157" s="15">
        <f t="shared" ca="1" si="18"/>
        <v>0</v>
      </c>
      <c r="F157" s="15">
        <f t="shared" ca="1" si="19"/>
        <v>0</v>
      </c>
      <c r="G157">
        <f ca="1">IF(E157=1,(1+('Symulacja Pożyczka'!$B$7+4%)*((('Arkusz1 (2)'!B157-DATE(YEAR(B157),1,1)+1)/365)+((DATE(YEAR(B156),12,31)-'Arkusz1 (2)'!B156)/366))),IF(F157=1,(1+('Symulacja Pożyczka'!$B$7+4%)*((('Arkusz1 (2)'!B157-DATE(YEAR(B157),1,1)+1)/366)+((DATE(YEAR(B156),12,31)-'Arkusz1 (2)'!B156)/365))),0))</f>
        <v>0</v>
      </c>
      <c r="H157">
        <f t="shared" ca="1" si="20"/>
        <v>0</v>
      </c>
      <c r="I157">
        <f t="shared" ca="1" si="21"/>
        <v>1.0088328767123287</v>
      </c>
      <c r="J157">
        <f t="shared" ca="1" si="22"/>
        <v>1.0088328767123287</v>
      </c>
      <c r="K157">
        <f ca="1">PRODUCT($J$3:J157)</f>
        <v>3.79504077794412</v>
      </c>
      <c r="L157">
        <f t="shared" ca="1" si="23"/>
        <v>0.26350177995761304</v>
      </c>
      <c r="M157">
        <f ca="1">SUM($L$3:L157)</f>
        <v>85.443319763714285</v>
      </c>
      <c r="O157">
        <f ca="1">(Q156*'Arkusz1 (2)'!J157)-Q156</f>
        <v>-5720.7670008005807</v>
      </c>
      <c r="P157" s="16">
        <f t="shared" ca="1" si="24"/>
        <v>22182.048549170046</v>
      </c>
      <c r="Q157" s="17">
        <f t="shared" ca="1" si="25"/>
        <v>-669849.52847852802</v>
      </c>
    </row>
    <row r="158" spans="1:17" x14ac:dyDescent="0.35">
      <c r="A158">
        <v>156</v>
      </c>
      <c r="B158" s="14">
        <f t="shared" ca="1" si="26"/>
        <v>50818</v>
      </c>
      <c r="C158" s="15">
        <f ca="1">(1+('Symulacja Pożyczka'!$B$7+4%)*('Arkusz1 (2)'!B158-'Arkusz1 (2)'!B157)/365)</f>
        <v>1.0088328767123287</v>
      </c>
      <c r="D158" s="15">
        <f ca="1">(1+('Symulacja Pożyczka'!$B$7+4%)*('Arkusz1 (2)'!B158-'Arkusz1 (2)'!B157)/366)</f>
        <v>1.0088087431693988</v>
      </c>
      <c r="E158" s="15">
        <f t="shared" ca="1" si="18"/>
        <v>0</v>
      </c>
      <c r="F158" s="15">
        <f t="shared" ca="1" si="19"/>
        <v>0</v>
      </c>
      <c r="G158">
        <f ca="1">IF(E158=1,(1+('Symulacja Pożyczka'!$B$7+4%)*((('Arkusz1 (2)'!B158-DATE(YEAR(B158),1,1)+1)/365)+((DATE(YEAR(B157),12,31)-'Arkusz1 (2)'!B157)/366))),IF(F158=1,(1+('Symulacja Pożyczka'!$B$7+4%)*((('Arkusz1 (2)'!B158-DATE(YEAR(B158),1,1)+1)/366)+((DATE(YEAR(B157),12,31)-'Arkusz1 (2)'!B157)/365))),0))</f>
        <v>0</v>
      </c>
      <c r="H158">
        <f t="shared" ca="1" si="20"/>
        <v>0</v>
      </c>
      <c r="I158">
        <f t="shared" ca="1" si="21"/>
        <v>1.0088328767123287</v>
      </c>
      <c r="J158">
        <f t="shared" ca="1" si="22"/>
        <v>1.0088328767123287</v>
      </c>
      <c r="K158">
        <f ca="1">PRODUCT($J$3:J158)</f>
        <v>3.8285619052539603</v>
      </c>
      <c r="L158">
        <f t="shared" ca="1" si="23"/>
        <v>0.26119467955518588</v>
      </c>
      <c r="M158">
        <f ca="1">SUM($L$3:L158)</f>
        <v>85.704514443269474</v>
      </c>
      <c r="O158">
        <f ca="1">(Q157*'Arkusz1 (2)'!J158)-Q157</f>
        <v>-5916.6983008623356</v>
      </c>
      <c r="P158" s="16">
        <f t="shared" ca="1" si="24"/>
        <v>22377.9798492318</v>
      </c>
      <c r="Q158" s="17">
        <f t="shared" ca="1" si="25"/>
        <v>-692227.5083277598</v>
      </c>
    </row>
    <row r="159" spans="1:17" x14ac:dyDescent="0.35">
      <c r="A159">
        <v>157</v>
      </c>
      <c r="B159" s="14">
        <f t="shared" ca="1" si="26"/>
        <v>50846</v>
      </c>
      <c r="C159" s="15">
        <f ca="1">(1+('Symulacja Pożyczka'!$B$7+4%)*('Arkusz1 (2)'!B159-'Arkusz1 (2)'!B158)/365)</f>
        <v>1.0079780821917808</v>
      </c>
      <c r="D159" s="15">
        <f ca="1">(1+('Symulacja Pożyczka'!$B$7+4%)*('Arkusz1 (2)'!B159-'Arkusz1 (2)'!B158)/366)</f>
        <v>1.0079562841530054</v>
      </c>
      <c r="E159" s="15">
        <f t="shared" ca="1" si="18"/>
        <v>0</v>
      </c>
      <c r="F159" s="15">
        <f t="shared" ca="1" si="19"/>
        <v>0</v>
      </c>
      <c r="G159">
        <f ca="1">IF(E159=1,(1+('Symulacja Pożyczka'!$B$7+4%)*((('Arkusz1 (2)'!B159-DATE(YEAR(B159),1,1)+1)/365)+((DATE(YEAR(B158),12,31)-'Arkusz1 (2)'!B158)/366))),IF(F159=1,(1+('Symulacja Pożyczka'!$B$7+4%)*((('Arkusz1 (2)'!B159-DATE(YEAR(B159),1,1)+1)/366)+((DATE(YEAR(B158),12,31)-'Arkusz1 (2)'!B158)/365))),0))</f>
        <v>0</v>
      </c>
      <c r="H159">
        <f t="shared" ca="1" si="20"/>
        <v>0</v>
      </c>
      <c r="I159">
        <f t="shared" ca="1" si="21"/>
        <v>1.0079780821917808</v>
      </c>
      <c r="J159">
        <f t="shared" ca="1" si="22"/>
        <v>1.0079780821917808</v>
      </c>
      <c r="K159">
        <f ca="1">PRODUCT($J$3:J159)</f>
        <v>3.859106486810397</v>
      </c>
      <c r="L159">
        <f t="shared" ca="1" si="23"/>
        <v>0.25912734033584894</v>
      </c>
      <c r="M159">
        <f ca="1">SUM($L$3:L159)</f>
        <v>85.963641783605325</v>
      </c>
      <c r="O159">
        <f ca="1">(Q158*'Arkusz1 (2)'!J159)-Q158</f>
        <v>-5522.6479568504728</v>
      </c>
      <c r="P159" s="16">
        <f t="shared" ca="1" si="24"/>
        <v>21983.929505219938</v>
      </c>
      <c r="Q159" s="17">
        <f t="shared" ca="1" si="25"/>
        <v>-714211.43783297972</v>
      </c>
    </row>
    <row r="160" spans="1:17" x14ac:dyDescent="0.35">
      <c r="A160">
        <v>158</v>
      </c>
      <c r="B160" s="14">
        <f t="shared" ca="1" si="26"/>
        <v>50877</v>
      </c>
      <c r="C160" s="15">
        <f ca="1">(1+('Symulacja Pożyczka'!$B$7+4%)*('Arkusz1 (2)'!B160-'Arkusz1 (2)'!B159)/365)</f>
        <v>1.0088328767123287</v>
      </c>
      <c r="D160" s="15">
        <f ca="1">(1+('Symulacja Pożyczka'!$B$7+4%)*('Arkusz1 (2)'!B160-'Arkusz1 (2)'!B159)/366)</f>
        <v>1.0088087431693988</v>
      </c>
      <c r="E160" s="15">
        <f t="shared" ca="1" si="18"/>
        <v>0</v>
      </c>
      <c r="F160" s="15">
        <f t="shared" ca="1" si="19"/>
        <v>0</v>
      </c>
      <c r="G160">
        <f ca="1">IF(E160=1,(1+('Symulacja Pożyczka'!$B$7+4%)*((('Arkusz1 (2)'!B160-DATE(YEAR(B160),1,1)+1)/365)+((DATE(YEAR(B159),12,31)-'Arkusz1 (2)'!B159)/366))),IF(F160=1,(1+('Symulacja Pożyczka'!$B$7+4%)*((('Arkusz1 (2)'!B160-DATE(YEAR(B160),1,1)+1)/366)+((DATE(YEAR(B159),12,31)-'Arkusz1 (2)'!B159)/365))),0))</f>
        <v>0</v>
      </c>
      <c r="H160">
        <f t="shared" ca="1" si="20"/>
        <v>0</v>
      </c>
      <c r="I160">
        <f t="shared" ca="1" si="21"/>
        <v>1.0088328767123287</v>
      </c>
      <c r="J160">
        <f t="shared" ca="1" si="22"/>
        <v>1.0088328767123287</v>
      </c>
      <c r="K160">
        <f ca="1">PRODUCT($J$3:J160)</f>
        <v>3.8931934986281411</v>
      </c>
      <c r="L160">
        <f t="shared" ca="1" si="23"/>
        <v>0.25685854051497148</v>
      </c>
      <c r="M160">
        <f ca="1">SUM($L$3:L160)</f>
        <v>86.220500324120295</v>
      </c>
      <c r="O160">
        <f ca="1">(Q159*'Arkusz1 (2)'!J160)-Q159</f>
        <v>-6308.5415769136744</v>
      </c>
      <c r="P160" s="16">
        <f t="shared" ca="1" si="24"/>
        <v>22769.823125283139</v>
      </c>
      <c r="Q160" s="17">
        <f t="shared" ca="1" si="25"/>
        <v>-736981.26095826284</v>
      </c>
    </row>
    <row r="161" spans="1:17" x14ac:dyDescent="0.35">
      <c r="A161">
        <v>159</v>
      </c>
      <c r="B161" s="14">
        <f t="shared" ca="1" si="26"/>
        <v>50907</v>
      </c>
      <c r="C161" s="15">
        <f ca="1">(1+('Symulacja Pożyczka'!$B$7+4%)*('Arkusz1 (2)'!B161-'Arkusz1 (2)'!B160)/365)</f>
        <v>1.0085479452054795</v>
      </c>
      <c r="D161" s="15">
        <f ca="1">(1+('Symulacja Pożyczka'!$B$7+4%)*('Arkusz1 (2)'!B161-'Arkusz1 (2)'!B160)/366)</f>
        <v>1.0085245901639344</v>
      </c>
      <c r="E161" s="15">
        <f t="shared" ca="1" si="18"/>
        <v>0</v>
      </c>
      <c r="F161" s="15">
        <f t="shared" ca="1" si="19"/>
        <v>0</v>
      </c>
      <c r="G161">
        <f ca="1">IF(E161=1,(1+('Symulacja Pożyczka'!$B$7+4%)*((('Arkusz1 (2)'!B161-DATE(YEAR(B161),1,1)+1)/365)+((DATE(YEAR(B160),12,31)-'Arkusz1 (2)'!B160)/366))),IF(F161=1,(1+('Symulacja Pożyczka'!$B$7+4%)*((('Arkusz1 (2)'!B161-DATE(YEAR(B161),1,1)+1)/366)+((DATE(YEAR(B160),12,31)-'Arkusz1 (2)'!B160)/365))),0))</f>
        <v>0</v>
      </c>
      <c r="H161">
        <f t="shared" ca="1" si="20"/>
        <v>0</v>
      </c>
      <c r="I161">
        <f t="shared" ca="1" si="21"/>
        <v>1.0085479452054795</v>
      </c>
      <c r="J161">
        <f t="shared" ca="1" si="22"/>
        <v>1.0085479452054795</v>
      </c>
      <c r="K161">
        <f ca="1">PRODUCT($J$3:J161)</f>
        <v>3.9264723033287434</v>
      </c>
      <c r="L161">
        <f t="shared" ca="1" si="23"/>
        <v>0.25468153669445992</v>
      </c>
      <c r="M161">
        <f ca="1">SUM($L$3:L161)</f>
        <v>86.475181860814757</v>
      </c>
      <c r="O161">
        <f ca="1">(Q160*'Arkusz1 (2)'!J161)-Q160</f>
        <v>-6299.6754361364292</v>
      </c>
      <c r="P161" s="16">
        <f t="shared" ca="1" si="24"/>
        <v>22760.956984505894</v>
      </c>
      <c r="Q161" s="17">
        <f t="shared" ca="1" si="25"/>
        <v>-759742.21794276871</v>
      </c>
    </row>
    <row r="162" spans="1:17" x14ac:dyDescent="0.35">
      <c r="A162">
        <v>160</v>
      </c>
      <c r="B162" s="14">
        <f t="shared" ca="1" si="26"/>
        <v>50938</v>
      </c>
      <c r="C162" s="15">
        <f ca="1">(1+('Symulacja Pożyczka'!$B$7+4%)*('Arkusz1 (2)'!B162-'Arkusz1 (2)'!B161)/365)</f>
        <v>1.0088328767123287</v>
      </c>
      <c r="D162" s="15">
        <f ca="1">(1+('Symulacja Pożyczka'!$B$7+4%)*('Arkusz1 (2)'!B162-'Arkusz1 (2)'!B161)/366)</f>
        <v>1.0088087431693988</v>
      </c>
      <c r="E162" s="15">
        <f t="shared" ca="1" si="18"/>
        <v>0</v>
      </c>
      <c r="F162" s="15">
        <f t="shared" ca="1" si="19"/>
        <v>0</v>
      </c>
      <c r="G162">
        <f ca="1">IF(E162=1,(1+('Symulacja Pożyczka'!$B$7+4%)*((('Arkusz1 (2)'!B162-DATE(YEAR(B162),1,1)+1)/365)+((DATE(YEAR(B161),12,31)-'Arkusz1 (2)'!B161)/366))),IF(F162=1,(1+('Symulacja Pożyczka'!$B$7+4%)*((('Arkusz1 (2)'!B162-DATE(YEAR(B162),1,1)+1)/366)+((DATE(YEAR(B161),12,31)-'Arkusz1 (2)'!B161)/365))),0))</f>
        <v>0</v>
      </c>
      <c r="H162">
        <f t="shared" ca="1" si="20"/>
        <v>0</v>
      </c>
      <c r="I162">
        <f t="shared" ca="1" si="21"/>
        <v>1.0088328767123287</v>
      </c>
      <c r="J162">
        <f t="shared" ca="1" si="22"/>
        <v>1.0088328767123287</v>
      </c>
      <c r="K162">
        <f ca="1">PRODUCT($J$3:J162)</f>
        <v>3.9611543490984196</v>
      </c>
      <c r="L162">
        <f t="shared" ca="1" si="23"/>
        <v>0.25245166228566818</v>
      </c>
      <c r="M162">
        <f ca="1">SUM($L$3:L162)</f>
        <v>86.727633523100423</v>
      </c>
      <c r="O162">
        <f ca="1">(Q161*'Arkusz1 (2)'!J162)-Q161</f>
        <v>-6710.7093442396726</v>
      </c>
      <c r="P162" s="16">
        <f t="shared" ca="1" si="24"/>
        <v>23171.990892609138</v>
      </c>
      <c r="Q162" s="17">
        <f t="shared" ca="1" si="25"/>
        <v>-782914.20883537782</v>
      </c>
    </row>
    <row r="163" spans="1:17" x14ac:dyDescent="0.35">
      <c r="A163">
        <v>161</v>
      </c>
      <c r="B163" s="14">
        <f t="shared" ca="1" si="26"/>
        <v>50968</v>
      </c>
      <c r="C163" s="15">
        <f ca="1">(1+('Symulacja Pożyczka'!$B$7+4%)*('Arkusz1 (2)'!B163-'Arkusz1 (2)'!B162)/365)</f>
        <v>1.0085479452054795</v>
      </c>
      <c r="D163" s="15">
        <f ca="1">(1+('Symulacja Pożyczka'!$B$7+4%)*('Arkusz1 (2)'!B163-'Arkusz1 (2)'!B162)/366)</f>
        <v>1.0085245901639344</v>
      </c>
      <c r="E163" s="15">
        <f t="shared" ca="1" si="18"/>
        <v>0</v>
      </c>
      <c r="F163" s="15">
        <f t="shared" ca="1" si="19"/>
        <v>0</v>
      </c>
      <c r="G163">
        <f ca="1">IF(E163=1,(1+('Symulacja Pożyczka'!$B$7+4%)*((('Arkusz1 (2)'!B163-DATE(YEAR(B163),1,1)+1)/365)+((DATE(YEAR(B162),12,31)-'Arkusz1 (2)'!B162)/366))),IF(F163=1,(1+('Symulacja Pożyczka'!$B$7+4%)*((('Arkusz1 (2)'!B163-DATE(YEAR(B163),1,1)+1)/366)+((DATE(YEAR(B162),12,31)-'Arkusz1 (2)'!B162)/365))),0))</f>
        <v>0</v>
      </c>
      <c r="H163">
        <f t="shared" ca="1" si="20"/>
        <v>0</v>
      </c>
      <c r="I163">
        <f t="shared" ca="1" si="21"/>
        <v>1.0085479452054795</v>
      </c>
      <c r="J163">
        <f t="shared" ca="1" si="22"/>
        <v>1.0085479452054795</v>
      </c>
      <c r="K163">
        <f ca="1">PRODUCT($J$3:J163)</f>
        <v>3.9950140794249598</v>
      </c>
      <c r="L163">
        <f t="shared" ca="1" si="23"/>
        <v>0.25031200894889949</v>
      </c>
      <c r="M163">
        <f ca="1">SUM($L$3:L163)</f>
        <v>86.977945532049318</v>
      </c>
      <c r="O163">
        <f ca="1">(Q162*'Arkusz1 (2)'!J163)-Q162</f>
        <v>-6692.3077577161603</v>
      </c>
      <c r="P163" s="16">
        <f t="shared" ca="1" si="24"/>
        <v>23153.589306085625</v>
      </c>
      <c r="Q163" s="17">
        <f t="shared" ca="1" si="25"/>
        <v>-806067.79814146343</v>
      </c>
    </row>
    <row r="164" spans="1:17" x14ac:dyDescent="0.35">
      <c r="A164">
        <v>162</v>
      </c>
      <c r="B164" s="14">
        <f t="shared" ca="1" si="26"/>
        <v>50999</v>
      </c>
      <c r="C164" s="15">
        <f ca="1">(1+('Symulacja Pożyczka'!$B$7+4%)*('Arkusz1 (2)'!B164-'Arkusz1 (2)'!B163)/365)</f>
        <v>1.0088328767123287</v>
      </c>
      <c r="D164" s="15">
        <f ca="1">(1+('Symulacja Pożyczka'!$B$7+4%)*('Arkusz1 (2)'!B164-'Arkusz1 (2)'!B163)/366)</f>
        <v>1.0088087431693988</v>
      </c>
      <c r="E164" s="15">
        <f t="shared" ca="1" si="18"/>
        <v>0</v>
      </c>
      <c r="F164" s="15">
        <f t="shared" ca="1" si="19"/>
        <v>0</v>
      </c>
      <c r="G164">
        <f ca="1">IF(E164=1,(1+('Symulacja Pożyczka'!$B$7+4%)*((('Arkusz1 (2)'!B164-DATE(YEAR(B164),1,1)+1)/365)+((DATE(YEAR(B163),12,31)-'Arkusz1 (2)'!B163)/366))),IF(F164=1,(1+('Symulacja Pożyczka'!$B$7+4%)*((('Arkusz1 (2)'!B164-DATE(YEAR(B164),1,1)+1)/366)+((DATE(YEAR(B163),12,31)-'Arkusz1 (2)'!B163)/365))),0))</f>
        <v>0</v>
      </c>
      <c r="H164">
        <f t="shared" ca="1" si="20"/>
        <v>0</v>
      </c>
      <c r="I164">
        <f t="shared" ca="1" si="21"/>
        <v>1.0088328767123287</v>
      </c>
      <c r="J164">
        <f t="shared" ca="1" si="22"/>
        <v>1.0088328767123287</v>
      </c>
      <c r="K164">
        <f ca="1">PRODUCT($J$3:J164)</f>
        <v>4.030301546252538</v>
      </c>
      <c r="L164">
        <f t="shared" ca="1" si="23"/>
        <v>0.24812039211552836</v>
      </c>
      <c r="M164">
        <f ca="1">SUM($L$3:L164)</f>
        <v>87.226065924164843</v>
      </c>
      <c r="O164">
        <f ca="1">(Q163*'Arkusz1 (2)'!J164)-Q163</f>
        <v>-7119.897482761764</v>
      </c>
      <c r="P164" s="16">
        <f t="shared" ca="1" si="24"/>
        <v>23581.179031131229</v>
      </c>
      <c r="Q164" s="17">
        <f t="shared" ca="1" si="25"/>
        <v>-829648.97717259463</v>
      </c>
    </row>
    <row r="165" spans="1:17" x14ac:dyDescent="0.35">
      <c r="A165">
        <v>163</v>
      </c>
      <c r="B165" s="14">
        <f t="shared" ca="1" si="26"/>
        <v>51030</v>
      </c>
      <c r="C165" s="15">
        <f ca="1">(1+('Symulacja Pożyczka'!$B$7+4%)*('Arkusz1 (2)'!B165-'Arkusz1 (2)'!B164)/365)</f>
        <v>1.0088328767123287</v>
      </c>
      <c r="D165" s="15">
        <f ca="1">(1+('Symulacja Pożyczka'!$B$7+4%)*('Arkusz1 (2)'!B165-'Arkusz1 (2)'!B164)/366)</f>
        <v>1.0088087431693988</v>
      </c>
      <c r="E165" s="15">
        <f t="shared" ca="1" si="18"/>
        <v>0</v>
      </c>
      <c r="F165" s="15">
        <f t="shared" ca="1" si="19"/>
        <v>0</v>
      </c>
      <c r="G165">
        <f ca="1">IF(E165=1,(1+('Symulacja Pożyczka'!$B$7+4%)*((('Arkusz1 (2)'!B165-DATE(YEAR(B165),1,1)+1)/365)+((DATE(YEAR(B164),12,31)-'Arkusz1 (2)'!B164)/366))),IF(F165=1,(1+('Symulacja Pożyczka'!$B$7+4%)*((('Arkusz1 (2)'!B165-DATE(YEAR(B165),1,1)+1)/366)+((DATE(YEAR(B164),12,31)-'Arkusz1 (2)'!B164)/365))),0))</f>
        <v>0</v>
      </c>
      <c r="H165">
        <f t="shared" ca="1" si="20"/>
        <v>0</v>
      </c>
      <c r="I165">
        <f t="shared" ca="1" si="21"/>
        <v>1.0088328767123287</v>
      </c>
      <c r="J165">
        <f t="shared" ca="1" si="22"/>
        <v>1.0088328767123287</v>
      </c>
      <c r="K165">
        <f ca="1">PRODUCT($J$3:J165)</f>
        <v>4.0659007029240941</v>
      </c>
      <c r="L165">
        <f t="shared" ca="1" si="23"/>
        <v>0.24594796407123887</v>
      </c>
      <c r="M165">
        <f ca="1">SUM($L$3:L165)</f>
        <v>87.472013888236077</v>
      </c>
      <c r="O165">
        <f ca="1">(Q164*'Arkusz1 (2)'!J165)-Q164</f>
        <v>-7328.1871298751794</v>
      </c>
      <c r="P165" s="16">
        <f t="shared" ca="1" si="24"/>
        <v>23789.468678244644</v>
      </c>
      <c r="Q165" s="17">
        <f t="shared" ca="1" si="25"/>
        <v>-853438.44585083926</v>
      </c>
    </row>
    <row r="166" spans="1:17" x14ac:dyDescent="0.35">
      <c r="A166">
        <v>164</v>
      </c>
      <c r="B166" s="14">
        <f t="shared" ca="1" si="26"/>
        <v>51060</v>
      </c>
      <c r="C166" s="15">
        <f ca="1">(1+('Symulacja Pożyczka'!$B$7+4%)*('Arkusz1 (2)'!B166-'Arkusz1 (2)'!B165)/365)</f>
        <v>1.0085479452054795</v>
      </c>
      <c r="D166" s="15">
        <f ca="1">(1+('Symulacja Pożyczka'!$B$7+4%)*('Arkusz1 (2)'!B166-'Arkusz1 (2)'!B165)/366)</f>
        <v>1.0085245901639344</v>
      </c>
      <c r="E166" s="15">
        <f t="shared" ca="1" si="18"/>
        <v>0</v>
      </c>
      <c r="F166" s="15">
        <f t="shared" ca="1" si="19"/>
        <v>0</v>
      </c>
      <c r="G166">
        <f ca="1">IF(E166=1,(1+('Symulacja Pożyczka'!$B$7+4%)*((('Arkusz1 (2)'!B166-DATE(YEAR(B166),1,1)+1)/365)+((DATE(YEAR(B165),12,31)-'Arkusz1 (2)'!B165)/366))),IF(F166=1,(1+('Symulacja Pożyczka'!$B$7+4%)*((('Arkusz1 (2)'!B166-DATE(YEAR(B166),1,1)+1)/366)+((DATE(YEAR(B165),12,31)-'Arkusz1 (2)'!B165)/365))),0))</f>
        <v>0</v>
      </c>
      <c r="H166">
        <f t="shared" ca="1" si="20"/>
        <v>0</v>
      </c>
      <c r="I166">
        <f t="shared" ca="1" si="21"/>
        <v>1.0085479452054795</v>
      </c>
      <c r="J166">
        <f t="shared" ca="1" si="22"/>
        <v>1.0085479452054795</v>
      </c>
      <c r="K166">
        <f ca="1">PRODUCT($J$3:J166)</f>
        <v>4.1006557993436097</v>
      </c>
      <c r="L166">
        <f t="shared" ca="1" si="23"/>
        <v>0.24386343280995923</v>
      </c>
      <c r="M166">
        <f ca="1">SUM($L$3:L166)</f>
        <v>87.715877321046037</v>
      </c>
      <c r="O166">
        <f ca="1">(Q165*'Arkusz1 (2)'!J166)-Q165</f>
        <v>-7295.1450713826343</v>
      </c>
      <c r="P166" s="16">
        <f t="shared" ca="1" si="24"/>
        <v>23756.426619752099</v>
      </c>
      <c r="Q166" s="17">
        <f t="shared" ca="1" si="25"/>
        <v>-877194.87247059133</v>
      </c>
    </row>
    <row r="167" spans="1:17" x14ac:dyDescent="0.35">
      <c r="A167">
        <v>165</v>
      </c>
      <c r="B167" s="14">
        <f t="shared" ca="1" si="26"/>
        <v>51091</v>
      </c>
      <c r="C167" s="15">
        <f ca="1">(1+('Symulacja Pożyczka'!$B$7+4%)*('Arkusz1 (2)'!B167-'Arkusz1 (2)'!B166)/365)</f>
        <v>1.0088328767123287</v>
      </c>
      <c r="D167" s="15">
        <f ca="1">(1+('Symulacja Pożyczka'!$B$7+4%)*('Arkusz1 (2)'!B167-'Arkusz1 (2)'!B166)/366)</f>
        <v>1.0088087431693988</v>
      </c>
      <c r="E167" s="15">
        <f t="shared" ca="1" si="18"/>
        <v>0</v>
      </c>
      <c r="F167" s="15">
        <f t="shared" ca="1" si="19"/>
        <v>0</v>
      </c>
      <c r="G167">
        <f ca="1">IF(E167=1,(1+('Symulacja Pożyczka'!$B$7+4%)*((('Arkusz1 (2)'!B167-DATE(YEAR(B167),1,1)+1)/365)+((DATE(YEAR(B166),12,31)-'Arkusz1 (2)'!B166)/366))),IF(F167=1,(1+('Symulacja Pożyczka'!$B$7+4%)*((('Arkusz1 (2)'!B167-DATE(YEAR(B167),1,1)+1)/366)+((DATE(YEAR(B166),12,31)-'Arkusz1 (2)'!B166)/365))),0))</f>
        <v>0</v>
      </c>
      <c r="H167">
        <f t="shared" ca="1" si="20"/>
        <v>0</v>
      </c>
      <c r="I167">
        <f t="shared" ca="1" si="21"/>
        <v>1.0088328767123287</v>
      </c>
      <c r="J167">
        <f t="shared" ca="1" si="22"/>
        <v>1.0088328767123287</v>
      </c>
      <c r="K167">
        <f ca="1">PRODUCT($J$3:J167)</f>
        <v>4.1368763864589075</v>
      </c>
      <c r="L167">
        <f t="shared" ca="1" si="23"/>
        <v>0.24172827674359934</v>
      </c>
      <c r="M167">
        <f ca="1">SUM($L$3:L167)</f>
        <v>87.957605597789637</v>
      </c>
      <c r="O167">
        <f ca="1">(Q166*'Arkusz1 (2)'!J167)-Q166</f>
        <v>-7748.1541612196015</v>
      </c>
      <c r="P167" s="16">
        <f t="shared" ca="1" si="24"/>
        <v>24209.435709589066</v>
      </c>
      <c r="Q167" s="17">
        <f t="shared" ca="1" si="25"/>
        <v>-901404.30818018038</v>
      </c>
    </row>
    <row r="168" spans="1:17" x14ac:dyDescent="0.35">
      <c r="A168">
        <v>166</v>
      </c>
      <c r="B168" s="14">
        <f t="shared" ca="1" si="26"/>
        <v>51121</v>
      </c>
      <c r="C168" s="15">
        <f ca="1">(1+('Symulacja Pożyczka'!$B$7+4%)*('Arkusz1 (2)'!B168-'Arkusz1 (2)'!B167)/365)</f>
        <v>1.0085479452054795</v>
      </c>
      <c r="D168" s="15">
        <f ca="1">(1+('Symulacja Pożyczka'!$B$7+4%)*('Arkusz1 (2)'!B168-'Arkusz1 (2)'!B167)/366)</f>
        <v>1.0085245901639344</v>
      </c>
      <c r="E168" s="15">
        <f t="shared" ca="1" si="18"/>
        <v>0</v>
      </c>
      <c r="F168" s="15">
        <f t="shared" ca="1" si="19"/>
        <v>0</v>
      </c>
      <c r="G168">
        <f ca="1">IF(E168=1,(1+('Symulacja Pożyczka'!$B$7+4%)*((('Arkusz1 (2)'!B168-DATE(YEAR(B168),1,1)+1)/365)+((DATE(YEAR(B167),12,31)-'Arkusz1 (2)'!B167)/366))),IF(F168=1,(1+('Symulacja Pożyczka'!$B$7+4%)*((('Arkusz1 (2)'!B168-DATE(YEAR(B168),1,1)+1)/366)+((DATE(YEAR(B167),12,31)-'Arkusz1 (2)'!B167)/365))),0))</f>
        <v>0</v>
      </c>
      <c r="H168">
        <f t="shared" ca="1" si="20"/>
        <v>0</v>
      </c>
      <c r="I168">
        <f t="shared" ca="1" si="21"/>
        <v>1.0085479452054795</v>
      </c>
      <c r="J168">
        <f t="shared" ca="1" si="22"/>
        <v>1.0085479452054795</v>
      </c>
      <c r="K168">
        <f ca="1">PRODUCT($J$3:J168)</f>
        <v>4.1722381791322007</v>
      </c>
      <c r="L168">
        <f t="shared" ca="1" si="23"/>
        <v>0.23967950943011448</v>
      </c>
      <c r="M168">
        <f ca="1">SUM($L$3:L168)</f>
        <v>88.197285107219756</v>
      </c>
      <c r="O168">
        <f ca="1">(Q167*'Arkusz1 (2)'!J168)-Q167</f>
        <v>-7705.1546343073715</v>
      </c>
      <c r="P168" s="16">
        <f t="shared" ca="1" si="24"/>
        <v>24166.436182676836</v>
      </c>
      <c r="Q168" s="17">
        <f t="shared" ca="1" si="25"/>
        <v>-925570.74436285719</v>
      </c>
    </row>
    <row r="169" spans="1:17" x14ac:dyDescent="0.35">
      <c r="A169">
        <v>167</v>
      </c>
      <c r="B169" s="14">
        <f t="shared" ca="1" si="26"/>
        <v>51152</v>
      </c>
      <c r="C169" s="15">
        <f ca="1">(1+('Symulacja Pożyczka'!$B$7+4%)*('Arkusz1 (2)'!B169-'Arkusz1 (2)'!B168)/365)</f>
        <v>1.0088328767123287</v>
      </c>
      <c r="D169" s="15">
        <f ca="1">(1+('Symulacja Pożyczka'!$B$7+4%)*('Arkusz1 (2)'!B169-'Arkusz1 (2)'!B168)/366)</f>
        <v>1.0088087431693988</v>
      </c>
      <c r="E169" s="15">
        <f t="shared" ca="1" si="18"/>
        <v>0</v>
      </c>
      <c r="F169" s="15">
        <f t="shared" ca="1" si="19"/>
        <v>1</v>
      </c>
      <c r="G169">
        <f ca="1">IF(E169=1,(1+('Symulacja Pożyczka'!$B$7+4%)*((('Arkusz1 (2)'!B169-DATE(YEAR(B169),1,1)+1)/365)+((DATE(YEAR(B168),12,31)-'Arkusz1 (2)'!B168)/366))),IF(F169=1,(1+('Symulacja Pożyczka'!$B$7+4%)*((('Arkusz1 (2)'!B169-DATE(YEAR(B169),1,1)+1)/366)+((DATE(YEAR(B168),12,31)-'Arkusz1 (2)'!B168)/365))),0))</f>
        <v>1.0088196421887865</v>
      </c>
      <c r="H169">
        <f t="shared" ca="1" si="20"/>
        <v>1</v>
      </c>
      <c r="I169">
        <f t="shared" ca="1" si="21"/>
        <v>1.0088087431693988</v>
      </c>
      <c r="J169">
        <f t="shared" ca="1" si="22"/>
        <v>1.0088196421887865</v>
      </c>
      <c r="K169">
        <f ca="1">PRODUCT($J$3:J169)</f>
        <v>4.2090358269985408</v>
      </c>
      <c r="L169">
        <f t="shared" ca="1" si="23"/>
        <v>0.23758410265495386</v>
      </c>
      <c r="M169">
        <f ca="1">SUM($L$3:L169)</f>
        <v>88.434869209874705</v>
      </c>
      <c r="O169">
        <f ca="1">(Q168*'Arkusz1 (2)'!J169)-Q168</f>
        <v>-8163.2027856891509</v>
      </c>
      <c r="P169" s="16">
        <f t="shared" ca="1" si="24"/>
        <v>24624.484334058616</v>
      </c>
      <c r="Q169" s="17">
        <f t="shared" ca="1" si="25"/>
        <v>-950195.22869691579</v>
      </c>
    </row>
    <row r="170" spans="1:17" x14ac:dyDescent="0.35">
      <c r="A170">
        <v>168</v>
      </c>
      <c r="B170" s="14">
        <f t="shared" ca="1" si="26"/>
        <v>51183</v>
      </c>
      <c r="C170" s="15">
        <f ca="1">(1+('Symulacja Pożyczka'!$B$7+4%)*('Arkusz1 (2)'!B170-'Arkusz1 (2)'!B169)/365)</f>
        <v>1.0088328767123287</v>
      </c>
      <c r="D170" s="15">
        <f ca="1">(1+('Symulacja Pożyczka'!$B$7+4%)*('Arkusz1 (2)'!B170-'Arkusz1 (2)'!B169)/366)</f>
        <v>1.0088087431693988</v>
      </c>
      <c r="E170" s="15">
        <f t="shared" ca="1" si="18"/>
        <v>0</v>
      </c>
      <c r="F170" s="15">
        <f t="shared" ca="1" si="19"/>
        <v>0</v>
      </c>
      <c r="G170">
        <f ca="1">IF(E170=1,(1+('Symulacja Pożyczka'!$B$7+4%)*((('Arkusz1 (2)'!B170-DATE(YEAR(B170),1,1)+1)/365)+((DATE(YEAR(B169),12,31)-'Arkusz1 (2)'!B169)/366))),IF(F170=1,(1+('Symulacja Pożyczka'!$B$7+4%)*((('Arkusz1 (2)'!B170-DATE(YEAR(B170),1,1)+1)/366)+((DATE(YEAR(B169),12,31)-'Arkusz1 (2)'!B169)/365))),0))</f>
        <v>0</v>
      </c>
      <c r="H170">
        <f t="shared" ca="1" si="20"/>
        <v>1</v>
      </c>
      <c r="I170">
        <f t="shared" ca="1" si="21"/>
        <v>1.0088087431693988</v>
      </c>
      <c r="J170">
        <f t="shared" ca="1" si="22"/>
        <v>1.0088087431693988</v>
      </c>
      <c r="K170">
        <f ca="1">PRODUCT($J$3:J170)</f>
        <v>4.2461121425893689</v>
      </c>
      <c r="L170">
        <f t="shared" ca="1" si="23"/>
        <v>0.23550955943197932</v>
      </c>
      <c r="M170">
        <f ca="1">SUM($L$3:L170)</f>
        <v>88.67037876930668</v>
      </c>
      <c r="O170">
        <f ca="1">(Q169*'Arkusz1 (2)'!J170)-Q169</f>
        <v>-8370.025730379275</v>
      </c>
      <c r="P170" s="16">
        <f t="shared" ca="1" si="24"/>
        <v>24831.30727874874</v>
      </c>
      <c r="Q170" s="17">
        <f t="shared" ca="1" si="25"/>
        <v>-975026.5359756645</v>
      </c>
    </row>
    <row r="171" spans="1:17" x14ac:dyDescent="0.35">
      <c r="A171">
        <v>169</v>
      </c>
      <c r="B171" s="14">
        <f t="shared" ca="1" si="26"/>
        <v>51212</v>
      </c>
      <c r="C171" s="15">
        <f ca="1">(1+('Symulacja Pożyczka'!$B$7+4%)*('Arkusz1 (2)'!B171-'Arkusz1 (2)'!B170)/365)</f>
        <v>1.0082630136986301</v>
      </c>
      <c r="D171" s="15">
        <f ca="1">(1+('Symulacja Pożyczka'!$B$7+4%)*('Arkusz1 (2)'!B171-'Arkusz1 (2)'!B170)/366)</f>
        <v>1.0082404371584699</v>
      </c>
      <c r="E171" s="15">
        <f t="shared" ca="1" si="18"/>
        <v>0</v>
      </c>
      <c r="F171" s="15">
        <f t="shared" ca="1" si="19"/>
        <v>0</v>
      </c>
      <c r="G171">
        <f ca="1">IF(E171=1,(1+('Symulacja Pożyczka'!$B$7+4%)*((('Arkusz1 (2)'!B171-DATE(YEAR(B171),1,1)+1)/365)+((DATE(YEAR(B170),12,31)-'Arkusz1 (2)'!B170)/366))),IF(F171=1,(1+('Symulacja Pożyczka'!$B$7+4%)*((('Arkusz1 (2)'!B171-DATE(YEAR(B171),1,1)+1)/366)+((DATE(YEAR(B170),12,31)-'Arkusz1 (2)'!B170)/365))),0))</f>
        <v>0</v>
      </c>
      <c r="H171">
        <f t="shared" ca="1" si="20"/>
        <v>1</v>
      </c>
      <c r="I171">
        <f t="shared" ca="1" si="21"/>
        <v>1.0082404371584699</v>
      </c>
      <c r="J171">
        <f t="shared" ca="1" si="22"/>
        <v>1.0082404371584699</v>
      </c>
      <c r="K171">
        <f ca="1">PRODUCT($J$3:J171)</f>
        <v>4.2811019628681928</v>
      </c>
      <c r="L171">
        <f t="shared" ca="1" si="23"/>
        <v>0.23358471923196941</v>
      </c>
      <c r="M171">
        <f ca="1">SUM($L$3:L171)</f>
        <v>88.90396348853865</v>
      </c>
      <c r="O171">
        <f ca="1">(Q170*'Arkusz1 (2)'!J171)-Q170</f>
        <v>-8034.6448975480162</v>
      </c>
      <c r="P171" s="16">
        <f t="shared" ca="1" si="24"/>
        <v>24495.926445917481</v>
      </c>
      <c r="Q171" s="17">
        <f t="shared" ca="1" si="25"/>
        <v>-999522.46242158196</v>
      </c>
    </row>
    <row r="172" spans="1:17" x14ac:dyDescent="0.35">
      <c r="A172">
        <v>170</v>
      </c>
      <c r="B172" s="14">
        <f t="shared" ca="1" si="26"/>
        <v>51243</v>
      </c>
      <c r="C172" s="15">
        <f ca="1">(1+('Symulacja Pożyczka'!$B$7+4%)*('Arkusz1 (2)'!B172-'Arkusz1 (2)'!B171)/365)</f>
        <v>1.0088328767123287</v>
      </c>
      <c r="D172" s="15">
        <f ca="1">(1+('Symulacja Pożyczka'!$B$7+4%)*('Arkusz1 (2)'!B172-'Arkusz1 (2)'!B171)/366)</f>
        <v>1.0088087431693988</v>
      </c>
      <c r="E172" s="15">
        <f t="shared" ca="1" si="18"/>
        <v>0</v>
      </c>
      <c r="F172" s="15">
        <f t="shared" ca="1" si="19"/>
        <v>0</v>
      </c>
      <c r="G172">
        <f ca="1">IF(E172=1,(1+('Symulacja Pożyczka'!$B$7+4%)*((('Arkusz1 (2)'!B172-DATE(YEAR(B172),1,1)+1)/365)+((DATE(YEAR(B171),12,31)-'Arkusz1 (2)'!B171)/366))),IF(F172=1,(1+('Symulacja Pożyczka'!$B$7+4%)*((('Arkusz1 (2)'!B172-DATE(YEAR(B172),1,1)+1)/366)+((DATE(YEAR(B171),12,31)-'Arkusz1 (2)'!B171)/365))),0))</f>
        <v>0</v>
      </c>
      <c r="H172">
        <f t="shared" ca="1" si="20"/>
        <v>1</v>
      </c>
      <c r="I172">
        <f t="shared" ca="1" si="21"/>
        <v>1.0088087431693988</v>
      </c>
      <c r="J172">
        <f t="shared" ca="1" si="22"/>
        <v>1.0088087431693988</v>
      </c>
      <c r="K172">
        <f ca="1">PRODUCT($J$3:J172)</f>
        <v>4.3188130905411075</v>
      </c>
      <c r="L172">
        <f t="shared" ca="1" si="23"/>
        <v>0.23154509793215181</v>
      </c>
      <c r="M172">
        <f ca="1">SUM($L$3:L172)</f>
        <v>89.135508586470806</v>
      </c>
      <c r="O172">
        <f ca="1">(Q171*'Arkusz1 (2)'!J172)-Q171</f>
        <v>-8804.5366635167738</v>
      </c>
      <c r="P172" s="16">
        <f t="shared" ca="1" si="24"/>
        <v>25265.818211886239</v>
      </c>
      <c r="Q172" s="17">
        <f t="shared" ca="1" si="25"/>
        <v>-1024788.2806334682</v>
      </c>
    </row>
    <row r="173" spans="1:17" x14ac:dyDescent="0.35">
      <c r="A173">
        <v>171</v>
      </c>
      <c r="B173" s="14">
        <f t="shared" ca="1" si="26"/>
        <v>51273</v>
      </c>
      <c r="C173" s="15">
        <f ca="1">(1+('Symulacja Pożyczka'!$B$7+4%)*('Arkusz1 (2)'!B173-'Arkusz1 (2)'!B172)/365)</f>
        <v>1.0085479452054795</v>
      </c>
      <c r="D173" s="15">
        <f ca="1">(1+('Symulacja Pożyczka'!$B$7+4%)*('Arkusz1 (2)'!B173-'Arkusz1 (2)'!B172)/366)</f>
        <v>1.0085245901639344</v>
      </c>
      <c r="E173" s="15">
        <f t="shared" ca="1" si="18"/>
        <v>0</v>
      </c>
      <c r="F173" s="15">
        <f t="shared" ca="1" si="19"/>
        <v>0</v>
      </c>
      <c r="G173">
        <f ca="1">IF(E173=1,(1+('Symulacja Pożyczka'!$B$7+4%)*((('Arkusz1 (2)'!B173-DATE(YEAR(B173),1,1)+1)/365)+((DATE(YEAR(B172),12,31)-'Arkusz1 (2)'!B172)/366))),IF(F173=1,(1+('Symulacja Pożyczka'!$B$7+4%)*((('Arkusz1 (2)'!B173-DATE(YEAR(B173),1,1)+1)/366)+((DATE(YEAR(B172),12,31)-'Arkusz1 (2)'!B172)/365))),0))</f>
        <v>0</v>
      </c>
      <c r="H173">
        <f t="shared" ca="1" si="20"/>
        <v>1</v>
      </c>
      <c r="I173">
        <f t="shared" ca="1" si="21"/>
        <v>1.0085245901639344</v>
      </c>
      <c r="J173">
        <f t="shared" ca="1" si="22"/>
        <v>1.0085245901639344</v>
      </c>
      <c r="K173">
        <f ca="1">PRODUCT($J$3:J173)</f>
        <v>4.3556292021326053</v>
      </c>
      <c r="L173">
        <f t="shared" ca="1" si="23"/>
        <v>0.22958795471165899</v>
      </c>
      <c r="M173">
        <f ca="1">SUM($L$3:L173)</f>
        <v>89.365096541182467</v>
      </c>
      <c r="O173">
        <f ca="1">(Q172*'Arkusz1 (2)'!J173)-Q172</f>
        <v>-8735.9000972033245</v>
      </c>
      <c r="P173" s="16">
        <f t="shared" ca="1" si="24"/>
        <v>25197.181645572789</v>
      </c>
      <c r="Q173" s="17">
        <f t="shared" ca="1" si="25"/>
        <v>-1049985.4622790411</v>
      </c>
    </row>
    <row r="174" spans="1:17" x14ac:dyDescent="0.35">
      <c r="A174">
        <v>172</v>
      </c>
      <c r="B174" s="14">
        <f t="shared" ca="1" si="26"/>
        <v>51304</v>
      </c>
      <c r="C174" s="15">
        <f ca="1">(1+('Symulacja Pożyczka'!$B$7+4%)*('Arkusz1 (2)'!B174-'Arkusz1 (2)'!B173)/365)</f>
        <v>1.0088328767123287</v>
      </c>
      <c r="D174" s="15">
        <f ca="1">(1+('Symulacja Pożyczka'!$B$7+4%)*('Arkusz1 (2)'!B174-'Arkusz1 (2)'!B173)/366)</f>
        <v>1.0088087431693988</v>
      </c>
      <c r="E174" s="15">
        <f t="shared" ca="1" si="18"/>
        <v>0</v>
      </c>
      <c r="F174" s="15">
        <f t="shared" ca="1" si="19"/>
        <v>0</v>
      </c>
      <c r="G174">
        <f ca="1">IF(E174=1,(1+('Symulacja Pożyczka'!$B$7+4%)*((('Arkusz1 (2)'!B174-DATE(YEAR(B174),1,1)+1)/365)+((DATE(YEAR(B173),12,31)-'Arkusz1 (2)'!B173)/366))),IF(F174=1,(1+('Symulacja Pożyczka'!$B$7+4%)*((('Arkusz1 (2)'!B174-DATE(YEAR(B174),1,1)+1)/366)+((DATE(YEAR(B173),12,31)-'Arkusz1 (2)'!B173)/365))),0))</f>
        <v>0</v>
      </c>
      <c r="H174">
        <f t="shared" ca="1" si="20"/>
        <v>1</v>
      </c>
      <c r="I174">
        <f t="shared" ca="1" si="21"/>
        <v>1.0088087431693988</v>
      </c>
      <c r="J174">
        <f t="shared" ca="1" si="22"/>
        <v>1.0088087431693988</v>
      </c>
      <c r="K174">
        <f ca="1">PRODUCT($J$3:J174)</f>
        <v>4.3939968211153246</v>
      </c>
      <c r="L174">
        <f t="shared" ca="1" si="23"/>
        <v>0.22758323246719392</v>
      </c>
      <c r="M174">
        <f ca="1">SUM($L$3:L174)</f>
        <v>89.592679773649664</v>
      </c>
      <c r="O174">
        <f ca="1">(Q173*'Arkusz1 (2)'!J174)-Q173</f>
        <v>-9249.0522688184865</v>
      </c>
      <c r="P174" s="16">
        <f t="shared" ca="1" si="24"/>
        <v>25710.333817187951</v>
      </c>
      <c r="Q174" s="17">
        <f t="shared" ca="1" si="25"/>
        <v>-1075695.796096229</v>
      </c>
    </row>
    <row r="175" spans="1:17" x14ac:dyDescent="0.35">
      <c r="A175">
        <v>173</v>
      </c>
      <c r="B175" s="14">
        <f t="shared" ca="1" si="26"/>
        <v>51334</v>
      </c>
      <c r="C175" s="15">
        <f ca="1">(1+('Symulacja Pożyczka'!$B$7+4%)*('Arkusz1 (2)'!B175-'Arkusz1 (2)'!B174)/365)</f>
        <v>1.0085479452054795</v>
      </c>
      <c r="D175" s="15">
        <f ca="1">(1+('Symulacja Pożyczka'!$B$7+4%)*('Arkusz1 (2)'!B175-'Arkusz1 (2)'!B174)/366)</f>
        <v>1.0085245901639344</v>
      </c>
      <c r="E175" s="15">
        <f t="shared" ca="1" si="18"/>
        <v>0</v>
      </c>
      <c r="F175" s="15">
        <f t="shared" ca="1" si="19"/>
        <v>0</v>
      </c>
      <c r="G175">
        <f ca="1">IF(E175=1,(1+('Symulacja Pożyczka'!$B$7+4%)*((('Arkusz1 (2)'!B175-DATE(YEAR(B175),1,1)+1)/365)+((DATE(YEAR(B174),12,31)-'Arkusz1 (2)'!B174)/366))),IF(F175=1,(1+('Symulacja Pożyczka'!$B$7+4%)*((('Arkusz1 (2)'!B175-DATE(YEAR(B175),1,1)+1)/366)+((DATE(YEAR(B174),12,31)-'Arkusz1 (2)'!B174)/365))),0))</f>
        <v>0</v>
      </c>
      <c r="H175">
        <f t="shared" ca="1" si="20"/>
        <v>1</v>
      </c>
      <c r="I175">
        <f t="shared" ca="1" si="21"/>
        <v>1.0085245901639344</v>
      </c>
      <c r="J175">
        <f t="shared" ca="1" si="22"/>
        <v>1.0085245901639344</v>
      </c>
      <c r="K175">
        <f ca="1">PRODUCT($J$3:J175)</f>
        <v>4.4314538431969632</v>
      </c>
      <c r="L175">
        <f t="shared" ca="1" si="23"/>
        <v>0.22565957705622286</v>
      </c>
      <c r="M175">
        <f ca="1">SUM($L$3:L175)</f>
        <v>89.818339350705884</v>
      </c>
      <c r="O175">
        <f ca="1">(Q174*'Arkusz1 (2)'!J175)-Q174</f>
        <v>-9169.8658027874772</v>
      </c>
      <c r="P175" s="16">
        <f t="shared" ca="1" si="24"/>
        <v>25631.147351156942</v>
      </c>
      <c r="Q175" s="17">
        <f t="shared" ca="1" si="25"/>
        <v>-1101326.9434473859</v>
      </c>
    </row>
    <row r="176" spans="1:17" x14ac:dyDescent="0.35">
      <c r="A176">
        <v>174</v>
      </c>
      <c r="B176" s="14">
        <f t="shared" ca="1" si="26"/>
        <v>51365</v>
      </c>
      <c r="C176" s="15">
        <f ca="1">(1+('Symulacja Pożyczka'!$B$7+4%)*('Arkusz1 (2)'!B176-'Arkusz1 (2)'!B175)/365)</f>
        <v>1.0088328767123287</v>
      </c>
      <c r="D176" s="15">
        <f ca="1">(1+('Symulacja Pożyczka'!$B$7+4%)*('Arkusz1 (2)'!B176-'Arkusz1 (2)'!B175)/366)</f>
        <v>1.0088087431693988</v>
      </c>
      <c r="E176" s="15">
        <f t="shared" ca="1" si="18"/>
        <v>0</v>
      </c>
      <c r="F176" s="15">
        <f t="shared" ca="1" si="19"/>
        <v>0</v>
      </c>
      <c r="G176">
        <f ca="1">IF(E176=1,(1+('Symulacja Pożyczka'!$B$7+4%)*((('Arkusz1 (2)'!B176-DATE(YEAR(B176),1,1)+1)/365)+((DATE(YEAR(B175),12,31)-'Arkusz1 (2)'!B175)/366))),IF(F176=1,(1+('Symulacja Pożyczka'!$B$7+4%)*((('Arkusz1 (2)'!B176-DATE(YEAR(B176),1,1)+1)/366)+((DATE(YEAR(B175),12,31)-'Arkusz1 (2)'!B175)/365))),0))</f>
        <v>0</v>
      </c>
      <c r="H176">
        <f t="shared" ca="1" si="20"/>
        <v>1</v>
      </c>
      <c r="I176">
        <f t="shared" ca="1" si="21"/>
        <v>1.0088087431693988</v>
      </c>
      <c r="J176">
        <f t="shared" ca="1" si="22"/>
        <v>1.0088087431693988</v>
      </c>
      <c r="K176">
        <f ca="1">PRODUCT($J$3:J176)</f>
        <v>4.470489381968731</v>
      </c>
      <c r="L176">
        <f t="shared" ca="1" si="23"/>
        <v>0.22368915672485418</v>
      </c>
      <c r="M176">
        <f ca="1">SUM($L$3:L176)</f>
        <v>90.042028507430743</v>
      </c>
      <c r="O176">
        <f ca="1">(Q175*'Arkusz1 (2)'!J176)-Q175</f>
        <v>-9701.3061903670896</v>
      </c>
      <c r="P176" s="16">
        <f t="shared" ca="1" si="24"/>
        <v>26162.587738736554</v>
      </c>
      <c r="Q176" s="17">
        <f t="shared" ca="1" si="25"/>
        <v>-1127489.5311861224</v>
      </c>
    </row>
    <row r="177" spans="1:17" x14ac:dyDescent="0.35">
      <c r="A177">
        <v>175</v>
      </c>
      <c r="B177" s="14">
        <f t="shared" ca="1" si="26"/>
        <v>51396</v>
      </c>
      <c r="C177" s="15">
        <f ca="1">(1+('Symulacja Pożyczka'!$B$7+4%)*('Arkusz1 (2)'!B177-'Arkusz1 (2)'!B176)/365)</f>
        <v>1.0088328767123287</v>
      </c>
      <c r="D177" s="15">
        <f ca="1">(1+('Symulacja Pożyczka'!$B$7+4%)*('Arkusz1 (2)'!B177-'Arkusz1 (2)'!B176)/366)</f>
        <v>1.0088087431693988</v>
      </c>
      <c r="E177" s="15">
        <f t="shared" ca="1" si="18"/>
        <v>0</v>
      </c>
      <c r="F177" s="15">
        <f t="shared" ca="1" si="19"/>
        <v>0</v>
      </c>
      <c r="G177">
        <f ca="1">IF(E177=1,(1+('Symulacja Pożyczka'!$B$7+4%)*((('Arkusz1 (2)'!B177-DATE(YEAR(B177),1,1)+1)/365)+((DATE(YEAR(B176),12,31)-'Arkusz1 (2)'!B176)/366))),IF(F177=1,(1+('Symulacja Pożyczka'!$B$7+4%)*((('Arkusz1 (2)'!B177-DATE(YEAR(B177),1,1)+1)/366)+((DATE(YEAR(B176),12,31)-'Arkusz1 (2)'!B176)/365))),0))</f>
        <v>0</v>
      </c>
      <c r="H177">
        <f t="shared" ca="1" si="20"/>
        <v>1</v>
      </c>
      <c r="I177">
        <f t="shared" ca="1" si="21"/>
        <v>1.0088087431693988</v>
      </c>
      <c r="J177">
        <f t="shared" ca="1" si="22"/>
        <v>1.0088087431693988</v>
      </c>
      <c r="K177">
        <f ca="1">PRODUCT($J$3:J177)</f>
        <v>4.5098687747760184</v>
      </c>
      <c r="L177">
        <f t="shared" ca="1" si="23"/>
        <v>0.22173594176244402</v>
      </c>
      <c r="M177">
        <f ca="1">SUM($L$3:L177)</f>
        <v>90.263764449193189</v>
      </c>
      <c r="O177">
        <f ca="1">(Q176*'Arkusz1 (2)'!J177)-Q176</f>
        <v>-9931.7657064043451</v>
      </c>
      <c r="P177" s="16">
        <f t="shared" ca="1" si="24"/>
        <v>26393.04725477381</v>
      </c>
      <c r="Q177" s="17">
        <f t="shared" ca="1" si="25"/>
        <v>-1153882.5784408962</v>
      </c>
    </row>
    <row r="178" spans="1:17" x14ac:dyDescent="0.35">
      <c r="A178">
        <v>176</v>
      </c>
      <c r="B178" s="14">
        <f t="shared" ca="1" si="26"/>
        <v>51426</v>
      </c>
      <c r="C178" s="15">
        <f ca="1">(1+('Symulacja Pożyczka'!$B$7+4%)*('Arkusz1 (2)'!B178-'Arkusz1 (2)'!B177)/365)</f>
        <v>1.0085479452054795</v>
      </c>
      <c r="D178" s="15">
        <f ca="1">(1+('Symulacja Pożyczka'!$B$7+4%)*('Arkusz1 (2)'!B178-'Arkusz1 (2)'!B177)/366)</f>
        <v>1.0085245901639344</v>
      </c>
      <c r="E178" s="15">
        <f t="shared" ca="1" si="18"/>
        <v>0</v>
      </c>
      <c r="F178" s="15">
        <f t="shared" ca="1" si="19"/>
        <v>0</v>
      </c>
      <c r="G178">
        <f ca="1">IF(E178=1,(1+('Symulacja Pożyczka'!$B$7+4%)*((('Arkusz1 (2)'!B178-DATE(YEAR(B178),1,1)+1)/365)+((DATE(YEAR(B177),12,31)-'Arkusz1 (2)'!B177)/366))),IF(F178=1,(1+('Symulacja Pożyczka'!$B$7+4%)*((('Arkusz1 (2)'!B178-DATE(YEAR(B178),1,1)+1)/366)+((DATE(YEAR(B177),12,31)-'Arkusz1 (2)'!B177)/365))),0))</f>
        <v>0</v>
      </c>
      <c r="H178">
        <f t="shared" ca="1" si="20"/>
        <v>1</v>
      </c>
      <c r="I178">
        <f t="shared" ca="1" si="21"/>
        <v>1.0085245901639344</v>
      </c>
      <c r="J178">
        <f t="shared" ca="1" si="22"/>
        <v>1.0085245901639344</v>
      </c>
      <c r="K178">
        <f ca="1">PRODUCT($J$3:J178)</f>
        <v>4.548313557774109</v>
      </c>
      <c r="L178">
        <f t="shared" ca="1" si="23"/>
        <v>0.21986171078525821</v>
      </c>
      <c r="M178">
        <f ca="1">SUM($L$3:L178)</f>
        <v>90.483626159978442</v>
      </c>
      <c r="O178">
        <f ca="1">(Q177*'Arkusz1 (2)'!J178)-Q177</f>
        <v>-9836.3760785125196</v>
      </c>
      <c r="P178" s="16">
        <f t="shared" ca="1" si="24"/>
        <v>26297.657626881984</v>
      </c>
      <c r="Q178" s="17">
        <f t="shared" ca="1" si="25"/>
        <v>-1180180.2360677782</v>
      </c>
    </row>
    <row r="179" spans="1:17" x14ac:dyDescent="0.35">
      <c r="A179">
        <v>177</v>
      </c>
      <c r="B179" s="14">
        <f t="shared" ca="1" si="26"/>
        <v>51457</v>
      </c>
      <c r="C179" s="15">
        <f ca="1">(1+('Symulacja Pożyczka'!$B$7+4%)*('Arkusz1 (2)'!B179-'Arkusz1 (2)'!B178)/365)</f>
        <v>1.0088328767123287</v>
      </c>
      <c r="D179" s="15">
        <f ca="1">(1+('Symulacja Pożyczka'!$B$7+4%)*('Arkusz1 (2)'!B179-'Arkusz1 (2)'!B178)/366)</f>
        <v>1.0088087431693988</v>
      </c>
      <c r="E179" s="15">
        <f t="shared" ca="1" si="18"/>
        <v>0</v>
      </c>
      <c r="F179" s="15">
        <f t="shared" ca="1" si="19"/>
        <v>0</v>
      </c>
      <c r="G179">
        <f ca="1">IF(E179=1,(1+('Symulacja Pożyczka'!$B$7+4%)*((('Arkusz1 (2)'!B179-DATE(YEAR(B179),1,1)+1)/365)+((DATE(YEAR(B178),12,31)-'Arkusz1 (2)'!B178)/366))),IF(F179=1,(1+('Symulacja Pożyczka'!$B$7+4%)*((('Arkusz1 (2)'!B179-DATE(YEAR(B179),1,1)+1)/366)+((DATE(YEAR(B178),12,31)-'Arkusz1 (2)'!B178)/365))),0))</f>
        <v>0</v>
      </c>
      <c r="H179">
        <f t="shared" ca="1" si="20"/>
        <v>1</v>
      </c>
      <c r="I179">
        <f t="shared" ca="1" si="21"/>
        <v>1.0088087431693988</v>
      </c>
      <c r="J179">
        <f t="shared" ca="1" si="22"/>
        <v>1.0088087431693988</v>
      </c>
      <c r="K179">
        <f ca="1">PRODUCT($J$3:J179)</f>
        <v>4.5883784837584356</v>
      </c>
      <c r="L179">
        <f t="shared" ca="1" si="23"/>
        <v>0.21794191641768823</v>
      </c>
      <c r="M179">
        <f ca="1">SUM($L$3:L179)</f>
        <v>90.701568076396129</v>
      </c>
      <c r="O179">
        <f ca="1">(Q178*'Arkusz1 (2)'!J179)-Q178</f>
        <v>-10395.904593121493</v>
      </c>
      <c r="P179" s="16">
        <f t="shared" ca="1" si="24"/>
        <v>26857.186141490958</v>
      </c>
      <c r="Q179" s="17">
        <f t="shared" ca="1" si="25"/>
        <v>-1207037.4222092691</v>
      </c>
    </row>
    <row r="180" spans="1:17" x14ac:dyDescent="0.35">
      <c r="A180">
        <v>178</v>
      </c>
      <c r="B180" s="14">
        <f t="shared" ca="1" si="26"/>
        <v>51487</v>
      </c>
      <c r="C180" s="15">
        <f ca="1">(1+('Symulacja Pożyczka'!$B$7+4%)*('Arkusz1 (2)'!B180-'Arkusz1 (2)'!B179)/365)</f>
        <v>1.0085479452054795</v>
      </c>
      <c r="D180" s="15">
        <f ca="1">(1+('Symulacja Pożyczka'!$B$7+4%)*('Arkusz1 (2)'!B180-'Arkusz1 (2)'!B179)/366)</f>
        <v>1.0085245901639344</v>
      </c>
      <c r="E180" s="15">
        <f t="shared" ca="1" si="18"/>
        <v>0</v>
      </c>
      <c r="F180" s="15">
        <f t="shared" ca="1" si="19"/>
        <v>0</v>
      </c>
      <c r="G180">
        <f ca="1">IF(E180=1,(1+('Symulacja Pożyczka'!$B$7+4%)*((('Arkusz1 (2)'!B180-DATE(YEAR(B180),1,1)+1)/365)+((DATE(YEAR(B179),12,31)-'Arkusz1 (2)'!B179)/366))),IF(F180=1,(1+('Symulacja Pożyczka'!$B$7+4%)*((('Arkusz1 (2)'!B180-DATE(YEAR(B180),1,1)+1)/366)+((DATE(YEAR(B179),12,31)-'Arkusz1 (2)'!B179)/365))),0))</f>
        <v>0</v>
      </c>
      <c r="H180">
        <f t="shared" ca="1" si="20"/>
        <v>1</v>
      </c>
      <c r="I180">
        <f t="shared" ca="1" si="21"/>
        <v>1.0085245901639344</v>
      </c>
      <c r="J180">
        <f t="shared" ca="1" si="22"/>
        <v>1.0085245901639344</v>
      </c>
      <c r="K180">
        <f ca="1">PRODUCT($J$3:J180)</f>
        <v>4.6274925298494907</v>
      </c>
      <c r="L180">
        <f t="shared" ca="1" si="23"/>
        <v>0.21609975457540609</v>
      </c>
      <c r="M180">
        <f ca="1">SUM($L$3:L180)</f>
        <v>90.917667830971538</v>
      </c>
      <c r="O180">
        <f ca="1">(Q179*'Arkusz1 (2)'!J180)-Q179</f>
        <v>-10289.499336865731</v>
      </c>
      <c r="P180" s="16">
        <f t="shared" ca="1" si="24"/>
        <v>26750.780885235195</v>
      </c>
      <c r="Q180" s="17">
        <f t="shared" ca="1" si="25"/>
        <v>-1233788.2030945043</v>
      </c>
    </row>
    <row r="181" spans="1:17" x14ac:dyDescent="0.35">
      <c r="A181">
        <v>179</v>
      </c>
      <c r="B181" s="14">
        <f t="shared" ca="1" si="26"/>
        <v>51518</v>
      </c>
      <c r="C181" s="15">
        <f ca="1">(1+('Symulacja Pożyczka'!$B$7+4%)*('Arkusz1 (2)'!B181-'Arkusz1 (2)'!B180)/365)</f>
        <v>1.0088328767123287</v>
      </c>
      <c r="D181" s="15">
        <f ca="1">(1+('Symulacja Pożyczka'!$B$7+4%)*('Arkusz1 (2)'!B181-'Arkusz1 (2)'!B180)/366)</f>
        <v>1.0088087431693988</v>
      </c>
      <c r="E181" s="15">
        <f t="shared" ca="1" si="18"/>
        <v>1</v>
      </c>
      <c r="F181" s="15">
        <f t="shared" ca="1" si="19"/>
        <v>0</v>
      </c>
      <c r="G181">
        <f ca="1">IF(E181=1,(1+('Symulacja Pożyczka'!$B$7+4%)*((('Arkusz1 (2)'!B181-DATE(YEAR(B181),1,1)+1)/365)+((DATE(YEAR(B180),12,31)-'Arkusz1 (2)'!B180)/366))),IF(F181=1,(1+('Symulacja Pożyczka'!$B$7+4%)*((('Arkusz1 (2)'!B181-DATE(YEAR(B181),1,1)+1)/366)+((DATE(YEAR(B180),12,31)-'Arkusz1 (2)'!B180)/365))),0))</f>
        <v>1.008821977692941</v>
      </c>
      <c r="H181">
        <f t="shared" ca="1" si="20"/>
        <v>0</v>
      </c>
      <c r="I181">
        <f t="shared" ca="1" si="21"/>
        <v>1.0088328767123287</v>
      </c>
      <c r="J181">
        <f t="shared" ca="1" si="22"/>
        <v>1.008821977692941</v>
      </c>
      <c r="K181">
        <f ca="1">PRODUCT($J$3:J181)</f>
        <v>4.6683161657220742</v>
      </c>
      <c r="L181">
        <f t="shared" ca="1" si="23"/>
        <v>0.2142099987448739</v>
      </c>
      <c r="M181">
        <f ca="1">SUM($L$3:L181)</f>
        <v>91.131877829716416</v>
      </c>
      <c r="O181">
        <f ca="1">(Q180*'Arkusz1 (2)'!J181)-Q180</f>
        <v>-10884.452005513478</v>
      </c>
      <c r="P181" s="16">
        <f t="shared" ca="1" si="24"/>
        <v>27345.733553882943</v>
      </c>
      <c r="Q181" s="17">
        <f t="shared" ca="1" si="25"/>
        <v>-1261133.9366483872</v>
      </c>
    </row>
    <row r="182" spans="1:17" x14ac:dyDescent="0.35">
      <c r="A182">
        <v>180</v>
      </c>
      <c r="B182" s="14">
        <f t="shared" ca="1" si="26"/>
        <v>51549</v>
      </c>
      <c r="C182" s="15">
        <f ca="1">(1+('Symulacja Pożyczka'!$B$7+4%)*('Arkusz1 (2)'!B182-'Arkusz1 (2)'!B181)/365)</f>
        <v>1.0088328767123287</v>
      </c>
      <c r="D182" s="15">
        <f ca="1">(1+('Symulacja Pożyczka'!$B$7+4%)*('Arkusz1 (2)'!B182-'Arkusz1 (2)'!B181)/366)</f>
        <v>1.0088087431693988</v>
      </c>
      <c r="E182" s="15">
        <f t="shared" ca="1" si="18"/>
        <v>0</v>
      </c>
      <c r="F182" s="15">
        <f t="shared" ca="1" si="19"/>
        <v>0</v>
      </c>
      <c r="G182">
        <f ca="1">IF(E182=1,(1+('Symulacja Pożyczka'!$B$7+4%)*((('Arkusz1 (2)'!B182-DATE(YEAR(B182),1,1)+1)/365)+((DATE(YEAR(B181),12,31)-'Arkusz1 (2)'!B181)/366))),IF(F182=1,(1+('Symulacja Pożyczka'!$B$7+4%)*((('Arkusz1 (2)'!B182-DATE(YEAR(B182),1,1)+1)/366)+((DATE(YEAR(B181),12,31)-'Arkusz1 (2)'!B181)/365))),0))</f>
        <v>0</v>
      </c>
      <c r="H182">
        <f t="shared" ca="1" si="20"/>
        <v>0</v>
      </c>
      <c r="I182">
        <f t="shared" ca="1" si="21"/>
        <v>1.0088328767123287</v>
      </c>
      <c r="J182">
        <f t="shared" ca="1" si="22"/>
        <v>1.0088328767123287</v>
      </c>
      <c r="K182">
        <f ca="1">PRODUCT($J$3:J182)</f>
        <v>4.7095508268680684</v>
      </c>
      <c r="L182">
        <f t="shared" ca="1" si="23"/>
        <v>0.21233447450975215</v>
      </c>
      <c r="M182">
        <f ca="1">SUM($L$3:L182)</f>
        <v>91.344212304226161</v>
      </c>
      <c r="O182">
        <f ca="1">(Q181*'Arkusz1 (2)'!J182)-Q181</f>
        <v>-11139.440580148948</v>
      </c>
      <c r="P182" s="16">
        <f t="shared" ca="1" si="24"/>
        <v>27600.722128518413</v>
      </c>
      <c r="Q182" s="17">
        <f t="shared" ca="1" si="25"/>
        <v>-1288734.6587769056</v>
      </c>
    </row>
  </sheetData>
  <pageMargins left="0.7" right="0.7" top="0.75" bottom="0.75" header="0.3" footer="0.3"/>
  <pageSetup paperSize="9" orientation="portrait" horizontalDpi="30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Arkusz24"/>
  <dimension ref="A1:Q182"/>
  <sheetViews>
    <sheetView workbookViewId="0">
      <pane ySplit="1" topLeftCell="A2" activePane="bottomLeft" state="frozen"/>
      <selection pane="bottomLeft" activeCell="A3" sqref="A3"/>
    </sheetView>
  </sheetViews>
  <sheetFormatPr defaultRowHeight="14.5" x14ac:dyDescent="0.35"/>
  <cols>
    <col min="1" max="1" width="4" bestFit="1" customWidth="1"/>
    <col min="2" max="2" width="16.1796875" customWidth="1"/>
    <col min="3" max="3" width="16.1796875" style="15" customWidth="1"/>
    <col min="4" max="11" width="16.1796875" customWidth="1"/>
    <col min="12" max="12" width="17.453125" customWidth="1"/>
    <col min="13" max="13" width="12.1796875" customWidth="1"/>
    <col min="15" max="15" width="15.1796875" customWidth="1"/>
    <col min="16" max="16" width="16.81640625" customWidth="1"/>
    <col min="17" max="17" width="16.1796875" customWidth="1"/>
  </cols>
  <sheetData>
    <row r="1" spans="1:17" x14ac:dyDescent="0.35">
      <c r="A1" s="1" t="s">
        <v>6</v>
      </c>
      <c r="B1" s="2"/>
      <c r="C1" s="3" t="s">
        <v>7</v>
      </c>
      <c r="D1" s="2" t="s">
        <v>8</v>
      </c>
      <c r="E1" s="2" t="s">
        <v>9</v>
      </c>
      <c r="F1" s="2" t="s">
        <v>10</v>
      </c>
      <c r="G1" s="2" t="s">
        <v>11</v>
      </c>
      <c r="H1" s="2" t="s">
        <v>12</v>
      </c>
      <c r="I1" s="2" t="s">
        <v>13</v>
      </c>
      <c r="J1" s="2" t="s">
        <v>14</v>
      </c>
      <c r="K1" s="2" t="s">
        <v>15</v>
      </c>
      <c r="L1" s="4" t="s">
        <v>16</v>
      </c>
      <c r="M1" s="5" t="s">
        <v>17</v>
      </c>
      <c r="N1" s="4" t="s">
        <v>18</v>
      </c>
      <c r="O1" s="6" t="s">
        <v>19</v>
      </c>
      <c r="P1" s="7" t="s">
        <v>20</v>
      </c>
      <c r="Q1" s="7" t="s">
        <v>21</v>
      </c>
    </row>
    <row r="2" spans="1:17" x14ac:dyDescent="0.35">
      <c r="A2" s="8">
        <v>0</v>
      </c>
      <c r="B2" s="9">
        <f ca="1">'Symulacja Pożyczka'!B10</f>
        <v>46083</v>
      </c>
      <c r="C2" s="10"/>
      <c r="D2" s="9"/>
      <c r="E2" s="9"/>
      <c r="F2" s="9"/>
      <c r="G2" s="11"/>
      <c r="H2" s="11"/>
      <c r="I2" s="11"/>
      <c r="J2" s="11"/>
      <c r="K2" s="11"/>
      <c r="L2" s="7"/>
      <c r="M2" s="12"/>
      <c r="N2" s="13">
        <f ca="1">'Symulacja Pożyczka'!B3/VLOOKUP('Symulacja Pożyczka'!B4,'Arkusz1 (3)'!$A$1:$O$182,13,1)</f>
        <v>14494.236471898763</v>
      </c>
      <c r="O2" s="7"/>
    </row>
    <row r="3" spans="1:17" x14ac:dyDescent="0.35">
      <c r="A3">
        <v>1</v>
      </c>
      <c r="B3" s="14">
        <f ca="1">'Symulacja Pożyczka'!B11</f>
        <v>46098</v>
      </c>
      <c r="C3" s="62">
        <f ca="1">(1+('Symulacja Pożyczka'!$B$7+'Symulacja Pożyczka'!$B$16)*('Arkusz1 (3)'!B3-'Arkusz1 (3)'!B2)/365)</f>
        <v>1.003041095890411</v>
      </c>
      <c r="D3" s="15">
        <f ca="1">(1+('Symulacja Pożyczka'!$B$7+'Symulacja Pożyczka'!$B$16)*('Arkusz1 (3)'!B3-'Arkusz1 (3)'!B2)/366)</f>
        <v>1.003032786885246</v>
      </c>
      <c r="E3" s="15">
        <f ca="1">IF(AND(MOD(YEAR(B2),4)=0,MOD(YEAR(B3),4)&lt;&gt;0),1,0)</f>
        <v>0</v>
      </c>
      <c r="F3" s="15">
        <f ca="1">IF(AND(MOD(YEAR(B3),4)=0,MOD(YEAR(B2),4)&lt;&gt;0),1,0)</f>
        <v>0</v>
      </c>
      <c r="G3">
        <f ca="1">IF(E3=1,(1+('Symulacja Pożyczka'!$B$7+'Symulacja Pożyczka'!$B$16)*((('Arkusz1 (3)'!B3-DATE(YEAR(B3),1,1)+1)/365)+((DATE(YEAR(B2),12,31)-'Arkusz1 (3)'!B2)/366))),IF(F3=1,(1+('Symulacja Pożyczka'!$B$7+'Symulacja Pożyczka'!$B$16)*((('Arkusz1 (3)'!B3-DATE(YEAR(B3),1,1)+1)/366)+((DATE(YEAR(B2),12,31)-'Arkusz1 (3)'!B2)/365))),0))</f>
        <v>0</v>
      </c>
      <c r="H3">
        <f ca="1">IF(MOD(YEAR(B3),4)=0,1,0)</f>
        <v>0</v>
      </c>
      <c r="I3">
        <f ca="1">IF(H3=0,C3,IF(H3=1,D3,"blad"))</f>
        <v>1.003041095890411</v>
      </c>
      <c r="J3">
        <f ca="1">IF(OR(E3=1,F3=1),G3,I3)</f>
        <v>1.003041095890411</v>
      </c>
      <c r="K3">
        <f ca="1">J3</f>
        <v>1.003041095890411</v>
      </c>
      <c r="L3">
        <f ca="1">1/K3</f>
        <v>0.99696812433421644</v>
      </c>
      <c r="O3">
        <f ca="1">('Symulacja Pożyczka'!$B$3*'Arkusz1 (3)'!J3)-'Symulacja Pożyczka'!$B$3</f>
        <v>3740.5479452055879</v>
      </c>
      <c r="P3" s="16">
        <f ca="1">$N$2-O3</f>
        <v>10753.688526693175</v>
      </c>
      <c r="Q3" s="17">
        <f ca="1">'Symulacja Pożyczka'!B3-P3</f>
        <v>1219246.3114733067</v>
      </c>
    </row>
    <row r="4" spans="1:17" x14ac:dyDescent="0.35">
      <c r="A4">
        <v>2</v>
      </c>
      <c r="B4" s="14">
        <f ca="1">DATE(YEAR((B3)),MONTH((B3))+1,IF(AND(DAY(B3)&gt;28,MONTH((B3))+1=2),IF(MOD(YEAR(B3),4)=0,29,28),DAY(B3)))</f>
        <v>46129</v>
      </c>
      <c r="C4" s="15">
        <f ca="1">(1+('Symulacja Pożyczka'!$B$7+'Symulacja Pożyczka'!$B$16)*('Arkusz1 (3)'!B4-'Arkusz1 (3)'!B3)/365)</f>
        <v>1.0062849315068494</v>
      </c>
      <c r="D4" s="15">
        <f ca="1">(1+('Symulacja Pożyczka'!$B$7+'Symulacja Pożyczka'!$B$16)*('Arkusz1 (3)'!B4-'Arkusz1 (3)'!B3)/366)</f>
        <v>1.0062677595628415</v>
      </c>
      <c r="E4" s="15">
        <f t="shared" ref="E4:E67" ca="1" si="0">IF(AND(MOD(YEAR(B3),4)=0,MOD(YEAR(B4),4)&lt;&gt;0),1,0)</f>
        <v>0</v>
      </c>
      <c r="F4" s="15">
        <f t="shared" ref="F4:F67" ca="1" si="1">IF(AND(MOD(YEAR(B4),4)=0,MOD(YEAR(B3),4)&lt;&gt;0),1,0)</f>
        <v>0</v>
      </c>
      <c r="G4">
        <f ca="1">IF(E4=1,(1+('Symulacja Pożyczka'!$B$7+'Symulacja Pożyczka'!$B$16)*((('Arkusz1 (3)'!B4-DATE(YEAR(B4),1,1)+1)/365)+((DATE(YEAR(B3),12,31)-'Arkusz1 (3)'!B3)/366))),IF(F4=1,(1+('Symulacja Pożyczka'!$B$7+'Symulacja Pożyczka'!$B$16)*((('Arkusz1 (3)'!B4-DATE(YEAR(B4),1,1)+1)/366)+((DATE(YEAR(B3),12,31)-'Arkusz1 (3)'!B3)/365))),0))</f>
        <v>0</v>
      </c>
      <c r="H4">
        <f t="shared" ref="H4:H67" ca="1" si="2">IF(MOD(YEAR(B4),4)=0,1,0)</f>
        <v>0</v>
      </c>
      <c r="I4">
        <f t="shared" ref="I4:I67" ca="1" si="3">IF(H4=0,C4,IF(H4=1,D4,"blad"))</f>
        <v>1.0062849315068494</v>
      </c>
      <c r="J4">
        <f t="shared" ref="J4:J67" ca="1" si="4">IF(OR(E4=1,F4=1),G4,I4)</f>
        <v>1.0062849315068494</v>
      </c>
      <c r="K4">
        <f ca="1">PRODUCT($J$3:J4)</f>
        <v>1.0093451404766374</v>
      </c>
      <c r="L4">
        <f t="shared" ref="L4:L67" ca="1" si="5">1/K4</f>
        <v>0.99074138260355182</v>
      </c>
      <c r="M4">
        <f ca="1">L3+L4</f>
        <v>1.9877095069377684</v>
      </c>
      <c r="O4">
        <f ca="1">(Q3*'Arkusz1 (3)'!J4)-Q3</f>
        <v>7662.8795575886033</v>
      </c>
      <c r="P4" s="16">
        <f ca="1">$N$2-O4</f>
        <v>6831.3569143101595</v>
      </c>
      <c r="Q4" s="17">
        <f ca="1">Q3-P4</f>
        <v>1212414.9545589965</v>
      </c>
    </row>
    <row r="5" spans="1:17" x14ac:dyDescent="0.35">
      <c r="A5">
        <v>3</v>
      </c>
      <c r="B5" s="14">
        <f ca="1">DATE(YEAR((B4)),MONTH((B4))+1,IF(AND(DAY(B4)&gt;28,MONTH((B4))+1=2),IF(MOD(YEAR(B4),4)=0,29,28),IF(AND(OR(DAY(B4)=28,DAY(B4)=29),MONTH((B4))=2),DAY(B3),DAY(B4))))</f>
        <v>46159</v>
      </c>
      <c r="C5" s="15">
        <f ca="1">(1+('Symulacja Pożyczka'!$B$7+'Symulacja Pożyczka'!$B$16)*('Arkusz1 (3)'!B5-'Arkusz1 (3)'!B4)/365)</f>
        <v>1.0060821917808218</v>
      </c>
      <c r="D5" s="15">
        <f ca="1">(1+('Symulacja Pożyczka'!$B$7+'Symulacja Pożyczka'!$B$16)*('Arkusz1 (3)'!B5-'Arkusz1 (3)'!B4)/366)</f>
        <v>1.0060655737704918</v>
      </c>
      <c r="E5" s="15">
        <f t="shared" ca="1" si="0"/>
        <v>0</v>
      </c>
      <c r="F5" s="15">
        <f t="shared" ca="1" si="1"/>
        <v>0</v>
      </c>
      <c r="G5">
        <f ca="1">IF(E5=1,(1+('Symulacja Pożyczka'!$B$7+'Symulacja Pożyczka'!$B$16)*((('Arkusz1 (3)'!B5-DATE(YEAR(B5),1,1)+1)/365)+((DATE(YEAR(B4),12,31)-'Arkusz1 (3)'!B4)/366))),IF(F5=1,(1+('Symulacja Pożyczka'!$B$7+'Symulacja Pożyczka'!$B$16)*((('Arkusz1 (3)'!B5-DATE(YEAR(B5),1,1)+1)/366)+((DATE(YEAR(B4),12,31)-'Arkusz1 (3)'!B4)/365))),0))</f>
        <v>0</v>
      </c>
      <c r="H5">
        <f t="shared" ca="1" si="2"/>
        <v>0</v>
      </c>
      <c r="I5">
        <f t="shared" ca="1" si="3"/>
        <v>1.0060821917808218</v>
      </c>
      <c r="J5">
        <f t="shared" ca="1" si="4"/>
        <v>1.0060821917808218</v>
      </c>
      <c r="K5">
        <f ca="1">PRODUCT($J$3:J5)</f>
        <v>1.0154841711940568</v>
      </c>
      <c r="L5">
        <f t="shared" ca="1" si="5"/>
        <v>0.98475193249359105</v>
      </c>
      <c r="M5">
        <f ca="1">SUM($L$3:L5)</f>
        <v>2.9724614394313593</v>
      </c>
      <c r="O5">
        <f ca="1">(Q4*'Arkusz1 (3)'!J5)-Q4</f>
        <v>7374.1402715642471</v>
      </c>
      <c r="P5" s="16">
        <f t="shared" ref="P5:P68" ca="1" si="6">$N$2-O5</f>
        <v>7120.0962003345157</v>
      </c>
      <c r="Q5" s="17">
        <f t="shared" ref="Q5:Q68" ca="1" si="7">Q4-P5</f>
        <v>1205294.8583586619</v>
      </c>
    </row>
    <row r="6" spans="1:17" x14ac:dyDescent="0.35">
      <c r="A6">
        <v>4</v>
      </c>
      <c r="B6" s="14">
        <f t="shared" ref="B6:B69" ca="1" si="8">DATE(YEAR((B5)),MONTH((B5))+1,IF(AND(DAY(B5)&gt;28,MONTH((B5))+1=2),IF(MOD(YEAR(B5),4)=0,29,28),IF(AND(OR(DAY(B5)=28,DAY(B5)=29),MONTH((B5))=2),DAY(B4),DAY(B5))))</f>
        <v>46190</v>
      </c>
      <c r="C6" s="15">
        <f ca="1">(1+('Symulacja Pożyczka'!$B$7+'Symulacja Pożyczka'!$B$16)*('Arkusz1 (3)'!B6-'Arkusz1 (3)'!B5)/365)</f>
        <v>1.0062849315068494</v>
      </c>
      <c r="D6" s="15">
        <f ca="1">(1+('Symulacja Pożyczka'!$B$7+'Symulacja Pożyczka'!$B$16)*('Arkusz1 (3)'!B6-'Arkusz1 (3)'!B5)/366)</f>
        <v>1.0062677595628415</v>
      </c>
      <c r="E6" s="15">
        <f t="shared" ca="1" si="0"/>
        <v>0</v>
      </c>
      <c r="F6" s="15">
        <f t="shared" ca="1" si="1"/>
        <v>0</v>
      </c>
      <c r="G6">
        <f ca="1">IF(E6=1,(1+('Symulacja Pożyczka'!$B$7+'Symulacja Pożyczka'!$B$16)*((('Arkusz1 (3)'!B6-DATE(YEAR(B6),1,1)+1)/365)+((DATE(YEAR(B5),12,31)-'Arkusz1 (3)'!B5)/366))),IF(F6=1,(1+('Symulacja Pożyczka'!$B$7+'Symulacja Pożyczka'!$B$16)*((('Arkusz1 (3)'!B6-DATE(YEAR(B6),1,1)+1)/366)+((DATE(YEAR(B5),12,31)-'Arkusz1 (3)'!B5)/365))),0))</f>
        <v>0</v>
      </c>
      <c r="H6">
        <f t="shared" ca="1" si="2"/>
        <v>0</v>
      </c>
      <c r="I6">
        <f t="shared" ca="1" si="3"/>
        <v>1.0062849315068494</v>
      </c>
      <c r="J6">
        <f t="shared" ca="1" si="4"/>
        <v>1.0062849315068494</v>
      </c>
      <c r="K6">
        <f ca="1">PRODUCT($J$3:J6)</f>
        <v>1.0218664196563012</v>
      </c>
      <c r="L6">
        <f t="shared" ca="1" si="5"/>
        <v>0.97860148916170875</v>
      </c>
      <c r="M6">
        <f ca="1">SUM($L$3:L6)</f>
        <v>3.9510629285930681</v>
      </c>
      <c r="O6">
        <f ca="1">(Q5*'Arkusz1 (3)'!J6)-Q5</f>
        <v>7575.1956303420011</v>
      </c>
      <c r="P6" s="16">
        <f t="shared" ca="1" si="6"/>
        <v>6919.0408415567617</v>
      </c>
      <c r="Q6" s="17">
        <f t="shared" ca="1" si="7"/>
        <v>1198375.817517105</v>
      </c>
    </row>
    <row r="7" spans="1:17" x14ac:dyDescent="0.35">
      <c r="A7">
        <v>5</v>
      </c>
      <c r="B7" s="14">
        <f t="shared" ca="1" si="8"/>
        <v>46220</v>
      </c>
      <c r="C7" s="15">
        <f ca="1">(1+('Symulacja Pożyczka'!$B$7+'Symulacja Pożyczka'!$B$16)*('Arkusz1 (3)'!B7-'Arkusz1 (3)'!B6)/365)</f>
        <v>1.0060821917808218</v>
      </c>
      <c r="D7" s="15">
        <f ca="1">(1+('Symulacja Pożyczka'!$B$7+'Symulacja Pożyczka'!$B$16)*('Arkusz1 (3)'!B7-'Arkusz1 (3)'!B6)/366)</f>
        <v>1.0060655737704918</v>
      </c>
      <c r="E7" s="15">
        <f t="shared" ca="1" si="0"/>
        <v>0</v>
      </c>
      <c r="F7" s="15">
        <f t="shared" ca="1" si="1"/>
        <v>0</v>
      </c>
      <c r="G7">
        <f ca="1">IF(E7=1,(1+('Symulacja Pożyczka'!$B$7+'Symulacja Pożyczka'!$B$16)*((('Arkusz1 (3)'!B7-DATE(YEAR(B7),1,1)+1)/365)+((DATE(YEAR(B6),12,31)-'Arkusz1 (3)'!B6)/366))),IF(F7=1,(1+('Symulacja Pożyczka'!$B$7+'Symulacja Pożyczka'!$B$16)*((('Arkusz1 (3)'!B7-DATE(YEAR(B7),1,1)+1)/366)+((DATE(YEAR(B6),12,31)-'Arkusz1 (3)'!B6)/365))),0))</f>
        <v>0</v>
      </c>
      <c r="H7">
        <f t="shared" ca="1" si="2"/>
        <v>0</v>
      </c>
      <c r="I7">
        <f t="shared" ca="1" si="3"/>
        <v>1.0060821917808218</v>
      </c>
      <c r="J7">
        <f t="shared" ca="1" si="4"/>
        <v>1.0060821917808218</v>
      </c>
      <c r="K7">
        <f ca="1">PRODUCT($J$3:J7)</f>
        <v>1.0280816071950325</v>
      </c>
      <c r="L7">
        <f t="shared" ca="1" si="5"/>
        <v>0.97268542983504103</v>
      </c>
      <c r="M7">
        <f ca="1">SUM($L$3:L7)</f>
        <v>4.9237483584281092</v>
      </c>
      <c r="O7">
        <f ca="1">(Q6*'Arkusz1 (3)'!J7)-Q6</f>
        <v>7288.7515476380941</v>
      </c>
      <c r="P7" s="16">
        <f t="shared" ca="1" si="6"/>
        <v>7205.4849242606688</v>
      </c>
      <c r="Q7" s="17">
        <f t="shared" ca="1" si="7"/>
        <v>1191170.3325928443</v>
      </c>
    </row>
    <row r="8" spans="1:17" x14ac:dyDescent="0.35">
      <c r="A8">
        <v>6</v>
      </c>
      <c r="B8" s="14">
        <f t="shared" ca="1" si="8"/>
        <v>46251</v>
      </c>
      <c r="C8" s="15">
        <f ca="1">(1+('Symulacja Pożyczka'!$B$7+'Symulacja Pożyczka'!$B$16)*('Arkusz1 (3)'!B8-'Arkusz1 (3)'!B7)/365)</f>
        <v>1.0062849315068494</v>
      </c>
      <c r="D8" s="15">
        <f ca="1">(1+('Symulacja Pożyczka'!$B$7+'Symulacja Pożyczka'!$B$16)*('Arkusz1 (3)'!B8-'Arkusz1 (3)'!B7)/366)</f>
        <v>1.0062677595628415</v>
      </c>
      <c r="E8" s="15">
        <f t="shared" ca="1" si="0"/>
        <v>0</v>
      </c>
      <c r="F8" s="15">
        <f t="shared" ca="1" si="1"/>
        <v>0</v>
      </c>
      <c r="G8">
        <f ca="1">IF(E8=1,(1+('Symulacja Pożyczka'!$B$7+'Symulacja Pożyczka'!$B$16)*((('Arkusz1 (3)'!B8-DATE(YEAR(B8),1,1)+1)/365)+((DATE(YEAR(B7),12,31)-'Arkusz1 (3)'!B7)/366))),IF(F8=1,(1+('Symulacja Pożyczka'!$B$7+'Symulacja Pożyczka'!$B$16)*((('Arkusz1 (3)'!B8-DATE(YEAR(B8),1,1)+1)/366)+((DATE(YEAR(B7),12,31)-'Arkusz1 (3)'!B7)/365))),0))</f>
        <v>0</v>
      </c>
      <c r="H8">
        <f t="shared" ca="1" si="2"/>
        <v>0</v>
      </c>
      <c r="I8">
        <f t="shared" ca="1" si="3"/>
        <v>1.0062849315068494</v>
      </c>
      <c r="J8">
        <f t="shared" ca="1" si="4"/>
        <v>1.0062849315068494</v>
      </c>
      <c r="K8">
        <f ca="1">PRODUCT($J$3:J8)</f>
        <v>1.0345430296797049</v>
      </c>
      <c r="L8">
        <f t="shared" ca="1" si="5"/>
        <v>0.9666103499915325</v>
      </c>
      <c r="M8">
        <f ca="1">SUM($L$3:L8)</f>
        <v>5.890358708419642</v>
      </c>
      <c r="O8">
        <f ca="1">(Q7*'Arkusz1 (3)'!J8)-Q7</f>
        <v>7486.4239533371292</v>
      </c>
      <c r="P8" s="16">
        <f t="shared" ca="1" si="6"/>
        <v>7007.8125185616336</v>
      </c>
      <c r="Q8" s="17">
        <f t="shared" ca="1" si="7"/>
        <v>1184162.5200742825</v>
      </c>
    </row>
    <row r="9" spans="1:17" x14ac:dyDescent="0.35">
      <c r="A9">
        <v>7</v>
      </c>
      <c r="B9" s="14">
        <f t="shared" ca="1" si="8"/>
        <v>46282</v>
      </c>
      <c r="C9" s="15">
        <f ca="1">(1+('Symulacja Pożyczka'!$B$7+'Symulacja Pożyczka'!$B$16)*('Arkusz1 (3)'!B9-'Arkusz1 (3)'!B8)/365)</f>
        <v>1.0062849315068494</v>
      </c>
      <c r="D9" s="15">
        <f ca="1">(1+('Symulacja Pożyczka'!$B$7+'Symulacja Pożyczka'!$B$16)*('Arkusz1 (3)'!B9-'Arkusz1 (3)'!B8)/366)</f>
        <v>1.0062677595628415</v>
      </c>
      <c r="E9" s="15">
        <f t="shared" ca="1" si="0"/>
        <v>0</v>
      </c>
      <c r="F9" s="15">
        <f t="shared" ca="1" si="1"/>
        <v>0</v>
      </c>
      <c r="G9">
        <f ca="1">IF(E9=1,(1+('Symulacja Pożyczka'!$B$7+'Symulacja Pożyczka'!$B$16)*((('Arkusz1 (3)'!B9-DATE(YEAR(B9),1,1)+1)/365)+((DATE(YEAR(B8),12,31)-'Arkusz1 (3)'!B8)/366))),IF(F9=1,(1+('Symulacja Pożyczka'!$B$7+'Symulacja Pożyczka'!$B$16)*((('Arkusz1 (3)'!B9-DATE(YEAR(B9),1,1)+1)/366)+((DATE(YEAR(B8),12,31)-'Arkusz1 (3)'!B8)/365))),0))</f>
        <v>0</v>
      </c>
      <c r="H9">
        <f t="shared" ca="1" si="2"/>
        <v>0</v>
      </c>
      <c r="I9">
        <f t="shared" ca="1" si="3"/>
        <v>1.0062849315068494</v>
      </c>
      <c r="J9">
        <f t="shared" ca="1" si="4"/>
        <v>1.0062849315068494</v>
      </c>
      <c r="K9">
        <f ca="1">PRODUCT($J$3:J9)</f>
        <v>1.0410450617621303</v>
      </c>
      <c r="L9">
        <f t="shared" ca="1" si="5"/>
        <v>0.96057321313963573</v>
      </c>
      <c r="M9">
        <f ca="1">SUM($L$3:L9)</f>
        <v>6.8509319215592779</v>
      </c>
      <c r="O9">
        <f ca="1">(Q8*'Arkusz1 (3)'!J9)-Q8</f>
        <v>7442.3803316450212</v>
      </c>
      <c r="P9" s="16">
        <f t="shared" ca="1" si="6"/>
        <v>7051.8561402537416</v>
      </c>
      <c r="Q9" s="17">
        <f t="shared" ca="1" si="7"/>
        <v>1177110.6639340287</v>
      </c>
    </row>
    <row r="10" spans="1:17" x14ac:dyDescent="0.35">
      <c r="A10">
        <v>8</v>
      </c>
      <c r="B10" s="14">
        <f t="shared" ca="1" si="8"/>
        <v>46312</v>
      </c>
      <c r="C10" s="15">
        <f ca="1">(1+('Symulacja Pożyczka'!$B$7+'Symulacja Pożyczka'!$B$16)*('Arkusz1 (3)'!B10-'Arkusz1 (3)'!B9)/365)</f>
        <v>1.0060821917808218</v>
      </c>
      <c r="D10" s="15">
        <f ca="1">(1+('Symulacja Pożyczka'!$B$7+'Symulacja Pożyczka'!$B$16)*('Arkusz1 (3)'!B10-'Arkusz1 (3)'!B9)/366)</f>
        <v>1.0060655737704918</v>
      </c>
      <c r="E10" s="15">
        <f t="shared" ca="1" si="0"/>
        <v>0</v>
      </c>
      <c r="F10" s="15">
        <f t="shared" ca="1" si="1"/>
        <v>0</v>
      </c>
      <c r="G10">
        <f ca="1">IF(E10=1,(1+('Symulacja Pożyczka'!$B$7+'Symulacja Pożyczka'!$B$16)*((('Arkusz1 (3)'!B10-DATE(YEAR(B10),1,1)+1)/365)+((DATE(YEAR(B9),12,31)-'Arkusz1 (3)'!B9)/366))),IF(F10=1,(1+('Symulacja Pożyczka'!$B$7+'Symulacja Pożyczka'!$B$16)*((('Arkusz1 (3)'!B10-DATE(YEAR(B10),1,1)+1)/366)+((DATE(YEAR(B9),12,31)-'Arkusz1 (3)'!B9)/365))),0))</f>
        <v>0</v>
      </c>
      <c r="H10">
        <f t="shared" ca="1" si="2"/>
        <v>0</v>
      </c>
      <c r="I10">
        <f t="shared" ca="1" si="3"/>
        <v>1.0060821917808218</v>
      </c>
      <c r="J10">
        <f t="shared" ca="1" si="4"/>
        <v>1.0060821917808218</v>
      </c>
      <c r="K10">
        <f ca="1">PRODUCT($J$3:J10)</f>
        <v>1.0473768974802451</v>
      </c>
      <c r="L10">
        <f t="shared" ca="1" si="5"/>
        <v>0.95476614235599111</v>
      </c>
      <c r="M10">
        <f ca="1">SUM($L$3:L10)</f>
        <v>7.8056980639152691</v>
      </c>
      <c r="O10">
        <f ca="1">(Q9*'Arkusz1 (3)'!J10)-Q9</f>
        <v>7159.4128052971791</v>
      </c>
      <c r="P10" s="16">
        <f t="shared" ca="1" si="6"/>
        <v>7334.8236666015837</v>
      </c>
      <c r="Q10" s="17">
        <f t="shared" ca="1" si="7"/>
        <v>1169775.840267427</v>
      </c>
    </row>
    <row r="11" spans="1:17" x14ac:dyDescent="0.35">
      <c r="A11">
        <v>9</v>
      </c>
      <c r="B11" s="14">
        <f t="shared" ca="1" si="8"/>
        <v>46343</v>
      </c>
      <c r="C11" s="15">
        <f ca="1">(1+('Symulacja Pożyczka'!$B$7+'Symulacja Pożyczka'!$B$16)*('Arkusz1 (3)'!B11-'Arkusz1 (3)'!B10)/365)</f>
        <v>1.0062849315068494</v>
      </c>
      <c r="D11" s="15">
        <f ca="1">(1+('Symulacja Pożyczka'!$B$7+'Symulacja Pożyczka'!$B$16)*('Arkusz1 (3)'!B11-'Arkusz1 (3)'!B10)/366)</f>
        <v>1.0062677595628415</v>
      </c>
      <c r="E11" s="15">
        <f t="shared" ca="1" si="0"/>
        <v>0</v>
      </c>
      <c r="F11" s="15">
        <f t="shared" ca="1" si="1"/>
        <v>0</v>
      </c>
      <c r="G11">
        <f ca="1">IF(E11=1,(1+('Symulacja Pożyczka'!$B$7+'Symulacja Pożyczka'!$B$16)*((('Arkusz1 (3)'!B11-DATE(YEAR(B11),1,1)+1)/365)+((DATE(YEAR(B10),12,31)-'Arkusz1 (3)'!B10)/366))),IF(F11=1,(1+('Symulacja Pożyczka'!$B$7+'Symulacja Pożyczka'!$B$16)*((('Arkusz1 (3)'!B11-DATE(YEAR(B11),1,1)+1)/366)+((DATE(YEAR(B10),12,31)-'Arkusz1 (3)'!B10)/365))),0))</f>
        <v>0</v>
      </c>
      <c r="H11">
        <f t="shared" ca="1" si="2"/>
        <v>0</v>
      </c>
      <c r="I11">
        <f t="shared" ca="1" si="3"/>
        <v>1.0062849315068494</v>
      </c>
      <c r="J11">
        <f t="shared" ca="1" si="4"/>
        <v>1.0062849315068494</v>
      </c>
      <c r="K11">
        <f ca="1">PRODUCT($J$3:J11)</f>
        <v>1.0539595895427649</v>
      </c>
      <c r="L11">
        <f t="shared" ca="1" si="5"/>
        <v>0.94880298060936663</v>
      </c>
      <c r="M11">
        <f ca="1">SUM($L$3:L11)</f>
        <v>8.7545010445246358</v>
      </c>
      <c r="O11">
        <f ca="1">(Q10*'Arkusz1 (3)'!J11)-Q10</f>
        <v>7351.961034447886</v>
      </c>
      <c r="P11" s="16">
        <f t="shared" ca="1" si="6"/>
        <v>7142.2754374508768</v>
      </c>
      <c r="Q11" s="17">
        <f t="shared" ca="1" si="7"/>
        <v>1162633.5648299761</v>
      </c>
    </row>
    <row r="12" spans="1:17" x14ac:dyDescent="0.35">
      <c r="A12">
        <v>10</v>
      </c>
      <c r="B12" s="14">
        <f t="shared" ca="1" si="8"/>
        <v>46373</v>
      </c>
      <c r="C12" s="15">
        <f ca="1">(1+('Symulacja Pożyczka'!$B$7+'Symulacja Pożyczka'!$B$16)*('Arkusz1 (3)'!B12-'Arkusz1 (3)'!B11)/365)</f>
        <v>1.0060821917808218</v>
      </c>
      <c r="D12" s="15">
        <f ca="1">(1+('Symulacja Pożyczka'!$B$7+'Symulacja Pożyczka'!$B$16)*('Arkusz1 (3)'!B12-'Arkusz1 (3)'!B11)/366)</f>
        <v>1.0060655737704918</v>
      </c>
      <c r="E12" s="15">
        <f t="shared" ca="1" si="0"/>
        <v>0</v>
      </c>
      <c r="F12" s="15">
        <f t="shared" ca="1" si="1"/>
        <v>0</v>
      </c>
      <c r="G12">
        <f ca="1">IF(E12=1,(1+('Symulacja Pożyczka'!$B$7+'Symulacja Pożyczka'!$B$16)*((('Arkusz1 (3)'!B12-DATE(YEAR(B12),1,1)+1)/365)+((DATE(YEAR(B11),12,31)-'Arkusz1 (3)'!B11)/366))),IF(F12=1,(1+('Symulacja Pożyczka'!$B$7+'Symulacja Pożyczka'!$B$16)*((('Arkusz1 (3)'!B12-DATE(YEAR(B12),1,1)+1)/366)+((DATE(YEAR(B11),12,31)-'Arkusz1 (3)'!B11)/365))),0))</f>
        <v>0</v>
      </c>
      <c r="H12">
        <f t="shared" ca="1" si="2"/>
        <v>0</v>
      </c>
      <c r="I12">
        <f t="shared" ca="1" si="3"/>
        <v>1.0060821917808218</v>
      </c>
      <c r="J12">
        <f t="shared" ca="1" si="4"/>
        <v>1.0060821917808218</v>
      </c>
      <c r="K12">
        <f ca="1">PRODUCT($J$3:J12)</f>
        <v>1.0603699738956003</v>
      </c>
      <c r="L12">
        <f t="shared" ca="1" si="5"/>
        <v>0.94306706585267375</v>
      </c>
      <c r="M12">
        <f ca="1">SUM($L$3:L12)</f>
        <v>9.6975681103773095</v>
      </c>
      <c r="O12">
        <f ca="1">(Q11*'Arkusz1 (3)'!J12)-Q11</f>
        <v>7071.3603121163324</v>
      </c>
      <c r="P12" s="16">
        <f t="shared" ca="1" si="6"/>
        <v>7422.8761597824305</v>
      </c>
      <c r="Q12" s="17">
        <f t="shared" ca="1" si="7"/>
        <v>1155210.6886701935</v>
      </c>
    </row>
    <row r="13" spans="1:17" x14ac:dyDescent="0.35">
      <c r="A13">
        <v>11</v>
      </c>
      <c r="B13" s="14">
        <f t="shared" ca="1" si="8"/>
        <v>46404</v>
      </c>
      <c r="C13" s="15">
        <f ca="1">(1+('Symulacja Pożyczka'!$B$7+'Symulacja Pożyczka'!$B$16)*('Arkusz1 (3)'!B13-'Arkusz1 (3)'!B12)/365)</f>
        <v>1.0062849315068494</v>
      </c>
      <c r="D13" s="15">
        <f ca="1">(1+('Symulacja Pożyczka'!$B$7+'Symulacja Pożyczka'!$B$16)*('Arkusz1 (3)'!B13-'Arkusz1 (3)'!B12)/366)</f>
        <v>1.0062677595628415</v>
      </c>
      <c r="E13" s="15">
        <f t="shared" ca="1" si="0"/>
        <v>0</v>
      </c>
      <c r="F13" s="15">
        <f t="shared" ca="1" si="1"/>
        <v>0</v>
      </c>
      <c r="G13">
        <f ca="1">IF(E13=1,(1+('Symulacja Pożyczka'!$B$7+'Symulacja Pożyczka'!$B$16)*((('Arkusz1 (3)'!B13-DATE(YEAR(B13),1,1)+1)/365)+((DATE(YEAR(B12),12,31)-'Arkusz1 (3)'!B12)/366))),IF(F13=1,(1+('Symulacja Pożyczka'!$B$7+'Symulacja Pożyczka'!$B$16)*((('Arkusz1 (3)'!B13-DATE(YEAR(B13),1,1)+1)/366)+((DATE(YEAR(B12),12,31)-'Arkusz1 (3)'!B12)/365))),0))</f>
        <v>0</v>
      </c>
      <c r="H13">
        <f t="shared" ca="1" si="2"/>
        <v>0</v>
      </c>
      <c r="I13">
        <f t="shared" ca="1" si="3"/>
        <v>1.0062849315068494</v>
      </c>
      <c r="J13">
        <f t="shared" ca="1" si="4"/>
        <v>1.0062849315068494</v>
      </c>
      <c r="K13">
        <f ca="1">PRODUCT($J$3:J13)</f>
        <v>1.0670343265534539</v>
      </c>
      <c r="L13">
        <f t="shared" ca="1" si="5"/>
        <v>0.9371769727690239</v>
      </c>
      <c r="M13">
        <f ca="1">SUM($L$3:L13)</f>
        <v>10.634745083146333</v>
      </c>
      <c r="O13">
        <f ca="1">(Q12*'Arkusz1 (3)'!J13)-Q12</f>
        <v>7260.4200542725157</v>
      </c>
      <c r="P13" s="16">
        <f t="shared" ca="1" si="6"/>
        <v>7233.8164176262471</v>
      </c>
      <c r="Q13" s="17">
        <f t="shared" ca="1" si="7"/>
        <v>1147976.8722525672</v>
      </c>
    </row>
    <row r="14" spans="1:17" x14ac:dyDescent="0.35">
      <c r="A14">
        <v>12</v>
      </c>
      <c r="B14" s="14">
        <f t="shared" ca="1" si="8"/>
        <v>46435</v>
      </c>
      <c r="C14" s="15">
        <f ca="1">(1+('Symulacja Pożyczka'!$B$7+'Symulacja Pożyczka'!$B$16)*('Arkusz1 (3)'!B14-'Arkusz1 (3)'!B13)/365)</f>
        <v>1.0062849315068494</v>
      </c>
      <c r="D14" s="15">
        <f ca="1">(1+('Symulacja Pożyczka'!$B$7+'Symulacja Pożyczka'!$B$16)*('Arkusz1 (3)'!B14-'Arkusz1 (3)'!B13)/366)</f>
        <v>1.0062677595628415</v>
      </c>
      <c r="E14" s="15">
        <f t="shared" ca="1" si="0"/>
        <v>0</v>
      </c>
      <c r="F14" s="15">
        <f t="shared" ca="1" si="1"/>
        <v>0</v>
      </c>
      <c r="G14">
        <f ca="1">IF(E14=1,(1+('Symulacja Pożyczka'!$B$7+'Symulacja Pożyczka'!$B$16)*((('Arkusz1 (3)'!B14-DATE(YEAR(B14),1,1)+1)/365)+((DATE(YEAR(B13),12,31)-'Arkusz1 (3)'!B13)/366))),IF(F14=1,(1+('Symulacja Pożyczka'!$B$7+'Symulacja Pożyczka'!$B$16)*((('Arkusz1 (3)'!B14-DATE(YEAR(B14),1,1)+1)/366)+((DATE(YEAR(B13),12,31)-'Arkusz1 (3)'!B13)/365))),0))</f>
        <v>0</v>
      </c>
      <c r="H14">
        <f t="shared" ca="1" si="2"/>
        <v>0</v>
      </c>
      <c r="I14">
        <f t="shared" ca="1" si="3"/>
        <v>1.0062849315068494</v>
      </c>
      <c r="J14">
        <f t="shared" ca="1" si="4"/>
        <v>1.0062849315068494</v>
      </c>
      <c r="K14">
        <f ca="1">PRODUCT($J$3:J14)</f>
        <v>1.0737405642112996</v>
      </c>
      <c r="L14">
        <f t="shared" ca="1" si="5"/>
        <v>0.93132366730927718</v>
      </c>
      <c r="M14">
        <f ca="1">SUM($L$3:L14)</f>
        <v>11.56606875045561</v>
      </c>
      <c r="O14">
        <f ca="1">(Q13*'Arkusz1 (3)'!J14)-Q13</f>
        <v>7214.9560135544743</v>
      </c>
      <c r="P14" s="16">
        <f t="shared" ca="1" si="6"/>
        <v>7279.2804583442885</v>
      </c>
      <c r="Q14" s="17">
        <f t="shared" ca="1" si="7"/>
        <v>1140697.5917942228</v>
      </c>
    </row>
    <row r="15" spans="1:17" x14ac:dyDescent="0.35">
      <c r="A15">
        <v>13</v>
      </c>
      <c r="B15" s="14">
        <f t="shared" ca="1" si="8"/>
        <v>46463</v>
      </c>
      <c r="C15" s="15">
        <f ca="1">(1+('Symulacja Pożyczka'!$B$7+'Symulacja Pożyczka'!$B$16)*('Arkusz1 (3)'!B15-'Arkusz1 (3)'!B14)/365)</f>
        <v>1.0056767123287671</v>
      </c>
      <c r="D15" s="15">
        <f ca="1">(1+('Symulacja Pożyczka'!$B$7+'Symulacja Pożyczka'!$B$16)*('Arkusz1 (3)'!B15-'Arkusz1 (3)'!B14)/366)</f>
        <v>1.0056612021857922</v>
      </c>
      <c r="E15" s="15">
        <f t="shared" ca="1" si="0"/>
        <v>0</v>
      </c>
      <c r="F15" s="15">
        <f t="shared" ca="1" si="1"/>
        <v>0</v>
      </c>
      <c r="G15">
        <f ca="1">IF(E15=1,(1+('Symulacja Pożyczka'!$B$7+'Symulacja Pożyczka'!$B$16)*((('Arkusz1 (3)'!B15-DATE(YEAR(B15),1,1)+1)/365)+((DATE(YEAR(B14),12,31)-'Arkusz1 (3)'!B14)/366))),IF(F15=1,(1+('Symulacja Pożyczka'!$B$7+'Symulacja Pożyczka'!$B$16)*((('Arkusz1 (3)'!B15-DATE(YEAR(B15),1,1)+1)/366)+((DATE(YEAR(B14),12,31)-'Arkusz1 (3)'!B14)/365))),0))</f>
        <v>0</v>
      </c>
      <c r="H15">
        <f t="shared" ca="1" si="2"/>
        <v>0</v>
      </c>
      <c r="I15">
        <f t="shared" ca="1" si="3"/>
        <v>1.0056767123287671</v>
      </c>
      <c r="J15">
        <f t="shared" ca="1" si="4"/>
        <v>1.0056767123287671</v>
      </c>
      <c r="K15">
        <f ca="1">PRODUCT($J$3:J15)</f>
        <v>1.0798358805100552</v>
      </c>
      <c r="L15">
        <f t="shared" ca="1" si="5"/>
        <v>0.92606665332110927</v>
      </c>
      <c r="M15">
        <f ca="1">SUM($L$3:L15)</f>
        <v>12.49213540377672</v>
      </c>
      <c r="O15">
        <f ca="1">(Q14*'Arkusz1 (3)'!J15)-Q14</f>
        <v>6475.4120827331208</v>
      </c>
      <c r="P15" s="16">
        <f t="shared" ca="1" si="6"/>
        <v>8018.8243891656421</v>
      </c>
      <c r="Q15" s="17">
        <f t="shared" ca="1" si="7"/>
        <v>1132678.7674050571</v>
      </c>
    </row>
    <row r="16" spans="1:17" x14ac:dyDescent="0.35">
      <c r="A16">
        <v>14</v>
      </c>
      <c r="B16" s="14">
        <f t="shared" ca="1" si="8"/>
        <v>46494</v>
      </c>
      <c r="C16" s="15">
        <f ca="1">(1+('Symulacja Pożyczka'!$B$7+'Symulacja Pożyczka'!$B$16)*('Arkusz1 (3)'!B16-'Arkusz1 (3)'!B15)/365)</f>
        <v>1.0062849315068494</v>
      </c>
      <c r="D16" s="15">
        <f ca="1">(1+('Symulacja Pożyczka'!$B$7+'Symulacja Pożyczka'!$B$16)*('Arkusz1 (3)'!B16-'Arkusz1 (3)'!B15)/366)</f>
        <v>1.0062677595628415</v>
      </c>
      <c r="E16" s="15">
        <f t="shared" ca="1" si="0"/>
        <v>0</v>
      </c>
      <c r="F16" s="15">
        <f t="shared" ca="1" si="1"/>
        <v>0</v>
      </c>
      <c r="G16">
        <f ca="1">IF(E16=1,(1+('Symulacja Pożyczka'!$B$7+'Symulacja Pożyczka'!$B$16)*((('Arkusz1 (3)'!B16-DATE(YEAR(B16),1,1)+1)/365)+((DATE(YEAR(B15),12,31)-'Arkusz1 (3)'!B15)/366))),IF(F16=1,(1+('Symulacja Pożyczka'!$B$7+'Symulacja Pożyczka'!$B$16)*((('Arkusz1 (3)'!B16-DATE(YEAR(B16),1,1)+1)/366)+((DATE(YEAR(B15),12,31)-'Arkusz1 (3)'!B15)/365))),0))</f>
        <v>0</v>
      </c>
      <c r="H16">
        <f t="shared" ca="1" si="2"/>
        <v>0</v>
      </c>
      <c r="I16">
        <f t="shared" ca="1" si="3"/>
        <v>1.0062849315068494</v>
      </c>
      <c r="J16">
        <f t="shared" ca="1" si="4"/>
        <v>1.0062849315068494</v>
      </c>
      <c r="K16">
        <f ca="1">PRODUCT($J$3:J16)</f>
        <v>1.0866225750576992</v>
      </c>
      <c r="L16">
        <f t="shared" ca="1" si="5"/>
        <v>0.92028273933743776</v>
      </c>
      <c r="M16">
        <f ca="1">SUM($L$3:L16)</f>
        <v>13.412418143114158</v>
      </c>
      <c r="O16">
        <f ca="1">(Q15*'Arkusz1 (3)'!J16)-Q15</f>
        <v>7118.8084724033251</v>
      </c>
      <c r="P16" s="16">
        <f t="shared" ca="1" si="6"/>
        <v>7375.4279994954377</v>
      </c>
      <c r="Q16" s="17">
        <f t="shared" ca="1" si="7"/>
        <v>1125303.3394055616</v>
      </c>
    </row>
    <row r="17" spans="1:17" x14ac:dyDescent="0.35">
      <c r="A17">
        <v>15</v>
      </c>
      <c r="B17" s="14">
        <f t="shared" ca="1" si="8"/>
        <v>46524</v>
      </c>
      <c r="C17" s="15">
        <f ca="1">(1+('Symulacja Pożyczka'!$B$7+'Symulacja Pożyczka'!$B$16)*('Arkusz1 (3)'!B17-'Arkusz1 (3)'!B16)/365)</f>
        <v>1.0060821917808218</v>
      </c>
      <c r="D17" s="15">
        <f ca="1">(1+('Symulacja Pożyczka'!$B$7+'Symulacja Pożyczka'!$B$16)*('Arkusz1 (3)'!B17-'Arkusz1 (3)'!B16)/366)</f>
        <v>1.0060655737704918</v>
      </c>
      <c r="E17" s="15">
        <f t="shared" ca="1" si="0"/>
        <v>0</v>
      </c>
      <c r="F17" s="15">
        <f t="shared" ca="1" si="1"/>
        <v>0</v>
      </c>
      <c r="G17">
        <f ca="1">IF(E17=1,(1+('Symulacja Pożyczka'!$B$7+'Symulacja Pożyczka'!$B$16)*((('Arkusz1 (3)'!B17-DATE(YEAR(B17),1,1)+1)/365)+((DATE(YEAR(B16),12,31)-'Arkusz1 (3)'!B16)/366))),IF(F17=1,(1+('Symulacja Pożyczka'!$B$7+'Symulacja Pożyczka'!$B$16)*((('Arkusz1 (3)'!B17-DATE(YEAR(B17),1,1)+1)/366)+((DATE(YEAR(B16),12,31)-'Arkusz1 (3)'!B16)/365))),0))</f>
        <v>0</v>
      </c>
      <c r="H17">
        <f t="shared" ca="1" si="2"/>
        <v>0</v>
      </c>
      <c r="I17">
        <f t="shared" ca="1" si="3"/>
        <v>1.0060821917808218</v>
      </c>
      <c r="J17">
        <f t="shared" ca="1" si="4"/>
        <v>1.0060821917808218</v>
      </c>
      <c r="K17">
        <f ca="1">PRODUCT($J$3:J17)</f>
        <v>1.0932316219525706</v>
      </c>
      <c r="L17">
        <f t="shared" ca="1" si="5"/>
        <v>0.91471924148511741</v>
      </c>
      <c r="M17">
        <f ca="1">SUM($L$3:L17)</f>
        <v>14.327137384599276</v>
      </c>
      <c r="O17">
        <f ca="1">(Q16*'Arkusz1 (3)'!J17)-Q16</f>
        <v>6844.3107218637597</v>
      </c>
      <c r="P17" s="16">
        <f t="shared" ca="1" si="6"/>
        <v>7649.9257500350031</v>
      </c>
      <c r="Q17" s="17">
        <f t="shared" ca="1" si="7"/>
        <v>1117653.4136555265</v>
      </c>
    </row>
    <row r="18" spans="1:17" x14ac:dyDescent="0.35">
      <c r="A18">
        <v>16</v>
      </c>
      <c r="B18" s="14">
        <f t="shared" ca="1" si="8"/>
        <v>46555</v>
      </c>
      <c r="C18" s="15">
        <f ca="1">(1+('Symulacja Pożyczka'!$B$7+'Symulacja Pożyczka'!$B$16)*('Arkusz1 (3)'!B18-'Arkusz1 (3)'!B17)/365)</f>
        <v>1.0062849315068494</v>
      </c>
      <c r="D18" s="15">
        <f ca="1">(1+('Symulacja Pożyczka'!$B$7+'Symulacja Pożyczka'!$B$16)*('Arkusz1 (3)'!B18-'Arkusz1 (3)'!B17)/366)</f>
        <v>1.0062677595628415</v>
      </c>
      <c r="E18" s="15">
        <f t="shared" ca="1" si="0"/>
        <v>0</v>
      </c>
      <c r="F18" s="15">
        <f t="shared" ca="1" si="1"/>
        <v>0</v>
      </c>
      <c r="G18">
        <f ca="1">IF(E18=1,(1+('Symulacja Pożyczka'!$B$7+'Symulacja Pożyczka'!$B$16)*((('Arkusz1 (3)'!B18-DATE(YEAR(B18),1,1)+1)/365)+((DATE(YEAR(B17),12,31)-'Arkusz1 (3)'!B17)/366))),IF(F18=1,(1+('Symulacja Pożyczka'!$B$7+'Symulacja Pożyczka'!$B$16)*((('Arkusz1 (3)'!B18-DATE(YEAR(B18),1,1)+1)/366)+((DATE(YEAR(B17),12,31)-'Arkusz1 (3)'!B17)/365))),0))</f>
        <v>0</v>
      </c>
      <c r="H18">
        <f t="shared" ca="1" si="2"/>
        <v>0</v>
      </c>
      <c r="I18">
        <f t="shared" ca="1" si="3"/>
        <v>1.0062849315068494</v>
      </c>
      <c r="J18">
        <f t="shared" ca="1" si="4"/>
        <v>1.0062849315068494</v>
      </c>
      <c r="K18">
        <f ca="1">PRODUCT($J$3:J18)</f>
        <v>1.1001025078176645</v>
      </c>
      <c r="L18">
        <f t="shared" ca="1" si="5"/>
        <v>0.90900619978019725</v>
      </c>
      <c r="M18">
        <f ca="1">SUM($L$3:L18)</f>
        <v>15.236143584379473</v>
      </c>
      <c r="O18">
        <f ca="1">(Q17*'Arkusz1 (3)'!J18)-Q17</f>
        <v>7024.3751532214228</v>
      </c>
      <c r="P18" s="16">
        <f t="shared" ca="1" si="6"/>
        <v>7469.86131867734</v>
      </c>
      <c r="Q18" s="17">
        <f t="shared" ca="1" si="7"/>
        <v>1110183.552336849</v>
      </c>
    </row>
    <row r="19" spans="1:17" x14ac:dyDescent="0.35">
      <c r="A19">
        <v>17</v>
      </c>
      <c r="B19" s="14">
        <f t="shared" ca="1" si="8"/>
        <v>46585</v>
      </c>
      <c r="C19" s="15">
        <f ca="1">(1+('Symulacja Pożyczka'!$B$7+'Symulacja Pożyczka'!$B$16)*('Arkusz1 (3)'!B19-'Arkusz1 (3)'!B18)/365)</f>
        <v>1.0060821917808218</v>
      </c>
      <c r="D19" s="15">
        <f ca="1">(1+('Symulacja Pożyczka'!$B$7+'Symulacja Pożyczka'!$B$16)*('Arkusz1 (3)'!B19-'Arkusz1 (3)'!B18)/366)</f>
        <v>1.0060655737704918</v>
      </c>
      <c r="E19" s="15">
        <f t="shared" ca="1" si="0"/>
        <v>0</v>
      </c>
      <c r="F19" s="15">
        <f t="shared" ca="1" si="1"/>
        <v>0</v>
      </c>
      <c r="G19">
        <f ca="1">IF(E19=1,(1+('Symulacja Pożyczka'!$B$7+'Symulacja Pożyczka'!$B$16)*((('Arkusz1 (3)'!B19-DATE(YEAR(B19),1,1)+1)/365)+((DATE(YEAR(B18),12,31)-'Arkusz1 (3)'!B18)/366))),IF(F19=1,(1+('Symulacja Pożyczka'!$B$7+'Symulacja Pożyczka'!$B$16)*((('Arkusz1 (3)'!B19-DATE(YEAR(B19),1,1)+1)/366)+((DATE(YEAR(B18),12,31)-'Arkusz1 (3)'!B18)/365))),0))</f>
        <v>0</v>
      </c>
      <c r="H19">
        <f t="shared" ca="1" si="2"/>
        <v>0</v>
      </c>
      <c r="I19">
        <f t="shared" ca="1" si="3"/>
        <v>1.0060821917808218</v>
      </c>
      <c r="J19">
        <f t="shared" ca="1" si="4"/>
        <v>1.0060821917808218</v>
      </c>
      <c r="K19">
        <f ca="1">PRODUCT($J$3:J19)</f>
        <v>1.1067935422487745</v>
      </c>
      <c r="L19">
        <f t="shared" ca="1" si="5"/>
        <v>0.9035108733722893</v>
      </c>
      <c r="M19">
        <f ca="1">SUM($L$3:L19)</f>
        <v>16.139654457751764</v>
      </c>
      <c r="O19">
        <f ca="1">(Q18*'Arkusz1 (3)'!J19)-Q18</f>
        <v>6752.34927722672</v>
      </c>
      <c r="P19" s="16">
        <f t="shared" ca="1" si="6"/>
        <v>7741.8871946720428</v>
      </c>
      <c r="Q19" s="17">
        <f t="shared" ca="1" si="7"/>
        <v>1102441.6651421769</v>
      </c>
    </row>
    <row r="20" spans="1:17" x14ac:dyDescent="0.35">
      <c r="A20">
        <v>18</v>
      </c>
      <c r="B20" s="14">
        <f t="shared" ca="1" si="8"/>
        <v>46616</v>
      </c>
      <c r="C20" s="15">
        <f ca="1">(1+('Symulacja Pożyczka'!$B$7+'Symulacja Pożyczka'!$B$16)*('Arkusz1 (3)'!B20-'Arkusz1 (3)'!B19)/365)</f>
        <v>1.0062849315068494</v>
      </c>
      <c r="D20" s="15">
        <f ca="1">(1+('Symulacja Pożyczka'!$B$7+'Symulacja Pożyczka'!$B$16)*('Arkusz1 (3)'!B20-'Arkusz1 (3)'!B19)/366)</f>
        <v>1.0062677595628415</v>
      </c>
      <c r="E20" s="15">
        <f t="shared" ca="1" si="0"/>
        <v>0</v>
      </c>
      <c r="F20" s="15">
        <f t="shared" ca="1" si="1"/>
        <v>0</v>
      </c>
      <c r="G20">
        <f ca="1">IF(E20=1,(1+('Symulacja Pożyczka'!$B$7+'Symulacja Pożyczka'!$B$16)*((('Arkusz1 (3)'!B20-DATE(YEAR(B20),1,1)+1)/365)+((DATE(YEAR(B19),12,31)-'Arkusz1 (3)'!B19)/366))),IF(F20=1,(1+('Symulacja Pożyczka'!$B$7+'Symulacja Pożyczka'!$B$16)*((('Arkusz1 (3)'!B20-DATE(YEAR(B20),1,1)+1)/366)+((DATE(YEAR(B19),12,31)-'Arkusz1 (3)'!B19)/365))),0))</f>
        <v>0</v>
      </c>
      <c r="H20">
        <f t="shared" ca="1" si="2"/>
        <v>0</v>
      </c>
      <c r="I20">
        <f t="shared" ca="1" si="3"/>
        <v>1.0062849315068494</v>
      </c>
      <c r="J20">
        <f t="shared" ca="1" si="4"/>
        <v>1.0062849315068494</v>
      </c>
      <c r="K20">
        <f ca="1">PRODUCT($J$3:J20)</f>
        <v>1.1137496638540312</v>
      </c>
      <c r="L20">
        <f t="shared" ca="1" si="5"/>
        <v>0.89786783552381899</v>
      </c>
      <c r="M20">
        <f ca="1">SUM($L$3:L20)</f>
        <v>17.037522293275583</v>
      </c>
      <c r="O20">
        <f ca="1">(Q19*'Arkusz1 (3)'!J20)-Q19</f>
        <v>6928.7703557156492</v>
      </c>
      <c r="P20" s="16">
        <f t="shared" ca="1" si="6"/>
        <v>7565.4661161831136</v>
      </c>
      <c r="Q20" s="17">
        <f t="shared" ca="1" si="7"/>
        <v>1094876.1990259937</v>
      </c>
    </row>
    <row r="21" spans="1:17" x14ac:dyDescent="0.35">
      <c r="A21">
        <v>19</v>
      </c>
      <c r="B21" s="14">
        <f t="shared" ca="1" si="8"/>
        <v>46647</v>
      </c>
      <c r="C21" s="15">
        <f ca="1">(1+('Symulacja Pożyczka'!$B$7+'Symulacja Pożyczka'!$B$16)*('Arkusz1 (3)'!B21-'Arkusz1 (3)'!B20)/365)</f>
        <v>1.0062849315068494</v>
      </c>
      <c r="D21" s="15">
        <f ca="1">(1+('Symulacja Pożyczka'!$B$7+'Symulacja Pożyczka'!$B$16)*('Arkusz1 (3)'!B21-'Arkusz1 (3)'!B20)/366)</f>
        <v>1.0062677595628415</v>
      </c>
      <c r="E21" s="15">
        <f t="shared" ca="1" si="0"/>
        <v>0</v>
      </c>
      <c r="F21" s="15">
        <f t="shared" ca="1" si="1"/>
        <v>0</v>
      </c>
      <c r="G21">
        <f ca="1">IF(E21=1,(1+('Symulacja Pożyczka'!$B$7+'Symulacja Pożyczka'!$B$16)*((('Arkusz1 (3)'!B21-DATE(YEAR(B21),1,1)+1)/365)+((DATE(YEAR(B20),12,31)-'Arkusz1 (3)'!B20)/366))),IF(F21=1,(1+('Symulacja Pożyczka'!$B$7+'Symulacja Pożyczka'!$B$16)*((('Arkusz1 (3)'!B21-DATE(YEAR(B21),1,1)+1)/366)+((DATE(YEAR(B20),12,31)-'Arkusz1 (3)'!B20)/365))),0))</f>
        <v>0</v>
      </c>
      <c r="H21">
        <f t="shared" ca="1" si="2"/>
        <v>0</v>
      </c>
      <c r="I21">
        <f t="shared" ca="1" si="3"/>
        <v>1.0062849315068494</v>
      </c>
      <c r="J21">
        <f t="shared" ca="1" si="4"/>
        <v>1.0062849315068494</v>
      </c>
      <c r="K21">
        <f ca="1">PRODUCT($J$3:J21)</f>
        <v>1.1207495042071303</v>
      </c>
      <c r="L21">
        <f t="shared" ca="1" si="5"/>
        <v>0.89226004227184197</v>
      </c>
      <c r="M21">
        <f ca="1">SUM($L$3:L21)</f>
        <v>17.929782335547426</v>
      </c>
      <c r="O21">
        <f ca="1">(Q20*'Arkusz1 (3)'!J21)-Q20</f>
        <v>6881.2219193580095</v>
      </c>
      <c r="P21" s="16">
        <f t="shared" ca="1" si="6"/>
        <v>7613.0145525407534</v>
      </c>
      <c r="Q21" s="17">
        <f t="shared" ca="1" si="7"/>
        <v>1087263.1844734529</v>
      </c>
    </row>
    <row r="22" spans="1:17" x14ac:dyDescent="0.35">
      <c r="A22">
        <v>20</v>
      </c>
      <c r="B22" s="14">
        <f t="shared" ca="1" si="8"/>
        <v>46677</v>
      </c>
      <c r="C22" s="15">
        <f ca="1">(1+('Symulacja Pożyczka'!$B$7+'Symulacja Pożyczka'!$B$16)*('Arkusz1 (3)'!B22-'Arkusz1 (3)'!B21)/365)</f>
        <v>1.0060821917808218</v>
      </c>
      <c r="D22" s="15">
        <f ca="1">(1+('Symulacja Pożyczka'!$B$7+'Symulacja Pożyczka'!$B$16)*('Arkusz1 (3)'!B22-'Arkusz1 (3)'!B21)/366)</f>
        <v>1.0060655737704918</v>
      </c>
      <c r="E22" s="15">
        <f t="shared" ca="1" si="0"/>
        <v>0</v>
      </c>
      <c r="F22" s="15">
        <f t="shared" ca="1" si="1"/>
        <v>0</v>
      </c>
      <c r="G22">
        <f ca="1">IF(E22=1,(1+('Symulacja Pożyczka'!$B$7+'Symulacja Pożyczka'!$B$16)*((('Arkusz1 (3)'!B22-DATE(YEAR(B22),1,1)+1)/365)+((DATE(YEAR(B21),12,31)-'Arkusz1 (3)'!B21)/366))),IF(F22=1,(1+('Symulacja Pożyczka'!$B$7+'Symulacja Pożyczka'!$B$16)*((('Arkusz1 (3)'!B22-DATE(YEAR(B22),1,1)+1)/366)+((DATE(YEAR(B21),12,31)-'Arkusz1 (3)'!B21)/365))),0))</f>
        <v>0</v>
      </c>
      <c r="H22">
        <f t="shared" ca="1" si="2"/>
        <v>0</v>
      </c>
      <c r="I22">
        <f t="shared" ca="1" si="3"/>
        <v>1.0060821917808218</v>
      </c>
      <c r="J22">
        <f t="shared" ca="1" si="4"/>
        <v>1.0060821917808218</v>
      </c>
      <c r="K22">
        <f ca="1">PRODUCT($J$3:J22)</f>
        <v>1.1275661176299789</v>
      </c>
      <c r="L22">
        <f t="shared" ca="1" si="5"/>
        <v>0.88686595345902286</v>
      </c>
      <c r="M22">
        <f ca="1">SUM($L$3:L22)</f>
        <v>18.816648289006448</v>
      </c>
      <c r="O22">
        <f ca="1">(Q21*'Arkusz1 (3)'!J22)-Q21</f>
        <v>6612.9432041945402</v>
      </c>
      <c r="P22" s="16">
        <f t="shared" ca="1" si="6"/>
        <v>7881.2932677042227</v>
      </c>
      <c r="Q22" s="17">
        <f t="shared" ca="1" si="7"/>
        <v>1079381.8912057485</v>
      </c>
    </row>
    <row r="23" spans="1:17" x14ac:dyDescent="0.35">
      <c r="A23">
        <v>21</v>
      </c>
      <c r="B23" s="14">
        <f t="shared" ca="1" si="8"/>
        <v>46708</v>
      </c>
      <c r="C23" s="15">
        <f ca="1">(1+('Symulacja Pożyczka'!$B$7+'Symulacja Pożyczka'!$B$16)*('Arkusz1 (3)'!B23-'Arkusz1 (3)'!B22)/365)</f>
        <v>1.0062849315068494</v>
      </c>
      <c r="D23" s="15">
        <f ca="1">(1+('Symulacja Pożyczka'!$B$7+'Symulacja Pożyczka'!$B$16)*('Arkusz1 (3)'!B23-'Arkusz1 (3)'!B22)/366)</f>
        <v>1.0062677595628415</v>
      </c>
      <c r="E23" s="15">
        <f t="shared" ca="1" si="0"/>
        <v>0</v>
      </c>
      <c r="F23" s="15">
        <f t="shared" ca="1" si="1"/>
        <v>0</v>
      </c>
      <c r="G23">
        <f ca="1">IF(E23=1,(1+('Symulacja Pożyczka'!$B$7+'Symulacja Pożyczka'!$B$16)*((('Arkusz1 (3)'!B23-DATE(YEAR(B23),1,1)+1)/365)+((DATE(YEAR(B22),12,31)-'Arkusz1 (3)'!B22)/366))),IF(F23=1,(1+('Symulacja Pożyczka'!$B$7+'Symulacja Pożyczka'!$B$16)*((('Arkusz1 (3)'!B23-DATE(YEAR(B23),1,1)+1)/366)+((DATE(YEAR(B22),12,31)-'Arkusz1 (3)'!B22)/365))),0))</f>
        <v>0</v>
      </c>
      <c r="H23">
        <f t="shared" ca="1" si="2"/>
        <v>0</v>
      </c>
      <c r="I23">
        <f t="shared" ca="1" si="3"/>
        <v>1.0062849315068494</v>
      </c>
      <c r="J23">
        <f t="shared" ca="1" si="4"/>
        <v>1.0062849315068494</v>
      </c>
      <c r="K23">
        <f ca="1">PRODUCT($J$3:J23)</f>
        <v>1.1346527934487274</v>
      </c>
      <c r="L23">
        <f t="shared" ca="1" si="5"/>
        <v>0.88132687441815916</v>
      </c>
      <c r="M23">
        <f ca="1">SUM($L$3:L23)</f>
        <v>19.697975163424609</v>
      </c>
      <c r="O23">
        <f ca="1">(Q22*'Arkusz1 (3)'!J23)-Q22</f>
        <v>6783.8412559616845</v>
      </c>
      <c r="P23" s="16">
        <f t="shared" ca="1" si="6"/>
        <v>7710.3952159370783</v>
      </c>
      <c r="Q23" s="17">
        <f t="shared" ca="1" si="7"/>
        <v>1071671.4959898114</v>
      </c>
    </row>
    <row r="24" spans="1:17" x14ac:dyDescent="0.35">
      <c r="A24">
        <v>22</v>
      </c>
      <c r="B24" s="14">
        <f t="shared" ca="1" si="8"/>
        <v>46738</v>
      </c>
      <c r="C24" s="15">
        <f ca="1">(1+('Symulacja Pożyczka'!$B$7+'Symulacja Pożyczka'!$B$16)*('Arkusz1 (3)'!B24-'Arkusz1 (3)'!B23)/365)</f>
        <v>1.0060821917808218</v>
      </c>
      <c r="D24" s="15">
        <f ca="1">(1+('Symulacja Pożyczka'!$B$7+'Symulacja Pożyczka'!$B$16)*('Arkusz1 (3)'!B24-'Arkusz1 (3)'!B23)/366)</f>
        <v>1.0060655737704918</v>
      </c>
      <c r="E24" s="15">
        <f t="shared" ca="1" si="0"/>
        <v>0</v>
      </c>
      <c r="F24" s="15">
        <f t="shared" ca="1" si="1"/>
        <v>0</v>
      </c>
      <c r="G24">
        <f ca="1">IF(E24=1,(1+('Symulacja Pożyczka'!$B$7+'Symulacja Pożyczka'!$B$16)*((('Arkusz1 (3)'!B24-DATE(YEAR(B24),1,1)+1)/365)+((DATE(YEAR(B23),12,31)-'Arkusz1 (3)'!B23)/366))),IF(F24=1,(1+('Symulacja Pożyczka'!$B$7+'Symulacja Pożyczka'!$B$16)*((('Arkusz1 (3)'!B24-DATE(YEAR(B24),1,1)+1)/366)+((DATE(YEAR(B23),12,31)-'Arkusz1 (3)'!B23)/365))),0))</f>
        <v>0</v>
      </c>
      <c r="H24">
        <f t="shared" ca="1" si="2"/>
        <v>0</v>
      </c>
      <c r="I24">
        <f t="shared" ca="1" si="3"/>
        <v>1.0060821917808218</v>
      </c>
      <c r="J24">
        <f t="shared" ca="1" si="4"/>
        <v>1.0060821917808218</v>
      </c>
      <c r="K24">
        <f ca="1">PRODUCT($J$3:J24)</f>
        <v>1.1415539693431278</v>
      </c>
      <c r="L24">
        <f t="shared" ca="1" si="5"/>
        <v>0.8759988812227768</v>
      </c>
      <c r="M24">
        <f ca="1">SUM($L$3:L24)</f>
        <v>20.573974044647386</v>
      </c>
      <c r="O24">
        <f ca="1">(Q23*'Arkusz1 (3)'!J24)-Q23</f>
        <v>6518.1115646502003</v>
      </c>
      <c r="P24" s="16">
        <f t="shared" ca="1" si="6"/>
        <v>7976.1249072485625</v>
      </c>
      <c r="Q24" s="17">
        <f t="shared" ca="1" si="7"/>
        <v>1063695.3710825627</v>
      </c>
    </row>
    <row r="25" spans="1:17" x14ac:dyDescent="0.35">
      <c r="A25">
        <v>23</v>
      </c>
      <c r="B25" s="14">
        <f t="shared" ca="1" si="8"/>
        <v>46769</v>
      </c>
      <c r="C25" s="15">
        <f ca="1">(1+('Symulacja Pożyczka'!$B$7+'Symulacja Pożyczka'!$B$16)*('Arkusz1 (3)'!B25-'Arkusz1 (3)'!B24)/365)</f>
        <v>1.0062849315068494</v>
      </c>
      <c r="D25" s="15">
        <f ca="1">(1+('Symulacja Pożyczka'!$B$7+'Symulacja Pożyczka'!$B$16)*('Arkusz1 (3)'!B25-'Arkusz1 (3)'!B24)/366)</f>
        <v>1.0062677595628415</v>
      </c>
      <c r="E25" s="15">
        <f t="shared" ca="1" si="0"/>
        <v>0</v>
      </c>
      <c r="F25" s="15">
        <f t="shared" ca="1" si="1"/>
        <v>1</v>
      </c>
      <c r="G25">
        <f ca="1">IF(E25=1,(1+('Symulacja Pożyczka'!$B$7+'Symulacja Pożyczka'!$B$16)*((('Arkusz1 (3)'!B25-DATE(YEAR(B25),1,1)+1)/365)+((DATE(YEAR(B24),12,31)-'Arkusz1 (3)'!B24)/366))),IF(F25=1,(1+('Symulacja Pożyczka'!$B$7+'Symulacja Pożyczka'!$B$16)*((('Arkusz1 (3)'!B25-DATE(YEAR(B25),1,1)+1)/366)+((DATE(YEAR(B24),12,31)-'Arkusz1 (3)'!B24)/365))),0))</f>
        <v>1.006275514634329</v>
      </c>
      <c r="H25">
        <f t="shared" ca="1" si="2"/>
        <v>1</v>
      </c>
      <c r="I25">
        <f t="shared" ca="1" si="3"/>
        <v>1.0062677595628415</v>
      </c>
      <c r="J25">
        <f t="shared" ca="1" si="4"/>
        <v>1.006275514634329</v>
      </c>
      <c r="K25">
        <f ca="1">PRODUCT($J$3:J25)</f>
        <v>1.1487178079836169</v>
      </c>
      <c r="L25">
        <f t="shared" ca="1" si="5"/>
        <v>0.87053582093876802</v>
      </c>
      <c r="M25">
        <f ca="1">SUM($L$3:L25)</f>
        <v>21.444509865586156</v>
      </c>
      <c r="O25">
        <f ca="1">(Q24*'Arkusz1 (3)'!J25)-Q24</f>
        <v>6675.2358676965814</v>
      </c>
      <c r="P25" s="16">
        <f t="shared" ca="1" si="6"/>
        <v>7819.0006042021814</v>
      </c>
      <c r="Q25" s="17">
        <f t="shared" ca="1" si="7"/>
        <v>1055876.3704783604</v>
      </c>
    </row>
    <row r="26" spans="1:17" x14ac:dyDescent="0.35">
      <c r="A26">
        <v>24</v>
      </c>
      <c r="B26" s="14">
        <f t="shared" ca="1" si="8"/>
        <v>46800</v>
      </c>
      <c r="C26" s="15">
        <f ca="1">(1+('Symulacja Pożyczka'!$B$7+'Symulacja Pożyczka'!$B$16)*('Arkusz1 (3)'!B26-'Arkusz1 (3)'!B25)/365)</f>
        <v>1.0062849315068494</v>
      </c>
      <c r="D26" s="15">
        <f ca="1">(1+('Symulacja Pożyczka'!$B$7+'Symulacja Pożyczka'!$B$16)*('Arkusz1 (3)'!B26-'Arkusz1 (3)'!B25)/366)</f>
        <v>1.0062677595628415</v>
      </c>
      <c r="E26" s="15">
        <f t="shared" ca="1" si="0"/>
        <v>0</v>
      </c>
      <c r="F26" s="15">
        <f t="shared" ca="1" si="1"/>
        <v>0</v>
      </c>
      <c r="G26">
        <f ca="1">IF(E26=1,(1+('Symulacja Pożyczka'!$B$7+'Symulacja Pożyczka'!$B$16)*((('Arkusz1 (3)'!B26-DATE(YEAR(B26),1,1)+1)/365)+((DATE(YEAR(B25),12,31)-'Arkusz1 (3)'!B25)/366))),IF(F26=1,(1+('Symulacja Pożyczka'!$B$7+'Symulacja Pożyczka'!$B$16)*((('Arkusz1 (3)'!B26-DATE(YEAR(B26),1,1)+1)/366)+((DATE(YEAR(B25),12,31)-'Arkusz1 (3)'!B25)/365))),0))</f>
        <v>0</v>
      </c>
      <c r="H26">
        <f t="shared" ca="1" si="2"/>
        <v>1</v>
      </c>
      <c r="I26">
        <f t="shared" ca="1" si="3"/>
        <v>1.0062677595628415</v>
      </c>
      <c r="J26">
        <f t="shared" ca="1" si="4"/>
        <v>1.0062677595628415</v>
      </c>
      <c r="K26">
        <f ca="1">PRODUCT($J$3:J26)</f>
        <v>1.1559176950096126</v>
      </c>
      <c r="L26">
        <f t="shared" ca="1" si="5"/>
        <v>0.86511349754160827</v>
      </c>
      <c r="M26">
        <f ca="1">SUM($L$3:L26)</f>
        <v>22.309623363127763</v>
      </c>
      <c r="O26">
        <f ca="1">(Q25*'Arkusz1 (3)'!J26)-Q25</f>
        <v>6617.979218244087</v>
      </c>
      <c r="P26" s="16">
        <f t="shared" ca="1" si="6"/>
        <v>7876.2572536546759</v>
      </c>
      <c r="Q26" s="17">
        <f t="shared" ca="1" si="7"/>
        <v>1048000.1132247058</v>
      </c>
    </row>
    <row r="27" spans="1:17" x14ac:dyDescent="0.35">
      <c r="A27">
        <v>25</v>
      </c>
      <c r="B27" s="14">
        <f t="shared" ca="1" si="8"/>
        <v>46829</v>
      </c>
      <c r="C27" s="15">
        <f ca="1">(1+('Symulacja Pożyczka'!$B$7+'Symulacja Pożyczka'!$B$16)*('Arkusz1 (3)'!B27-'Arkusz1 (3)'!B26)/365)</f>
        <v>1.0058794520547945</v>
      </c>
      <c r="D27" s="15">
        <f ca="1">(1+('Symulacja Pożyczka'!$B$7+'Symulacja Pożyczka'!$B$16)*('Arkusz1 (3)'!B27-'Arkusz1 (3)'!B26)/366)</f>
        <v>1.005863387978142</v>
      </c>
      <c r="E27" s="15">
        <f t="shared" ca="1" si="0"/>
        <v>0</v>
      </c>
      <c r="F27" s="15">
        <f t="shared" ca="1" si="1"/>
        <v>0</v>
      </c>
      <c r="G27">
        <f ca="1">IF(E27=1,(1+('Symulacja Pożyczka'!$B$7+'Symulacja Pożyczka'!$B$16)*((('Arkusz1 (3)'!B27-DATE(YEAR(B27),1,1)+1)/365)+((DATE(YEAR(B26),12,31)-'Arkusz1 (3)'!B26)/366))),IF(F27=1,(1+('Symulacja Pożyczka'!$B$7+'Symulacja Pożyczka'!$B$16)*((('Arkusz1 (3)'!B27-DATE(YEAR(B27),1,1)+1)/366)+((DATE(YEAR(B26),12,31)-'Arkusz1 (3)'!B26)/365))),0))</f>
        <v>0</v>
      </c>
      <c r="H27">
        <f t="shared" ca="1" si="2"/>
        <v>1</v>
      </c>
      <c r="I27">
        <f t="shared" ca="1" si="3"/>
        <v>1.005863387978142</v>
      </c>
      <c r="J27">
        <f t="shared" ca="1" si="4"/>
        <v>1.005863387978142</v>
      </c>
      <c r="K27">
        <f ca="1">PRODUCT($J$3:J27)</f>
        <v>1.1626952889262536</v>
      </c>
      <c r="L27">
        <f t="shared" ca="1" si="5"/>
        <v>0.86007057010052712</v>
      </c>
      <c r="M27">
        <f ca="1">SUM($L$3:L27)</f>
        <v>23.169693933228288</v>
      </c>
      <c r="O27">
        <f ca="1">(Q26*'Arkusz1 (3)'!J27)-Q26</f>
        <v>6144.8312649732688</v>
      </c>
      <c r="P27" s="16">
        <f t="shared" ca="1" si="6"/>
        <v>8349.405206925494</v>
      </c>
      <c r="Q27" s="17">
        <f t="shared" ca="1" si="7"/>
        <v>1039650.7080177803</v>
      </c>
    </row>
    <row r="28" spans="1:17" x14ac:dyDescent="0.35">
      <c r="A28">
        <v>26</v>
      </c>
      <c r="B28" s="14">
        <f t="shared" ca="1" si="8"/>
        <v>46860</v>
      </c>
      <c r="C28" s="15">
        <f ca="1">(1+('Symulacja Pożyczka'!$B$7+'Symulacja Pożyczka'!$B$16)*('Arkusz1 (3)'!B28-'Arkusz1 (3)'!B27)/365)</f>
        <v>1.0062849315068494</v>
      </c>
      <c r="D28" s="15">
        <f ca="1">(1+('Symulacja Pożyczka'!$B$7+'Symulacja Pożyczka'!$B$16)*('Arkusz1 (3)'!B28-'Arkusz1 (3)'!B27)/366)</f>
        <v>1.0062677595628415</v>
      </c>
      <c r="E28" s="15">
        <f t="shared" ca="1" si="0"/>
        <v>0</v>
      </c>
      <c r="F28" s="15">
        <f t="shared" ca="1" si="1"/>
        <v>0</v>
      </c>
      <c r="G28">
        <f ca="1">IF(E28=1,(1+('Symulacja Pożyczka'!$B$7+'Symulacja Pożyczka'!$B$16)*((('Arkusz1 (3)'!B28-DATE(YEAR(B28),1,1)+1)/365)+((DATE(YEAR(B27),12,31)-'Arkusz1 (3)'!B27)/366))),IF(F28=1,(1+('Symulacja Pożyczka'!$B$7+'Symulacja Pożyczka'!$B$16)*((('Arkusz1 (3)'!B28-DATE(YEAR(B28),1,1)+1)/366)+((DATE(YEAR(B27),12,31)-'Arkusz1 (3)'!B27)/365))),0))</f>
        <v>0</v>
      </c>
      <c r="H28">
        <f t="shared" ca="1" si="2"/>
        <v>1</v>
      </c>
      <c r="I28">
        <f t="shared" ca="1" si="3"/>
        <v>1.0062677595628415</v>
      </c>
      <c r="J28">
        <f t="shared" ca="1" si="4"/>
        <v>1.0062677595628415</v>
      </c>
      <c r="K28">
        <f ca="1">PRODUCT($J$3:J28)</f>
        <v>1.1699827834420919</v>
      </c>
      <c r="L28">
        <f t="shared" ca="1" si="5"/>
        <v>0.85471343181478088</v>
      </c>
      <c r="M28">
        <f ca="1">SUM($L$3:L28)</f>
        <v>24.024407365043068</v>
      </c>
      <c r="O28">
        <f ca="1">(Q27*'Arkusz1 (3)'!J28)-Q27</f>
        <v>6516.2806671934668</v>
      </c>
      <c r="P28" s="16">
        <f t="shared" ca="1" si="6"/>
        <v>7977.955804705296</v>
      </c>
      <c r="Q28" s="17">
        <f t="shared" ca="1" si="7"/>
        <v>1031672.7522130751</v>
      </c>
    </row>
    <row r="29" spans="1:17" x14ac:dyDescent="0.35">
      <c r="A29">
        <v>27</v>
      </c>
      <c r="B29" s="14">
        <f t="shared" ca="1" si="8"/>
        <v>46890</v>
      </c>
      <c r="C29" s="15">
        <f ca="1">(1+('Symulacja Pożyczka'!$B$7+'Symulacja Pożyczka'!$B$16)*('Arkusz1 (3)'!B29-'Arkusz1 (3)'!B28)/365)</f>
        <v>1.0060821917808218</v>
      </c>
      <c r="D29" s="15">
        <f ca="1">(1+('Symulacja Pożyczka'!$B$7+'Symulacja Pożyczka'!$B$16)*('Arkusz1 (3)'!B29-'Arkusz1 (3)'!B28)/366)</f>
        <v>1.0060655737704918</v>
      </c>
      <c r="E29" s="15">
        <f t="shared" ca="1" si="0"/>
        <v>0</v>
      </c>
      <c r="F29" s="15">
        <f t="shared" ca="1" si="1"/>
        <v>0</v>
      </c>
      <c r="G29">
        <f ca="1">IF(E29=1,(1+('Symulacja Pożyczka'!$B$7+'Symulacja Pożyczka'!$B$16)*((('Arkusz1 (3)'!B29-DATE(YEAR(B29),1,1)+1)/365)+((DATE(YEAR(B28),12,31)-'Arkusz1 (3)'!B28)/366))),IF(F29=1,(1+('Symulacja Pożyczka'!$B$7+'Symulacja Pożyczka'!$B$16)*((('Arkusz1 (3)'!B29-DATE(YEAR(B29),1,1)+1)/366)+((DATE(YEAR(B28),12,31)-'Arkusz1 (3)'!B28)/365))),0))</f>
        <v>0</v>
      </c>
      <c r="H29">
        <f t="shared" ca="1" si="2"/>
        <v>1</v>
      </c>
      <c r="I29">
        <f t="shared" ca="1" si="3"/>
        <v>1.0060655737704918</v>
      </c>
      <c r="J29">
        <f t="shared" ca="1" si="4"/>
        <v>1.0060655737704918</v>
      </c>
      <c r="K29">
        <f ca="1">PRODUCT($J$3:J29)</f>
        <v>1.1770794003252651</v>
      </c>
      <c r="L29">
        <f t="shared" ca="1" si="5"/>
        <v>0.84956036077402053</v>
      </c>
      <c r="M29">
        <f ca="1">SUM($L$3:L29)</f>
        <v>24.873967725817089</v>
      </c>
      <c r="O29">
        <f ca="1">(Q28*'Arkusz1 (3)'!J29)-Q28</f>
        <v>6257.6871855546487</v>
      </c>
      <c r="P29" s="16">
        <f t="shared" ca="1" si="6"/>
        <v>8236.5492863441141</v>
      </c>
      <c r="Q29" s="17">
        <f t="shared" ca="1" si="7"/>
        <v>1023436.202926731</v>
      </c>
    </row>
    <row r="30" spans="1:17" x14ac:dyDescent="0.35">
      <c r="A30">
        <v>28</v>
      </c>
      <c r="B30" s="14">
        <f t="shared" ca="1" si="8"/>
        <v>46921</v>
      </c>
      <c r="C30" s="15">
        <f ca="1">(1+('Symulacja Pożyczka'!$B$7+'Symulacja Pożyczka'!$B$16)*('Arkusz1 (3)'!B30-'Arkusz1 (3)'!B29)/365)</f>
        <v>1.0062849315068494</v>
      </c>
      <c r="D30" s="15">
        <f ca="1">(1+('Symulacja Pożyczka'!$B$7+'Symulacja Pożyczka'!$B$16)*('Arkusz1 (3)'!B30-'Arkusz1 (3)'!B29)/366)</f>
        <v>1.0062677595628415</v>
      </c>
      <c r="E30" s="15">
        <f t="shared" ca="1" si="0"/>
        <v>0</v>
      </c>
      <c r="F30" s="15">
        <f t="shared" ca="1" si="1"/>
        <v>0</v>
      </c>
      <c r="G30">
        <f ca="1">IF(E30=1,(1+('Symulacja Pożyczka'!$B$7+'Symulacja Pożyczka'!$B$16)*((('Arkusz1 (3)'!B30-DATE(YEAR(B30),1,1)+1)/365)+((DATE(YEAR(B29),12,31)-'Arkusz1 (3)'!B29)/366))),IF(F30=1,(1+('Symulacja Pożyczka'!$B$7+'Symulacja Pożyczka'!$B$16)*((('Arkusz1 (3)'!B30-DATE(YEAR(B30),1,1)+1)/366)+((DATE(YEAR(B29),12,31)-'Arkusz1 (3)'!B29)/365))),0))</f>
        <v>0</v>
      </c>
      <c r="H30">
        <f t="shared" ca="1" si="2"/>
        <v>1</v>
      </c>
      <c r="I30">
        <f t="shared" ca="1" si="3"/>
        <v>1.0062677595628415</v>
      </c>
      <c r="J30">
        <f t="shared" ca="1" si="4"/>
        <v>1.0062677595628415</v>
      </c>
      <c r="K30">
        <f ca="1">PRODUCT($J$3:J30)</f>
        <v>1.1844570509928776</v>
      </c>
      <c r="L30">
        <f t="shared" ca="1" si="5"/>
        <v>0.84426868763349805</v>
      </c>
      <c r="M30">
        <f ca="1">SUM($L$3:L30)</f>
        <v>25.718236413450587</v>
      </c>
      <c r="O30">
        <f ca="1">(Q29*'Arkusz1 (3)'!J30)-Q29</f>
        <v>6414.6520478522871</v>
      </c>
      <c r="P30" s="16">
        <f t="shared" ca="1" si="6"/>
        <v>8079.5844240464758</v>
      </c>
      <c r="Q30" s="17">
        <f t="shared" ca="1" si="7"/>
        <v>1015356.6185026845</v>
      </c>
    </row>
    <row r="31" spans="1:17" x14ac:dyDescent="0.35">
      <c r="A31">
        <v>29</v>
      </c>
      <c r="B31" s="14">
        <f t="shared" ca="1" si="8"/>
        <v>46951</v>
      </c>
      <c r="C31" s="15">
        <f ca="1">(1+('Symulacja Pożyczka'!$B$7+'Symulacja Pożyczka'!$B$16)*('Arkusz1 (3)'!B31-'Arkusz1 (3)'!B30)/365)</f>
        <v>1.0060821917808218</v>
      </c>
      <c r="D31" s="15">
        <f ca="1">(1+('Symulacja Pożyczka'!$B$7+'Symulacja Pożyczka'!$B$16)*('Arkusz1 (3)'!B31-'Arkusz1 (3)'!B30)/366)</f>
        <v>1.0060655737704918</v>
      </c>
      <c r="E31" s="15">
        <f t="shared" ca="1" si="0"/>
        <v>0</v>
      </c>
      <c r="F31" s="15">
        <f t="shared" ca="1" si="1"/>
        <v>0</v>
      </c>
      <c r="G31">
        <f ca="1">IF(E31=1,(1+('Symulacja Pożyczka'!$B$7+'Symulacja Pożyczka'!$B$16)*((('Arkusz1 (3)'!B31-DATE(YEAR(B31),1,1)+1)/365)+((DATE(YEAR(B30),12,31)-'Arkusz1 (3)'!B30)/366))),IF(F31=1,(1+('Symulacja Pożyczka'!$B$7+'Symulacja Pożyczka'!$B$16)*((('Arkusz1 (3)'!B31-DATE(YEAR(B31),1,1)+1)/366)+((DATE(YEAR(B30),12,31)-'Arkusz1 (3)'!B30)/365))),0))</f>
        <v>0</v>
      </c>
      <c r="H31">
        <f t="shared" ca="1" si="2"/>
        <v>1</v>
      </c>
      <c r="I31">
        <f t="shared" ca="1" si="3"/>
        <v>1.0060655737704918</v>
      </c>
      <c r="J31">
        <f t="shared" ca="1" si="4"/>
        <v>1.0060655737704918</v>
      </c>
      <c r="K31">
        <f ca="1">PRODUCT($J$3:J31)</f>
        <v>1.191641462613654</v>
      </c>
      <c r="L31">
        <f t="shared" ca="1" si="5"/>
        <v>0.83917858800135869</v>
      </c>
      <c r="M31">
        <f ca="1">SUM($L$3:L31)</f>
        <v>26.557415001451947</v>
      </c>
      <c r="O31">
        <f ca="1">(Q30*'Arkusz1 (3)'!J31)-Q30</f>
        <v>6158.7204728850629</v>
      </c>
      <c r="P31" s="16">
        <f t="shared" ca="1" si="6"/>
        <v>8335.5159990136999</v>
      </c>
      <c r="Q31" s="17">
        <f t="shared" ca="1" si="7"/>
        <v>1007021.1025036708</v>
      </c>
    </row>
    <row r="32" spans="1:17" x14ac:dyDescent="0.35">
      <c r="A32">
        <v>30</v>
      </c>
      <c r="B32" s="14">
        <f t="shared" ca="1" si="8"/>
        <v>46982</v>
      </c>
      <c r="C32" s="15">
        <f ca="1">(1+('Symulacja Pożyczka'!$B$7+'Symulacja Pożyczka'!$B$16)*('Arkusz1 (3)'!B32-'Arkusz1 (3)'!B31)/365)</f>
        <v>1.0062849315068494</v>
      </c>
      <c r="D32" s="15">
        <f ca="1">(1+('Symulacja Pożyczka'!$B$7+'Symulacja Pożyczka'!$B$16)*('Arkusz1 (3)'!B32-'Arkusz1 (3)'!B31)/366)</f>
        <v>1.0062677595628415</v>
      </c>
      <c r="E32" s="15">
        <f t="shared" ca="1" si="0"/>
        <v>0</v>
      </c>
      <c r="F32" s="15">
        <f t="shared" ca="1" si="1"/>
        <v>0</v>
      </c>
      <c r="G32">
        <f ca="1">IF(E32=1,(1+('Symulacja Pożyczka'!$B$7+'Symulacja Pożyczka'!$B$16)*((('Arkusz1 (3)'!B32-DATE(YEAR(B32),1,1)+1)/365)+((DATE(YEAR(B31),12,31)-'Arkusz1 (3)'!B31)/366))),IF(F32=1,(1+('Symulacja Pożyczka'!$B$7+'Symulacja Pożyczka'!$B$16)*((('Arkusz1 (3)'!B32-DATE(YEAR(B32),1,1)+1)/366)+((DATE(YEAR(B31),12,31)-'Arkusz1 (3)'!B31)/365))),0))</f>
        <v>0</v>
      </c>
      <c r="H32">
        <f t="shared" ca="1" si="2"/>
        <v>1</v>
      </c>
      <c r="I32">
        <f t="shared" ca="1" si="3"/>
        <v>1.0062677595628415</v>
      </c>
      <c r="J32">
        <f t="shared" ca="1" si="4"/>
        <v>1.0062677595628415</v>
      </c>
      <c r="K32">
        <f ca="1">PRODUCT($J$3:J32)</f>
        <v>1.1991103847864293</v>
      </c>
      <c r="L32">
        <f t="shared" ca="1" si="5"/>
        <v>0.83395158001079916</v>
      </c>
      <c r="M32">
        <f ca="1">SUM($L$3:L32)</f>
        <v>27.391366581462744</v>
      </c>
      <c r="O32">
        <f ca="1">(Q31*'Arkusz1 (3)'!J32)-Q31</f>
        <v>6311.766145200585</v>
      </c>
      <c r="P32" s="16">
        <f t="shared" ca="1" si="6"/>
        <v>8182.4703266981778</v>
      </c>
      <c r="Q32" s="17">
        <f t="shared" ca="1" si="7"/>
        <v>998838.63217697269</v>
      </c>
    </row>
    <row r="33" spans="1:17" x14ac:dyDescent="0.35">
      <c r="A33">
        <v>31</v>
      </c>
      <c r="B33" s="14">
        <f t="shared" ca="1" si="8"/>
        <v>47013</v>
      </c>
      <c r="C33" s="15">
        <f ca="1">(1+('Symulacja Pożyczka'!$B$7+'Symulacja Pożyczka'!$B$16)*('Arkusz1 (3)'!B33-'Arkusz1 (3)'!B32)/365)</f>
        <v>1.0062849315068494</v>
      </c>
      <c r="D33" s="15">
        <f ca="1">(1+('Symulacja Pożyczka'!$B$7+'Symulacja Pożyczka'!$B$16)*('Arkusz1 (3)'!B33-'Arkusz1 (3)'!B32)/366)</f>
        <v>1.0062677595628415</v>
      </c>
      <c r="E33" s="15">
        <f t="shared" ca="1" si="0"/>
        <v>0</v>
      </c>
      <c r="F33" s="15">
        <f t="shared" ca="1" si="1"/>
        <v>0</v>
      </c>
      <c r="G33">
        <f ca="1">IF(E33=1,(1+('Symulacja Pożyczka'!$B$7+'Symulacja Pożyczka'!$B$16)*((('Arkusz1 (3)'!B33-DATE(YEAR(B33),1,1)+1)/365)+((DATE(YEAR(B32),12,31)-'Arkusz1 (3)'!B32)/366))),IF(F33=1,(1+('Symulacja Pożyczka'!$B$7+'Symulacja Pożyczka'!$B$16)*((('Arkusz1 (3)'!B33-DATE(YEAR(B33),1,1)+1)/366)+((DATE(YEAR(B32),12,31)-'Arkusz1 (3)'!B32)/365))),0))</f>
        <v>0</v>
      </c>
      <c r="H33">
        <f t="shared" ca="1" si="2"/>
        <v>1</v>
      </c>
      <c r="I33">
        <f t="shared" ca="1" si="3"/>
        <v>1.0062677595628415</v>
      </c>
      <c r="J33">
        <f t="shared" ca="1" si="4"/>
        <v>1.0062677595628415</v>
      </c>
      <c r="K33">
        <f ca="1">PRODUCT($J$3:J33)</f>
        <v>1.206626120367577</v>
      </c>
      <c r="L33">
        <f t="shared" ca="1" si="5"/>
        <v>0.82875712958655989</v>
      </c>
      <c r="M33">
        <f ca="1">SUM($L$3:L33)</f>
        <v>28.220123711049304</v>
      </c>
      <c r="O33">
        <f ca="1">(Q32*'Arkusz1 (3)'!J33)-Q32</f>
        <v>6260.4803885627771</v>
      </c>
      <c r="P33" s="16">
        <f t="shared" ca="1" si="6"/>
        <v>8233.7560833359857</v>
      </c>
      <c r="Q33" s="17">
        <f t="shared" ca="1" si="7"/>
        <v>990604.87609363673</v>
      </c>
    </row>
    <row r="34" spans="1:17" x14ac:dyDescent="0.35">
      <c r="A34">
        <v>32</v>
      </c>
      <c r="B34" s="14">
        <f t="shared" ca="1" si="8"/>
        <v>47043</v>
      </c>
      <c r="C34" s="15">
        <f ca="1">(1+('Symulacja Pożyczka'!$B$7+'Symulacja Pożyczka'!$B$16)*('Arkusz1 (3)'!B34-'Arkusz1 (3)'!B33)/365)</f>
        <v>1.0060821917808218</v>
      </c>
      <c r="D34" s="15">
        <f ca="1">(1+('Symulacja Pożyczka'!$B$7+'Symulacja Pożyczka'!$B$16)*('Arkusz1 (3)'!B34-'Arkusz1 (3)'!B33)/366)</f>
        <v>1.0060655737704918</v>
      </c>
      <c r="E34" s="15">
        <f t="shared" ca="1" si="0"/>
        <v>0</v>
      </c>
      <c r="F34" s="15">
        <f t="shared" ca="1" si="1"/>
        <v>0</v>
      </c>
      <c r="G34">
        <f ca="1">IF(E34=1,(1+('Symulacja Pożyczka'!$B$7+'Symulacja Pożyczka'!$B$16)*((('Arkusz1 (3)'!B34-DATE(YEAR(B34),1,1)+1)/365)+((DATE(YEAR(B33),12,31)-'Arkusz1 (3)'!B33)/366))),IF(F34=1,(1+('Symulacja Pożyczka'!$B$7+'Symulacja Pożyczka'!$B$16)*((('Arkusz1 (3)'!B34-DATE(YEAR(B34),1,1)+1)/366)+((DATE(YEAR(B33),12,31)-'Arkusz1 (3)'!B33)/365))),0))</f>
        <v>0</v>
      </c>
      <c r="H34">
        <f t="shared" ca="1" si="2"/>
        <v>1</v>
      </c>
      <c r="I34">
        <f t="shared" ca="1" si="3"/>
        <v>1.0060655737704918</v>
      </c>
      <c r="J34">
        <f t="shared" ca="1" si="4"/>
        <v>1.0060655737704918</v>
      </c>
      <c r="K34">
        <f ca="1">PRODUCT($J$3:J34)</f>
        <v>1.2139450001140688</v>
      </c>
      <c r="L34">
        <f t="shared" ca="1" si="5"/>
        <v>0.82376054920612929</v>
      </c>
      <c r="M34">
        <f ca="1">SUM($L$3:L34)</f>
        <v>29.043884260255432</v>
      </c>
      <c r="O34">
        <f ca="1">(Q33*'Arkusz1 (3)'!J34)-Q33</f>
        <v>6008.5869533547666</v>
      </c>
      <c r="P34" s="16">
        <f t="shared" ca="1" si="6"/>
        <v>8485.6495185439962</v>
      </c>
      <c r="Q34" s="17">
        <f t="shared" ca="1" si="7"/>
        <v>982119.22657509276</v>
      </c>
    </row>
    <row r="35" spans="1:17" x14ac:dyDescent="0.35">
      <c r="A35">
        <v>33</v>
      </c>
      <c r="B35" s="14">
        <f t="shared" ca="1" si="8"/>
        <v>47074</v>
      </c>
      <c r="C35" s="15">
        <f ca="1">(1+('Symulacja Pożyczka'!$B$7+'Symulacja Pożyczka'!$B$16)*('Arkusz1 (3)'!B35-'Arkusz1 (3)'!B34)/365)</f>
        <v>1.0062849315068494</v>
      </c>
      <c r="D35" s="15">
        <f ca="1">(1+('Symulacja Pożyczka'!$B$7+'Symulacja Pożyczka'!$B$16)*('Arkusz1 (3)'!B35-'Arkusz1 (3)'!B34)/366)</f>
        <v>1.0062677595628415</v>
      </c>
      <c r="E35" s="15">
        <f t="shared" ca="1" si="0"/>
        <v>0</v>
      </c>
      <c r="F35" s="15">
        <f t="shared" ca="1" si="1"/>
        <v>0</v>
      </c>
      <c r="G35">
        <f ca="1">IF(E35=1,(1+('Symulacja Pożyczka'!$B$7+'Symulacja Pożyczka'!$B$16)*((('Arkusz1 (3)'!B35-DATE(YEAR(B35),1,1)+1)/365)+((DATE(YEAR(B34),12,31)-'Arkusz1 (3)'!B34)/366))),IF(F35=1,(1+('Symulacja Pożyczka'!$B$7+'Symulacja Pożyczka'!$B$16)*((('Arkusz1 (3)'!B35-DATE(YEAR(B35),1,1)+1)/366)+((DATE(YEAR(B34),12,31)-'Arkusz1 (3)'!B34)/365))),0))</f>
        <v>0</v>
      </c>
      <c r="H35">
        <f t="shared" ca="1" si="2"/>
        <v>1</v>
      </c>
      <c r="I35">
        <f t="shared" ca="1" si="3"/>
        <v>1.0062677595628415</v>
      </c>
      <c r="J35">
        <f t="shared" ca="1" si="4"/>
        <v>1.0062677595628415</v>
      </c>
      <c r="K35">
        <f ca="1">PRODUCT($J$3:J35)</f>
        <v>1.2215537154972975</v>
      </c>
      <c r="L35">
        <f t="shared" ca="1" si="5"/>
        <v>0.8186295758536476</v>
      </c>
      <c r="M35">
        <f ca="1">SUM($L$3:L35)</f>
        <v>29.862513836109081</v>
      </c>
      <c r="O35">
        <f ca="1">(Q34*'Arkusz1 (3)'!J35)-Q34</f>
        <v>6155.6871742166113</v>
      </c>
      <c r="P35" s="16">
        <f t="shared" ca="1" si="6"/>
        <v>8338.5492976821515</v>
      </c>
      <c r="Q35" s="17">
        <f t="shared" ca="1" si="7"/>
        <v>973780.67727741064</v>
      </c>
    </row>
    <row r="36" spans="1:17" x14ac:dyDescent="0.35">
      <c r="A36">
        <v>34</v>
      </c>
      <c r="B36" s="14">
        <f t="shared" ca="1" si="8"/>
        <v>47104</v>
      </c>
      <c r="C36" s="15">
        <f ca="1">(1+('Symulacja Pożyczka'!$B$7+'Symulacja Pożyczka'!$B$16)*('Arkusz1 (3)'!B36-'Arkusz1 (3)'!B35)/365)</f>
        <v>1.0060821917808218</v>
      </c>
      <c r="D36" s="15">
        <f ca="1">(1+('Symulacja Pożyczka'!$B$7+'Symulacja Pożyczka'!$B$16)*('Arkusz1 (3)'!B36-'Arkusz1 (3)'!B35)/366)</f>
        <v>1.0060655737704918</v>
      </c>
      <c r="E36" s="15">
        <f t="shared" ca="1" si="0"/>
        <v>0</v>
      </c>
      <c r="F36" s="15">
        <f t="shared" ca="1" si="1"/>
        <v>0</v>
      </c>
      <c r="G36">
        <f ca="1">IF(E36=1,(1+('Symulacja Pożyczka'!$B$7+'Symulacja Pożyczka'!$B$16)*((('Arkusz1 (3)'!B36-DATE(YEAR(B36),1,1)+1)/365)+((DATE(YEAR(B35),12,31)-'Arkusz1 (3)'!B35)/366))),IF(F36=1,(1+('Symulacja Pożyczka'!$B$7+'Symulacja Pożyczka'!$B$16)*((('Arkusz1 (3)'!B36-DATE(YEAR(B36),1,1)+1)/366)+((DATE(YEAR(B35),12,31)-'Arkusz1 (3)'!B35)/365))),0))</f>
        <v>0</v>
      </c>
      <c r="H36">
        <f t="shared" ca="1" si="2"/>
        <v>1</v>
      </c>
      <c r="I36">
        <f t="shared" ca="1" si="3"/>
        <v>1.0060655737704918</v>
      </c>
      <c r="J36">
        <f t="shared" ca="1" si="4"/>
        <v>1.0060655737704918</v>
      </c>
      <c r="K36">
        <f ca="1">PRODUCT($J$3:J36)</f>
        <v>1.2289631396732648</v>
      </c>
      <c r="L36">
        <f t="shared" ca="1" si="5"/>
        <v>0.81369405453922927</v>
      </c>
      <c r="M36">
        <f ca="1">SUM($L$3:L36)</f>
        <v>30.67620789064831</v>
      </c>
      <c r="O36">
        <f ca="1">(Q35*'Arkusz1 (3)'!J36)-Q35</f>
        <v>5906.5385343055241</v>
      </c>
      <c r="P36" s="16">
        <f t="shared" ca="1" si="6"/>
        <v>8587.6979375932387</v>
      </c>
      <c r="Q36" s="17">
        <f t="shared" ca="1" si="7"/>
        <v>965192.97933981742</v>
      </c>
    </row>
    <row r="37" spans="1:17" x14ac:dyDescent="0.35">
      <c r="A37">
        <v>35</v>
      </c>
      <c r="B37" s="14">
        <f t="shared" ca="1" si="8"/>
        <v>47135</v>
      </c>
      <c r="C37" s="15">
        <f ca="1">(1+('Symulacja Pożyczka'!$B$7+'Symulacja Pożyczka'!$B$16)*('Arkusz1 (3)'!B37-'Arkusz1 (3)'!B36)/365)</f>
        <v>1.0062849315068494</v>
      </c>
      <c r="D37" s="15">
        <f ca="1">(1+('Symulacja Pożyczka'!$B$7+'Symulacja Pożyczka'!$B$16)*('Arkusz1 (3)'!B37-'Arkusz1 (3)'!B36)/366)</f>
        <v>1.0062677595628415</v>
      </c>
      <c r="E37" s="15">
        <f t="shared" ca="1" si="0"/>
        <v>1</v>
      </c>
      <c r="F37" s="15">
        <f t="shared" ca="1" si="1"/>
        <v>0</v>
      </c>
      <c r="G37">
        <f ca="1">IF(E37=1,(1+('Symulacja Pożyczka'!$B$7+'Symulacja Pożyczka'!$B$16)*((('Arkusz1 (3)'!B37-DATE(YEAR(B37),1,1)+1)/365)+((DATE(YEAR(B36),12,31)-'Arkusz1 (3)'!B36)/366))),IF(F37=1,(1+('Symulacja Pożyczka'!$B$7+'Symulacja Pożyczka'!$B$16)*((('Arkusz1 (3)'!B37-DATE(YEAR(B37),1,1)+1)/366)+((DATE(YEAR(B36),12,31)-'Arkusz1 (3)'!B36)/365))),0))</f>
        <v>1.006277176435362</v>
      </c>
      <c r="H37">
        <f t="shared" ca="1" si="2"/>
        <v>0</v>
      </c>
      <c r="I37">
        <f t="shared" ca="1" si="3"/>
        <v>1.0062849315068494</v>
      </c>
      <c r="J37">
        <f t="shared" ca="1" si="4"/>
        <v>1.006277176435362</v>
      </c>
      <c r="K37">
        <f ca="1">PRODUCT($J$3:J37)</f>
        <v>1.2366775581335503</v>
      </c>
      <c r="L37">
        <f t="shared" ca="1" si="5"/>
        <v>0.80861821533273814</v>
      </c>
      <c r="M37">
        <f ca="1">SUM($L$3:L37)</f>
        <v>31.48482610598105</v>
      </c>
      <c r="O37">
        <f ca="1">(Q36*'Arkusz1 (3)'!J37)-Q36</f>
        <v>6058.6866254886845</v>
      </c>
      <c r="P37" s="16">
        <f t="shared" ca="1" si="6"/>
        <v>8435.5498464100783</v>
      </c>
      <c r="Q37" s="17">
        <f t="shared" ca="1" si="7"/>
        <v>956757.42949340737</v>
      </c>
    </row>
    <row r="38" spans="1:17" x14ac:dyDescent="0.35">
      <c r="A38">
        <v>36</v>
      </c>
      <c r="B38" s="14">
        <f t="shared" ca="1" si="8"/>
        <v>47166</v>
      </c>
      <c r="C38" s="15">
        <f ca="1">(1+('Symulacja Pożyczka'!$B$7+'Symulacja Pożyczka'!$B$16)*('Arkusz1 (3)'!B38-'Arkusz1 (3)'!B37)/365)</f>
        <v>1.0062849315068494</v>
      </c>
      <c r="D38" s="15">
        <f ca="1">(1+('Symulacja Pożyczka'!$B$7+'Symulacja Pożyczka'!$B$16)*('Arkusz1 (3)'!B38-'Arkusz1 (3)'!B37)/366)</f>
        <v>1.0062677595628415</v>
      </c>
      <c r="E38" s="15">
        <f t="shared" ca="1" si="0"/>
        <v>0</v>
      </c>
      <c r="F38" s="15">
        <f t="shared" ca="1" si="1"/>
        <v>0</v>
      </c>
      <c r="G38">
        <f ca="1">IF(E38=1,(1+('Symulacja Pożyczka'!$B$7+'Symulacja Pożyczka'!$B$16)*((('Arkusz1 (3)'!B38-DATE(YEAR(B38),1,1)+1)/365)+((DATE(YEAR(B37),12,31)-'Arkusz1 (3)'!B37)/366))),IF(F38=1,(1+('Symulacja Pożyczka'!$B$7+'Symulacja Pożyczka'!$B$16)*((('Arkusz1 (3)'!B38-DATE(YEAR(B38),1,1)+1)/366)+((DATE(YEAR(B37),12,31)-'Arkusz1 (3)'!B37)/365))),0))</f>
        <v>0</v>
      </c>
      <c r="H38">
        <f t="shared" ca="1" si="2"/>
        <v>0</v>
      </c>
      <c r="I38">
        <f t="shared" ca="1" si="3"/>
        <v>1.0062849315068494</v>
      </c>
      <c r="J38">
        <f t="shared" ca="1" si="4"/>
        <v>1.0062849315068494</v>
      </c>
      <c r="K38">
        <f ca="1">PRODUCT($J$3:J38)</f>
        <v>1.2444499918824774</v>
      </c>
      <c r="L38">
        <f t="shared" ca="1" si="5"/>
        <v>0.80356784645665169</v>
      </c>
      <c r="M38">
        <f ca="1">SUM($L$3:L38)</f>
        <v>32.288393952437701</v>
      </c>
      <c r="O38">
        <f ca="1">(Q37*'Arkusz1 (3)'!J38)-Q37</f>
        <v>6013.1549130353378</v>
      </c>
      <c r="P38" s="16">
        <f t="shared" ca="1" si="6"/>
        <v>8481.081558863425</v>
      </c>
      <c r="Q38" s="17">
        <f t="shared" ca="1" si="7"/>
        <v>948276.34793454397</v>
      </c>
    </row>
    <row r="39" spans="1:17" x14ac:dyDescent="0.35">
      <c r="A39">
        <v>37</v>
      </c>
      <c r="B39" s="14">
        <f t="shared" ca="1" si="8"/>
        <v>47194</v>
      </c>
      <c r="C39" s="15">
        <f ca="1">(1+('Symulacja Pożyczka'!$B$7+'Symulacja Pożyczka'!$B$16)*('Arkusz1 (3)'!B39-'Arkusz1 (3)'!B38)/365)</f>
        <v>1.0056767123287671</v>
      </c>
      <c r="D39" s="15">
        <f ca="1">(1+('Symulacja Pożyczka'!$B$7+'Symulacja Pożyczka'!$B$16)*('Arkusz1 (3)'!B39-'Arkusz1 (3)'!B38)/366)</f>
        <v>1.0056612021857922</v>
      </c>
      <c r="E39" s="15">
        <f t="shared" ca="1" si="0"/>
        <v>0</v>
      </c>
      <c r="F39" s="15">
        <f t="shared" ca="1" si="1"/>
        <v>0</v>
      </c>
      <c r="G39">
        <f ca="1">IF(E39=1,(1+('Symulacja Pożyczka'!$B$7+'Symulacja Pożyczka'!$B$16)*((('Arkusz1 (3)'!B39-DATE(YEAR(B39),1,1)+1)/365)+((DATE(YEAR(B38),12,31)-'Arkusz1 (3)'!B38)/366))),IF(F39=1,(1+('Symulacja Pożyczka'!$B$7+'Symulacja Pożyczka'!$B$16)*((('Arkusz1 (3)'!B39-DATE(YEAR(B39),1,1)+1)/366)+((DATE(YEAR(B38),12,31)-'Arkusz1 (3)'!B38)/365))),0))</f>
        <v>0</v>
      </c>
      <c r="H39">
        <f t="shared" ca="1" si="2"/>
        <v>0</v>
      </c>
      <c r="I39">
        <f t="shared" ca="1" si="3"/>
        <v>1.0056767123287671</v>
      </c>
      <c r="J39">
        <f t="shared" ca="1" si="4"/>
        <v>1.0056767123287671</v>
      </c>
      <c r="K39">
        <f ca="1">PRODUCT($J$3:J39)</f>
        <v>1.2515143764939307</v>
      </c>
      <c r="L39">
        <f t="shared" ca="1" si="5"/>
        <v>0.79903197181119201</v>
      </c>
      <c r="M39">
        <f ca="1">SUM($L$3:L39)</f>
        <v>33.08742592424889</v>
      </c>
      <c r="O39">
        <f ca="1">(Q38*'Arkusz1 (3)'!J39)-Q38</f>
        <v>5383.0920353982365</v>
      </c>
      <c r="P39" s="16">
        <f t="shared" ca="1" si="6"/>
        <v>9111.1444365005264</v>
      </c>
      <c r="Q39" s="17">
        <f t="shared" ca="1" si="7"/>
        <v>939165.20349804347</v>
      </c>
    </row>
    <row r="40" spans="1:17" x14ac:dyDescent="0.35">
      <c r="A40">
        <v>38</v>
      </c>
      <c r="B40" s="14">
        <f t="shared" ca="1" si="8"/>
        <v>47225</v>
      </c>
      <c r="C40" s="15">
        <f ca="1">(1+('Symulacja Pożyczka'!$B$7+'Symulacja Pożyczka'!$B$16)*('Arkusz1 (3)'!B40-'Arkusz1 (3)'!B39)/365)</f>
        <v>1.0062849315068494</v>
      </c>
      <c r="D40" s="15">
        <f ca="1">(1+('Symulacja Pożyczka'!$B$7+'Symulacja Pożyczka'!$B$16)*('Arkusz1 (3)'!B40-'Arkusz1 (3)'!B39)/366)</f>
        <v>1.0062677595628415</v>
      </c>
      <c r="E40" s="15">
        <f t="shared" ca="1" si="0"/>
        <v>0</v>
      </c>
      <c r="F40" s="15">
        <f t="shared" ca="1" si="1"/>
        <v>0</v>
      </c>
      <c r="G40">
        <f ca="1">IF(E40=1,(1+('Symulacja Pożyczka'!$B$7+'Symulacja Pożyczka'!$B$16)*((('Arkusz1 (3)'!B40-DATE(YEAR(B40),1,1)+1)/365)+((DATE(YEAR(B39),12,31)-'Arkusz1 (3)'!B39)/366))),IF(F40=1,(1+('Symulacja Pożyczka'!$B$7+'Symulacja Pożyczka'!$B$16)*((('Arkusz1 (3)'!B40-DATE(YEAR(B40),1,1)+1)/366)+((DATE(YEAR(B39),12,31)-'Arkusz1 (3)'!B39)/365))),0))</f>
        <v>0</v>
      </c>
      <c r="H40">
        <f t="shared" ca="1" si="2"/>
        <v>0</v>
      </c>
      <c r="I40">
        <f t="shared" ca="1" si="3"/>
        <v>1.0062849315068494</v>
      </c>
      <c r="J40">
        <f t="shared" ca="1" si="4"/>
        <v>1.0062849315068494</v>
      </c>
      <c r="K40">
        <f ca="1">PRODUCT($J$3:J40)</f>
        <v>1.2593800586300323</v>
      </c>
      <c r="L40">
        <f t="shared" ca="1" si="5"/>
        <v>0.79404147552392657</v>
      </c>
      <c r="M40">
        <f ca="1">SUM($L$3:L40)</f>
        <v>33.881467399772816</v>
      </c>
      <c r="O40">
        <f ca="1">(Q39*'Arkusz1 (3)'!J40)-Q39</f>
        <v>5902.5889776014956</v>
      </c>
      <c r="P40" s="16">
        <f t="shared" ca="1" si="6"/>
        <v>8591.6474942972673</v>
      </c>
      <c r="Q40" s="17">
        <f t="shared" ca="1" si="7"/>
        <v>930573.55600374623</v>
      </c>
    </row>
    <row r="41" spans="1:17" x14ac:dyDescent="0.35">
      <c r="A41">
        <v>39</v>
      </c>
      <c r="B41" s="14">
        <f t="shared" ca="1" si="8"/>
        <v>47255</v>
      </c>
      <c r="C41" s="15">
        <f ca="1">(1+('Symulacja Pożyczka'!$B$7+'Symulacja Pożyczka'!$B$16)*('Arkusz1 (3)'!B41-'Arkusz1 (3)'!B40)/365)</f>
        <v>1.0060821917808218</v>
      </c>
      <c r="D41" s="15">
        <f ca="1">(1+('Symulacja Pożyczka'!$B$7+'Symulacja Pożyczka'!$B$16)*('Arkusz1 (3)'!B41-'Arkusz1 (3)'!B40)/366)</f>
        <v>1.0060655737704918</v>
      </c>
      <c r="E41" s="15">
        <f t="shared" ca="1" si="0"/>
        <v>0</v>
      </c>
      <c r="F41" s="15">
        <f t="shared" ca="1" si="1"/>
        <v>0</v>
      </c>
      <c r="G41">
        <f ca="1">IF(E41=1,(1+('Symulacja Pożyczka'!$B$7+'Symulacja Pożyczka'!$B$16)*((('Arkusz1 (3)'!B41-DATE(YEAR(B41),1,1)+1)/365)+((DATE(YEAR(B40),12,31)-'Arkusz1 (3)'!B40)/366))),IF(F41=1,(1+('Symulacja Pożyczka'!$B$7+'Symulacja Pożyczka'!$B$16)*((('Arkusz1 (3)'!B41-DATE(YEAR(B41),1,1)+1)/366)+((DATE(YEAR(B40),12,31)-'Arkusz1 (3)'!B40)/365))),0))</f>
        <v>0</v>
      </c>
      <c r="H41">
        <f t="shared" ca="1" si="2"/>
        <v>0</v>
      </c>
      <c r="I41">
        <f t="shared" ca="1" si="3"/>
        <v>1.0060821917808218</v>
      </c>
      <c r="J41">
        <f t="shared" ca="1" si="4"/>
        <v>1.0060821917808218</v>
      </c>
      <c r="K41">
        <f ca="1">PRODUCT($J$3:J41)</f>
        <v>1.2670398496715629</v>
      </c>
      <c r="L41">
        <f t="shared" ca="1" si="5"/>
        <v>0.7892411594309493</v>
      </c>
      <c r="M41">
        <f ca="1">SUM($L$3:L41)</f>
        <v>34.670708559203767</v>
      </c>
      <c r="O41">
        <f ca="1">(Q40*'Arkusz1 (3)'!J41)-Q40</f>
        <v>5659.9268337760586</v>
      </c>
      <c r="P41" s="16">
        <f t="shared" ca="1" si="6"/>
        <v>8834.3096381227042</v>
      </c>
      <c r="Q41" s="17">
        <f t="shared" ca="1" si="7"/>
        <v>921739.24636562355</v>
      </c>
    </row>
    <row r="42" spans="1:17" x14ac:dyDescent="0.35">
      <c r="A42">
        <v>40</v>
      </c>
      <c r="B42" s="14">
        <f t="shared" ca="1" si="8"/>
        <v>47286</v>
      </c>
      <c r="C42" s="15">
        <f ca="1">(1+('Symulacja Pożyczka'!$B$7+'Symulacja Pożyczka'!$B$16)*('Arkusz1 (3)'!B42-'Arkusz1 (3)'!B41)/365)</f>
        <v>1.0062849315068494</v>
      </c>
      <c r="D42" s="15">
        <f ca="1">(1+('Symulacja Pożyczka'!$B$7+'Symulacja Pożyczka'!$B$16)*('Arkusz1 (3)'!B42-'Arkusz1 (3)'!B41)/366)</f>
        <v>1.0062677595628415</v>
      </c>
      <c r="E42" s="15">
        <f t="shared" ca="1" si="0"/>
        <v>0</v>
      </c>
      <c r="F42" s="15">
        <f t="shared" ca="1" si="1"/>
        <v>0</v>
      </c>
      <c r="G42">
        <f ca="1">IF(E42=1,(1+('Symulacja Pożyczka'!$B$7+'Symulacja Pożyczka'!$B$16)*((('Arkusz1 (3)'!B42-DATE(YEAR(B42),1,1)+1)/365)+((DATE(YEAR(B41),12,31)-'Arkusz1 (3)'!B41)/366))),IF(F42=1,(1+('Symulacja Pożyczka'!$B$7+'Symulacja Pożyczka'!$B$16)*((('Arkusz1 (3)'!B42-DATE(YEAR(B42),1,1)+1)/366)+((DATE(YEAR(B41),12,31)-'Arkusz1 (3)'!B41)/365))),0))</f>
        <v>0</v>
      </c>
      <c r="H42">
        <f t="shared" ca="1" si="2"/>
        <v>0</v>
      </c>
      <c r="I42">
        <f t="shared" ca="1" si="3"/>
        <v>1.0062849315068494</v>
      </c>
      <c r="J42">
        <f t="shared" ca="1" si="4"/>
        <v>1.0062849315068494</v>
      </c>
      <c r="K42">
        <f ca="1">PRODUCT($J$3:J42)</f>
        <v>1.2750031083431974</v>
      </c>
      <c r="L42">
        <f t="shared" ca="1" si="5"/>
        <v>0.78431181340369427</v>
      </c>
      <c r="M42">
        <f ca="1">SUM($L$3:L42)</f>
        <v>35.455020372607464</v>
      </c>
      <c r="O42">
        <f ca="1">(Q41*'Arkusz1 (3)'!J42)-Q41</f>
        <v>5793.0680305829737</v>
      </c>
      <c r="P42" s="16">
        <f t="shared" ca="1" si="6"/>
        <v>8701.1684413157891</v>
      </c>
      <c r="Q42" s="17">
        <f t="shared" ca="1" si="7"/>
        <v>913038.07792430778</v>
      </c>
    </row>
    <row r="43" spans="1:17" x14ac:dyDescent="0.35">
      <c r="A43">
        <v>41</v>
      </c>
      <c r="B43" s="14">
        <f t="shared" ca="1" si="8"/>
        <v>47316</v>
      </c>
      <c r="C43" s="15">
        <f ca="1">(1+('Symulacja Pożyczka'!$B$7+'Symulacja Pożyczka'!$B$16)*('Arkusz1 (3)'!B43-'Arkusz1 (3)'!B42)/365)</f>
        <v>1.0060821917808218</v>
      </c>
      <c r="D43" s="15">
        <f ca="1">(1+('Symulacja Pożyczka'!$B$7+'Symulacja Pożyczka'!$B$16)*('Arkusz1 (3)'!B43-'Arkusz1 (3)'!B42)/366)</f>
        <v>1.0060655737704918</v>
      </c>
      <c r="E43" s="15">
        <f t="shared" ca="1" si="0"/>
        <v>0</v>
      </c>
      <c r="F43" s="15">
        <f t="shared" ca="1" si="1"/>
        <v>0</v>
      </c>
      <c r="G43">
        <f ca="1">IF(E43=1,(1+('Symulacja Pożyczka'!$B$7+'Symulacja Pożyczka'!$B$16)*((('Arkusz1 (3)'!B43-DATE(YEAR(B43),1,1)+1)/365)+((DATE(YEAR(B42),12,31)-'Arkusz1 (3)'!B42)/366))),IF(F43=1,(1+('Symulacja Pożyczka'!$B$7+'Symulacja Pożyczka'!$B$16)*((('Arkusz1 (3)'!B43-DATE(YEAR(B43),1,1)+1)/366)+((DATE(YEAR(B42),12,31)-'Arkusz1 (3)'!B42)/365))),0))</f>
        <v>0</v>
      </c>
      <c r="H43">
        <f t="shared" ca="1" si="2"/>
        <v>0</v>
      </c>
      <c r="I43">
        <f t="shared" ca="1" si="3"/>
        <v>1.0060821917808218</v>
      </c>
      <c r="J43">
        <f t="shared" ca="1" si="4"/>
        <v>1.0060821917808218</v>
      </c>
      <c r="K43">
        <f ca="1">PRODUCT($J$3:J43)</f>
        <v>1.2827579217692846</v>
      </c>
      <c r="L43">
        <f t="shared" ca="1" si="5"/>
        <v>0.77957031722767944</v>
      </c>
      <c r="M43">
        <f ca="1">SUM($L$3:L43)</f>
        <v>36.234590689835144</v>
      </c>
      <c r="O43">
        <f ca="1">(Q42*'Arkusz1 (3)'!J43)-Q42</f>
        <v>5553.2726931285579</v>
      </c>
      <c r="P43" s="16">
        <f t="shared" ca="1" si="6"/>
        <v>8940.963778770205</v>
      </c>
      <c r="Q43" s="17">
        <f t="shared" ca="1" si="7"/>
        <v>904097.11414553761</v>
      </c>
    </row>
    <row r="44" spans="1:17" x14ac:dyDescent="0.35">
      <c r="A44">
        <v>42</v>
      </c>
      <c r="B44" s="14">
        <f t="shared" ca="1" si="8"/>
        <v>47347</v>
      </c>
      <c r="C44" s="15">
        <f ca="1">(1+('Symulacja Pożyczka'!$B$7+'Symulacja Pożyczka'!$B$16)*('Arkusz1 (3)'!B44-'Arkusz1 (3)'!B43)/365)</f>
        <v>1.0062849315068494</v>
      </c>
      <c r="D44" s="15">
        <f ca="1">(1+('Symulacja Pożyczka'!$B$7+'Symulacja Pożyczka'!$B$16)*('Arkusz1 (3)'!B44-'Arkusz1 (3)'!B43)/366)</f>
        <v>1.0062677595628415</v>
      </c>
      <c r="E44" s="15">
        <f t="shared" ca="1" si="0"/>
        <v>0</v>
      </c>
      <c r="F44" s="15">
        <f t="shared" ca="1" si="1"/>
        <v>0</v>
      </c>
      <c r="G44">
        <f ca="1">IF(E44=1,(1+('Symulacja Pożyczka'!$B$7+'Symulacja Pożyczka'!$B$16)*((('Arkusz1 (3)'!B44-DATE(YEAR(B44),1,1)+1)/365)+((DATE(YEAR(B43),12,31)-'Arkusz1 (3)'!B43)/366))),IF(F44=1,(1+('Symulacja Pożyczka'!$B$7+'Symulacja Pożyczka'!$B$16)*((('Arkusz1 (3)'!B44-DATE(YEAR(B44),1,1)+1)/366)+((DATE(YEAR(B43),12,31)-'Arkusz1 (3)'!B43)/365))),0))</f>
        <v>0</v>
      </c>
      <c r="H44">
        <f t="shared" ca="1" si="2"/>
        <v>0</v>
      </c>
      <c r="I44">
        <f t="shared" ca="1" si="3"/>
        <v>1.0062849315068494</v>
      </c>
      <c r="J44">
        <f t="shared" ca="1" si="4"/>
        <v>1.0062849315068494</v>
      </c>
      <c r="K44">
        <f ca="1">PRODUCT($J$3:J44)</f>
        <v>1.290819967447473</v>
      </c>
      <c r="L44">
        <f t="shared" ca="1" si="5"/>
        <v>0.77470137216535795</v>
      </c>
      <c r="M44">
        <f ca="1">SUM($L$3:L44)</f>
        <v>37.009292062000505</v>
      </c>
      <c r="O44">
        <f ca="1">(Q43*'Arkusz1 (3)'!J44)-Q43</f>
        <v>5682.1884379448602</v>
      </c>
      <c r="P44" s="16">
        <f t="shared" ca="1" si="6"/>
        <v>8812.0480339539026</v>
      </c>
      <c r="Q44" s="17">
        <f t="shared" ca="1" si="7"/>
        <v>895285.06611158373</v>
      </c>
    </row>
    <row r="45" spans="1:17" x14ac:dyDescent="0.35">
      <c r="A45">
        <v>43</v>
      </c>
      <c r="B45" s="14">
        <f t="shared" ca="1" si="8"/>
        <v>47378</v>
      </c>
      <c r="C45" s="15">
        <f ca="1">(1+('Symulacja Pożyczka'!$B$7+'Symulacja Pożyczka'!$B$16)*('Arkusz1 (3)'!B45-'Arkusz1 (3)'!B44)/365)</f>
        <v>1.0062849315068494</v>
      </c>
      <c r="D45" s="15">
        <f ca="1">(1+('Symulacja Pożyczka'!$B$7+'Symulacja Pożyczka'!$B$16)*('Arkusz1 (3)'!B45-'Arkusz1 (3)'!B44)/366)</f>
        <v>1.0062677595628415</v>
      </c>
      <c r="E45" s="15">
        <f t="shared" ca="1" si="0"/>
        <v>0</v>
      </c>
      <c r="F45" s="15">
        <f t="shared" ca="1" si="1"/>
        <v>0</v>
      </c>
      <c r="G45">
        <f ca="1">IF(E45=1,(1+('Symulacja Pożyczka'!$B$7+'Symulacja Pożyczka'!$B$16)*((('Arkusz1 (3)'!B45-DATE(YEAR(B45),1,1)+1)/365)+((DATE(YEAR(B44),12,31)-'Arkusz1 (3)'!B44)/366))),IF(F45=1,(1+('Symulacja Pożyczka'!$B$7+'Symulacja Pożyczka'!$B$16)*((('Arkusz1 (3)'!B45-DATE(YEAR(B45),1,1)+1)/366)+((DATE(YEAR(B44),12,31)-'Arkusz1 (3)'!B44)/365))),0))</f>
        <v>0</v>
      </c>
      <c r="H45">
        <f t="shared" ca="1" si="2"/>
        <v>0</v>
      </c>
      <c r="I45">
        <f t="shared" ca="1" si="3"/>
        <v>1.0062849315068494</v>
      </c>
      <c r="J45">
        <f t="shared" ca="1" si="4"/>
        <v>1.0062849315068494</v>
      </c>
      <c r="K45">
        <f ca="1">PRODUCT($J$3:J45)</f>
        <v>1.2989326825305538</v>
      </c>
      <c r="L45">
        <f t="shared" ca="1" si="5"/>
        <v>0.76986283696536195</v>
      </c>
      <c r="M45">
        <f ca="1">SUM($L$3:L45)</f>
        <v>37.779154898965864</v>
      </c>
      <c r="O45">
        <f ca="1">(Q44*'Arkusz1 (3)'!J45)-Q44</f>
        <v>5626.8053196164547</v>
      </c>
      <c r="P45" s="16">
        <f t="shared" ca="1" si="6"/>
        <v>8867.4311522823082</v>
      </c>
      <c r="Q45" s="17">
        <f t="shared" ca="1" si="7"/>
        <v>886417.63495930145</v>
      </c>
    </row>
    <row r="46" spans="1:17" x14ac:dyDescent="0.35">
      <c r="A46">
        <v>44</v>
      </c>
      <c r="B46" s="14">
        <f t="shared" ca="1" si="8"/>
        <v>47408</v>
      </c>
      <c r="C46" s="15">
        <f ca="1">(1+('Symulacja Pożyczka'!$B$7+'Symulacja Pożyczka'!$B$16)*('Arkusz1 (3)'!B46-'Arkusz1 (3)'!B45)/365)</f>
        <v>1.0060821917808218</v>
      </c>
      <c r="D46" s="15">
        <f ca="1">(1+('Symulacja Pożyczka'!$B$7+'Symulacja Pożyczka'!$B$16)*('Arkusz1 (3)'!B46-'Arkusz1 (3)'!B45)/366)</f>
        <v>1.0060655737704918</v>
      </c>
      <c r="E46" s="15">
        <f t="shared" ca="1" si="0"/>
        <v>0</v>
      </c>
      <c r="F46" s="15">
        <f t="shared" ca="1" si="1"/>
        <v>0</v>
      </c>
      <c r="G46">
        <f ca="1">IF(E46=1,(1+('Symulacja Pożyczka'!$B$7+'Symulacja Pożyczka'!$B$16)*((('Arkusz1 (3)'!B46-DATE(YEAR(B46),1,1)+1)/365)+((DATE(YEAR(B45),12,31)-'Arkusz1 (3)'!B45)/366))),IF(F46=1,(1+('Symulacja Pożyczka'!$B$7+'Symulacja Pożyczka'!$B$16)*((('Arkusz1 (3)'!B46-DATE(YEAR(B46),1,1)+1)/366)+((DATE(YEAR(B45),12,31)-'Arkusz1 (3)'!B45)/365))),0))</f>
        <v>0</v>
      </c>
      <c r="H46">
        <f t="shared" ca="1" si="2"/>
        <v>0</v>
      </c>
      <c r="I46">
        <f t="shared" ca="1" si="3"/>
        <v>1.0060821917808218</v>
      </c>
      <c r="J46">
        <f t="shared" ca="1" si="4"/>
        <v>1.0060821917808218</v>
      </c>
      <c r="K46">
        <f ca="1">PRODUCT($J$3:J46)</f>
        <v>1.3068330402160819</v>
      </c>
      <c r="L46">
        <f t="shared" ca="1" si="5"/>
        <v>0.76520869095462429</v>
      </c>
      <c r="M46">
        <f ca="1">SUM($L$3:L46)</f>
        <v>38.544363589920486</v>
      </c>
      <c r="O46">
        <f ca="1">(Q45*'Arkusz1 (3)'!J46)-Q45</f>
        <v>5391.3620537249371</v>
      </c>
      <c r="P46" s="16">
        <f t="shared" ca="1" si="6"/>
        <v>9102.8744181738257</v>
      </c>
      <c r="Q46" s="17">
        <f t="shared" ca="1" si="7"/>
        <v>877314.76054112765</v>
      </c>
    </row>
    <row r="47" spans="1:17" x14ac:dyDescent="0.35">
      <c r="A47">
        <v>45</v>
      </c>
      <c r="B47" s="14">
        <f t="shared" ca="1" si="8"/>
        <v>47439</v>
      </c>
      <c r="C47" s="15">
        <f ca="1">(1+('Symulacja Pożyczka'!$B$7+'Symulacja Pożyczka'!$B$16)*('Arkusz1 (3)'!B47-'Arkusz1 (3)'!B46)/365)</f>
        <v>1.0062849315068494</v>
      </c>
      <c r="D47" s="15">
        <f ca="1">(1+('Symulacja Pożyczka'!$B$7+'Symulacja Pożyczka'!$B$16)*('Arkusz1 (3)'!B47-'Arkusz1 (3)'!B46)/366)</f>
        <v>1.0062677595628415</v>
      </c>
      <c r="E47" s="15">
        <f t="shared" ca="1" si="0"/>
        <v>0</v>
      </c>
      <c r="F47" s="15">
        <f t="shared" ca="1" si="1"/>
        <v>0</v>
      </c>
      <c r="G47">
        <f ca="1">IF(E47=1,(1+('Symulacja Pożyczka'!$B$7+'Symulacja Pożyczka'!$B$16)*((('Arkusz1 (3)'!B47-DATE(YEAR(B47),1,1)+1)/365)+((DATE(YEAR(B46),12,31)-'Arkusz1 (3)'!B46)/366))),IF(F47=1,(1+('Symulacja Pożyczka'!$B$7+'Symulacja Pożyczka'!$B$16)*((('Arkusz1 (3)'!B47-DATE(YEAR(B47),1,1)+1)/366)+((DATE(YEAR(B46),12,31)-'Arkusz1 (3)'!B46)/365))),0))</f>
        <v>0</v>
      </c>
      <c r="H47">
        <f t="shared" ca="1" si="2"/>
        <v>0</v>
      </c>
      <c r="I47">
        <f t="shared" ca="1" si="3"/>
        <v>1.0062849315068494</v>
      </c>
      <c r="J47">
        <f t="shared" ca="1" si="4"/>
        <v>1.0062849315068494</v>
      </c>
      <c r="K47">
        <f ca="1">PRODUCT($J$3:J47)</f>
        <v>1.3150463963647279</v>
      </c>
      <c r="L47">
        <f t="shared" ca="1" si="5"/>
        <v>0.76042944398339707</v>
      </c>
      <c r="M47">
        <f ca="1">SUM($L$3:L47)</f>
        <v>39.304793033903884</v>
      </c>
      <c r="O47">
        <f ca="1">(Q46*'Arkusz1 (3)'!J47)-Q46</f>
        <v>5513.8631799489958</v>
      </c>
      <c r="P47" s="16">
        <f t="shared" ca="1" si="6"/>
        <v>8980.373291949767</v>
      </c>
      <c r="Q47" s="17">
        <f t="shared" ca="1" si="7"/>
        <v>868334.3872491779</v>
      </c>
    </row>
    <row r="48" spans="1:17" x14ac:dyDescent="0.35">
      <c r="A48">
        <v>46</v>
      </c>
      <c r="B48" s="14">
        <f t="shared" ca="1" si="8"/>
        <v>47469</v>
      </c>
      <c r="C48" s="15">
        <f ca="1">(1+('Symulacja Pożyczka'!$B$7+'Symulacja Pożyczka'!$B$16)*('Arkusz1 (3)'!B48-'Arkusz1 (3)'!B47)/365)</f>
        <v>1.0060821917808218</v>
      </c>
      <c r="D48" s="15">
        <f ca="1">(1+('Symulacja Pożyczka'!$B$7+'Symulacja Pożyczka'!$B$16)*('Arkusz1 (3)'!B48-'Arkusz1 (3)'!B47)/366)</f>
        <v>1.0060655737704918</v>
      </c>
      <c r="E48" s="15">
        <f t="shared" ca="1" si="0"/>
        <v>0</v>
      </c>
      <c r="F48" s="15">
        <f t="shared" ca="1" si="1"/>
        <v>0</v>
      </c>
      <c r="G48">
        <f ca="1">IF(E48=1,(1+('Symulacja Pożyczka'!$B$7+'Symulacja Pożyczka'!$B$16)*((('Arkusz1 (3)'!B48-DATE(YEAR(B48),1,1)+1)/365)+((DATE(YEAR(B47),12,31)-'Arkusz1 (3)'!B47)/366))),IF(F48=1,(1+('Symulacja Pożyczka'!$B$7+'Symulacja Pożyczka'!$B$16)*((('Arkusz1 (3)'!B48-DATE(YEAR(B48),1,1)+1)/366)+((DATE(YEAR(B47),12,31)-'Arkusz1 (3)'!B47)/365))),0))</f>
        <v>0</v>
      </c>
      <c r="H48">
        <f t="shared" ca="1" si="2"/>
        <v>0</v>
      </c>
      <c r="I48">
        <f t="shared" ca="1" si="3"/>
        <v>1.0060821917808218</v>
      </c>
      <c r="J48">
        <f t="shared" ca="1" si="4"/>
        <v>1.0060821917808218</v>
      </c>
      <c r="K48">
        <f ca="1">PRODUCT($J$3:J48)</f>
        <v>1.3230447607480968</v>
      </c>
      <c r="L48">
        <f t="shared" ca="1" si="5"/>
        <v>0.75583232681754786</v>
      </c>
      <c r="M48">
        <f ca="1">SUM($L$3:L48)</f>
        <v>40.060625360721431</v>
      </c>
      <c r="O48">
        <f ca="1">(Q47*'Arkusz1 (3)'!J48)-Q47</f>
        <v>5281.3762731319293</v>
      </c>
      <c r="P48" s="16">
        <f t="shared" ca="1" si="6"/>
        <v>9212.8601987668335</v>
      </c>
      <c r="Q48" s="17">
        <f t="shared" ca="1" si="7"/>
        <v>859121.5270504111</v>
      </c>
    </row>
    <row r="49" spans="1:17" x14ac:dyDescent="0.35">
      <c r="A49">
        <v>47</v>
      </c>
      <c r="B49" s="14">
        <f t="shared" ca="1" si="8"/>
        <v>47500</v>
      </c>
      <c r="C49" s="15">
        <f ca="1">(1+('Symulacja Pożyczka'!$B$7+'Symulacja Pożyczka'!$B$16)*('Arkusz1 (3)'!B49-'Arkusz1 (3)'!B48)/365)</f>
        <v>1.0062849315068494</v>
      </c>
      <c r="D49" s="15">
        <f ca="1">(1+('Symulacja Pożyczka'!$B$7+'Symulacja Pożyczka'!$B$16)*('Arkusz1 (3)'!B49-'Arkusz1 (3)'!B48)/366)</f>
        <v>1.0062677595628415</v>
      </c>
      <c r="E49" s="15">
        <f t="shared" ca="1" si="0"/>
        <v>0</v>
      </c>
      <c r="F49" s="15">
        <f t="shared" ca="1" si="1"/>
        <v>0</v>
      </c>
      <c r="G49">
        <f ca="1">IF(E49=1,(1+('Symulacja Pożyczka'!$B$7+'Symulacja Pożyczka'!$B$16)*((('Arkusz1 (3)'!B49-DATE(YEAR(B49),1,1)+1)/365)+((DATE(YEAR(B48),12,31)-'Arkusz1 (3)'!B48)/366))),IF(F49=1,(1+('Symulacja Pożyczka'!$B$7+'Symulacja Pożyczka'!$B$16)*((('Arkusz1 (3)'!B49-DATE(YEAR(B49),1,1)+1)/366)+((DATE(YEAR(B48),12,31)-'Arkusz1 (3)'!B48)/365))),0))</f>
        <v>0</v>
      </c>
      <c r="H49">
        <f t="shared" ca="1" si="2"/>
        <v>0</v>
      </c>
      <c r="I49">
        <f t="shared" ca="1" si="3"/>
        <v>1.0062849315068494</v>
      </c>
      <c r="J49">
        <f t="shared" ca="1" si="4"/>
        <v>1.0062849315068494</v>
      </c>
      <c r="K49">
        <f ca="1">PRODUCT($J$3:J49)</f>
        <v>1.3313600064498945</v>
      </c>
      <c r="L49">
        <f t="shared" ca="1" si="5"/>
        <v>0.7511116415961191</v>
      </c>
      <c r="M49">
        <f ca="1">SUM($L$3:L49)</f>
        <v>40.81173700231755</v>
      </c>
      <c r="O49">
        <f ca="1">(Q48*'Arkusz1 (3)'!J49)-Q48</f>
        <v>5399.5199535717256</v>
      </c>
      <c r="P49" s="16">
        <f t="shared" ca="1" si="6"/>
        <v>9094.7165183270372</v>
      </c>
      <c r="Q49" s="17">
        <f t="shared" ca="1" si="7"/>
        <v>850026.81053208408</v>
      </c>
    </row>
    <row r="50" spans="1:17" x14ac:dyDescent="0.35">
      <c r="A50">
        <v>48</v>
      </c>
      <c r="B50" s="14">
        <f t="shared" ca="1" si="8"/>
        <v>47531</v>
      </c>
      <c r="C50" s="15">
        <f ca="1">(1+('Symulacja Pożyczka'!$B$7+'Symulacja Pożyczka'!$B$16)*('Arkusz1 (3)'!B50-'Arkusz1 (3)'!B49)/365)</f>
        <v>1.0062849315068494</v>
      </c>
      <c r="D50" s="15">
        <f ca="1">(1+('Symulacja Pożyczka'!$B$7+'Symulacja Pożyczka'!$B$16)*('Arkusz1 (3)'!B50-'Arkusz1 (3)'!B49)/366)</f>
        <v>1.0062677595628415</v>
      </c>
      <c r="E50" s="15">
        <f t="shared" ca="1" si="0"/>
        <v>0</v>
      </c>
      <c r="F50" s="15">
        <f t="shared" ca="1" si="1"/>
        <v>0</v>
      </c>
      <c r="G50">
        <f ca="1">IF(E50=1,(1+('Symulacja Pożyczka'!$B$7+'Symulacja Pożyczka'!$B$16)*((('Arkusz1 (3)'!B50-DATE(YEAR(B50),1,1)+1)/365)+((DATE(YEAR(B49),12,31)-'Arkusz1 (3)'!B49)/366))),IF(F50=1,(1+('Symulacja Pożyczka'!$B$7+'Symulacja Pożyczka'!$B$16)*((('Arkusz1 (3)'!B50-DATE(YEAR(B50),1,1)+1)/366)+((DATE(YEAR(B49),12,31)-'Arkusz1 (3)'!B49)/365))),0))</f>
        <v>0</v>
      </c>
      <c r="H50">
        <f t="shared" ca="1" si="2"/>
        <v>0</v>
      </c>
      <c r="I50">
        <f t="shared" ca="1" si="3"/>
        <v>1.0062849315068494</v>
      </c>
      <c r="J50">
        <f t="shared" ca="1" si="4"/>
        <v>1.0062849315068494</v>
      </c>
      <c r="K50">
        <f ca="1">PRODUCT($J$3:J50)</f>
        <v>1.3397275129013906</v>
      </c>
      <c r="L50">
        <f t="shared" ca="1" si="5"/>
        <v>0.7464204402538116</v>
      </c>
      <c r="M50">
        <f ca="1">SUM($L$3:L50)</f>
        <v>41.558157442571364</v>
      </c>
      <c r="O50">
        <f ca="1">(Q49*'Arkusz1 (3)'!J50)-Q49</f>
        <v>5342.3602831797907</v>
      </c>
      <c r="P50" s="16">
        <f t="shared" ca="1" si="6"/>
        <v>9151.8761887189721</v>
      </c>
      <c r="Q50" s="17">
        <f t="shared" ca="1" si="7"/>
        <v>840874.93434336514</v>
      </c>
    </row>
    <row r="51" spans="1:17" x14ac:dyDescent="0.35">
      <c r="A51">
        <v>49</v>
      </c>
      <c r="B51" s="14">
        <f t="shared" ca="1" si="8"/>
        <v>47559</v>
      </c>
      <c r="C51" s="15">
        <f ca="1">(1+('Symulacja Pożyczka'!$B$7+'Symulacja Pożyczka'!$B$16)*('Arkusz1 (3)'!B51-'Arkusz1 (3)'!B50)/365)</f>
        <v>1.0056767123287671</v>
      </c>
      <c r="D51" s="15">
        <f ca="1">(1+('Symulacja Pożyczka'!$B$7+'Symulacja Pożyczka'!$B$16)*('Arkusz1 (3)'!B51-'Arkusz1 (3)'!B50)/366)</f>
        <v>1.0056612021857922</v>
      </c>
      <c r="E51" s="15">
        <f t="shared" ca="1" si="0"/>
        <v>0</v>
      </c>
      <c r="F51" s="15">
        <f t="shared" ca="1" si="1"/>
        <v>0</v>
      </c>
      <c r="G51">
        <f ca="1">IF(E51=1,(1+('Symulacja Pożyczka'!$B$7+'Symulacja Pożyczka'!$B$16)*((('Arkusz1 (3)'!B51-DATE(YEAR(B51),1,1)+1)/365)+((DATE(YEAR(B50),12,31)-'Arkusz1 (3)'!B50)/366))),IF(F51=1,(1+('Symulacja Pożyczka'!$B$7+'Symulacja Pożyczka'!$B$16)*((('Arkusz1 (3)'!B51-DATE(YEAR(B51),1,1)+1)/366)+((DATE(YEAR(B50),12,31)-'Arkusz1 (3)'!B50)/365))),0))</f>
        <v>0</v>
      </c>
      <c r="H51">
        <f t="shared" ca="1" si="2"/>
        <v>0</v>
      </c>
      <c r="I51">
        <f t="shared" ca="1" si="3"/>
        <v>1.0056767123287671</v>
      </c>
      <c r="J51">
        <f t="shared" ca="1" si="4"/>
        <v>1.0056767123287671</v>
      </c>
      <c r="K51">
        <f ca="1">PRODUCT($J$3:J51)</f>
        <v>1.3473327605910663</v>
      </c>
      <c r="L51">
        <f t="shared" ca="1" si="5"/>
        <v>0.74220714381004615</v>
      </c>
      <c r="M51">
        <f ca="1">SUM($L$3:L51)</f>
        <v>42.300364586381413</v>
      </c>
      <c r="O51">
        <f ca="1">(Q50*'Arkusz1 (3)'!J51)-Q50</f>
        <v>4773.4051067382097</v>
      </c>
      <c r="P51" s="16">
        <f t="shared" ca="1" si="6"/>
        <v>9720.8313651605531</v>
      </c>
      <c r="Q51" s="17">
        <f t="shared" ca="1" si="7"/>
        <v>831154.10297820461</v>
      </c>
    </row>
    <row r="52" spans="1:17" x14ac:dyDescent="0.35">
      <c r="A52">
        <v>50</v>
      </c>
      <c r="B52" s="14">
        <f t="shared" ca="1" si="8"/>
        <v>47590</v>
      </c>
      <c r="C52" s="15">
        <f ca="1">(1+('Symulacja Pożyczka'!$B$7+'Symulacja Pożyczka'!$B$16)*('Arkusz1 (3)'!B52-'Arkusz1 (3)'!B51)/365)</f>
        <v>1.0062849315068494</v>
      </c>
      <c r="D52" s="15">
        <f ca="1">(1+('Symulacja Pożyczka'!$B$7+'Symulacja Pożyczka'!$B$16)*('Arkusz1 (3)'!B52-'Arkusz1 (3)'!B51)/366)</f>
        <v>1.0062677595628415</v>
      </c>
      <c r="E52" s="15">
        <f t="shared" ca="1" si="0"/>
        <v>0</v>
      </c>
      <c r="F52" s="15">
        <f t="shared" ca="1" si="1"/>
        <v>0</v>
      </c>
      <c r="G52">
        <f ca="1">IF(E52=1,(1+('Symulacja Pożyczka'!$B$7+'Symulacja Pożyczka'!$B$16)*((('Arkusz1 (3)'!B52-DATE(YEAR(B52),1,1)+1)/365)+((DATE(YEAR(B51),12,31)-'Arkusz1 (3)'!B51)/366))),IF(F52=1,(1+('Symulacja Pożyczka'!$B$7+'Symulacja Pożyczka'!$B$16)*((('Arkusz1 (3)'!B52-DATE(YEAR(B52),1,1)+1)/366)+((DATE(YEAR(B51),12,31)-'Arkusz1 (3)'!B51)/365))),0))</f>
        <v>0</v>
      </c>
      <c r="H52">
        <f t="shared" ca="1" si="2"/>
        <v>0</v>
      </c>
      <c r="I52">
        <f t="shared" ca="1" si="3"/>
        <v>1.0062849315068494</v>
      </c>
      <c r="J52">
        <f t="shared" ca="1" si="4"/>
        <v>1.0062849315068494</v>
      </c>
      <c r="K52">
        <f ca="1">PRODUCT($J$3:J52)</f>
        <v>1.3558006547083155</v>
      </c>
      <c r="L52">
        <f t="shared" ca="1" si="5"/>
        <v>0.7375715570923207</v>
      </c>
      <c r="M52">
        <f ca="1">SUM($L$3:L52)</f>
        <v>43.037936143473736</v>
      </c>
      <c r="O52">
        <f ca="1">(Q51*'Arkusz1 (3)'!J52)-Q51</f>
        <v>5223.7466088548535</v>
      </c>
      <c r="P52" s="16">
        <f t="shared" ca="1" si="6"/>
        <v>9270.4898630439093</v>
      </c>
      <c r="Q52" s="17">
        <f t="shared" ca="1" si="7"/>
        <v>821883.61311516073</v>
      </c>
    </row>
    <row r="53" spans="1:17" x14ac:dyDescent="0.35">
      <c r="A53">
        <v>51</v>
      </c>
      <c r="B53" s="14">
        <f t="shared" ca="1" si="8"/>
        <v>47620</v>
      </c>
      <c r="C53" s="15">
        <f ca="1">(1+('Symulacja Pożyczka'!$B$7+'Symulacja Pożyczka'!$B$16)*('Arkusz1 (3)'!B53-'Arkusz1 (3)'!B52)/365)</f>
        <v>1.0060821917808218</v>
      </c>
      <c r="D53" s="15">
        <f ca="1">(1+('Symulacja Pożyczka'!$B$7+'Symulacja Pożyczka'!$B$16)*('Arkusz1 (3)'!B53-'Arkusz1 (3)'!B52)/366)</f>
        <v>1.0060655737704918</v>
      </c>
      <c r="E53" s="15">
        <f t="shared" ca="1" si="0"/>
        <v>0</v>
      </c>
      <c r="F53" s="15">
        <f t="shared" ca="1" si="1"/>
        <v>0</v>
      </c>
      <c r="G53">
        <f ca="1">IF(E53=1,(1+('Symulacja Pożyczka'!$B$7+'Symulacja Pożyczka'!$B$16)*((('Arkusz1 (3)'!B53-DATE(YEAR(B53),1,1)+1)/365)+((DATE(YEAR(B52),12,31)-'Arkusz1 (3)'!B52)/366))),IF(F53=1,(1+('Symulacja Pożyczka'!$B$7+'Symulacja Pożyczka'!$B$16)*((('Arkusz1 (3)'!B53-DATE(YEAR(B53),1,1)+1)/366)+((DATE(YEAR(B52),12,31)-'Arkusz1 (3)'!B52)/365))),0))</f>
        <v>0</v>
      </c>
      <c r="H53">
        <f t="shared" ca="1" si="2"/>
        <v>0</v>
      </c>
      <c r="I53">
        <f t="shared" ca="1" si="3"/>
        <v>1.0060821917808218</v>
      </c>
      <c r="J53">
        <f t="shared" ca="1" si="4"/>
        <v>1.0060821917808218</v>
      </c>
      <c r="K53">
        <f ca="1">PRODUCT($J$3:J53)</f>
        <v>1.3640468943068151</v>
      </c>
      <c r="L53">
        <f t="shared" ca="1" si="5"/>
        <v>0.73311262550704503</v>
      </c>
      <c r="M53">
        <f ca="1">SUM($L$3:L53)</f>
        <v>43.771048768980783</v>
      </c>
      <c r="O53">
        <f ca="1">(Q52*'Arkusz1 (3)'!J53)-Q52</f>
        <v>4998.8537564811995</v>
      </c>
      <c r="P53" s="16">
        <f t="shared" ca="1" si="6"/>
        <v>9495.3827154175633</v>
      </c>
      <c r="Q53" s="17">
        <f t="shared" ca="1" si="7"/>
        <v>812388.23039974319</v>
      </c>
    </row>
    <row r="54" spans="1:17" x14ac:dyDescent="0.35">
      <c r="A54">
        <v>52</v>
      </c>
      <c r="B54" s="14">
        <f t="shared" ca="1" si="8"/>
        <v>47651</v>
      </c>
      <c r="C54" s="15">
        <f ca="1">(1+('Symulacja Pożyczka'!$B$7+'Symulacja Pożyczka'!$B$16)*('Arkusz1 (3)'!B54-'Arkusz1 (3)'!B53)/365)</f>
        <v>1.0062849315068494</v>
      </c>
      <c r="D54" s="15">
        <f ca="1">(1+('Symulacja Pożyczka'!$B$7+'Symulacja Pożyczka'!$B$16)*('Arkusz1 (3)'!B54-'Arkusz1 (3)'!B53)/366)</f>
        <v>1.0062677595628415</v>
      </c>
      <c r="E54" s="15">
        <f t="shared" ca="1" si="0"/>
        <v>0</v>
      </c>
      <c r="F54" s="15">
        <f t="shared" ca="1" si="1"/>
        <v>0</v>
      </c>
      <c r="G54">
        <f ca="1">IF(E54=1,(1+('Symulacja Pożyczka'!$B$7+'Symulacja Pożyczka'!$B$16)*((('Arkusz1 (3)'!B54-DATE(YEAR(B54),1,1)+1)/365)+((DATE(YEAR(B53),12,31)-'Arkusz1 (3)'!B53)/366))),IF(F54=1,(1+('Symulacja Pożyczka'!$B$7+'Symulacja Pożyczka'!$B$16)*((('Arkusz1 (3)'!B54-DATE(YEAR(B54),1,1)+1)/366)+((DATE(YEAR(B53),12,31)-'Arkusz1 (3)'!B53)/365))),0))</f>
        <v>0</v>
      </c>
      <c r="H54">
        <f t="shared" ca="1" si="2"/>
        <v>0</v>
      </c>
      <c r="I54">
        <f t="shared" ca="1" si="3"/>
        <v>1.0062849315068494</v>
      </c>
      <c r="J54">
        <f t="shared" ca="1" si="4"/>
        <v>1.0062849315068494</v>
      </c>
      <c r="K54">
        <f ca="1">PRODUCT($J$3:J54)</f>
        <v>1.3726198356096642</v>
      </c>
      <c r="L54">
        <f t="shared" ca="1" si="5"/>
        <v>0.72853384022083512</v>
      </c>
      <c r="M54">
        <f ca="1">SUM($L$3:L54)</f>
        <v>44.499582609201617</v>
      </c>
      <c r="O54">
        <f ca="1">(Q53*'Arkusz1 (3)'!J54)-Q53</f>
        <v>5105.8043850329705</v>
      </c>
      <c r="P54" s="16">
        <f t="shared" ca="1" si="6"/>
        <v>9388.4320868657924</v>
      </c>
      <c r="Q54" s="17">
        <f t="shared" ca="1" si="7"/>
        <v>802999.79831287742</v>
      </c>
    </row>
    <row r="55" spans="1:17" x14ac:dyDescent="0.35">
      <c r="A55">
        <v>53</v>
      </c>
      <c r="B55" s="14">
        <f t="shared" ca="1" si="8"/>
        <v>47681</v>
      </c>
      <c r="C55" s="15">
        <f ca="1">(1+('Symulacja Pożyczka'!$B$7+'Symulacja Pożyczka'!$B$16)*('Arkusz1 (3)'!B55-'Arkusz1 (3)'!B54)/365)</f>
        <v>1.0060821917808218</v>
      </c>
      <c r="D55" s="15">
        <f ca="1">(1+('Symulacja Pożyczka'!$B$7+'Symulacja Pożyczka'!$B$16)*('Arkusz1 (3)'!B55-'Arkusz1 (3)'!B54)/366)</f>
        <v>1.0060655737704918</v>
      </c>
      <c r="E55" s="15">
        <f t="shared" ca="1" si="0"/>
        <v>0</v>
      </c>
      <c r="F55" s="15">
        <f t="shared" ca="1" si="1"/>
        <v>0</v>
      </c>
      <c r="G55">
        <f ca="1">IF(E55=1,(1+('Symulacja Pożyczka'!$B$7+'Symulacja Pożyczka'!$B$16)*((('Arkusz1 (3)'!B55-DATE(YEAR(B55),1,1)+1)/365)+((DATE(YEAR(B54),12,31)-'Arkusz1 (3)'!B54)/366))),IF(F55=1,(1+('Symulacja Pożyczka'!$B$7+'Symulacja Pożyczka'!$B$16)*((('Arkusz1 (3)'!B55-DATE(YEAR(B55),1,1)+1)/366)+((DATE(YEAR(B54),12,31)-'Arkusz1 (3)'!B54)/365))),0))</f>
        <v>0</v>
      </c>
      <c r="H55">
        <f t="shared" ca="1" si="2"/>
        <v>0</v>
      </c>
      <c r="I55">
        <f t="shared" ca="1" si="3"/>
        <v>1.0060821917808218</v>
      </c>
      <c r="J55">
        <f t="shared" ca="1" si="4"/>
        <v>1.0060821917808218</v>
      </c>
      <c r="K55">
        <f ca="1">PRODUCT($J$3:J55)</f>
        <v>1.3809683726920023</v>
      </c>
      <c r="L55">
        <f t="shared" ca="1" si="5"/>
        <v>0.72412954545124131</v>
      </c>
      <c r="M55">
        <f ca="1">SUM($L$3:L55)</f>
        <v>45.223712154652858</v>
      </c>
      <c r="O55">
        <f ca="1">(Q54*'Arkusz1 (3)'!J55)-Q54</f>
        <v>4883.9987733002054</v>
      </c>
      <c r="P55" s="16">
        <f t="shared" ca="1" si="6"/>
        <v>9610.2376985985575</v>
      </c>
      <c r="Q55" s="17">
        <f t="shared" ca="1" si="7"/>
        <v>793389.56061427889</v>
      </c>
    </row>
    <row r="56" spans="1:17" x14ac:dyDescent="0.35">
      <c r="A56">
        <v>54</v>
      </c>
      <c r="B56" s="14">
        <f t="shared" ca="1" si="8"/>
        <v>47712</v>
      </c>
      <c r="C56" s="15">
        <f ca="1">(1+('Symulacja Pożyczka'!$B$7+'Symulacja Pożyczka'!$B$16)*('Arkusz1 (3)'!B56-'Arkusz1 (3)'!B55)/365)</f>
        <v>1.0062849315068494</v>
      </c>
      <c r="D56" s="15">
        <f ca="1">(1+('Symulacja Pożyczka'!$B$7+'Symulacja Pożyczka'!$B$16)*('Arkusz1 (3)'!B56-'Arkusz1 (3)'!B55)/366)</f>
        <v>1.0062677595628415</v>
      </c>
      <c r="E56" s="15">
        <f t="shared" ca="1" si="0"/>
        <v>0</v>
      </c>
      <c r="F56" s="15">
        <f t="shared" ca="1" si="1"/>
        <v>0</v>
      </c>
      <c r="G56">
        <f ca="1">IF(E56=1,(1+('Symulacja Pożyczka'!$B$7+'Symulacja Pożyczka'!$B$16)*((('Arkusz1 (3)'!B56-DATE(YEAR(B56),1,1)+1)/365)+((DATE(YEAR(B55),12,31)-'Arkusz1 (3)'!B55)/366))),IF(F56=1,(1+('Symulacja Pożyczka'!$B$7+'Symulacja Pożyczka'!$B$16)*((('Arkusz1 (3)'!B56-DATE(YEAR(B56),1,1)+1)/366)+((DATE(YEAR(B55),12,31)-'Arkusz1 (3)'!B55)/365))),0))</f>
        <v>0</v>
      </c>
      <c r="H56">
        <f t="shared" ca="1" si="2"/>
        <v>0</v>
      </c>
      <c r="I56">
        <f t="shared" ca="1" si="3"/>
        <v>1.0062849315068494</v>
      </c>
      <c r="J56">
        <f t="shared" ca="1" si="4"/>
        <v>1.0062849315068494</v>
      </c>
      <c r="K56">
        <f ca="1">PRODUCT($J$3:J56)</f>
        <v>1.3896476643274969</v>
      </c>
      <c r="L56">
        <f t="shared" ca="1" si="5"/>
        <v>0.71960686558915488</v>
      </c>
      <c r="M56">
        <f ca="1">SUM($L$3:L56)</f>
        <v>45.943319020242015</v>
      </c>
      <c r="O56">
        <f ca="1">(Q55*'Arkusz1 (3)'!J56)-Q55</f>
        <v>4986.3990467101103</v>
      </c>
      <c r="P56" s="16">
        <f t="shared" ca="1" si="6"/>
        <v>9507.8374251886526</v>
      </c>
      <c r="Q56" s="17">
        <f t="shared" ca="1" si="7"/>
        <v>783881.72318909026</v>
      </c>
    </row>
    <row r="57" spans="1:17" x14ac:dyDescent="0.35">
      <c r="A57">
        <v>55</v>
      </c>
      <c r="B57" s="14">
        <f t="shared" ca="1" si="8"/>
        <v>47743</v>
      </c>
      <c r="C57" s="15">
        <f ca="1">(1+('Symulacja Pożyczka'!$B$7+'Symulacja Pożyczka'!$B$16)*('Arkusz1 (3)'!B57-'Arkusz1 (3)'!B56)/365)</f>
        <v>1.0062849315068494</v>
      </c>
      <c r="D57" s="15">
        <f ca="1">(1+('Symulacja Pożyczka'!$B$7+'Symulacja Pożyczka'!$B$16)*('Arkusz1 (3)'!B57-'Arkusz1 (3)'!B56)/366)</f>
        <v>1.0062677595628415</v>
      </c>
      <c r="E57" s="15">
        <f t="shared" ca="1" si="0"/>
        <v>0</v>
      </c>
      <c r="F57" s="15">
        <f t="shared" ca="1" si="1"/>
        <v>0</v>
      </c>
      <c r="G57">
        <f ca="1">IF(E57=1,(1+('Symulacja Pożyczka'!$B$7+'Symulacja Pożyczka'!$B$16)*((('Arkusz1 (3)'!B57-DATE(YEAR(B57),1,1)+1)/365)+((DATE(YEAR(B56),12,31)-'Arkusz1 (3)'!B56)/366))),IF(F57=1,(1+('Symulacja Pożyczka'!$B$7+'Symulacja Pożyczka'!$B$16)*((('Arkusz1 (3)'!B57-DATE(YEAR(B57),1,1)+1)/366)+((DATE(YEAR(B56),12,31)-'Arkusz1 (3)'!B56)/365))),0))</f>
        <v>0</v>
      </c>
      <c r="H57">
        <f t="shared" ca="1" si="2"/>
        <v>0</v>
      </c>
      <c r="I57">
        <f t="shared" ca="1" si="3"/>
        <v>1.0062849315068494</v>
      </c>
      <c r="J57">
        <f t="shared" ca="1" si="4"/>
        <v>1.0062849315068494</v>
      </c>
      <c r="K57">
        <f ca="1">PRODUCT($J$3:J57)</f>
        <v>1.3983815047164485</v>
      </c>
      <c r="L57">
        <f t="shared" ca="1" si="5"/>
        <v>0.71511243292850268</v>
      </c>
      <c r="M57">
        <f ca="1">SUM($L$3:L57)</f>
        <v>46.658431453170515</v>
      </c>
      <c r="O57">
        <f ca="1">(Q56*'Arkusz1 (3)'!J57)-Q56</f>
        <v>4926.6429397144821</v>
      </c>
      <c r="P57" s="16">
        <f t="shared" ca="1" si="6"/>
        <v>9567.5935321842808</v>
      </c>
      <c r="Q57" s="17">
        <f t="shared" ca="1" si="7"/>
        <v>774314.12965690601</v>
      </c>
    </row>
    <row r="58" spans="1:17" x14ac:dyDescent="0.35">
      <c r="A58">
        <v>56</v>
      </c>
      <c r="B58" s="14">
        <f t="shared" ca="1" si="8"/>
        <v>47773</v>
      </c>
      <c r="C58" s="15">
        <f ca="1">(1+('Symulacja Pożyczka'!$B$7+'Symulacja Pożyczka'!$B$16)*('Arkusz1 (3)'!B58-'Arkusz1 (3)'!B57)/365)</f>
        <v>1.0060821917808218</v>
      </c>
      <c r="D58" s="15">
        <f ca="1">(1+('Symulacja Pożyczka'!$B$7+'Symulacja Pożyczka'!$B$16)*('Arkusz1 (3)'!B58-'Arkusz1 (3)'!B57)/366)</f>
        <v>1.0060655737704918</v>
      </c>
      <c r="E58" s="15">
        <f t="shared" ca="1" si="0"/>
        <v>0</v>
      </c>
      <c r="F58" s="15">
        <f t="shared" ca="1" si="1"/>
        <v>0</v>
      </c>
      <c r="G58">
        <f ca="1">IF(E58=1,(1+('Symulacja Pożyczka'!$B$7+'Symulacja Pożyczka'!$B$16)*((('Arkusz1 (3)'!B58-DATE(YEAR(B58),1,1)+1)/365)+((DATE(YEAR(B57),12,31)-'Arkusz1 (3)'!B57)/366))),IF(F58=1,(1+('Symulacja Pożyczka'!$B$7+'Symulacja Pożyczka'!$B$16)*((('Arkusz1 (3)'!B58-DATE(YEAR(B58),1,1)+1)/366)+((DATE(YEAR(B57),12,31)-'Arkusz1 (3)'!B57)/365))),0))</f>
        <v>0</v>
      </c>
      <c r="H58">
        <f t="shared" ca="1" si="2"/>
        <v>0</v>
      </c>
      <c r="I58">
        <f t="shared" ca="1" si="3"/>
        <v>1.0060821917808218</v>
      </c>
      <c r="J58">
        <f t="shared" ca="1" si="4"/>
        <v>1.0060821917808218</v>
      </c>
      <c r="K58">
        <f ca="1">PRODUCT($J$3:J58)</f>
        <v>1.4068867292108882</v>
      </c>
      <c r="L58">
        <f t="shared" ca="1" si="5"/>
        <v>0.71078927623469179</v>
      </c>
      <c r="M58">
        <f ca="1">SUM($L$3:L58)</f>
        <v>47.369220729405207</v>
      </c>
      <c r="O58">
        <f ca="1">(Q57*'Arkusz1 (3)'!J58)-Q57</f>
        <v>4709.527035173378</v>
      </c>
      <c r="P58" s="16">
        <f t="shared" ca="1" si="6"/>
        <v>9784.7094367253849</v>
      </c>
      <c r="Q58" s="17">
        <f t="shared" ca="1" si="7"/>
        <v>764529.42022018065</v>
      </c>
    </row>
    <row r="59" spans="1:17" x14ac:dyDescent="0.35">
      <c r="A59">
        <v>57</v>
      </c>
      <c r="B59" s="14">
        <f t="shared" ca="1" si="8"/>
        <v>47804</v>
      </c>
      <c r="C59" s="15">
        <f ca="1">(1+('Symulacja Pożyczka'!$B$7+'Symulacja Pożyczka'!$B$16)*('Arkusz1 (3)'!B59-'Arkusz1 (3)'!B58)/365)</f>
        <v>1.0062849315068494</v>
      </c>
      <c r="D59" s="15">
        <f ca="1">(1+('Symulacja Pożyczka'!$B$7+'Symulacja Pożyczka'!$B$16)*('Arkusz1 (3)'!B59-'Arkusz1 (3)'!B58)/366)</f>
        <v>1.0062677595628415</v>
      </c>
      <c r="E59" s="15">
        <f t="shared" ca="1" si="0"/>
        <v>0</v>
      </c>
      <c r="F59" s="15">
        <f t="shared" ca="1" si="1"/>
        <v>0</v>
      </c>
      <c r="G59">
        <f ca="1">IF(E59=1,(1+('Symulacja Pożyczka'!$B$7+'Symulacja Pożyczka'!$B$16)*((('Arkusz1 (3)'!B59-DATE(YEAR(B59),1,1)+1)/365)+((DATE(YEAR(B58),12,31)-'Arkusz1 (3)'!B58)/366))),IF(F59=1,(1+('Symulacja Pożyczka'!$B$7+'Symulacja Pożyczka'!$B$16)*((('Arkusz1 (3)'!B59-DATE(YEAR(B59),1,1)+1)/366)+((DATE(YEAR(B58),12,31)-'Arkusz1 (3)'!B58)/365))),0))</f>
        <v>0</v>
      </c>
      <c r="H59">
        <f t="shared" ca="1" si="2"/>
        <v>0</v>
      </c>
      <c r="I59">
        <f t="shared" ca="1" si="3"/>
        <v>1.0062849315068494</v>
      </c>
      <c r="J59">
        <f t="shared" ca="1" si="4"/>
        <v>1.0062849315068494</v>
      </c>
      <c r="K59">
        <f ca="1">PRODUCT($J$3:J59)</f>
        <v>1.415728915941874</v>
      </c>
      <c r="L59">
        <f t="shared" ca="1" si="5"/>
        <v>0.70634991539655556</v>
      </c>
      <c r="M59">
        <f ca="1">SUM($L$3:L59)</f>
        <v>48.075570644801765</v>
      </c>
      <c r="O59">
        <f ca="1">(Q58*'Arkusz1 (3)'!J59)-Q58</f>
        <v>4805.0150410551578</v>
      </c>
      <c r="P59" s="16">
        <f t="shared" ca="1" si="6"/>
        <v>9689.221430843605</v>
      </c>
      <c r="Q59" s="17">
        <f t="shared" ca="1" si="7"/>
        <v>754840.19878933707</v>
      </c>
    </row>
    <row r="60" spans="1:17" x14ac:dyDescent="0.35">
      <c r="A60">
        <v>58</v>
      </c>
      <c r="B60" s="14">
        <f t="shared" ca="1" si="8"/>
        <v>47834</v>
      </c>
      <c r="C60" s="15">
        <f ca="1">(1+('Symulacja Pożyczka'!$B$7+'Symulacja Pożyczka'!$B$16)*('Arkusz1 (3)'!B60-'Arkusz1 (3)'!B59)/365)</f>
        <v>1.0060821917808218</v>
      </c>
      <c r="D60" s="15">
        <f ca="1">(1+('Symulacja Pożyczka'!$B$7+'Symulacja Pożyczka'!$B$16)*('Arkusz1 (3)'!B60-'Arkusz1 (3)'!B59)/366)</f>
        <v>1.0060655737704918</v>
      </c>
      <c r="E60" s="15">
        <f t="shared" ca="1" si="0"/>
        <v>0</v>
      </c>
      <c r="F60" s="15">
        <f t="shared" ca="1" si="1"/>
        <v>0</v>
      </c>
      <c r="G60">
        <f ca="1">IF(E60=1,(1+('Symulacja Pożyczka'!$B$7+'Symulacja Pożyczka'!$B$16)*((('Arkusz1 (3)'!B60-DATE(YEAR(B60),1,1)+1)/365)+((DATE(YEAR(B59),12,31)-'Arkusz1 (3)'!B59)/366))),IF(F60=1,(1+('Symulacja Pożyczka'!$B$7+'Symulacja Pożyczka'!$B$16)*((('Arkusz1 (3)'!B60-DATE(YEAR(B60),1,1)+1)/366)+((DATE(YEAR(B59),12,31)-'Arkusz1 (3)'!B59)/365))),0))</f>
        <v>0</v>
      </c>
      <c r="H60">
        <f t="shared" ca="1" si="2"/>
        <v>0</v>
      </c>
      <c r="I60">
        <f t="shared" ca="1" si="3"/>
        <v>1.0060821917808218</v>
      </c>
      <c r="J60">
        <f t="shared" ca="1" si="4"/>
        <v>1.0060821917808218</v>
      </c>
      <c r="K60">
        <f ca="1">PRODUCT($J$3:J60)</f>
        <v>1.4243396507182875</v>
      </c>
      <c r="L60">
        <f t="shared" ca="1" si="5"/>
        <v>0.70207973182218508</v>
      </c>
      <c r="M60">
        <f ca="1">SUM($L$3:L60)</f>
        <v>48.777650376623953</v>
      </c>
      <c r="O60">
        <f ca="1">(Q59*'Arkusz1 (3)'!J60)-Q59</f>
        <v>4591.0828529103892</v>
      </c>
      <c r="P60" s="16">
        <f t="shared" ca="1" si="6"/>
        <v>9903.1536189883736</v>
      </c>
      <c r="Q60" s="17">
        <f t="shared" ca="1" si="7"/>
        <v>744937.04517034872</v>
      </c>
    </row>
    <row r="61" spans="1:17" x14ac:dyDescent="0.35">
      <c r="A61">
        <v>59</v>
      </c>
      <c r="B61" s="14">
        <f t="shared" ca="1" si="8"/>
        <v>47865</v>
      </c>
      <c r="C61" s="15">
        <f ca="1">(1+('Symulacja Pożyczka'!$B$7+'Symulacja Pożyczka'!$B$16)*('Arkusz1 (3)'!B61-'Arkusz1 (3)'!B60)/365)</f>
        <v>1.0062849315068494</v>
      </c>
      <c r="D61" s="15">
        <f ca="1">(1+('Symulacja Pożyczka'!$B$7+'Symulacja Pożyczka'!$B$16)*('Arkusz1 (3)'!B61-'Arkusz1 (3)'!B60)/366)</f>
        <v>1.0062677595628415</v>
      </c>
      <c r="E61" s="15">
        <f t="shared" ca="1" si="0"/>
        <v>0</v>
      </c>
      <c r="F61" s="15">
        <f t="shared" ca="1" si="1"/>
        <v>0</v>
      </c>
      <c r="G61">
        <f ca="1">IF(E61=1,(1+('Symulacja Pożyczka'!$B$7+'Symulacja Pożyczka'!$B$16)*((('Arkusz1 (3)'!B61-DATE(YEAR(B61),1,1)+1)/365)+((DATE(YEAR(B60),12,31)-'Arkusz1 (3)'!B60)/366))),IF(F61=1,(1+('Symulacja Pożyczka'!$B$7+'Symulacja Pożyczka'!$B$16)*((('Arkusz1 (3)'!B61-DATE(YEAR(B61),1,1)+1)/366)+((DATE(YEAR(B60),12,31)-'Arkusz1 (3)'!B60)/365))),0))</f>
        <v>0</v>
      </c>
      <c r="H61">
        <f t="shared" ca="1" si="2"/>
        <v>0</v>
      </c>
      <c r="I61">
        <f t="shared" ca="1" si="3"/>
        <v>1.0062849315068494</v>
      </c>
      <c r="J61">
        <f t="shared" ca="1" si="4"/>
        <v>1.0062849315068494</v>
      </c>
      <c r="K61">
        <f ca="1">PRODUCT($J$3:J61)</f>
        <v>1.4332915278655418</v>
      </c>
      <c r="L61">
        <f t="shared" ca="1" si="5"/>
        <v>0.69769476799266394</v>
      </c>
      <c r="M61">
        <f ca="1">SUM($L$3:L61)</f>
        <v>49.475345144616618</v>
      </c>
      <c r="O61">
        <f ca="1">(Q60*'Arkusz1 (3)'!J61)-Q60</f>
        <v>4681.8783058103872</v>
      </c>
      <c r="P61" s="16">
        <f t="shared" ca="1" si="6"/>
        <v>9812.3581660883756</v>
      </c>
      <c r="Q61" s="17">
        <f t="shared" ca="1" si="7"/>
        <v>735124.68700426037</v>
      </c>
    </row>
    <row r="62" spans="1:17" x14ac:dyDescent="0.35">
      <c r="A62">
        <v>60</v>
      </c>
      <c r="B62" s="14">
        <f t="shared" ca="1" si="8"/>
        <v>47896</v>
      </c>
      <c r="C62" s="15">
        <f ca="1">(1+('Symulacja Pożyczka'!$B$7+'Symulacja Pożyczka'!$B$16)*('Arkusz1 (3)'!B62-'Arkusz1 (3)'!B61)/365)</f>
        <v>1.0062849315068494</v>
      </c>
      <c r="D62" s="15">
        <f ca="1">(1+('Symulacja Pożyczka'!$B$7+'Symulacja Pożyczka'!$B$16)*('Arkusz1 (3)'!B62-'Arkusz1 (3)'!B61)/366)</f>
        <v>1.0062677595628415</v>
      </c>
      <c r="E62" s="15">
        <f t="shared" ca="1" si="0"/>
        <v>0</v>
      </c>
      <c r="F62" s="15">
        <f t="shared" ca="1" si="1"/>
        <v>0</v>
      </c>
      <c r="G62">
        <f ca="1">IF(E62=1,(1+('Symulacja Pożyczka'!$B$7+'Symulacja Pożyczka'!$B$16)*((('Arkusz1 (3)'!B62-DATE(YEAR(B62),1,1)+1)/365)+((DATE(YEAR(B61),12,31)-'Arkusz1 (3)'!B61)/366))),IF(F62=1,(1+('Symulacja Pożyczka'!$B$7+'Symulacja Pożyczka'!$B$16)*((('Arkusz1 (3)'!B62-DATE(YEAR(B62),1,1)+1)/366)+((DATE(YEAR(B61),12,31)-'Arkusz1 (3)'!B61)/365))),0))</f>
        <v>0</v>
      </c>
      <c r="H62">
        <f t="shared" ca="1" si="2"/>
        <v>0</v>
      </c>
      <c r="I62">
        <f t="shared" ca="1" si="3"/>
        <v>1.0062849315068494</v>
      </c>
      <c r="J62">
        <f t="shared" ca="1" si="4"/>
        <v>1.0062849315068494</v>
      </c>
      <c r="K62">
        <f ca="1">PRODUCT($J$3:J62)</f>
        <v>1.4422996669475243</v>
      </c>
      <c r="L62">
        <f t="shared" ca="1" si="5"/>
        <v>0.69333719123460313</v>
      </c>
      <c r="M62">
        <f ca="1">SUM($L$3:L62)</f>
        <v>50.168682335851223</v>
      </c>
      <c r="O62">
        <f ca="1">(Q61*'Arkusz1 (3)'!J62)-Q61</f>
        <v>4620.2083068158245</v>
      </c>
      <c r="P62" s="16">
        <f t="shared" ca="1" si="6"/>
        <v>9874.0281650829384</v>
      </c>
      <c r="Q62" s="17">
        <f t="shared" ca="1" si="7"/>
        <v>725250.65883917746</v>
      </c>
    </row>
    <row r="63" spans="1:17" x14ac:dyDescent="0.35">
      <c r="A63">
        <v>61</v>
      </c>
      <c r="B63" s="14">
        <f t="shared" ca="1" si="8"/>
        <v>47924</v>
      </c>
      <c r="C63" s="15">
        <f ca="1">(1+('Symulacja Pożyczka'!$B$7+'Symulacja Pożyczka'!$B$16)*('Arkusz1 (3)'!B63-'Arkusz1 (3)'!B62)/365)</f>
        <v>1.0056767123287671</v>
      </c>
      <c r="D63" s="15">
        <f ca="1">(1+('Symulacja Pożyczka'!$B$7+'Symulacja Pożyczka'!$B$16)*('Arkusz1 (3)'!B63-'Arkusz1 (3)'!B62)/366)</f>
        <v>1.0056612021857922</v>
      </c>
      <c r="E63" s="15">
        <f t="shared" ca="1" si="0"/>
        <v>0</v>
      </c>
      <c r="F63" s="15">
        <f t="shared" ca="1" si="1"/>
        <v>0</v>
      </c>
      <c r="G63">
        <f ca="1">IF(E63=1,(1+('Symulacja Pożyczka'!$B$7+'Symulacja Pożyczka'!$B$16)*((('Arkusz1 (3)'!B63-DATE(YEAR(B63),1,1)+1)/365)+((DATE(YEAR(B62),12,31)-'Arkusz1 (3)'!B62)/366))),IF(F63=1,(1+('Symulacja Pożyczka'!$B$7+'Symulacja Pożyczka'!$B$16)*((('Arkusz1 (3)'!B63-DATE(YEAR(B63),1,1)+1)/366)+((DATE(YEAR(B62),12,31)-'Arkusz1 (3)'!B62)/365))),0))</f>
        <v>0</v>
      </c>
      <c r="H63">
        <f t="shared" ca="1" si="2"/>
        <v>0</v>
      </c>
      <c r="I63">
        <f t="shared" ca="1" si="3"/>
        <v>1.0056767123287671</v>
      </c>
      <c r="J63">
        <f t="shared" ca="1" si="4"/>
        <v>1.0056767123287671</v>
      </c>
      <c r="K63">
        <f ca="1">PRODUCT($J$3:J63)</f>
        <v>1.450487187248662</v>
      </c>
      <c r="L63">
        <f t="shared" ca="1" si="5"/>
        <v>0.68942353216979269</v>
      </c>
      <c r="M63">
        <f ca="1">SUM($L$3:L63)</f>
        <v>50.858105868021013</v>
      </c>
      <c r="O63">
        <f ca="1">(Q62*'Arkusz1 (3)'!J63)-Q62</f>
        <v>4117.0393564788392</v>
      </c>
      <c r="P63" s="16">
        <f t="shared" ca="1" si="6"/>
        <v>10377.197115419924</v>
      </c>
      <c r="Q63" s="17">
        <f t="shared" ca="1" si="7"/>
        <v>714873.46172375756</v>
      </c>
    </row>
    <row r="64" spans="1:17" x14ac:dyDescent="0.35">
      <c r="A64">
        <v>62</v>
      </c>
      <c r="B64" s="14">
        <f t="shared" ca="1" si="8"/>
        <v>47955</v>
      </c>
      <c r="C64" s="15">
        <f ca="1">(1+('Symulacja Pożyczka'!$B$7+'Symulacja Pożyczka'!$B$16)*('Arkusz1 (3)'!B64-'Arkusz1 (3)'!B63)/365)</f>
        <v>1.0062849315068494</v>
      </c>
      <c r="D64" s="15">
        <f ca="1">(1+('Symulacja Pożyczka'!$B$7+'Symulacja Pożyczka'!$B$16)*('Arkusz1 (3)'!B64-'Arkusz1 (3)'!B63)/366)</f>
        <v>1.0062677595628415</v>
      </c>
      <c r="E64" s="15">
        <f t="shared" ca="1" si="0"/>
        <v>0</v>
      </c>
      <c r="F64" s="15">
        <f t="shared" ca="1" si="1"/>
        <v>0</v>
      </c>
      <c r="G64">
        <f ca="1">IF(E64=1,(1+('Symulacja Pożyczka'!$B$7+'Symulacja Pożyczka'!$B$16)*((('Arkusz1 (3)'!B64-DATE(YEAR(B64),1,1)+1)/365)+((DATE(YEAR(B63),12,31)-'Arkusz1 (3)'!B63)/366))),IF(F64=1,(1+('Symulacja Pożyczka'!$B$7+'Symulacja Pożyczka'!$B$16)*((('Arkusz1 (3)'!B64-DATE(YEAR(B64),1,1)+1)/366)+((DATE(YEAR(B63),12,31)-'Arkusz1 (3)'!B63)/365))),0))</f>
        <v>0</v>
      </c>
      <c r="H64">
        <f t="shared" ca="1" si="2"/>
        <v>0</v>
      </c>
      <c r="I64">
        <f t="shared" ca="1" si="3"/>
        <v>1.0062849315068494</v>
      </c>
      <c r="J64">
        <f t="shared" ca="1" si="4"/>
        <v>1.0062849315068494</v>
      </c>
      <c r="K64">
        <f ca="1">PRODUCT($J$3:J64)</f>
        <v>1.4596033998720825</v>
      </c>
      <c r="L64">
        <f t="shared" ca="1" si="5"/>
        <v>0.68511761488609746</v>
      </c>
      <c r="M64">
        <f ca="1">SUM($L$3:L64)</f>
        <v>51.543223482907109</v>
      </c>
      <c r="O64">
        <f ca="1">(Q63*'Arkusz1 (3)'!J64)-Q63</f>
        <v>4492.9307429981418</v>
      </c>
      <c r="P64" s="16">
        <f t="shared" ca="1" si="6"/>
        <v>10001.305728900621</v>
      </c>
      <c r="Q64" s="17">
        <f t="shared" ca="1" si="7"/>
        <v>704872.15599485696</v>
      </c>
    </row>
    <row r="65" spans="1:17" x14ac:dyDescent="0.35">
      <c r="A65">
        <v>63</v>
      </c>
      <c r="B65" s="14">
        <f t="shared" ca="1" si="8"/>
        <v>47985</v>
      </c>
      <c r="C65" s="15">
        <f ca="1">(1+('Symulacja Pożyczka'!$B$7+'Symulacja Pożyczka'!$B$16)*('Arkusz1 (3)'!B65-'Arkusz1 (3)'!B64)/365)</f>
        <v>1.0060821917808218</v>
      </c>
      <c r="D65" s="15">
        <f ca="1">(1+('Symulacja Pożyczka'!$B$7+'Symulacja Pożyczka'!$B$16)*('Arkusz1 (3)'!B65-'Arkusz1 (3)'!B64)/366)</f>
        <v>1.0060655737704918</v>
      </c>
      <c r="E65" s="15">
        <f t="shared" ca="1" si="0"/>
        <v>0</v>
      </c>
      <c r="F65" s="15">
        <f t="shared" ca="1" si="1"/>
        <v>0</v>
      </c>
      <c r="G65">
        <f ca="1">IF(E65=1,(1+('Symulacja Pożyczka'!$B$7+'Symulacja Pożyczka'!$B$16)*((('Arkusz1 (3)'!B65-DATE(YEAR(B65),1,1)+1)/365)+((DATE(YEAR(B64),12,31)-'Arkusz1 (3)'!B64)/366))),IF(F65=1,(1+('Symulacja Pożyczka'!$B$7+'Symulacja Pożyczka'!$B$16)*((('Arkusz1 (3)'!B65-DATE(YEAR(B65),1,1)+1)/366)+((DATE(YEAR(B64),12,31)-'Arkusz1 (3)'!B64)/365))),0))</f>
        <v>0</v>
      </c>
      <c r="H65">
        <f t="shared" ca="1" si="2"/>
        <v>0</v>
      </c>
      <c r="I65">
        <f t="shared" ca="1" si="3"/>
        <v>1.0060821917808218</v>
      </c>
      <c r="J65">
        <f t="shared" ca="1" si="4"/>
        <v>1.0060821917808218</v>
      </c>
      <c r="K65">
        <f ca="1">PRODUCT($J$3:J65)</f>
        <v>1.4684809876740441</v>
      </c>
      <c r="L65">
        <f t="shared" ca="1" si="5"/>
        <v>0.68097578953604276</v>
      </c>
      <c r="M65">
        <f ca="1">SUM($L$3:L65)</f>
        <v>52.224199272443151</v>
      </c>
      <c r="O65">
        <f ca="1">(Q64*'Arkusz1 (3)'!J65)-Q64</f>
        <v>4287.1676337220706</v>
      </c>
      <c r="P65" s="16">
        <f t="shared" ca="1" si="6"/>
        <v>10207.068838176692</v>
      </c>
      <c r="Q65" s="17">
        <f t="shared" ca="1" si="7"/>
        <v>694665.0871566803</v>
      </c>
    </row>
    <row r="66" spans="1:17" x14ac:dyDescent="0.35">
      <c r="A66">
        <v>64</v>
      </c>
      <c r="B66" s="14">
        <f t="shared" ca="1" si="8"/>
        <v>48016</v>
      </c>
      <c r="C66" s="15">
        <f ca="1">(1+('Symulacja Pożyczka'!$B$7+'Symulacja Pożyczka'!$B$16)*('Arkusz1 (3)'!B66-'Arkusz1 (3)'!B65)/365)</f>
        <v>1.0062849315068494</v>
      </c>
      <c r="D66" s="15">
        <f ca="1">(1+('Symulacja Pożyczka'!$B$7+'Symulacja Pożyczka'!$B$16)*('Arkusz1 (3)'!B66-'Arkusz1 (3)'!B65)/366)</f>
        <v>1.0062677595628415</v>
      </c>
      <c r="E66" s="15">
        <f t="shared" ca="1" si="0"/>
        <v>0</v>
      </c>
      <c r="F66" s="15">
        <f t="shared" ca="1" si="1"/>
        <v>0</v>
      </c>
      <c r="G66">
        <f ca="1">IF(E66=1,(1+('Symulacja Pożyczka'!$B$7+'Symulacja Pożyczka'!$B$16)*((('Arkusz1 (3)'!B66-DATE(YEAR(B66),1,1)+1)/365)+((DATE(YEAR(B65),12,31)-'Arkusz1 (3)'!B65)/366))),IF(F66=1,(1+('Symulacja Pożyczka'!$B$7+'Symulacja Pożyczka'!$B$16)*((('Arkusz1 (3)'!B66-DATE(YEAR(B66),1,1)+1)/366)+((DATE(YEAR(B65),12,31)-'Arkusz1 (3)'!B65)/365))),0))</f>
        <v>0</v>
      </c>
      <c r="H66">
        <f t="shared" ca="1" si="2"/>
        <v>0</v>
      </c>
      <c r="I66">
        <f t="shared" ca="1" si="3"/>
        <v>1.0062849315068494</v>
      </c>
      <c r="J66">
        <f t="shared" ca="1" si="4"/>
        <v>1.0062849315068494</v>
      </c>
      <c r="K66">
        <f ca="1">PRODUCT($J$3:J66)</f>
        <v>1.477710290100686</v>
      </c>
      <c r="L66">
        <f t="shared" ca="1" si="5"/>
        <v>0.67672263413139222</v>
      </c>
      <c r="M66">
        <f ca="1">SUM($L$3:L66)</f>
        <v>52.900921906574546</v>
      </c>
      <c r="O66">
        <f ca="1">(Q65*'Arkusz1 (3)'!J66)-Q65</f>
        <v>4365.9224929793272</v>
      </c>
      <c r="P66" s="16">
        <f t="shared" ca="1" si="6"/>
        <v>10128.313978919436</v>
      </c>
      <c r="Q66" s="17">
        <f t="shared" ca="1" si="7"/>
        <v>684536.77317776089</v>
      </c>
    </row>
    <row r="67" spans="1:17" x14ac:dyDescent="0.35">
      <c r="A67">
        <v>65</v>
      </c>
      <c r="B67" s="14">
        <f t="shared" ca="1" si="8"/>
        <v>48046</v>
      </c>
      <c r="C67" s="15">
        <f ca="1">(1+('Symulacja Pożyczka'!$B$7+'Symulacja Pożyczka'!$B$16)*('Arkusz1 (3)'!B67-'Arkusz1 (3)'!B66)/365)</f>
        <v>1.0060821917808218</v>
      </c>
      <c r="D67" s="15">
        <f ca="1">(1+('Symulacja Pożyczka'!$B$7+'Symulacja Pożyczka'!$B$16)*('Arkusz1 (3)'!B67-'Arkusz1 (3)'!B66)/366)</f>
        <v>1.0060655737704918</v>
      </c>
      <c r="E67" s="15">
        <f t="shared" ca="1" si="0"/>
        <v>0</v>
      </c>
      <c r="F67" s="15">
        <f t="shared" ca="1" si="1"/>
        <v>0</v>
      </c>
      <c r="G67">
        <f ca="1">IF(E67=1,(1+('Symulacja Pożyczka'!$B$7+'Symulacja Pożyczka'!$B$16)*((('Arkusz1 (3)'!B67-DATE(YEAR(B67),1,1)+1)/365)+((DATE(YEAR(B66),12,31)-'Arkusz1 (3)'!B66)/366))),IF(F67=1,(1+('Symulacja Pożyczka'!$B$7+'Symulacja Pożyczka'!$B$16)*((('Arkusz1 (3)'!B67-DATE(YEAR(B67),1,1)+1)/366)+((DATE(YEAR(B66),12,31)-'Arkusz1 (3)'!B66)/365))),0))</f>
        <v>0</v>
      </c>
      <c r="H67">
        <f t="shared" ca="1" si="2"/>
        <v>0</v>
      </c>
      <c r="I67">
        <f t="shared" ca="1" si="3"/>
        <v>1.0060821917808218</v>
      </c>
      <c r="J67">
        <f t="shared" ca="1" si="4"/>
        <v>1.0060821917808218</v>
      </c>
      <c r="K67">
        <f ca="1">PRODUCT($J$3:J67)</f>
        <v>1.4866980074815721</v>
      </c>
      <c r="L67">
        <f t="shared" ca="1" si="5"/>
        <v>0.67263155998572577</v>
      </c>
      <c r="M67">
        <f ca="1">SUM($L$3:L67)</f>
        <v>53.57355346656027</v>
      </c>
      <c r="O67">
        <f ca="1">(Q66*'Arkusz1 (3)'!J67)-Q66</f>
        <v>4163.4839354921132</v>
      </c>
      <c r="P67" s="16">
        <f t="shared" ca="1" si="6"/>
        <v>10330.75253640665</v>
      </c>
      <c r="Q67" s="17">
        <f t="shared" ca="1" si="7"/>
        <v>674206.02064135426</v>
      </c>
    </row>
    <row r="68" spans="1:17" x14ac:dyDescent="0.35">
      <c r="A68">
        <v>66</v>
      </c>
      <c r="B68" s="14">
        <f t="shared" ca="1" si="8"/>
        <v>48077</v>
      </c>
      <c r="C68" s="15">
        <f ca="1">(1+('Symulacja Pożyczka'!$B$7+'Symulacja Pożyczka'!$B$16)*('Arkusz1 (3)'!B68-'Arkusz1 (3)'!B67)/365)</f>
        <v>1.0062849315068494</v>
      </c>
      <c r="D68" s="15">
        <f ca="1">(1+('Symulacja Pożyczka'!$B$7+'Symulacja Pożyczka'!$B$16)*('Arkusz1 (3)'!B68-'Arkusz1 (3)'!B67)/366)</f>
        <v>1.0062677595628415</v>
      </c>
      <c r="E68" s="15">
        <f t="shared" ref="E68:E131" ca="1" si="9">IF(AND(MOD(YEAR(B67),4)=0,MOD(YEAR(B68),4)&lt;&gt;0),1,0)</f>
        <v>0</v>
      </c>
      <c r="F68" s="15">
        <f t="shared" ref="F68:F131" ca="1" si="10">IF(AND(MOD(YEAR(B68),4)=0,MOD(YEAR(B67),4)&lt;&gt;0),1,0)</f>
        <v>0</v>
      </c>
      <c r="G68">
        <f ca="1">IF(E68=1,(1+('Symulacja Pożyczka'!$B$7+'Symulacja Pożyczka'!$B$16)*((('Arkusz1 (3)'!B68-DATE(YEAR(B68),1,1)+1)/365)+((DATE(YEAR(B67),12,31)-'Arkusz1 (3)'!B67)/366))),IF(F68=1,(1+('Symulacja Pożyczka'!$B$7+'Symulacja Pożyczka'!$B$16)*((('Arkusz1 (3)'!B68-DATE(YEAR(B68),1,1)+1)/366)+((DATE(YEAR(B67),12,31)-'Arkusz1 (3)'!B67)/365))),0))</f>
        <v>0</v>
      </c>
      <c r="H68">
        <f t="shared" ref="H68:H131" ca="1" si="11">IF(MOD(YEAR(B68),4)=0,1,0)</f>
        <v>0</v>
      </c>
      <c r="I68">
        <f t="shared" ref="I68:I131" ca="1" si="12">IF(H68=0,C68,IF(H68=1,D68,"blad"))</f>
        <v>1.0062849315068494</v>
      </c>
      <c r="J68">
        <f t="shared" ref="J68:J131" ca="1" si="13">IF(OR(E68=1,F68=1),G68,I68)</f>
        <v>1.0062849315068494</v>
      </c>
      <c r="K68">
        <f ca="1">PRODUCT($J$3:J68)</f>
        <v>1.4960418026299633</v>
      </c>
      <c r="L68">
        <f t="shared" ref="L68:L131" ca="1" si="14">1/K68</f>
        <v>0.66843051995074754</v>
      </c>
      <c r="M68">
        <f ca="1">SUM($L$3:L68)</f>
        <v>54.241983986511016</v>
      </c>
      <c r="O68">
        <f ca="1">(Q67*'Arkusz1 (3)'!J68)-Q67</f>
        <v>4237.3386612363392</v>
      </c>
      <c r="P68" s="16">
        <f t="shared" ca="1" si="6"/>
        <v>10256.897810662424</v>
      </c>
      <c r="Q68" s="17">
        <f t="shared" ca="1" si="7"/>
        <v>663949.12283069186</v>
      </c>
    </row>
    <row r="69" spans="1:17" x14ac:dyDescent="0.35">
      <c r="A69">
        <v>67</v>
      </c>
      <c r="B69" s="14">
        <f t="shared" ca="1" si="8"/>
        <v>48108</v>
      </c>
      <c r="C69" s="15">
        <f ca="1">(1+('Symulacja Pożyczka'!$B$7+'Symulacja Pożyczka'!$B$16)*('Arkusz1 (3)'!B69-'Arkusz1 (3)'!B68)/365)</f>
        <v>1.0062849315068494</v>
      </c>
      <c r="D69" s="15">
        <f ca="1">(1+('Symulacja Pożyczka'!$B$7+'Symulacja Pożyczka'!$B$16)*('Arkusz1 (3)'!B69-'Arkusz1 (3)'!B68)/366)</f>
        <v>1.0062677595628415</v>
      </c>
      <c r="E69" s="15">
        <f t="shared" ca="1" si="9"/>
        <v>0</v>
      </c>
      <c r="F69" s="15">
        <f t="shared" ca="1" si="10"/>
        <v>0</v>
      </c>
      <c r="G69">
        <f ca="1">IF(E69=1,(1+('Symulacja Pożyczka'!$B$7+'Symulacja Pożyczka'!$B$16)*((('Arkusz1 (3)'!B69-DATE(YEAR(B69),1,1)+1)/365)+((DATE(YEAR(B68),12,31)-'Arkusz1 (3)'!B68)/366))),IF(F69=1,(1+('Symulacja Pożyczka'!$B$7+'Symulacja Pożyczka'!$B$16)*((('Arkusz1 (3)'!B69-DATE(YEAR(B69),1,1)+1)/366)+((DATE(YEAR(B68),12,31)-'Arkusz1 (3)'!B68)/365))),0))</f>
        <v>0</v>
      </c>
      <c r="H69">
        <f t="shared" ca="1" si="11"/>
        <v>0</v>
      </c>
      <c r="I69">
        <f t="shared" ca="1" si="12"/>
        <v>1.0062849315068494</v>
      </c>
      <c r="J69">
        <f t="shared" ca="1" si="13"/>
        <v>1.0062849315068494</v>
      </c>
      <c r="K69">
        <f ca="1">PRODUCT($J$3:J69)</f>
        <v>1.505444322890876</v>
      </c>
      <c r="L69">
        <f t="shared" ca="1" si="14"/>
        <v>0.66425571825846008</v>
      </c>
      <c r="M69">
        <f ca="1">SUM($L$3:L69)</f>
        <v>54.906239704769476</v>
      </c>
      <c r="O69">
        <f ca="1">(Q68*'Arkusz1 (3)'!J69)-Q68</f>
        <v>4172.8747610236751</v>
      </c>
      <c r="P69" s="16">
        <f t="shared" ref="P69:P132" ca="1" si="15">$N$2-O69</f>
        <v>10321.361710875088</v>
      </c>
      <c r="Q69" s="17">
        <f t="shared" ref="Q69:Q132" ca="1" si="16">Q68-P69</f>
        <v>653627.7611198168</v>
      </c>
    </row>
    <row r="70" spans="1:17" x14ac:dyDescent="0.35">
      <c r="A70">
        <v>68</v>
      </c>
      <c r="B70" s="14">
        <f t="shared" ref="B70:B133" ca="1" si="17">DATE(YEAR((B69)),MONTH((B69))+1,IF(AND(DAY(B69)&gt;28,MONTH((B69))+1=2),IF(MOD(YEAR(B69),4)=0,29,28),IF(AND(OR(DAY(B69)=28,DAY(B69)=29),MONTH((B69))=2),DAY(B68),DAY(B69))))</f>
        <v>48138</v>
      </c>
      <c r="C70" s="15">
        <f ca="1">(1+('Symulacja Pożyczka'!$B$7+'Symulacja Pożyczka'!$B$16)*('Arkusz1 (3)'!B70-'Arkusz1 (3)'!B69)/365)</f>
        <v>1.0060821917808218</v>
      </c>
      <c r="D70" s="15">
        <f ca="1">(1+('Symulacja Pożyczka'!$B$7+'Symulacja Pożyczka'!$B$16)*('Arkusz1 (3)'!B70-'Arkusz1 (3)'!B69)/366)</f>
        <v>1.0060655737704918</v>
      </c>
      <c r="E70" s="15">
        <f t="shared" ca="1" si="9"/>
        <v>0</v>
      </c>
      <c r="F70" s="15">
        <f t="shared" ca="1" si="10"/>
        <v>0</v>
      </c>
      <c r="G70">
        <f ca="1">IF(E70=1,(1+('Symulacja Pożyczka'!$B$7+'Symulacja Pożyczka'!$B$16)*((('Arkusz1 (3)'!B70-DATE(YEAR(B70),1,1)+1)/365)+((DATE(YEAR(B69),12,31)-'Arkusz1 (3)'!B69)/366))),IF(F70=1,(1+('Symulacja Pożyczka'!$B$7+'Symulacja Pożyczka'!$B$16)*((('Arkusz1 (3)'!B70-DATE(YEAR(B70),1,1)+1)/366)+((DATE(YEAR(B69),12,31)-'Arkusz1 (3)'!B69)/365))),0))</f>
        <v>0</v>
      </c>
      <c r="H70">
        <f t="shared" ca="1" si="11"/>
        <v>0</v>
      </c>
      <c r="I70">
        <f t="shared" ca="1" si="12"/>
        <v>1.0060821917808218</v>
      </c>
      <c r="J70">
        <f t="shared" ca="1" si="13"/>
        <v>1.0060821917808218</v>
      </c>
      <c r="K70">
        <f ca="1">PRODUCT($J$3:J70)</f>
        <v>1.5146007239780477</v>
      </c>
      <c r="L70">
        <f t="shared" ca="1" si="14"/>
        <v>0.66024001188480475</v>
      </c>
      <c r="M70">
        <f ca="1">SUM($L$3:L70)</f>
        <v>55.566479716654278</v>
      </c>
      <c r="O70">
        <f ca="1">(Q69*'Arkusz1 (3)'!J70)-Q69</f>
        <v>3975.4893963999348</v>
      </c>
      <c r="P70" s="16">
        <f t="shared" ca="1" si="15"/>
        <v>10518.747075498828</v>
      </c>
      <c r="Q70" s="17">
        <f t="shared" ca="1" si="16"/>
        <v>643109.014044318</v>
      </c>
    </row>
    <row r="71" spans="1:17" x14ac:dyDescent="0.35">
      <c r="A71">
        <v>69</v>
      </c>
      <c r="B71" s="14">
        <f t="shared" ca="1" si="17"/>
        <v>48169</v>
      </c>
      <c r="C71" s="15">
        <f ca="1">(1+('Symulacja Pożyczka'!$B$7+'Symulacja Pożyczka'!$B$16)*('Arkusz1 (3)'!B71-'Arkusz1 (3)'!B70)/365)</f>
        <v>1.0062849315068494</v>
      </c>
      <c r="D71" s="15">
        <f ca="1">(1+('Symulacja Pożyczka'!$B$7+'Symulacja Pożyczka'!$B$16)*('Arkusz1 (3)'!B71-'Arkusz1 (3)'!B70)/366)</f>
        <v>1.0062677595628415</v>
      </c>
      <c r="E71" s="15">
        <f t="shared" ca="1" si="9"/>
        <v>0</v>
      </c>
      <c r="F71" s="15">
        <f t="shared" ca="1" si="10"/>
        <v>0</v>
      </c>
      <c r="G71">
        <f ca="1">IF(E71=1,(1+('Symulacja Pożyczka'!$B$7+'Symulacja Pożyczka'!$B$16)*((('Arkusz1 (3)'!B71-DATE(YEAR(B71),1,1)+1)/365)+((DATE(YEAR(B70),12,31)-'Arkusz1 (3)'!B70)/366))),IF(F71=1,(1+('Symulacja Pożyczka'!$B$7+'Symulacja Pożyczka'!$B$16)*((('Arkusz1 (3)'!B71-DATE(YEAR(B71),1,1)+1)/366)+((DATE(YEAR(B70),12,31)-'Arkusz1 (3)'!B70)/365))),0))</f>
        <v>0</v>
      </c>
      <c r="H71">
        <f t="shared" ca="1" si="11"/>
        <v>0</v>
      </c>
      <c r="I71">
        <f t="shared" ca="1" si="12"/>
        <v>1.0062849315068494</v>
      </c>
      <c r="J71">
        <f t="shared" ca="1" si="13"/>
        <v>1.0062849315068494</v>
      </c>
      <c r="K71">
        <f ca="1">PRODUCT($J$3:J71)</f>
        <v>1.5241198857884741</v>
      </c>
      <c r="L71">
        <f t="shared" ca="1" si="14"/>
        <v>0.65611636546731966</v>
      </c>
      <c r="M71">
        <f ca="1">SUM($L$3:L71)</f>
        <v>56.222596082121598</v>
      </c>
      <c r="O71">
        <f ca="1">(Q70*'Arkusz1 (3)'!J71)-Q70</f>
        <v>4041.8961047059856</v>
      </c>
      <c r="P71" s="16">
        <f t="shared" ca="1" si="15"/>
        <v>10452.340367192777</v>
      </c>
      <c r="Q71" s="17">
        <f t="shared" ca="1" si="16"/>
        <v>632656.67367712525</v>
      </c>
    </row>
    <row r="72" spans="1:17" x14ac:dyDescent="0.35">
      <c r="A72">
        <v>70</v>
      </c>
      <c r="B72" s="14">
        <f t="shared" ca="1" si="17"/>
        <v>48199</v>
      </c>
      <c r="C72" s="15">
        <f ca="1">(1+('Symulacja Pożyczka'!$B$7+'Symulacja Pożyczka'!$B$16)*('Arkusz1 (3)'!B72-'Arkusz1 (3)'!B71)/365)</f>
        <v>1.0060821917808218</v>
      </c>
      <c r="D72" s="15">
        <f ca="1">(1+('Symulacja Pożyczka'!$B$7+'Symulacja Pożyczka'!$B$16)*('Arkusz1 (3)'!B72-'Arkusz1 (3)'!B71)/366)</f>
        <v>1.0060655737704918</v>
      </c>
      <c r="E72" s="15">
        <f t="shared" ca="1" si="9"/>
        <v>0</v>
      </c>
      <c r="F72" s="15">
        <f t="shared" ca="1" si="10"/>
        <v>0</v>
      </c>
      <c r="G72">
        <f ca="1">IF(E72=1,(1+('Symulacja Pożyczka'!$B$7+'Symulacja Pożyczka'!$B$16)*((('Arkusz1 (3)'!B72-DATE(YEAR(B72),1,1)+1)/365)+((DATE(YEAR(B71),12,31)-'Arkusz1 (3)'!B71)/366))),IF(F72=1,(1+('Symulacja Pożyczka'!$B$7+'Symulacja Pożyczka'!$B$16)*((('Arkusz1 (3)'!B72-DATE(YEAR(B72),1,1)+1)/366)+((DATE(YEAR(B71),12,31)-'Arkusz1 (3)'!B71)/365))),0))</f>
        <v>0</v>
      </c>
      <c r="H72">
        <f t="shared" ca="1" si="11"/>
        <v>0</v>
      </c>
      <c r="I72">
        <f t="shared" ca="1" si="12"/>
        <v>1.0060821917808218</v>
      </c>
      <c r="J72">
        <f t="shared" ca="1" si="13"/>
        <v>1.0060821917808218</v>
      </c>
      <c r="K72">
        <f ca="1">PRODUCT($J$3:J72)</f>
        <v>1.5333898752308039</v>
      </c>
      <c r="L72">
        <f t="shared" ca="1" si="14"/>
        <v>0.65214986491904492</v>
      </c>
      <c r="M72">
        <f ca="1">SUM($L$3:L72)</f>
        <v>56.874745947040644</v>
      </c>
      <c r="O72">
        <f ca="1">(Q71*'Arkusz1 (3)'!J72)-Q71</f>
        <v>3847.9392207211349</v>
      </c>
      <c r="P72" s="16">
        <f t="shared" ca="1" si="15"/>
        <v>10646.297251177628</v>
      </c>
      <c r="Q72" s="17">
        <f t="shared" ca="1" si="16"/>
        <v>622010.37642594764</v>
      </c>
    </row>
    <row r="73" spans="1:17" x14ac:dyDescent="0.35">
      <c r="A73">
        <v>71</v>
      </c>
      <c r="B73" s="14">
        <f t="shared" ca="1" si="17"/>
        <v>48230</v>
      </c>
      <c r="C73" s="15">
        <f ca="1">(1+('Symulacja Pożyczka'!$B$7+'Symulacja Pożyczka'!$B$16)*('Arkusz1 (3)'!B73-'Arkusz1 (3)'!B72)/365)</f>
        <v>1.0062849315068494</v>
      </c>
      <c r="D73" s="15">
        <f ca="1">(1+('Symulacja Pożyczka'!$B$7+'Symulacja Pożyczka'!$B$16)*('Arkusz1 (3)'!B73-'Arkusz1 (3)'!B72)/366)</f>
        <v>1.0062677595628415</v>
      </c>
      <c r="E73" s="15">
        <f t="shared" ca="1" si="9"/>
        <v>0</v>
      </c>
      <c r="F73" s="15">
        <f t="shared" ca="1" si="10"/>
        <v>1</v>
      </c>
      <c r="G73">
        <f ca="1">IF(E73=1,(1+('Symulacja Pożyczka'!$B$7+'Symulacja Pożyczka'!$B$16)*((('Arkusz1 (3)'!B73-DATE(YEAR(B73),1,1)+1)/365)+((DATE(YEAR(B72),12,31)-'Arkusz1 (3)'!B72)/366))),IF(F73=1,(1+('Symulacja Pożyczka'!$B$7+'Symulacja Pożyczka'!$B$16)*((('Arkusz1 (3)'!B73-DATE(YEAR(B73),1,1)+1)/366)+((DATE(YEAR(B72),12,31)-'Arkusz1 (3)'!B72)/365))),0))</f>
        <v>1.006275514634329</v>
      </c>
      <c r="H73">
        <f t="shared" ca="1" si="11"/>
        <v>1</v>
      </c>
      <c r="I73">
        <f t="shared" ca="1" si="12"/>
        <v>1.0062677595628415</v>
      </c>
      <c r="J73">
        <f t="shared" ca="1" si="13"/>
        <v>1.006275514634329</v>
      </c>
      <c r="K73">
        <f ca="1">PRODUCT($J$3:J73)</f>
        <v>1.5430126858329467</v>
      </c>
      <c r="L73">
        <f t="shared" ca="1" si="14"/>
        <v>0.64808281174965299</v>
      </c>
      <c r="M73">
        <f ca="1">SUM($L$3:L73)</f>
        <v>57.522828758790297</v>
      </c>
      <c r="O73">
        <f ca="1">(Q72*'Arkusz1 (3)'!J73)-Q72</f>
        <v>3903.4352199655259</v>
      </c>
      <c r="P73" s="16">
        <f t="shared" ca="1" si="15"/>
        <v>10590.801251933237</v>
      </c>
      <c r="Q73" s="17">
        <f t="shared" ca="1" si="16"/>
        <v>611419.57517401443</v>
      </c>
    </row>
    <row r="74" spans="1:17" x14ac:dyDescent="0.35">
      <c r="A74">
        <v>72</v>
      </c>
      <c r="B74" s="14">
        <f t="shared" ca="1" si="17"/>
        <v>48261</v>
      </c>
      <c r="C74" s="15">
        <f ca="1">(1+('Symulacja Pożyczka'!$B$7+'Symulacja Pożyczka'!$B$16)*('Arkusz1 (3)'!B74-'Arkusz1 (3)'!B73)/365)</f>
        <v>1.0062849315068494</v>
      </c>
      <c r="D74" s="15">
        <f ca="1">(1+('Symulacja Pożyczka'!$B$7+'Symulacja Pożyczka'!$B$16)*('Arkusz1 (3)'!B74-'Arkusz1 (3)'!B73)/366)</f>
        <v>1.0062677595628415</v>
      </c>
      <c r="E74" s="15">
        <f t="shared" ca="1" si="9"/>
        <v>0</v>
      </c>
      <c r="F74" s="15">
        <f t="shared" ca="1" si="10"/>
        <v>0</v>
      </c>
      <c r="G74">
        <f ca="1">IF(E74=1,(1+('Symulacja Pożyczka'!$B$7+'Symulacja Pożyczka'!$B$16)*((('Arkusz1 (3)'!B74-DATE(YEAR(B74),1,1)+1)/365)+((DATE(YEAR(B73),12,31)-'Arkusz1 (3)'!B73)/366))),IF(F74=1,(1+('Symulacja Pożyczka'!$B$7+'Symulacja Pożyczka'!$B$16)*((('Arkusz1 (3)'!B74-DATE(YEAR(B74),1,1)+1)/366)+((DATE(YEAR(B73),12,31)-'Arkusz1 (3)'!B73)/365))),0))</f>
        <v>0</v>
      </c>
      <c r="H74">
        <f t="shared" ca="1" si="11"/>
        <v>1</v>
      </c>
      <c r="I74">
        <f t="shared" ca="1" si="12"/>
        <v>1.0062677595628415</v>
      </c>
      <c r="J74">
        <f t="shared" ca="1" si="13"/>
        <v>1.0062677595628415</v>
      </c>
      <c r="K74">
        <f ca="1">PRODUCT($J$3:J74)</f>
        <v>1.552683918350162</v>
      </c>
      <c r="L74">
        <f t="shared" ca="1" si="14"/>
        <v>0.64404608573686506</v>
      </c>
      <c r="M74">
        <f ca="1">SUM($L$3:L74)</f>
        <v>58.166874844527165</v>
      </c>
      <c r="O74">
        <f ca="1">(Q73*'Arkusz1 (3)'!J74)-Q73</f>
        <v>3832.2308892054716</v>
      </c>
      <c r="P74" s="16">
        <f t="shared" ca="1" si="15"/>
        <v>10662.005582693291</v>
      </c>
      <c r="Q74" s="17">
        <f t="shared" ca="1" si="16"/>
        <v>600757.56959132117</v>
      </c>
    </row>
    <row r="75" spans="1:17" x14ac:dyDescent="0.35">
      <c r="A75">
        <v>73</v>
      </c>
      <c r="B75" s="14">
        <f t="shared" ca="1" si="17"/>
        <v>48290</v>
      </c>
      <c r="C75" s="15">
        <f ca="1">(1+('Symulacja Pożyczka'!$B$7+'Symulacja Pożyczka'!$B$16)*('Arkusz1 (3)'!B75-'Arkusz1 (3)'!B74)/365)</f>
        <v>1.0058794520547945</v>
      </c>
      <c r="D75" s="15">
        <f ca="1">(1+('Symulacja Pożyczka'!$B$7+'Symulacja Pożyczka'!$B$16)*('Arkusz1 (3)'!B75-'Arkusz1 (3)'!B74)/366)</f>
        <v>1.005863387978142</v>
      </c>
      <c r="E75" s="15">
        <f t="shared" ca="1" si="9"/>
        <v>0</v>
      </c>
      <c r="F75" s="15">
        <f t="shared" ca="1" si="10"/>
        <v>0</v>
      </c>
      <c r="G75">
        <f ca="1">IF(E75=1,(1+('Symulacja Pożyczka'!$B$7+'Symulacja Pożyczka'!$B$16)*((('Arkusz1 (3)'!B75-DATE(YEAR(B75),1,1)+1)/365)+((DATE(YEAR(B74),12,31)-'Arkusz1 (3)'!B74)/366))),IF(F75=1,(1+('Symulacja Pożyczka'!$B$7+'Symulacja Pożyczka'!$B$16)*((('Arkusz1 (3)'!B75-DATE(YEAR(B75),1,1)+1)/366)+((DATE(YEAR(B74),12,31)-'Arkusz1 (3)'!B74)/365))),0))</f>
        <v>0</v>
      </c>
      <c r="H75">
        <f t="shared" ca="1" si="11"/>
        <v>1</v>
      </c>
      <c r="I75">
        <f t="shared" ca="1" si="12"/>
        <v>1.005863387978142</v>
      </c>
      <c r="J75">
        <f t="shared" ca="1" si="13"/>
        <v>1.005863387978142</v>
      </c>
      <c r="K75">
        <f ca="1">PRODUCT($J$3:J75)</f>
        <v>1.5617879065708706</v>
      </c>
      <c r="L75">
        <f t="shared" ca="1" si="14"/>
        <v>0.64029180645638595</v>
      </c>
      <c r="M75">
        <f ca="1">SUM($L$3:L75)</f>
        <v>58.807166650983554</v>
      </c>
      <c r="O75">
        <f ca="1">(Q74*'Arkusz1 (3)'!J75)-Q74</f>
        <v>3522.4747113195481</v>
      </c>
      <c r="P75" s="16">
        <f t="shared" ca="1" si="15"/>
        <v>10971.761760579215</v>
      </c>
      <c r="Q75" s="17">
        <f t="shared" ca="1" si="16"/>
        <v>589785.80783074198</v>
      </c>
    </row>
    <row r="76" spans="1:17" x14ac:dyDescent="0.35">
      <c r="A76">
        <v>74</v>
      </c>
      <c r="B76" s="14">
        <f t="shared" ca="1" si="17"/>
        <v>48321</v>
      </c>
      <c r="C76" s="15">
        <f ca="1">(1+('Symulacja Pożyczka'!$B$7+'Symulacja Pożyczka'!$B$16)*('Arkusz1 (3)'!B76-'Arkusz1 (3)'!B75)/365)</f>
        <v>1.0062849315068494</v>
      </c>
      <c r="D76" s="15">
        <f ca="1">(1+('Symulacja Pożyczka'!$B$7+'Symulacja Pożyczka'!$B$16)*('Arkusz1 (3)'!B76-'Arkusz1 (3)'!B75)/366)</f>
        <v>1.0062677595628415</v>
      </c>
      <c r="E76" s="15">
        <f t="shared" ca="1" si="9"/>
        <v>0</v>
      </c>
      <c r="F76" s="15">
        <f t="shared" ca="1" si="10"/>
        <v>0</v>
      </c>
      <c r="G76">
        <f ca="1">IF(E76=1,(1+('Symulacja Pożyczka'!$B$7+'Symulacja Pożyczka'!$B$16)*((('Arkusz1 (3)'!B76-DATE(YEAR(B76),1,1)+1)/365)+((DATE(YEAR(B75),12,31)-'Arkusz1 (3)'!B75)/366))),IF(F76=1,(1+('Symulacja Pożyczka'!$B$7+'Symulacja Pożyczka'!$B$16)*((('Arkusz1 (3)'!B76-DATE(YEAR(B76),1,1)+1)/366)+((DATE(YEAR(B75),12,31)-'Arkusz1 (3)'!B75)/365))),0))</f>
        <v>0</v>
      </c>
      <c r="H76">
        <f t="shared" ca="1" si="11"/>
        <v>1</v>
      </c>
      <c r="I76">
        <f t="shared" ca="1" si="12"/>
        <v>1.0062677595628415</v>
      </c>
      <c r="J76">
        <f t="shared" ca="1" si="13"/>
        <v>1.0062677595628415</v>
      </c>
      <c r="K76">
        <f ca="1">PRODUCT($J$3:J76)</f>
        <v>1.5715768176574105</v>
      </c>
      <c r="L76">
        <f t="shared" ca="1" si="14"/>
        <v>0.63630360842977951</v>
      </c>
      <c r="M76">
        <f ca="1">SUM($L$3:L76)</f>
        <v>59.443470259413331</v>
      </c>
      <c r="O76">
        <f ca="1">(Q75*'Arkusz1 (3)'!J76)-Q75</f>
        <v>3696.6356370593421</v>
      </c>
      <c r="P76" s="16">
        <f t="shared" ca="1" si="15"/>
        <v>10797.600834839421</v>
      </c>
      <c r="Q76" s="17">
        <f t="shared" ca="1" si="16"/>
        <v>578988.20699590258</v>
      </c>
    </row>
    <row r="77" spans="1:17" x14ac:dyDescent="0.35">
      <c r="A77">
        <v>75</v>
      </c>
      <c r="B77" s="14">
        <f t="shared" ca="1" si="17"/>
        <v>48351</v>
      </c>
      <c r="C77" s="15">
        <f ca="1">(1+('Symulacja Pożyczka'!$B$7+'Symulacja Pożyczka'!$B$16)*('Arkusz1 (3)'!B77-'Arkusz1 (3)'!B76)/365)</f>
        <v>1.0060821917808218</v>
      </c>
      <c r="D77" s="15">
        <f ca="1">(1+('Symulacja Pożyczka'!$B$7+'Symulacja Pożyczka'!$B$16)*('Arkusz1 (3)'!B77-'Arkusz1 (3)'!B76)/366)</f>
        <v>1.0060655737704918</v>
      </c>
      <c r="E77" s="15">
        <f t="shared" ca="1" si="9"/>
        <v>0</v>
      </c>
      <c r="F77" s="15">
        <f t="shared" ca="1" si="10"/>
        <v>0</v>
      </c>
      <c r="G77">
        <f ca="1">IF(E77=1,(1+('Symulacja Pożyczka'!$B$7+'Symulacja Pożyczka'!$B$16)*((('Arkusz1 (3)'!B77-DATE(YEAR(B77),1,1)+1)/365)+((DATE(YEAR(B76),12,31)-'Arkusz1 (3)'!B76)/366))),IF(F77=1,(1+('Symulacja Pożyczka'!$B$7+'Symulacja Pożyczka'!$B$16)*((('Arkusz1 (3)'!B77-DATE(YEAR(B77),1,1)+1)/366)+((DATE(YEAR(B76),12,31)-'Arkusz1 (3)'!B76)/365))),0))</f>
        <v>0</v>
      </c>
      <c r="H77">
        <f t="shared" ca="1" si="11"/>
        <v>1</v>
      </c>
      <c r="I77">
        <f t="shared" ca="1" si="12"/>
        <v>1.0060655737704918</v>
      </c>
      <c r="J77">
        <f t="shared" ca="1" si="13"/>
        <v>1.0060655737704918</v>
      </c>
      <c r="K77">
        <f ca="1">PRODUCT($J$3:J77)</f>
        <v>1.5811093327809063</v>
      </c>
      <c r="L77">
        <f t="shared" ca="1" si="14"/>
        <v>0.63246733117511089</v>
      </c>
      <c r="M77">
        <f ca="1">SUM($L$3:L77)</f>
        <v>60.075937590588445</v>
      </c>
      <c r="O77">
        <f ca="1">(Q76*'Arkusz1 (3)'!J77)-Q76</f>
        <v>3511.8956817784347</v>
      </c>
      <c r="P77" s="16">
        <f t="shared" ca="1" si="15"/>
        <v>10982.340790120328</v>
      </c>
      <c r="Q77" s="17">
        <f t="shared" ca="1" si="16"/>
        <v>568005.86620578228</v>
      </c>
    </row>
    <row r="78" spans="1:17" x14ac:dyDescent="0.35">
      <c r="A78">
        <v>76</v>
      </c>
      <c r="B78" s="14">
        <f t="shared" ca="1" si="17"/>
        <v>48382</v>
      </c>
      <c r="C78" s="15">
        <f ca="1">(1+('Symulacja Pożyczka'!$B$7+'Symulacja Pożyczka'!$B$16)*('Arkusz1 (3)'!B78-'Arkusz1 (3)'!B77)/365)</f>
        <v>1.0062849315068494</v>
      </c>
      <c r="D78" s="15">
        <f ca="1">(1+('Symulacja Pożyczka'!$B$7+'Symulacja Pożyczka'!$B$16)*('Arkusz1 (3)'!B78-'Arkusz1 (3)'!B77)/366)</f>
        <v>1.0062677595628415</v>
      </c>
      <c r="E78" s="15">
        <f t="shared" ca="1" si="9"/>
        <v>0</v>
      </c>
      <c r="F78" s="15">
        <f t="shared" ca="1" si="10"/>
        <v>0</v>
      </c>
      <c r="G78">
        <f ca="1">IF(E78=1,(1+('Symulacja Pożyczka'!$B$7+'Symulacja Pożyczka'!$B$16)*((('Arkusz1 (3)'!B78-DATE(YEAR(B78),1,1)+1)/365)+((DATE(YEAR(B77),12,31)-'Arkusz1 (3)'!B77)/366))),IF(F78=1,(1+('Symulacja Pożyczka'!$B$7+'Symulacja Pożyczka'!$B$16)*((('Arkusz1 (3)'!B78-DATE(YEAR(B78),1,1)+1)/366)+((DATE(YEAR(B77),12,31)-'Arkusz1 (3)'!B77)/365))),0))</f>
        <v>0</v>
      </c>
      <c r="H78">
        <f t="shared" ca="1" si="11"/>
        <v>1</v>
      </c>
      <c r="I78">
        <f t="shared" ca="1" si="12"/>
        <v>1.0062677595628415</v>
      </c>
      <c r="J78">
        <f t="shared" ca="1" si="13"/>
        <v>1.0062677595628415</v>
      </c>
      <c r="K78">
        <f ca="1">PRODUCT($J$3:J78)</f>
        <v>1.5910193459213418</v>
      </c>
      <c r="L78">
        <f t="shared" ca="1" si="14"/>
        <v>0.6285278696098513</v>
      </c>
      <c r="M78">
        <f ca="1">SUM($L$3:L78)</f>
        <v>60.7044654601983</v>
      </c>
      <c r="O78">
        <f ca="1">(Q77*'Arkusz1 (3)'!J78)-Q77</f>
        <v>3560.1241996614262</v>
      </c>
      <c r="P78" s="16">
        <f t="shared" ca="1" si="15"/>
        <v>10934.112272237337</v>
      </c>
      <c r="Q78" s="17">
        <f t="shared" ca="1" si="16"/>
        <v>557071.75393354497</v>
      </c>
    </row>
    <row r="79" spans="1:17" x14ac:dyDescent="0.35">
      <c r="A79">
        <v>77</v>
      </c>
      <c r="B79" s="14">
        <f t="shared" ca="1" si="17"/>
        <v>48412</v>
      </c>
      <c r="C79" s="15">
        <f ca="1">(1+('Symulacja Pożyczka'!$B$7+'Symulacja Pożyczka'!$B$16)*('Arkusz1 (3)'!B79-'Arkusz1 (3)'!B78)/365)</f>
        <v>1.0060821917808218</v>
      </c>
      <c r="D79" s="15">
        <f ca="1">(1+('Symulacja Pożyczka'!$B$7+'Symulacja Pożyczka'!$B$16)*('Arkusz1 (3)'!B79-'Arkusz1 (3)'!B78)/366)</f>
        <v>1.0060655737704918</v>
      </c>
      <c r="E79" s="15">
        <f t="shared" ca="1" si="9"/>
        <v>0</v>
      </c>
      <c r="F79" s="15">
        <f t="shared" ca="1" si="10"/>
        <v>0</v>
      </c>
      <c r="G79">
        <f ca="1">IF(E79=1,(1+('Symulacja Pożyczka'!$B$7+'Symulacja Pożyczka'!$B$16)*((('Arkusz1 (3)'!B79-DATE(YEAR(B79),1,1)+1)/365)+((DATE(YEAR(B78),12,31)-'Arkusz1 (3)'!B78)/366))),IF(F79=1,(1+('Symulacja Pożyczka'!$B$7+'Symulacja Pożyczka'!$B$16)*((('Arkusz1 (3)'!B79-DATE(YEAR(B79),1,1)+1)/366)+((DATE(YEAR(B78),12,31)-'Arkusz1 (3)'!B78)/365))),0))</f>
        <v>0</v>
      </c>
      <c r="H79">
        <f t="shared" ca="1" si="11"/>
        <v>1</v>
      </c>
      <c r="I79">
        <f t="shared" ca="1" si="12"/>
        <v>1.0060655737704918</v>
      </c>
      <c r="J79">
        <f t="shared" ca="1" si="13"/>
        <v>1.0060655737704918</v>
      </c>
      <c r="K79">
        <f ca="1">PRODUCT($J$3:J79)</f>
        <v>1.6006697911343073</v>
      </c>
      <c r="L79">
        <f t="shared" ca="1" si="14"/>
        <v>0.62473847231873769</v>
      </c>
      <c r="M79">
        <f ca="1">SUM($L$3:L79)</f>
        <v>61.329203932517039</v>
      </c>
      <c r="O79">
        <f ca="1">(Q78*'Arkusz1 (3)'!J79)-Q78</f>
        <v>3378.9598189411918</v>
      </c>
      <c r="P79" s="16">
        <f t="shared" ca="1" si="15"/>
        <v>11115.276652957571</v>
      </c>
      <c r="Q79" s="17">
        <f t="shared" ca="1" si="16"/>
        <v>545956.47728058742</v>
      </c>
    </row>
    <row r="80" spans="1:17" x14ac:dyDescent="0.35">
      <c r="A80">
        <v>78</v>
      </c>
      <c r="B80" s="14">
        <f t="shared" ca="1" si="17"/>
        <v>48443</v>
      </c>
      <c r="C80" s="15">
        <f ca="1">(1+('Symulacja Pożyczka'!$B$7+'Symulacja Pożyczka'!$B$16)*('Arkusz1 (3)'!B80-'Arkusz1 (3)'!B79)/365)</f>
        <v>1.0062849315068494</v>
      </c>
      <c r="D80" s="15">
        <f ca="1">(1+('Symulacja Pożyczka'!$B$7+'Symulacja Pożyczka'!$B$16)*('Arkusz1 (3)'!B80-'Arkusz1 (3)'!B79)/366)</f>
        <v>1.0062677595628415</v>
      </c>
      <c r="E80" s="15">
        <f t="shared" ca="1" si="9"/>
        <v>0</v>
      </c>
      <c r="F80" s="15">
        <f t="shared" ca="1" si="10"/>
        <v>0</v>
      </c>
      <c r="G80">
        <f ca="1">IF(E80=1,(1+('Symulacja Pożyczka'!$B$7+'Symulacja Pożyczka'!$B$16)*((('Arkusz1 (3)'!B80-DATE(YEAR(B80),1,1)+1)/365)+((DATE(YEAR(B79),12,31)-'Arkusz1 (3)'!B79)/366))),IF(F80=1,(1+('Symulacja Pożyczka'!$B$7+'Symulacja Pożyczka'!$B$16)*((('Arkusz1 (3)'!B80-DATE(YEAR(B80),1,1)+1)/366)+((DATE(YEAR(B79),12,31)-'Arkusz1 (3)'!B79)/365))),0))</f>
        <v>0</v>
      </c>
      <c r="H80">
        <f t="shared" ca="1" si="11"/>
        <v>1</v>
      </c>
      <c r="I80">
        <f t="shared" ca="1" si="12"/>
        <v>1.0062677595628415</v>
      </c>
      <c r="J80">
        <f t="shared" ca="1" si="13"/>
        <v>1.0062677595628415</v>
      </c>
      <c r="K80">
        <f ca="1">PRODUCT($J$3:J80)</f>
        <v>1.610702404524641</v>
      </c>
      <c r="L80">
        <f t="shared" ca="1" si="14"/>
        <v>0.6208471516469396</v>
      </c>
      <c r="M80">
        <f ca="1">SUM($L$3:L80)</f>
        <v>61.950051084163981</v>
      </c>
      <c r="O80">
        <f ca="1">(Q79*'Arkusz1 (3)'!J80)-Q79</f>
        <v>3421.9239313707221</v>
      </c>
      <c r="P80" s="16">
        <f t="shared" ca="1" si="15"/>
        <v>11072.312540528041</v>
      </c>
      <c r="Q80" s="17">
        <f t="shared" ca="1" si="16"/>
        <v>534884.16474005941</v>
      </c>
    </row>
    <row r="81" spans="1:17" x14ac:dyDescent="0.35">
      <c r="A81">
        <v>79</v>
      </c>
      <c r="B81" s="14">
        <f t="shared" ca="1" si="17"/>
        <v>48474</v>
      </c>
      <c r="C81" s="15">
        <f ca="1">(1+('Symulacja Pożyczka'!$B$7+'Symulacja Pożyczka'!$B$16)*('Arkusz1 (3)'!B81-'Arkusz1 (3)'!B80)/365)</f>
        <v>1.0062849315068494</v>
      </c>
      <c r="D81" s="15">
        <f ca="1">(1+('Symulacja Pożyczka'!$B$7+'Symulacja Pożyczka'!$B$16)*('Arkusz1 (3)'!B81-'Arkusz1 (3)'!B80)/366)</f>
        <v>1.0062677595628415</v>
      </c>
      <c r="E81" s="15">
        <f t="shared" ca="1" si="9"/>
        <v>0</v>
      </c>
      <c r="F81" s="15">
        <f t="shared" ca="1" si="10"/>
        <v>0</v>
      </c>
      <c r="G81">
        <f ca="1">IF(E81=1,(1+('Symulacja Pożyczka'!$B$7+'Symulacja Pożyczka'!$B$16)*((('Arkusz1 (3)'!B81-DATE(YEAR(B81),1,1)+1)/365)+((DATE(YEAR(B80),12,31)-'Arkusz1 (3)'!B80)/366))),IF(F81=1,(1+('Symulacja Pożyczka'!$B$7+'Symulacja Pożyczka'!$B$16)*((('Arkusz1 (3)'!B81-DATE(YEAR(B81),1,1)+1)/366)+((DATE(YEAR(B80),12,31)-'Arkusz1 (3)'!B80)/365))),0))</f>
        <v>0</v>
      </c>
      <c r="H81">
        <f t="shared" ca="1" si="11"/>
        <v>1</v>
      </c>
      <c r="I81">
        <f t="shared" ca="1" si="12"/>
        <v>1.0062677595628415</v>
      </c>
      <c r="J81">
        <f t="shared" ca="1" si="13"/>
        <v>1.0062677595628415</v>
      </c>
      <c r="K81">
        <f ca="1">PRODUCT($J$3:J81)</f>
        <v>1.6207978999234922</v>
      </c>
      <c r="L81">
        <f t="shared" ca="1" si="14"/>
        <v>0.61698006891988433</v>
      </c>
      <c r="M81">
        <f ca="1">SUM($L$3:L81)</f>
        <v>62.567031153083867</v>
      </c>
      <c r="O81">
        <f ca="1">(Q80*'Arkusz1 (3)'!J81)-Q80</f>
        <v>3352.5253385619726</v>
      </c>
      <c r="P81" s="16">
        <f t="shared" ca="1" si="15"/>
        <v>11141.71113333679</v>
      </c>
      <c r="Q81" s="17">
        <f t="shared" ca="1" si="16"/>
        <v>523742.45360672264</v>
      </c>
    </row>
    <row r="82" spans="1:17" x14ac:dyDescent="0.35">
      <c r="A82">
        <v>80</v>
      </c>
      <c r="B82" s="14">
        <f t="shared" ca="1" si="17"/>
        <v>48504</v>
      </c>
      <c r="C82" s="15">
        <f ca="1">(1+('Symulacja Pożyczka'!$B$7+'Symulacja Pożyczka'!$B$16)*('Arkusz1 (3)'!B82-'Arkusz1 (3)'!B81)/365)</f>
        <v>1.0060821917808218</v>
      </c>
      <c r="D82" s="15">
        <f ca="1">(1+('Symulacja Pożyczka'!$B$7+'Symulacja Pożyczka'!$B$16)*('Arkusz1 (3)'!B82-'Arkusz1 (3)'!B81)/366)</f>
        <v>1.0060655737704918</v>
      </c>
      <c r="E82" s="15">
        <f t="shared" ca="1" si="9"/>
        <v>0</v>
      </c>
      <c r="F82" s="15">
        <f t="shared" ca="1" si="10"/>
        <v>0</v>
      </c>
      <c r="G82">
        <f ca="1">IF(E82=1,(1+('Symulacja Pożyczka'!$B$7+'Symulacja Pożyczka'!$B$16)*((('Arkusz1 (3)'!B82-DATE(YEAR(B82),1,1)+1)/365)+((DATE(YEAR(B81),12,31)-'Arkusz1 (3)'!B81)/366))),IF(F82=1,(1+('Symulacja Pożyczka'!$B$7+'Symulacja Pożyczka'!$B$16)*((('Arkusz1 (3)'!B82-DATE(YEAR(B82),1,1)+1)/366)+((DATE(YEAR(B81),12,31)-'Arkusz1 (3)'!B81)/365))),0))</f>
        <v>0</v>
      </c>
      <c r="H82">
        <f t="shared" ca="1" si="11"/>
        <v>1</v>
      </c>
      <c r="I82">
        <f t="shared" ca="1" si="12"/>
        <v>1.0060655737704918</v>
      </c>
      <c r="J82">
        <f t="shared" ca="1" si="13"/>
        <v>1.0060655737704918</v>
      </c>
      <c r="K82">
        <f ca="1">PRODUCT($J$3:J82)</f>
        <v>1.6306289691525362</v>
      </c>
      <c r="L82">
        <f t="shared" ca="1" si="14"/>
        <v>0.61326029336993559</v>
      </c>
      <c r="M82">
        <f ca="1">SUM($L$3:L82)</f>
        <v>63.180291446453801</v>
      </c>
      <c r="O82">
        <f ca="1">(Q81*'Arkusz1 (3)'!J82)-Q81</f>
        <v>3176.7984890899388</v>
      </c>
      <c r="P82" s="16">
        <f t="shared" ca="1" si="15"/>
        <v>11317.437982808824</v>
      </c>
      <c r="Q82" s="17">
        <f t="shared" ca="1" si="16"/>
        <v>512425.01562391385</v>
      </c>
    </row>
    <row r="83" spans="1:17" x14ac:dyDescent="0.35">
      <c r="A83">
        <v>81</v>
      </c>
      <c r="B83" s="14">
        <f t="shared" ca="1" si="17"/>
        <v>48535</v>
      </c>
      <c r="C83" s="15">
        <f ca="1">(1+('Symulacja Pożyczka'!$B$7+'Symulacja Pożyczka'!$B$16)*('Arkusz1 (3)'!B83-'Arkusz1 (3)'!B82)/365)</f>
        <v>1.0062849315068494</v>
      </c>
      <c r="D83" s="15">
        <f ca="1">(1+('Symulacja Pożyczka'!$B$7+'Symulacja Pożyczka'!$B$16)*('Arkusz1 (3)'!B83-'Arkusz1 (3)'!B82)/366)</f>
        <v>1.0062677595628415</v>
      </c>
      <c r="E83" s="15">
        <f t="shared" ca="1" si="9"/>
        <v>0</v>
      </c>
      <c r="F83" s="15">
        <f t="shared" ca="1" si="10"/>
        <v>0</v>
      </c>
      <c r="G83">
        <f ca="1">IF(E83=1,(1+('Symulacja Pożyczka'!$B$7+'Symulacja Pożyczka'!$B$16)*((('Arkusz1 (3)'!B83-DATE(YEAR(B83),1,1)+1)/365)+((DATE(YEAR(B82),12,31)-'Arkusz1 (3)'!B82)/366))),IF(F83=1,(1+('Symulacja Pożyczka'!$B$7+'Symulacja Pożyczka'!$B$16)*((('Arkusz1 (3)'!B83-DATE(YEAR(B83),1,1)+1)/366)+((DATE(YEAR(B82),12,31)-'Arkusz1 (3)'!B82)/365))),0))</f>
        <v>0</v>
      </c>
      <c r="H83">
        <f t="shared" ca="1" si="11"/>
        <v>1</v>
      </c>
      <c r="I83">
        <f t="shared" ca="1" si="12"/>
        <v>1.0062677595628415</v>
      </c>
      <c r="J83">
        <f t="shared" ca="1" si="13"/>
        <v>1.0062677595628415</v>
      </c>
      <c r="K83">
        <f ca="1">PRODUCT($J$3:J83)</f>
        <v>1.6408493594673885</v>
      </c>
      <c r="L83">
        <f t="shared" ca="1" si="14"/>
        <v>0.60944046705457167</v>
      </c>
      <c r="M83">
        <f ca="1">SUM($L$3:L83)</f>
        <v>63.789731913508369</v>
      </c>
      <c r="O83">
        <f ca="1">(Q82*'Arkusz1 (3)'!J83)-Q82</f>
        <v>3211.7567919160356</v>
      </c>
      <c r="P83" s="16">
        <f t="shared" ca="1" si="15"/>
        <v>11282.479679982727</v>
      </c>
      <c r="Q83" s="17">
        <f t="shared" ca="1" si="16"/>
        <v>501142.53594393114</v>
      </c>
    </row>
    <row r="84" spans="1:17" x14ac:dyDescent="0.35">
      <c r="A84">
        <v>82</v>
      </c>
      <c r="B84" s="14">
        <f t="shared" ca="1" si="17"/>
        <v>48565</v>
      </c>
      <c r="C84" s="15">
        <f ca="1">(1+('Symulacja Pożyczka'!$B$7+'Symulacja Pożyczka'!$B$16)*('Arkusz1 (3)'!B84-'Arkusz1 (3)'!B83)/365)</f>
        <v>1.0060821917808218</v>
      </c>
      <c r="D84" s="15">
        <f ca="1">(1+('Symulacja Pożyczka'!$B$7+'Symulacja Pożyczka'!$B$16)*('Arkusz1 (3)'!B84-'Arkusz1 (3)'!B83)/366)</f>
        <v>1.0060655737704918</v>
      </c>
      <c r="E84" s="15">
        <f t="shared" ca="1" si="9"/>
        <v>0</v>
      </c>
      <c r="F84" s="15">
        <f t="shared" ca="1" si="10"/>
        <v>0</v>
      </c>
      <c r="G84">
        <f ca="1">IF(E84=1,(1+('Symulacja Pożyczka'!$B$7+'Symulacja Pożyczka'!$B$16)*((('Arkusz1 (3)'!B84-DATE(YEAR(B84),1,1)+1)/365)+((DATE(YEAR(B83),12,31)-'Arkusz1 (3)'!B83)/366))),IF(F84=1,(1+('Symulacja Pożyczka'!$B$7+'Symulacja Pożyczka'!$B$16)*((('Arkusz1 (3)'!B84-DATE(YEAR(B84),1,1)+1)/366)+((DATE(YEAR(B83),12,31)-'Arkusz1 (3)'!B83)/365))),0))</f>
        <v>0</v>
      </c>
      <c r="H84">
        <f t="shared" ca="1" si="11"/>
        <v>1</v>
      </c>
      <c r="I84">
        <f t="shared" ca="1" si="12"/>
        <v>1.0060655737704918</v>
      </c>
      <c r="J84">
        <f t="shared" ca="1" si="13"/>
        <v>1.0060655737704918</v>
      </c>
      <c r="K84">
        <f ca="1">PRODUCT($J$3:J84)</f>
        <v>1.6508020523035021</v>
      </c>
      <c r="L84">
        <f t="shared" ca="1" si="14"/>
        <v>0.60576614779743965</v>
      </c>
      <c r="M84">
        <f ca="1">SUM($L$3:L84)</f>
        <v>64.395498061305815</v>
      </c>
      <c r="O84">
        <f ca="1">(Q83*'Arkusz1 (3)'!J84)-Q83</f>
        <v>3039.7170212992351</v>
      </c>
      <c r="P84" s="16">
        <f t="shared" ca="1" si="15"/>
        <v>11454.519450599528</v>
      </c>
      <c r="Q84" s="17">
        <f t="shared" ca="1" si="16"/>
        <v>489688.01649333164</v>
      </c>
    </row>
    <row r="85" spans="1:17" x14ac:dyDescent="0.35">
      <c r="A85">
        <v>83</v>
      </c>
      <c r="B85" s="14">
        <f t="shared" ca="1" si="17"/>
        <v>48596</v>
      </c>
      <c r="C85" s="15">
        <f ca="1">(1+('Symulacja Pożyczka'!$B$7+'Symulacja Pożyczka'!$B$16)*('Arkusz1 (3)'!B85-'Arkusz1 (3)'!B84)/365)</f>
        <v>1.0062849315068494</v>
      </c>
      <c r="D85" s="15">
        <f ca="1">(1+('Symulacja Pożyczka'!$B$7+'Symulacja Pożyczka'!$B$16)*('Arkusz1 (3)'!B85-'Arkusz1 (3)'!B84)/366)</f>
        <v>1.0062677595628415</v>
      </c>
      <c r="E85" s="15">
        <f t="shared" ca="1" si="9"/>
        <v>1</v>
      </c>
      <c r="F85" s="15">
        <f t="shared" ca="1" si="10"/>
        <v>0</v>
      </c>
      <c r="G85">
        <f ca="1">IF(E85=1,(1+('Symulacja Pożyczka'!$B$7+'Symulacja Pożyczka'!$B$16)*((('Arkusz1 (3)'!B85-DATE(YEAR(B85),1,1)+1)/365)+((DATE(YEAR(B84),12,31)-'Arkusz1 (3)'!B84)/366))),IF(F85=1,(1+('Symulacja Pożyczka'!$B$7+'Symulacja Pożyczka'!$B$16)*((('Arkusz1 (3)'!B85-DATE(YEAR(B85),1,1)+1)/366)+((DATE(YEAR(B84),12,31)-'Arkusz1 (3)'!B84)/365))),0))</f>
        <v>1.006277176435362</v>
      </c>
      <c r="H85">
        <f t="shared" ca="1" si="11"/>
        <v>0</v>
      </c>
      <c r="I85">
        <f t="shared" ca="1" si="12"/>
        <v>1.0062849315068494</v>
      </c>
      <c r="J85">
        <f t="shared" ca="1" si="13"/>
        <v>1.006277176435362</v>
      </c>
      <c r="K85">
        <f ca="1">PRODUCT($J$3:J85)</f>
        <v>1.6611644280456688</v>
      </c>
      <c r="L85">
        <f t="shared" ca="1" si="14"/>
        <v>0.60198736688365206</v>
      </c>
      <c r="M85">
        <f ca="1">SUM($L$3:L85)</f>
        <v>64.997485428189464</v>
      </c>
      <c r="O85">
        <f ca="1">(Q84*'Arkusz1 (3)'!J85)-Q84</f>
        <v>3073.8580778110772</v>
      </c>
      <c r="P85" s="16">
        <f t="shared" ca="1" si="15"/>
        <v>11420.378394087686</v>
      </c>
      <c r="Q85" s="17">
        <f t="shared" ca="1" si="16"/>
        <v>478267.63809924398</v>
      </c>
    </row>
    <row r="86" spans="1:17" x14ac:dyDescent="0.35">
      <c r="A86">
        <v>84</v>
      </c>
      <c r="B86" s="14">
        <f t="shared" ca="1" si="17"/>
        <v>48627</v>
      </c>
      <c r="C86" s="15">
        <f ca="1">(1+('Symulacja Pożyczka'!$B$7+'Symulacja Pożyczka'!$B$16)*('Arkusz1 (3)'!B86-'Arkusz1 (3)'!B85)/365)</f>
        <v>1.0062849315068494</v>
      </c>
      <c r="D86" s="15">
        <f ca="1">(1+('Symulacja Pożyczka'!$B$7+'Symulacja Pożyczka'!$B$16)*('Arkusz1 (3)'!B86-'Arkusz1 (3)'!B85)/366)</f>
        <v>1.0062677595628415</v>
      </c>
      <c r="E86" s="15">
        <f t="shared" ca="1" si="9"/>
        <v>0</v>
      </c>
      <c r="F86" s="15">
        <f t="shared" ca="1" si="10"/>
        <v>0</v>
      </c>
      <c r="G86">
        <f ca="1">IF(E86=1,(1+('Symulacja Pożyczka'!$B$7+'Symulacja Pożyczka'!$B$16)*((('Arkusz1 (3)'!B86-DATE(YEAR(B86),1,1)+1)/365)+((DATE(YEAR(B85),12,31)-'Arkusz1 (3)'!B85)/366))),IF(F86=1,(1+('Symulacja Pożyczka'!$B$7+'Symulacja Pożyczka'!$B$16)*((('Arkusz1 (3)'!B86-DATE(YEAR(B86),1,1)+1)/366)+((DATE(YEAR(B85),12,31)-'Arkusz1 (3)'!B85)/365))),0))</f>
        <v>0</v>
      </c>
      <c r="H86">
        <f t="shared" ca="1" si="11"/>
        <v>0</v>
      </c>
      <c r="I86">
        <f t="shared" ca="1" si="12"/>
        <v>1.0062849315068494</v>
      </c>
      <c r="J86">
        <f t="shared" ca="1" si="13"/>
        <v>1.0062849315068494</v>
      </c>
      <c r="K86">
        <f ca="1">PRODUCT($J$3:J86)</f>
        <v>1.6716047326975505</v>
      </c>
      <c r="L86">
        <f t="shared" ca="1" si="14"/>
        <v>0.59822754772071685</v>
      </c>
      <c r="M86">
        <f ca="1">SUM($L$3:L86)</f>
        <v>65.595712975910175</v>
      </c>
      <c r="O86">
        <f ca="1">(Q85*'Arkusz1 (3)'!J86)-Q85</f>
        <v>3005.8793473963742</v>
      </c>
      <c r="P86" s="16">
        <f t="shared" ca="1" si="15"/>
        <v>11488.357124502389</v>
      </c>
      <c r="Q86" s="17">
        <f t="shared" ca="1" si="16"/>
        <v>466779.28097474162</v>
      </c>
    </row>
    <row r="87" spans="1:17" x14ac:dyDescent="0.35">
      <c r="A87">
        <v>85</v>
      </c>
      <c r="B87" s="14">
        <f t="shared" ca="1" si="17"/>
        <v>48655</v>
      </c>
      <c r="C87" s="15">
        <f ca="1">(1+('Symulacja Pożyczka'!$B$7+'Symulacja Pożyczka'!$B$16)*('Arkusz1 (3)'!B87-'Arkusz1 (3)'!B86)/365)</f>
        <v>1.0056767123287671</v>
      </c>
      <c r="D87" s="15">
        <f ca="1">(1+('Symulacja Pożyczka'!$B$7+'Symulacja Pożyczka'!$B$16)*('Arkusz1 (3)'!B87-'Arkusz1 (3)'!B86)/366)</f>
        <v>1.0056612021857922</v>
      </c>
      <c r="E87" s="15">
        <f t="shared" ca="1" si="9"/>
        <v>0</v>
      </c>
      <c r="F87" s="15">
        <f t="shared" ca="1" si="10"/>
        <v>0</v>
      </c>
      <c r="G87">
        <f ca="1">IF(E87=1,(1+('Symulacja Pożyczka'!$B$7+'Symulacja Pożyczka'!$B$16)*((('Arkusz1 (3)'!B87-DATE(YEAR(B87),1,1)+1)/365)+((DATE(YEAR(B86),12,31)-'Arkusz1 (3)'!B86)/366))),IF(F87=1,(1+('Symulacja Pożyczka'!$B$7+'Symulacja Pożyczka'!$B$16)*((('Arkusz1 (3)'!B87-DATE(YEAR(B87),1,1)+1)/366)+((DATE(YEAR(B86),12,31)-'Arkusz1 (3)'!B86)/365))),0))</f>
        <v>0</v>
      </c>
      <c r="H87">
        <f t="shared" ca="1" si="11"/>
        <v>0</v>
      </c>
      <c r="I87">
        <f t="shared" ca="1" si="12"/>
        <v>1.0056767123287671</v>
      </c>
      <c r="J87">
        <f t="shared" ca="1" si="13"/>
        <v>1.0056767123287671</v>
      </c>
      <c r="K87">
        <f ca="1">PRODUCT($J$3:J87)</f>
        <v>1.6810939518924801</v>
      </c>
      <c r="L87">
        <f t="shared" ca="1" si="14"/>
        <v>0.59485075112801211</v>
      </c>
      <c r="M87">
        <f ca="1">SUM($L$3:L87)</f>
        <v>66.190563727038182</v>
      </c>
      <c r="O87">
        <f ca="1">(Q86*'Arkusz1 (3)'!J87)-Q86</f>
        <v>2649.7716991223278</v>
      </c>
      <c r="P87" s="16">
        <f t="shared" ca="1" si="15"/>
        <v>11844.464772776435</v>
      </c>
      <c r="Q87" s="17">
        <f t="shared" ca="1" si="16"/>
        <v>454934.81620196521</v>
      </c>
    </row>
    <row r="88" spans="1:17" x14ac:dyDescent="0.35">
      <c r="A88">
        <v>86</v>
      </c>
      <c r="B88" s="14">
        <f t="shared" ca="1" si="17"/>
        <v>48686</v>
      </c>
      <c r="C88" s="15">
        <f ca="1">(1+('Symulacja Pożyczka'!$B$7+'Symulacja Pożyczka'!$B$16)*('Arkusz1 (3)'!B88-'Arkusz1 (3)'!B87)/365)</f>
        <v>1.0062849315068494</v>
      </c>
      <c r="D88" s="15">
        <f ca="1">(1+('Symulacja Pożyczka'!$B$7+'Symulacja Pożyczka'!$B$16)*('Arkusz1 (3)'!B88-'Arkusz1 (3)'!B87)/366)</f>
        <v>1.0062677595628415</v>
      </c>
      <c r="E88" s="15">
        <f t="shared" ca="1" si="9"/>
        <v>0</v>
      </c>
      <c r="F88" s="15">
        <f t="shared" ca="1" si="10"/>
        <v>0</v>
      </c>
      <c r="G88">
        <f ca="1">IF(E88=1,(1+('Symulacja Pożyczka'!$B$7+'Symulacja Pożyczka'!$B$16)*((('Arkusz1 (3)'!B88-DATE(YEAR(B88),1,1)+1)/365)+((DATE(YEAR(B87),12,31)-'Arkusz1 (3)'!B87)/366))),IF(F88=1,(1+('Symulacja Pożyczka'!$B$7+'Symulacja Pożyczka'!$B$16)*((('Arkusz1 (3)'!B88-DATE(YEAR(B88),1,1)+1)/366)+((DATE(YEAR(B87),12,31)-'Arkusz1 (3)'!B87)/365))),0))</f>
        <v>0</v>
      </c>
      <c r="H88">
        <f t="shared" ca="1" si="11"/>
        <v>0</v>
      </c>
      <c r="I88">
        <f t="shared" ca="1" si="12"/>
        <v>1.0062849315068494</v>
      </c>
      <c r="J88">
        <f t="shared" ca="1" si="13"/>
        <v>1.0062849315068494</v>
      </c>
      <c r="K88">
        <f ca="1">PRODUCT($J$3:J88)</f>
        <v>1.6916595122367031</v>
      </c>
      <c r="L88">
        <f t="shared" ca="1" si="14"/>
        <v>0.59113550496802125</v>
      </c>
      <c r="M88">
        <f ca="1">SUM($L$3:L88)</f>
        <v>66.781699232006204</v>
      </c>
      <c r="O88">
        <f ca="1">(Q87*'Arkusz1 (3)'!J88)-Q87</f>
        <v>2859.2341599104693</v>
      </c>
      <c r="P88" s="16">
        <f t="shared" ca="1" si="15"/>
        <v>11635.002311988294</v>
      </c>
      <c r="Q88" s="17">
        <f t="shared" ca="1" si="16"/>
        <v>443299.81388997694</v>
      </c>
    </row>
    <row r="89" spans="1:17" x14ac:dyDescent="0.35">
      <c r="A89">
        <v>87</v>
      </c>
      <c r="B89" s="14">
        <f t="shared" ca="1" si="17"/>
        <v>48716</v>
      </c>
      <c r="C89" s="15">
        <f ca="1">(1+('Symulacja Pożyczka'!$B$7+'Symulacja Pożyczka'!$B$16)*('Arkusz1 (3)'!B89-'Arkusz1 (3)'!B88)/365)</f>
        <v>1.0060821917808218</v>
      </c>
      <c r="D89" s="15">
        <f ca="1">(1+('Symulacja Pożyczka'!$B$7+'Symulacja Pożyczka'!$B$16)*('Arkusz1 (3)'!B89-'Arkusz1 (3)'!B88)/366)</f>
        <v>1.0060655737704918</v>
      </c>
      <c r="E89" s="15">
        <f t="shared" ca="1" si="9"/>
        <v>0</v>
      </c>
      <c r="F89" s="15">
        <f t="shared" ca="1" si="10"/>
        <v>0</v>
      </c>
      <c r="G89">
        <f ca="1">IF(E89=1,(1+('Symulacja Pożyczka'!$B$7+'Symulacja Pożyczka'!$B$16)*((('Arkusz1 (3)'!B89-DATE(YEAR(B89),1,1)+1)/365)+((DATE(YEAR(B88),12,31)-'Arkusz1 (3)'!B88)/366))),IF(F89=1,(1+('Symulacja Pożyczka'!$B$7+'Symulacja Pożyczka'!$B$16)*((('Arkusz1 (3)'!B89-DATE(YEAR(B89),1,1)+1)/366)+((DATE(YEAR(B88),12,31)-'Arkusz1 (3)'!B88)/365))),0))</f>
        <v>0</v>
      </c>
      <c r="H89">
        <f t="shared" ca="1" si="11"/>
        <v>0</v>
      </c>
      <c r="I89">
        <f t="shared" ca="1" si="12"/>
        <v>1.0060821917808218</v>
      </c>
      <c r="J89">
        <f t="shared" ca="1" si="13"/>
        <v>1.0060821917808218</v>
      </c>
      <c r="K89">
        <f ca="1">PRODUCT($J$3:J89)</f>
        <v>1.7019485098179783</v>
      </c>
      <c r="L89">
        <f t="shared" ca="1" si="14"/>
        <v>0.58756184116695109</v>
      </c>
      <c r="M89">
        <f ca="1">SUM($L$3:L89)</f>
        <v>67.369261073173149</v>
      </c>
      <c r="O89">
        <f ca="1">(Q88*'Arkusz1 (3)'!J89)-Q88</f>
        <v>2696.2344844814506</v>
      </c>
      <c r="P89" s="16">
        <f t="shared" ca="1" si="15"/>
        <v>11798.001987417312</v>
      </c>
      <c r="Q89" s="17">
        <f t="shared" ca="1" si="16"/>
        <v>431501.81190255965</v>
      </c>
    </row>
    <row r="90" spans="1:17" x14ac:dyDescent="0.35">
      <c r="A90">
        <v>88</v>
      </c>
      <c r="B90" s="14">
        <f t="shared" ca="1" si="17"/>
        <v>48747</v>
      </c>
      <c r="C90" s="15">
        <f ca="1">(1+('Symulacja Pożyczka'!$B$7+'Symulacja Pożyczka'!$B$16)*('Arkusz1 (3)'!B90-'Arkusz1 (3)'!B89)/365)</f>
        <v>1.0062849315068494</v>
      </c>
      <c r="D90" s="15">
        <f ca="1">(1+('Symulacja Pożyczka'!$B$7+'Symulacja Pożyczka'!$B$16)*('Arkusz1 (3)'!B90-'Arkusz1 (3)'!B89)/366)</f>
        <v>1.0062677595628415</v>
      </c>
      <c r="E90" s="15">
        <f t="shared" ca="1" si="9"/>
        <v>0</v>
      </c>
      <c r="F90" s="15">
        <f t="shared" ca="1" si="10"/>
        <v>0</v>
      </c>
      <c r="G90">
        <f ca="1">IF(E90=1,(1+('Symulacja Pożyczka'!$B$7+'Symulacja Pożyczka'!$B$16)*((('Arkusz1 (3)'!B90-DATE(YEAR(B90),1,1)+1)/365)+((DATE(YEAR(B89),12,31)-'Arkusz1 (3)'!B89)/366))),IF(F90=1,(1+('Symulacja Pożyczka'!$B$7+'Symulacja Pożyczka'!$B$16)*((('Arkusz1 (3)'!B90-DATE(YEAR(B90),1,1)+1)/366)+((DATE(YEAR(B89),12,31)-'Arkusz1 (3)'!B89)/365))),0))</f>
        <v>0</v>
      </c>
      <c r="H90">
        <f t="shared" ca="1" si="11"/>
        <v>0</v>
      </c>
      <c r="I90">
        <f t="shared" ca="1" si="12"/>
        <v>1.0062849315068494</v>
      </c>
      <c r="J90">
        <f t="shared" ca="1" si="13"/>
        <v>1.0062849315068494</v>
      </c>
      <c r="K90">
        <f ca="1">PRODUCT($J$3:J90)</f>
        <v>1.7126451396303686</v>
      </c>
      <c r="L90">
        <f t="shared" ca="1" si="14"/>
        <v>0.58389211919044992</v>
      </c>
      <c r="M90">
        <f ca="1">SUM($L$3:L90)</f>
        <v>67.953153192363601</v>
      </c>
      <c r="O90">
        <f ca="1">(Q89*'Arkusz1 (3)'!J90)-Q89</f>
        <v>2711.9593328890041</v>
      </c>
      <c r="P90" s="16">
        <f t="shared" ca="1" si="15"/>
        <v>11782.277139009759</v>
      </c>
      <c r="Q90" s="17">
        <f t="shared" ca="1" si="16"/>
        <v>419719.53476354992</v>
      </c>
    </row>
    <row r="91" spans="1:17" x14ac:dyDescent="0.35">
      <c r="A91">
        <v>89</v>
      </c>
      <c r="B91" s="14">
        <f t="shared" ca="1" si="17"/>
        <v>48777</v>
      </c>
      <c r="C91" s="15">
        <f ca="1">(1+('Symulacja Pożyczka'!$B$7+'Symulacja Pożyczka'!$B$16)*('Arkusz1 (3)'!B91-'Arkusz1 (3)'!B90)/365)</f>
        <v>1.0060821917808218</v>
      </c>
      <c r="D91" s="15">
        <f ca="1">(1+('Symulacja Pożyczka'!$B$7+'Symulacja Pożyczka'!$B$16)*('Arkusz1 (3)'!B91-'Arkusz1 (3)'!B90)/366)</f>
        <v>1.0060655737704918</v>
      </c>
      <c r="E91" s="15">
        <f t="shared" ca="1" si="9"/>
        <v>0</v>
      </c>
      <c r="F91" s="15">
        <f t="shared" ca="1" si="10"/>
        <v>0</v>
      </c>
      <c r="G91">
        <f ca="1">IF(E91=1,(1+('Symulacja Pożyczka'!$B$7+'Symulacja Pożyczka'!$B$16)*((('Arkusz1 (3)'!B91-DATE(YEAR(B91),1,1)+1)/365)+((DATE(YEAR(B90),12,31)-'Arkusz1 (3)'!B90)/366))),IF(F91=1,(1+('Symulacja Pożyczka'!$B$7+'Symulacja Pożyczka'!$B$16)*((('Arkusz1 (3)'!B91-DATE(YEAR(B91),1,1)+1)/366)+((DATE(YEAR(B90),12,31)-'Arkusz1 (3)'!B90)/365))),0))</f>
        <v>0</v>
      </c>
      <c r="H91">
        <f t="shared" ca="1" si="11"/>
        <v>0</v>
      </c>
      <c r="I91">
        <f t="shared" ca="1" si="12"/>
        <v>1.0060821917808218</v>
      </c>
      <c r="J91">
        <f t="shared" ca="1" si="13"/>
        <v>1.0060821917808218</v>
      </c>
      <c r="K91">
        <f ca="1">PRODUCT($J$3:J91)</f>
        <v>1.7230617758220927</v>
      </c>
      <c r="L91">
        <f t="shared" ca="1" si="14"/>
        <v>0.58036224471574061</v>
      </c>
      <c r="M91">
        <f ca="1">SUM($L$3:L91)</f>
        <v>68.533515437079345</v>
      </c>
      <c r="O91">
        <f ca="1">(Q90*'Arkusz1 (3)'!J91)-Q90</f>
        <v>2552.8147045891965</v>
      </c>
      <c r="P91" s="16">
        <f t="shared" ca="1" si="15"/>
        <v>11941.421767309566</v>
      </c>
      <c r="Q91" s="17">
        <f t="shared" ca="1" si="16"/>
        <v>407778.11299624038</v>
      </c>
    </row>
    <row r="92" spans="1:17" x14ac:dyDescent="0.35">
      <c r="A92">
        <v>90</v>
      </c>
      <c r="B92" s="14">
        <f t="shared" ca="1" si="17"/>
        <v>48808</v>
      </c>
      <c r="C92" s="15">
        <f ca="1">(1+('Symulacja Pożyczka'!$B$7+'Symulacja Pożyczka'!$B$16)*('Arkusz1 (3)'!B92-'Arkusz1 (3)'!B91)/365)</f>
        <v>1.0062849315068494</v>
      </c>
      <c r="D92" s="15">
        <f ca="1">(1+('Symulacja Pożyczka'!$B$7+'Symulacja Pożyczka'!$B$16)*('Arkusz1 (3)'!B92-'Arkusz1 (3)'!B91)/366)</f>
        <v>1.0062677595628415</v>
      </c>
      <c r="E92" s="15">
        <f t="shared" ca="1" si="9"/>
        <v>0</v>
      </c>
      <c r="F92" s="15">
        <f t="shared" ca="1" si="10"/>
        <v>0</v>
      </c>
      <c r="G92">
        <f ca="1">IF(E92=1,(1+('Symulacja Pożyczka'!$B$7+'Symulacja Pożyczka'!$B$16)*((('Arkusz1 (3)'!B92-DATE(YEAR(B92),1,1)+1)/365)+((DATE(YEAR(B91),12,31)-'Arkusz1 (3)'!B91)/366))),IF(F92=1,(1+('Symulacja Pożyczka'!$B$7+'Symulacja Pożyczka'!$B$16)*((('Arkusz1 (3)'!B92-DATE(YEAR(B92),1,1)+1)/366)+((DATE(YEAR(B91),12,31)-'Arkusz1 (3)'!B91)/365))),0))</f>
        <v>0</v>
      </c>
      <c r="H92">
        <f t="shared" ca="1" si="11"/>
        <v>0</v>
      </c>
      <c r="I92">
        <f t="shared" ca="1" si="12"/>
        <v>1.0062849315068494</v>
      </c>
      <c r="J92">
        <f t="shared" ca="1" si="13"/>
        <v>1.0062849315068494</v>
      </c>
      <c r="K92">
        <f ca="1">PRODUCT($J$3:J92)</f>
        <v>1.7338911010652049</v>
      </c>
      <c r="L92">
        <f t="shared" ca="1" si="14"/>
        <v>0.5767374890993191</v>
      </c>
      <c r="M92">
        <f ca="1">SUM($L$3:L92)</f>
        <v>69.11025292617866</v>
      </c>
      <c r="O92">
        <f ca="1">(Q91*'Arkusz1 (3)'!J92)-Q91</f>
        <v>2562.8575101736351</v>
      </c>
      <c r="P92" s="16">
        <f t="shared" ca="1" si="15"/>
        <v>11931.378961725128</v>
      </c>
      <c r="Q92" s="17">
        <f t="shared" ca="1" si="16"/>
        <v>395846.73403451528</v>
      </c>
    </row>
    <row r="93" spans="1:17" x14ac:dyDescent="0.35">
      <c r="A93">
        <v>91</v>
      </c>
      <c r="B93" s="14">
        <f t="shared" ca="1" si="17"/>
        <v>48839</v>
      </c>
      <c r="C93" s="15">
        <f ca="1">(1+('Symulacja Pożyczka'!$B$7+'Symulacja Pożyczka'!$B$16)*('Arkusz1 (3)'!B93-'Arkusz1 (3)'!B92)/365)</f>
        <v>1.0062849315068494</v>
      </c>
      <c r="D93" s="15">
        <f ca="1">(1+('Symulacja Pożyczka'!$B$7+'Symulacja Pożyczka'!$B$16)*('Arkusz1 (3)'!B93-'Arkusz1 (3)'!B92)/366)</f>
        <v>1.0062677595628415</v>
      </c>
      <c r="E93" s="15">
        <f t="shared" ca="1" si="9"/>
        <v>0</v>
      </c>
      <c r="F93" s="15">
        <f t="shared" ca="1" si="10"/>
        <v>0</v>
      </c>
      <c r="G93">
        <f ca="1">IF(E93=1,(1+('Symulacja Pożyczka'!$B$7+'Symulacja Pożyczka'!$B$16)*((('Arkusz1 (3)'!B93-DATE(YEAR(B93),1,1)+1)/365)+((DATE(YEAR(B92),12,31)-'Arkusz1 (3)'!B92)/366))),IF(F93=1,(1+('Symulacja Pożyczka'!$B$7+'Symulacja Pożyczka'!$B$16)*((('Arkusz1 (3)'!B93-DATE(YEAR(B93),1,1)+1)/366)+((DATE(YEAR(B92),12,31)-'Arkusz1 (3)'!B92)/365))),0))</f>
        <v>0</v>
      </c>
      <c r="H93">
        <f t="shared" ca="1" si="11"/>
        <v>0</v>
      </c>
      <c r="I93">
        <f t="shared" ca="1" si="12"/>
        <v>1.0062849315068494</v>
      </c>
      <c r="J93">
        <f t="shared" ca="1" si="13"/>
        <v>1.0062849315068494</v>
      </c>
      <c r="K93">
        <f ca="1">PRODUCT($J$3:J93)</f>
        <v>1.7447884878757354</v>
      </c>
      <c r="L93">
        <f t="shared" ca="1" si="14"/>
        <v>0.57313537253876035</v>
      </c>
      <c r="M93">
        <f ca="1">SUM($L$3:L93)</f>
        <v>69.683388298717418</v>
      </c>
      <c r="O93">
        <f ca="1">(Q92*'Arkusz1 (3)'!J93)-Q92</f>
        <v>2487.8696106169373</v>
      </c>
      <c r="P93" s="16">
        <f t="shared" ca="1" si="15"/>
        <v>12006.366861281826</v>
      </c>
      <c r="Q93" s="17">
        <f t="shared" ca="1" si="16"/>
        <v>383840.36717323348</v>
      </c>
    </row>
    <row r="94" spans="1:17" x14ac:dyDescent="0.35">
      <c r="A94">
        <v>92</v>
      </c>
      <c r="B94" s="14">
        <f t="shared" ca="1" si="17"/>
        <v>48869</v>
      </c>
      <c r="C94" s="15">
        <f ca="1">(1+('Symulacja Pożyczka'!$B$7+'Symulacja Pożyczka'!$B$16)*('Arkusz1 (3)'!B94-'Arkusz1 (3)'!B93)/365)</f>
        <v>1.0060821917808218</v>
      </c>
      <c r="D94" s="15">
        <f ca="1">(1+('Symulacja Pożyczka'!$B$7+'Symulacja Pożyczka'!$B$16)*('Arkusz1 (3)'!B94-'Arkusz1 (3)'!B93)/366)</f>
        <v>1.0060655737704918</v>
      </c>
      <c r="E94" s="15">
        <f t="shared" ca="1" si="9"/>
        <v>0</v>
      </c>
      <c r="F94" s="15">
        <f t="shared" ca="1" si="10"/>
        <v>0</v>
      </c>
      <c r="G94">
        <f ca="1">IF(E94=1,(1+('Symulacja Pożyczka'!$B$7+'Symulacja Pożyczka'!$B$16)*((('Arkusz1 (3)'!B94-DATE(YEAR(B94),1,1)+1)/365)+((DATE(YEAR(B93),12,31)-'Arkusz1 (3)'!B93)/366))),IF(F94=1,(1+('Symulacja Pożyczka'!$B$7+'Symulacja Pożyczka'!$B$16)*((('Arkusz1 (3)'!B94-DATE(YEAR(B94),1,1)+1)/366)+((DATE(YEAR(B93),12,31)-'Arkusz1 (3)'!B93)/365))),0))</f>
        <v>0</v>
      </c>
      <c r="H94">
        <f t="shared" ca="1" si="11"/>
        <v>0</v>
      </c>
      <c r="I94">
        <f t="shared" ca="1" si="12"/>
        <v>1.0060821917808218</v>
      </c>
      <c r="J94">
        <f t="shared" ca="1" si="13"/>
        <v>1.0060821917808218</v>
      </c>
      <c r="K94">
        <f ca="1">PRODUCT($J$3:J94)</f>
        <v>1.7554006260759656</v>
      </c>
      <c r="L94">
        <f t="shared" ca="1" si="14"/>
        <v>0.56967052714080813</v>
      </c>
      <c r="M94">
        <f ca="1">SUM($L$3:L94)</f>
        <v>70.253058825858233</v>
      </c>
      <c r="O94">
        <f ca="1">(Q93*'Arkusz1 (3)'!J94)-Q93</f>
        <v>2334.5907263686531</v>
      </c>
      <c r="P94" s="16">
        <f t="shared" ca="1" si="15"/>
        <v>12159.64574553011</v>
      </c>
      <c r="Q94" s="17">
        <f t="shared" ca="1" si="16"/>
        <v>371680.72142770339</v>
      </c>
    </row>
    <row r="95" spans="1:17" x14ac:dyDescent="0.35">
      <c r="A95">
        <v>93</v>
      </c>
      <c r="B95" s="14">
        <f t="shared" ca="1" si="17"/>
        <v>48900</v>
      </c>
      <c r="C95" s="15">
        <f ca="1">(1+('Symulacja Pożyczka'!$B$7+'Symulacja Pożyczka'!$B$16)*('Arkusz1 (3)'!B95-'Arkusz1 (3)'!B94)/365)</f>
        <v>1.0062849315068494</v>
      </c>
      <c r="D95" s="15">
        <f ca="1">(1+('Symulacja Pożyczka'!$B$7+'Symulacja Pożyczka'!$B$16)*('Arkusz1 (3)'!B95-'Arkusz1 (3)'!B94)/366)</f>
        <v>1.0062677595628415</v>
      </c>
      <c r="E95" s="15">
        <f t="shared" ca="1" si="9"/>
        <v>0</v>
      </c>
      <c r="F95" s="15">
        <f t="shared" ca="1" si="10"/>
        <v>0</v>
      </c>
      <c r="G95">
        <f ca="1">IF(E95=1,(1+('Symulacja Pożyczka'!$B$7+'Symulacja Pożyczka'!$B$16)*((('Arkusz1 (3)'!B95-DATE(YEAR(B95),1,1)+1)/365)+((DATE(YEAR(B94),12,31)-'Arkusz1 (3)'!B94)/366))),IF(F95=1,(1+('Symulacja Pożyczka'!$B$7+'Symulacja Pożyczka'!$B$16)*((('Arkusz1 (3)'!B95-DATE(YEAR(B95),1,1)+1)/366)+((DATE(YEAR(B94),12,31)-'Arkusz1 (3)'!B94)/365))),0))</f>
        <v>0</v>
      </c>
      <c r="H95">
        <f t="shared" ca="1" si="11"/>
        <v>0</v>
      </c>
      <c r="I95">
        <f t="shared" ca="1" si="12"/>
        <v>1.0062849315068494</v>
      </c>
      <c r="J95">
        <f t="shared" ca="1" si="13"/>
        <v>1.0062849315068494</v>
      </c>
      <c r="K95">
        <f ca="1">PRODUCT($J$3:J95)</f>
        <v>1.7664331987779336</v>
      </c>
      <c r="L95">
        <f t="shared" ca="1" si="14"/>
        <v>0.56611254854801596</v>
      </c>
      <c r="M95">
        <f ca="1">SUM($L$3:L95)</f>
        <v>70.819171374406253</v>
      </c>
      <c r="O95">
        <f ca="1">(Q94*'Arkusz1 (3)'!J95)-Q94</f>
        <v>2335.9878765894682</v>
      </c>
      <c r="P95" s="16">
        <f t="shared" ca="1" si="15"/>
        <v>12158.248595309295</v>
      </c>
      <c r="Q95" s="17">
        <f t="shared" ca="1" si="16"/>
        <v>359522.47283239412</v>
      </c>
    </row>
    <row r="96" spans="1:17" x14ac:dyDescent="0.35">
      <c r="A96">
        <v>94</v>
      </c>
      <c r="B96" s="14">
        <f t="shared" ca="1" si="17"/>
        <v>48930</v>
      </c>
      <c r="C96" s="15">
        <f ca="1">(1+('Symulacja Pożyczka'!$B$7+'Symulacja Pożyczka'!$B$16)*('Arkusz1 (3)'!B96-'Arkusz1 (3)'!B95)/365)</f>
        <v>1.0060821917808218</v>
      </c>
      <c r="D96" s="15">
        <f ca="1">(1+('Symulacja Pożyczka'!$B$7+'Symulacja Pożyczka'!$B$16)*('Arkusz1 (3)'!B96-'Arkusz1 (3)'!B95)/366)</f>
        <v>1.0060655737704918</v>
      </c>
      <c r="E96" s="15">
        <f t="shared" ca="1" si="9"/>
        <v>0</v>
      </c>
      <c r="F96" s="15">
        <f t="shared" ca="1" si="10"/>
        <v>0</v>
      </c>
      <c r="G96">
        <f ca="1">IF(E96=1,(1+('Symulacja Pożyczka'!$B$7+'Symulacja Pożyczka'!$B$16)*((('Arkusz1 (3)'!B96-DATE(YEAR(B96),1,1)+1)/365)+((DATE(YEAR(B95),12,31)-'Arkusz1 (3)'!B95)/366))),IF(F96=1,(1+('Symulacja Pożyczka'!$B$7+'Symulacja Pożyczka'!$B$16)*((('Arkusz1 (3)'!B96-DATE(YEAR(B96),1,1)+1)/366)+((DATE(YEAR(B95),12,31)-'Arkusz1 (3)'!B95)/365))),0))</f>
        <v>0</v>
      </c>
      <c r="H96">
        <f t="shared" ca="1" si="11"/>
        <v>0</v>
      </c>
      <c r="I96">
        <f t="shared" ca="1" si="12"/>
        <v>1.0060821917808218</v>
      </c>
      <c r="J96">
        <f t="shared" ca="1" si="13"/>
        <v>1.0060821917808218</v>
      </c>
      <c r="K96">
        <f ca="1">PRODUCT($J$3:J96)</f>
        <v>1.7771769842609115</v>
      </c>
      <c r="L96">
        <f t="shared" ca="1" si="14"/>
        <v>0.56269015908726605</v>
      </c>
      <c r="M96">
        <f ca="1">SUM($L$3:L96)</f>
        <v>71.38186153349352</v>
      </c>
      <c r="O96">
        <f ca="1">(Q95*'Arkusz1 (3)'!J96)-Q95</f>
        <v>2186.6846292819246</v>
      </c>
      <c r="P96" s="16">
        <f t="shared" ca="1" si="15"/>
        <v>12307.551842616838</v>
      </c>
      <c r="Q96" s="17">
        <f t="shared" ca="1" si="16"/>
        <v>347214.92098977731</v>
      </c>
    </row>
    <row r="97" spans="1:17" x14ac:dyDescent="0.35">
      <c r="A97">
        <v>95</v>
      </c>
      <c r="B97" s="14">
        <f t="shared" ca="1" si="17"/>
        <v>48961</v>
      </c>
      <c r="C97" s="15">
        <f ca="1">(1+('Symulacja Pożyczka'!$B$7+'Symulacja Pożyczka'!$B$16)*('Arkusz1 (3)'!B97-'Arkusz1 (3)'!B96)/365)</f>
        <v>1.0062849315068494</v>
      </c>
      <c r="D97" s="15">
        <f ca="1">(1+('Symulacja Pożyczka'!$B$7+'Symulacja Pożyczka'!$B$16)*('Arkusz1 (3)'!B97-'Arkusz1 (3)'!B96)/366)</f>
        <v>1.0062677595628415</v>
      </c>
      <c r="E97" s="15">
        <f t="shared" ca="1" si="9"/>
        <v>0</v>
      </c>
      <c r="F97" s="15">
        <f t="shared" ca="1" si="10"/>
        <v>0</v>
      </c>
      <c r="G97">
        <f ca="1">IF(E97=1,(1+('Symulacja Pożyczka'!$B$7+'Symulacja Pożyczka'!$B$16)*((('Arkusz1 (3)'!B97-DATE(YEAR(B97),1,1)+1)/365)+((DATE(YEAR(B96),12,31)-'Arkusz1 (3)'!B96)/366))),IF(F97=1,(1+('Symulacja Pożyczka'!$B$7+'Symulacja Pożyczka'!$B$16)*((('Arkusz1 (3)'!B97-DATE(YEAR(B97),1,1)+1)/366)+((DATE(YEAR(B96),12,31)-'Arkusz1 (3)'!B96)/365))),0))</f>
        <v>0</v>
      </c>
      <c r="H97">
        <f t="shared" ca="1" si="11"/>
        <v>0</v>
      </c>
      <c r="I97">
        <f t="shared" ca="1" si="12"/>
        <v>1.0062849315068494</v>
      </c>
      <c r="J97">
        <f t="shared" ca="1" si="13"/>
        <v>1.0062849315068494</v>
      </c>
      <c r="K97">
        <f ca="1">PRODUCT($J$3:J97)</f>
        <v>1.7883464198825405</v>
      </c>
      <c r="L97">
        <f t="shared" ca="1" si="14"/>
        <v>0.55917577762460613</v>
      </c>
      <c r="M97">
        <f ca="1">SUM($L$3:L97)</f>
        <v>71.941037311118123</v>
      </c>
      <c r="O97">
        <f ca="1">(Q96*'Arkusz1 (3)'!J97)-Q96</f>
        <v>2182.2219965768745</v>
      </c>
      <c r="P97" s="16">
        <f t="shared" ca="1" si="15"/>
        <v>12312.014475321888</v>
      </c>
      <c r="Q97" s="17">
        <f t="shared" ca="1" si="16"/>
        <v>334902.90651445545</v>
      </c>
    </row>
    <row r="98" spans="1:17" x14ac:dyDescent="0.35">
      <c r="A98">
        <v>96</v>
      </c>
      <c r="B98" s="14">
        <f t="shared" ca="1" si="17"/>
        <v>48992</v>
      </c>
      <c r="C98" s="15">
        <f ca="1">(1+('Symulacja Pożyczka'!$B$7+'Symulacja Pożyczka'!$B$16)*('Arkusz1 (3)'!B98-'Arkusz1 (3)'!B97)/365)</f>
        <v>1.0062849315068494</v>
      </c>
      <c r="D98" s="15">
        <f ca="1">(1+('Symulacja Pożyczka'!$B$7+'Symulacja Pożyczka'!$B$16)*('Arkusz1 (3)'!B98-'Arkusz1 (3)'!B97)/366)</f>
        <v>1.0062677595628415</v>
      </c>
      <c r="E98" s="15">
        <f t="shared" ca="1" si="9"/>
        <v>0</v>
      </c>
      <c r="F98" s="15">
        <f t="shared" ca="1" si="10"/>
        <v>0</v>
      </c>
      <c r="G98">
        <f ca="1">IF(E98=1,(1+('Symulacja Pożyczka'!$B$7+'Symulacja Pożyczka'!$B$16)*((('Arkusz1 (3)'!B98-DATE(YEAR(B98),1,1)+1)/365)+((DATE(YEAR(B97),12,31)-'Arkusz1 (3)'!B97)/366))),IF(F98=1,(1+('Symulacja Pożyczka'!$B$7+'Symulacja Pożyczka'!$B$16)*((('Arkusz1 (3)'!B98-DATE(YEAR(B98),1,1)+1)/366)+((DATE(YEAR(B97),12,31)-'Arkusz1 (3)'!B97)/365))),0))</f>
        <v>0</v>
      </c>
      <c r="H98">
        <f t="shared" ca="1" si="11"/>
        <v>0</v>
      </c>
      <c r="I98">
        <f t="shared" ca="1" si="12"/>
        <v>1.0062849315068494</v>
      </c>
      <c r="J98">
        <f t="shared" ca="1" si="13"/>
        <v>1.0062849315068494</v>
      </c>
      <c r="K98">
        <f ca="1">PRODUCT($J$3:J98)</f>
        <v>1.7995860546420215</v>
      </c>
      <c r="L98">
        <f t="shared" ca="1" si="14"/>
        <v>0.55568334585640178</v>
      </c>
      <c r="M98">
        <f ca="1">SUM($L$3:L98)</f>
        <v>72.496720656974531</v>
      </c>
      <c r="O98">
        <f ca="1">(Q97*'Arkusz1 (3)'!J98)-Q97</f>
        <v>2104.8418288881658</v>
      </c>
      <c r="P98" s="16">
        <f t="shared" ca="1" si="15"/>
        <v>12389.394643010597</v>
      </c>
      <c r="Q98" s="17">
        <f t="shared" ca="1" si="16"/>
        <v>322513.51187144488</v>
      </c>
    </row>
    <row r="99" spans="1:17" x14ac:dyDescent="0.35">
      <c r="A99">
        <v>97</v>
      </c>
      <c r="B99" s="14">
        <f t="shared" ca="1" si="17"/>
        <v>49020</v>
      </c>
      <c r="C99" s="15">
        <f ca="1">(1+('Symulacja Pożyczka'!$B$7+'Symulacja Pożyczka'!$B$16)*('Arkusz1 (3)'!B99-'Arkusz1 (3)'!B98)/365)</f>
        <v>1.0056767123287671</v>
      </c>
      <c r="D99" s="15">
        <f ca="1">(1+('Symulacja Pożyczka'!$B$7+'Symulacja Pożyczka'!$B$16)*('Arkusz1 (3)'!B99-'Arkusz1 (3)'!B98)/366)</f>
        <v>1.0056612021857922</v>
      </c>
      <c r="E99" s="15">
        <f t="shared" ca="1" si="9"/>
        <v>0</v>
      </c>
      <c r="F99" s="15">
        <f t="shared" ca="1" si="10"/>
        <v>0</v>
      </c>
      <c r="G99">
        <f ca="1">IF(E99=1,(1+('Symulacja Pożyczka'!$B$7+'Symulacja Pożyczka'!$B$16)*((('Arkusz1 (3)'!B99-DATE(YEAR(B99),1,1)+1)/365)+((DATE(YEAR(B98),12,31)-'Arkusz1 (3)'!B98)/366))),IF(F99=1,(1+('Symulacja Pożyczka'!$B$7+'Symulacja Pożyczka'!$B$16)*((('Arkusz1 (3)'!B99-DATE(YEAR(B99),1,1)+1)/366)+((DATE(YEAR(B98),12,31)-'Arkusz1 (3)'!B98)/365))),0))</f>
        <v>0</v>
      </c>
      <c r="H99">
        <f t="shared" ca="1" si="11"/>
        <v>0</v>
      </c>
      <c r="I99">
        <f t="shared" ca="1" si="12"/>
        <v>1.0056767123287671</v>
      </c>
      <c r="J99">
        <f t="shared" ca="1" si="13"/>
        <v>1.0056767123287671</v>
      </c>
      <c r="K99">
        <f ca="1">PRODUCT($J$3:J99)</f>
        <v>1.8098017869850851</v>
      </c>
      <c r="L99">
        <f t="shared" ca="1" si="14"/>
        <v>0.55254669720814087</v>
      </c>
      <c r="M99">
        <f ca="1">SUM($L$3:L99)</f>
        <v>73.049267354182675</v>
      </c>
      <c r="O99">
        <f ca="1">(Q98*'Arkusz1 (3)'!J99)-Q98</f>
        <v>1830.8164290346322</v>
      </c>
      <c r="P99" s="16">
        <f t="shared" ca="1" si="15"/>
        <v>12663.420042864131</v>
      </c>
      <c r="Q99" s="17">
        <f t="shared" ca="1" si="16"/>
        <v>309850.09182858077</v>
      </c>
    </row>
    <row r="100" spans="1:17" x14ac:dyDescent="0.35">
      <c r="A100">
        <v>98</v>
      </c>
      <c r="B100" s="14">
        <f t="shared" ca="1" si="17"/>
        <v>49051</v>
      </c>
      <c r="C100" s="15">
        <f ca="1">(1+('Symulacja Pożyczka'!$B$7+'Symulacja Pożyczka'!$B$16)*('Arkusz1 (3)'!B100-'Arkusz1 (3)'!B99)/365)</f>
        <v>1.0062849315068494</v>
      </c>
      <c r="D100" s="15">
        <f ca="1">(1+('Symulacja Pożyczka'!$B$7+'Symulacja Pożyczka'!$B$16)*('Arkusz1 (3)'!B100-'Arkusz1 (3)'!B99)/366)</f>
        <v>1.0062677595628415</v>
      </c>
      <c r="E100" s="15">
        <f t="shared" ca="1" si="9"/>
        <v>0</v>
      </c>
      <c r="F100" s="15">
        <f t="shared" ca="1" si="10"/>
        <v>0</v>
      </c>
      <c r="G100">
        <f ca="1">IF(E100=1,(1+('Symulacja Pożyczka'!$B$7+'Symulacja Pożyczka'!$B$16)*((('Arkusz1 (3)'!B100-DATE(YEAR(B100),1,1)+1)/365)+((DATE(YEAR(B99),12,31)-'Arkusz1 (3)'!B99)/366))),IF(F100=1,(1+('Symulacja Pożyczka'!$B$7+'Symulacja Pożyczka'!$B$16)*((('Arkusz1 (3)'!B100-DATE(YEAR(B100),1,1)+1)/366)+((DATE(YEAR(B99),12,31)-'Arkusz1 (3)'!B99)/365))),0))</f>
        <v>0</v>
      </c>
      <c r="H100">
        <f t="shared" ca="1" si="11"/>
        <v>0</v>
      </c>
      <c r="I100">
        <f t="shared" ca="1" si="12"/>
        <v>1.0062849315068494</v>
      </c>
      <c r="J100">
        <f t="shared" ca="1" si="13"/>
        <v>1.0062849315068494</v>
      </c>
      <c r="K100">
        <f ca="1">PRODUCT($J$3:J100)</f>
        <v>1.82117626725726</v>
      </c>
      <c r="L100">
        <f t="shared" ca="1" si="14"/>
        <v>0.54909566854065517</v>
      </c>
      <c r="M100">
        <f ca="1">SUM($L$3:L100)</f>
        <v>73.598363022723333</v>
      </c>
      <c r="O100">
        <f ca="1">(Q99*'Arkusz1 (3)'!J100)-Q99</f>
        <v>1947.3866045336472</v>
      </c>
      <c r="P100" s="16">
        <f t="shared" ca="1" si="15"/>
        <v>12546.849867365116</v>
      </c>
      <c r="Q100" s="17">
        <f t="shared" ca="1" si="16"/>
        <v>297303.24196121568</v>
      </c>
    </row>
    <row r="101" spans="1:17" x14ac:dyDescent="0.35">
      <c r="A101">
        <v>99</v>
      </c>
      <c r="B101" s="14">
        <f t="shared" ca="1" si="17"/>
        <v>49081</v>
      </c>
      <c r="C101" s="15">
        <f ca="1">(1+('Symulacja Pożyczka'!$B$7+'Symulacja Pożyczka'!$B$16)*('Arkusz1 (3)'!B101-'Arkusz1 (3)'!B100)/365)</f>
        <v>1.0060821917808218</v>
      </c>
      <c r="D101" s="15">
        <f ca="1">(1+('Symulacja Pożyczka'!$B$7+'Symulacja Pożyczka'!$B$16)*('Arkusz1 (3)'!B101-'Arkusz1 (3)'!B100)/366)</f>
        <v>1.0060655737704918</v>
      </c>
      <c r="E101" s="15">
        <f t="shared" ca="1" si="9"/>
        <v>0</v>
      </c>
      <c r="F101" s="15">
        <f t="shared" ca="1" si="10"/>
        <v>0</v>
      </c>
      <c r="G101">
        <f ca="1">IF(E101=1,(1+('Symulacja Pożyczka'!$B$7+'Symulacja Pożyczka'!$B$16)*((('Arkusz1 (3)'!B101-DATE(YEAR(B101),1,1)+1)/365)+((DATE(YEAR(B100),12,31)-'Arkusz1 (3)'!B100)/366))),IF(F101=1,(1+('Symulacja Pożyczka'!$B$7+'Symulacja Pożyczka'!$B$16)*((('Arkusz1 (3)'!B101-DATE(YEAR(B101),1,1)+1)/366)+((DATE(YEAR(B100),12,31)-'Arkusz1 (3)'!B100)/365))),0))</f>
        <v>0</v>
      </c>
      <c r="H101">
        <f t="shared" ca="1" si="11"/>
        <v>0</v>
      </c>
      <c r="I101">
        <f t="shared" ca="1" si="12"/>
        <v>1.0060821917808218</v>
      </c>
      <c r="J101">
        <f t="shared" ca="1" si="13"/>
        <v>1.0060821917808218</v>
      </c>
      <c r="K101">
        <f ca="1">PRODUCT($J$3:J101)</f>
        <v>1.8322530105813999</v>
      </c>
      <c r="L101">
        <f t="shared" ca="1" si="14"/>
        <v>0.5457761533068437</v>
      </c>
      <c r="M101">
        <f ca="1">SUM($L$3:L101)</f>
        <v>74.14413917603018</v>
      </c>
      <c r="O101">
        <f ca="1">(Q100*'Arkusz1 (3)'!J101)-Q100</f>
        <v>1808.2553346682107</v>
      </c>
      <c r="P101" s="16">
        <f t="shared" ca="1" si="15"/>
        <v>12685.981137230552</v>
      </c>
      <c r="Q101" s="17">
        <f t="shared" ca="1" si="16"/>
        <v>284617.26082398515</v>
      </c>
    </row>
    <row r="102" spans="1:17" x14ac:dyDescent="0.35">
      <c r="A102">
        <v>100</v>
      </c>
      <c r="B102" s="14">
        <f t="shared" ca="1" si="17"/>
        <v>49112</v>
      </c>
      <c r="C102" s="15">
        <f ca="1">(1+('Symulacja Pożyczka'!$B$7+'Symulacja Pożyczka'!$B$16)*('Arkusz1 (3)'!B102-'Arkusz1 (3)'!B101)/365)</f>
        <v>1.0062849315068494</v>
      </c>
      <c r="D102" s="15">
        <f ca="1">(1+('Symulacja Pożyczka'!$B$7+'Symulacja Pożyczka'!$B$16)*('Arkusz1 (3)'!B102-'Arkusz1 (3)'!B101)/366)</f>
        <v>1.0062677595628415</v>
      </c>
      <c r="E102" s="15">
        <f t="shared" ca="1" si="9"/>
        <v>0</v>
      </c>
      <c r="F102" s="15">
        <f t="shared" ca="1" si="10"/>
        <v>0</v>
      </c>
      <c r="G102">
        <f ca="1">IF(E102=1,(1+('Symulacja Pożyczka'!$B$7+'Symulacja Pożyczka'!$B$16)*((('Arkusz1 (3)'!B102-DATE(YEAR(B102),1,1)+1)/365)+((DATE(YEAR(B101),12,31)-'Arkusz1 (3)'!B101)/366))),IF(F102=1,(1+('Symulacja Pożyczka'!$B$7+'Symulacja Pożyczka'!$B$16)*((('Arkusz1 (3)'!B102-DATE(YEAR(B102),1,1)+1)/366)+((DATE(YEAR(B101),12,31)-'Arkusz1 (3)'!B101)/365))),0))</f>
        <v>0</v>
      </c>
      <c r="H102">
        <f t="shared" ca="1" si="11"/>
        <v>0</v>
      </c>
      <c r="I102">
        <f t="shared" ca="1" si="12"/>
        <v>1.0062849315068494</v>
      </c>
      <c r="J102">
        <f t="shared" ca="1" si="13"/>
        <v>1.0062849315068494</v>
      </c>
      <c r="K102">
        <f ca="1">PRODUCT($J$3:J102)</f>
        <v>1.8437685952561225</v>
      </c>
      <c r="L102">
        <f t="shared" ca="1" si="14"/>
        <v>0.54236741127543042</v>
      </c>
      <c r="M102">
        <f ca="1">SUM($L$3:L102)</f>
        <v>74.686506587305615</v>
      </c>
      <c r="O102">
        <f ca="1">(Q101*'Arkusz1 (3)'!J102)-Q101</f>
        <v>1788.7999899458373</v>
      </c>
      <c r="P102" s="16">
        <f t="shared" ca="1" si="15"/>
        <v>12705.436481952926</v>
      </c>
      <c r="Q102" s="17">
        <f t="shared" ca="1" si="16"/>
        <v>271911.82434203225</v>
      </c>
    </row>
    <row r="103" spans="1:17" x14ac:dyDescent="0.35">
      <c r="A103">
        <v>101</v>
      </c>
      <c r="B103" s="14">
        <f t="shared" ca="1" si="17"/>
        <v>49142</v>
      </c>
      <c r="C103" s="15">
        <f ca="1">(1+('Symulacja Pożyczka'!$B$7+'Symulacja Pożyczka'!$B$16)*('Arkusz1 (3)'!B103-'Arkusz1 (3)'!B102)/365)</f>
        <v>1.0060821917808218</v>
      </c>
      <c r="D103" s="15">
        <f ca="1">(1+('Symulacja Pożyczka'!$B$7+'Symulacja Pożyczka'!$B$16)*('Arkusz1 (3)'!B103-'Arkusz1 (3)'!B102)/366)</f>
        <v>1.0060655737704918</v>
      </c>
      <c r="E103" s="15">
        <f t="shared" ca="1" si="9"/>
        <v>0</v>
      </c>
      <c r="F103" s="15">
        <f t="shared" ca="1" si="10"/>
        <v>0</v>
      </c>
      <c r="G103">
        <f ca="1">IF(E103=1,(1+('Symulacja Pożyczka'!$B$7+'Symulacja Pożyczka'!$B$16)*((('Arkusz1 (3)'!B103-DATE(YEAR(B103),1,1)+1)/365)+((DATE(YEAR(B102),12,31)-'Arkusz1 (3)'!B102)/366))),IF(F103=1,(1+('Symulacja Pożyczka'!$B$7+'Symulacja Pożyczka'!$B$16)*((('Arkusz1 (3)'!B103-DATE(YEAR(B103),1,1)+1)/366)+((DATE(YEAR(B102),12,31)-'Arkusz1 (3)'!B102)/365))),0))</f>
        <v>0</v>
      </c>
      <c r="H103">
        <f t="shared" ca="1" si="11"/>
        <v>0</v>
      </c>
      <c r="I103">
        <f t="shared" ca="1" si="12"/>
        <v>1.0060821917808218</v>
      </c>
      <c r="J103">
        <f t="shared" ca="1" si="13"/>
        <v>1.0060821917808218</v>
      </c>
      <c r="K103">
        <f ca="1">PRODUCT($J$3:J103)</f>
        <v>1.8549827494519266</v>
      </c>
      <c r="L103">
        <f t="shared" ca="1" si="14"/>
        <v>0.53908857119855158</v>
      </c>
      <c r="M103">
        <f ca="1">SUM($L$3:L103)</f>
        <v>75.225595158504163</v>
      </c>
      <c r="O103">
        <f ca="1">(Q102*'Arkusz1 (3)'!J103)-Q102</f>
        <v>1653.8198631213745</v>
      </c>
      <c r="P103" s="16">
        <f t="shared" ca="1" si="15"/>
        <v>12840.416608777388</v>
      </c>
      <c r="Q103" s="17">
        <f t="shared" ca="1" si="16"/>
        <v>259071.40773325486</v>
      </c>
    </row>
    <row r="104" spans="1:17" x14ac:dyDescent="0.35">
      <c r="A104">
        <v>102</v>
      </c>
      <c r="B104" s="14">
        <f t="shared" ca="1" si="17"/>
        <v>49173</v>
      </c>
      <c r="C104" s="15">
        <f ca="1">(1+('Symulacja Pożyczka'!$B$7+'Symulacja Pożyczka'!$B$16)*('Arkusz1 (3)'!B104-'Arkusz1 (3)'!B103)/365)</f>
        <v>1.0062849315068494</v>
      </c>
      <c r="D104" s="15">
        <f ca="1">(1+('Symulacja Pożyczka'!$B$7+'Symulacja Pożyczka'!$B$16)*('Arkusz1 (3)'!B104-'Arkusz1 (3)'!B103)/366)</f>
        <v>1.0062677595628415</v>
      </c>
      <c r="E104" s="15">
        <f t="shared" ca="1" si="9"/>
        <v>0</v>
      </c>
      <c r="F104" s="15">
        <f t="shared" ca="1" si="10"/>
        <v>0</v>
      </c>
      <c r="G104">
        <f ca="1">IF(E104=1,(1+('Symulacja Pożyczka'!$B$7+'Symulacja Pożyczka'!$B$16)*((('Arkusz1 (3)'!B104-DATE(YEAR(B104),1,1)+1)/365)+((DATE(YEAR(B103),12,31)-'Arkusz1 (3)'!B103)/366))),IF(F104=1,(1+('Symulacja Pożyczka'!$B$7+'Symulacja Pożyczka'!$B$16)*((('Arkusz1 (3)'!B104-DATE(YEAR(B104),1,1)+1)/366)+((DATE(YEAR(B103),12,31)-'Arkusz1 (3)'!B103)/365))),0))</f>
        <v>0</v>
      </c>
      <c r="H104">
        <f t="shared" ca="1" si="11"/>
        <v>0</v>
      </c>
      <c r="I104">
        <f t="shared" ca="1" si="12"/>
        <v>1.0062849315068494</v>
      </c>
      <c r="J104">
        <f t="shared" ca="1" si="13"/>
        <v>1.0062849315068494</v>
      </c>
      <c r="K104">
        <f ca="1">PRODUCT($J$3:J104)</f>
        <v>1.8666411889786192</v>
      </c>
      <c r="L104">
        <f t="shared" ca="1" si="14"/>
        <v>0.53572159765057781</v>
      </c>
      <c r="M104">
        <f ca="1">SUM($L$3:L104)</f>
        <v>75.761316756154741</v>
      </c>
      <c r="O104">
        <f ca="1">(Q103*'Arkusz1 (3)'!J104)-Q103</f>
        <v>1628.2460529865639</v>
      </c>
      <c r="P104" s="16">
        <f t="shared" ca="1" si="15"/>
        <v>12865.990418912199</v>
      </c>
      <c r="Q104" s="17">
        <f t="shared" ca="1" si="16"/>
        <v>246205.41731434266</v>
      </c>
    </row>
    <row r="105" spans="1:17" x14ac:dyDescent="0.35">
      <c r="A105">
        <v>103</v>
      </c>
      <c r="B105" s="14">
        <f t="shared" ca="1" si="17"/>
        <v>49204</v>
      </c>
      <c r="C105" s="15">
        <f ca="1">(1+('Symulacja Pożyczka'!$B$7+'Symulacja Pożyczka'!$B$16)*('Arkusz1 (3)'!B105-'Arkusz1 (3)'!B104)/365)</f>
        <v>1.0062849315068494</v>
      </c>
      <c r="D105" s="15">
        <f ca="1">(1+('Symulacja Pożyczka'!$B$7+'Symulacja Pożyczka'!$B$16)*('Arkusz1 (3)'!B105-'Arkusz1 (3)'!B104)/366)</f>
        <v>1.0062677595628415</v>
      </c>
      <c r="E105" s="15">
        <f t="shared" ca="1" si="9"/>
        <v>0</v>
      </c>
      <c r="F105" s="15">
        <f t="shared" ca="1" si="10"/>
        <v>0</v>
      </c>
      <c r="G105">
        <f ca="1">IF(E105=1,(1+('Symulacja Pożyczka'!$B$7+'Symulacja Pożyczka'!$B$16)*((('Arkusz1 (3)'!B105-DATE(YEAR(B105),1,1)+1)/365)+((DATE(YEAR(B104),12,31)-'Arkusz1 (3)'!B104)/366))),IF(F105=1,(1+('Symulacja Pożyczka'!$B$7+'Symulacja Pożyczka'!$B$16)*((('Arkusz1 (3)'!B105-DATE(YEAR(B105),1,1)+1)/366)+((DATE(YEAR(B104),12,31)-'Arkusz1 (3)'!B104)/365))),0))</f>
        <v>0</v>
      </c>
      <c r="H105">
        <f t="shared" ca="1" si="11"/>
        <v>0</v>
      </c>
      <c r="I105">
        <f t="shared" ca="1" si="12"/>
        <v>1.0062849315068494</v>
      </c>
      <c r="J105">
        <f t="shared" ca="1" si="13"/>
        <v>1.0062849315068494</v>
      </c>
      <c r="K105">
        <f ca="1">PRODUCT($J$3:J105)</f>
        <v>1.8783729009992136</v>
      </c>
      <c r="L105">
        <f t="shared" ca="1" si="14"/>
        <v>0.53237565313471191</v>
      </c>
      <c r="M105">
        <f ca="1">SUM($L$3:L105)</f>
        <v>76.293692409289449</v>
      </c>
      <c r="O105">
        <f ca="1">(Q104*'Arkusz1 (3)'!J105)-Q104</f>
        <v>1547.3841844359122</v>
      </c>
      <c r="P105" s="16">
        <f t="shared" ca="1" si="15"/>
        <v>12946.852287462851</v>
      </c>
      <c r="Q105" s="17">
        <f t="shared" ca="1" si="16"/>
        <v>233258.56502687981</v>
      </c>
    </row>
    <row r="106" spans="1:17" x14ac:dyDescent="0.35">
      <c r="A106">
        <v>104</v>
      </c>
      <c r="B106" s="14">
        <f t="shared" ca="1" si="17"/>
        <v>49234</v>
      </c>
      <c r="C106" s="15">
        <f ca="1">(1+('Symulacja Pożyczka'!$B$7+'Symulacja Pożyczka'!$B$16)*('Arkusz1 (3)'!B106-'Arkusz1 (3)'!B105)/365)</f>
        <v>1.0060821917808218</v>
      </c>
      <c r="D106" s="15">
        <f ca="1">(1+('Symulacja Pożyczka'!$B$7+'Symulacja Pożyczka'!$B$16)*('Arkusz1 (3)'!B106-'Arkusz1 (3)'!B105)/366)</f>
        <v>1.0060655737704918</v>
      </c>
      <c r="E106" s="15">
        <f t="shared" ca="1" si="9"/>
        <v>0</v>
      </c>
      <c r="F106" s="15">
        <f t="shared" ca="1" si="10"/>
        <v>0</v>
      </c>
      <c r="G106">
        <f ca="1">IF(E106=1,(1+('Symulacja Pożyczka'!$B$7+'Symulacja Pożyczka'!$B$16)*((('Arkusz1 (3)'!B106-DATE(YEAR(B106),1,1)+1)/365)+((DATE(YEAR(B105),12,31)-'Arkusz1 (3)'!B105)/366))),IF(F106=1,(1+('Symulacja Pożyczka'!$B$7+'Symulacja Pożyczka'!$B$16)*((('Arkusz1 (3)'!B106-DATE(YEAR(B106),1,1)+1)/366)+((DATE(YEAR(B105),12,31)-'Arkusz1 (3)'!B105)/365))),0))</f>
        <v>0</v>
      </c>
      <c r="H106">
        <f t="shared" ca="1" si="11"/>
        <v>0</v>
      </c>
      <c r="I106">
        <f t="shared" ca="1" si="12"/>
        <v>1.0060821917808218</v>
      </c>
      <c r="J106">
        <f t="shared" ca="1" si="13"/>
        <v>1.0060821917808218</v>
      </c>
      <c r="K106">
        <f ca="1">PRODUCT($J$3:J106)</f>
        <v>1.8897975252189894</v>
      </c>
      <c r="L106">
        <f t="shared" ca="1" si="14"/>
        <v>0.52915721745593891</v>
      </c>
      <c r="M106">
        <f ca="1">SUM($L$3:L106)</f>
        <v>76.822849626745381</v>
      </c>
      <c r="O106">
        <f ca="1">(Q105*'Arkusz1 (3)'!J106)-Q105</f>
        <v>1418.7233270127908</v>
      </c>
      <c r="P106" s="16">
        <f t="shared" ca="1" si="15"/>
        <v>13075.513144885972</v>
      </c>
      <c r="Q106" s="17">
        <f t="shared" ca="1" si="16"/>
        <v>220183.05188199383</v>
      </c>
    </row>
    <row r="107" spans="1:17" x14ac:dyDescent="0.35">
      <c r="A107">
        <v>105</v>
      </c>
      <c r="B107" s="14">
        <f t="shared" ca="1" si="17"/>
        <v>49265</v>
      </c>
      <c r="C107" s="15">
        <f ca="1">(1+('Symulacja Pożyczka'!$B$7+'Symulacja Pożyczka'!$B$16)*('Arkusz1 (3)'!B107-'Arkusz1 (3)'!B106)/365)</f>
        <v>1.0062849315068494</v>
      </c>
      <c r="D107" s="15">
        <f ca="1">(1+('Symulacja Pożyczka'!$B$7+'Symulacja Pożyczka'!$B$16)*('Arkusz1 (3)'!B107-'Arkusz1 (3)'!B106)/366)</f>
        <v>1.0062677595628415</v>
      </c>
      <c r="E107" s="15">
        <f t="shared" ca="1" si="9"/>
        <v>0</v>
      </c>
      <c r="F107" s="15">
        <f t="shared" ca="1" si="10"/>
        <v>0</v>
      </c>
      <c r="G107">
        <f ca="1">IF(E107=1,(1+('Symulacja Pożyczka'!$B$7+'Symulacja Pożyczka'!$B$16)*((('Arkusz1 (3)'!B107-DATE(YEAR(B107),1,1)+1)/365)+((DATE(YEAR(B106),12,31)-'Arkusz1 (3)'!B106)/366))),IF(F107=1,(1+('Symulacja Pożyczka'!$B$7+'Symulacja Pożyczka'!$B$16)*((('Arkusz1 (3)'!B107-DATE(YEAR(B107),1,1)+1)/366)+((DATE(YEAR(B106),12,31)-'Arkusz1 (3)'!B106)/365))),0))</f>
        <v>0</v>
      </c>
      <c r="H107">
        <f t="shared" ca="1" si="11"/>
        <v>0</v>
      </c>
      <c r="I107">
        <f t="shared" ca="1" si="12"/>
        <v>1.0062849315068494</v>
      </c>
      <c r="J107">
        <f t="shared" ca="1" si="13"/>
        <v>1.0062849315068494</v>
      </c>
      <c r="K107">
        <f ca="1">PRODUCT($J$3:J107)</f>
        <v>1.9016747732268042</v>
      </c>
      <c r="L107">
        <f t="shared" ca="1" si="14"/>
        <v>0.52585227194404949</v>
      </c>
      <c r="M107">
        <f ca="1">SUM($L$3:L107)</f>
        <v>77.348701898689427</v>
      </c>
      <c r="O107">
        <f ca="1">(Q106*'Arkusz1 (3)'!J107)-Q106</f>
        <v>1383.8354000473919</v>
      </c>
      <c r="P107" s="16">
        <f t="shared" ca="1" si="15"/>
        <v>13110.401071851371</v>
      </c>
      <c r="Q107" s="17">
        <f t="shared" ca="1" si="16"/>
        <v>207072.65081014246</v>
      </c>
    </row>
    <row r="108" spans="1:17" x14ac:dyDescent="0.35">
      <c r="A108">
        <v>106</v>
      </c>
      <c r="B108" s="14">
        <f t="shared" ca="1" si="17"/>
        <v>49295</v>
      </c>
      <c r="C108" s="15">
        <f ca="1">(1+('Symulacja Pożyczka'!$B$7+'Symulacja Pożyczka'!$B$16)*('Arkusz1 (3)'!B108-'Arkusz1 (3)'!B107)/365)</f>
        <v>1.0060821917808218</v>
      </c>
      <c r="D108" s="15">
        <f ca="1">(1+('Symulacja Pożyczka'!$B$7+'Symulacja Pożyczka'!$B$16)*('Arkusz1 (3)'!B108-'Arkusz1 (3)'!B107)/366)</f>
        <v>1.0060655737704918</v>
      </c>
      <c r="E108" s="15">
        <f t="shared" ca="1" si="9"/>
        <v>0</v>
      </c>
      <c r="F108" s="15">
        <f t="shared" ca="1" si="10"/>
        <v>0</v>
      </c>
      <c r="G108">
        <f ca="1">IF(E108=1,(1+('Symulacja Pożyczka'!$B$7+'Symulacja Pożyczka'!$B$16)*((('Arkusz1 (3)'!B108-DATE(YEAR(B108),1,1)+1)/365)+((DATE(YEAR(B107),12,31)-'Arkusz1 (3)'!B107)/366))),IF(F108=1,(1+('Symulacja Pożyczka'!$B$7+'Symulacja Pożyczka'!$B$16)*((('Arkusz1 (3)'!B108-DATE(YEAR(B108),1,1)+1)/366)+((DATE(YEAR(B107),12,31)-'Arkusz1 (3)'!B107)/365))),0))</f>
        <v>0</v>
      </c>
      <c r="H108">
        <f t="shared" ca="1" si="11"/>
        <v>0</v>
      </c>
      <c r="I108">
        <f t="shared" ca="1" si="12"/>
        <v>1.0060821917808218</v>
      </c>
      <c r="J108">
        <f t="shared" ca="1" si="13"/>
        <v>1.0060821917808218</v>
      </c>
      <c r="K108">
        <f ca="1">PRODUCT($J$3:J108)</f>
        <v>1.9132411239023204</v>
      </c>
      <c r="L108">
        <f t="shared" ca="1" si="14"/>
        <v>0.52267327285980636</v>
      </c>
      <c r="M108">
        <f ca="1">SUM($L$3:L108)</f>
        <v>77.871375171549232</v>
      </c>
      <c r="O108">
        <f ca="1">(Q107*'Arkusz1 (3)'!J108)-Q107</f>
        <v>1259.4555747904233</v>
      </c>
      <c r="P108" s="16">
        <f t="shared" ca="1" si="15"/>
        <v>13234.78089710834</v>
      </c>
      <c r="Q108" s="17">
        <f t="shared" ca="1" si="16"/>
        <v>193837.86991303411</v>
      </c>
    </row>
    <row r="109" spans="1:17" x14ac:dyDescent="0.35">
      <c r="A109">
        <v>107</v>
      </c>
      <c r="B109" s="14">
        <f t="shared" ca="1" si="17"/>
        <v>49326</v>
      </c>
      <c r="C109" s="15">
        <f ca="1">(1+('Symulacja Pożyczka'!$B$7+'Symulacja Pożyczka'!$B$16)*('Arkusz1 (3)'!B109-'Arkusz1 (3)'!B108)/365)</f>
        <v>1.0062849315068494</v>
      </c>
      <c r="D109" s="15">
        <f ca="1">(1+('Symulacja Pożyczka'!$B$7+'Symulacja Pożyczka'!$B$16)*('Arkusz1 (3)'!B109-'Arkusz1 (3)'!B108)/366)</f>
        <v>1.0062677595628415</v>
      </c>
      <c r="E109" s="15">
        <f t="shared" ca="1" si="9"/>
        <v>0</v>
      </c>
      <c r="F109" s="15">
        <f t="shared" ca="1" si="10"/>
        <v>0</v>
      </c>
      <c r="G109">
        <f ca="1">IF(E109=1,(1+('Symulacja Pożyczka'!$B$7+'Symulacja Pożyczka'!$B$16)*((('Arkusz1 (3)'!B109-DATE(YEAR(B109),1,1)+1)/365)+((DATE(YEAR(B108),12,31)-'Arkusz1 (3)'!B108)/366))),IF(F109=1,(1+('Symulacja Pożyczka'!$B$7+'Symulacja Pożyczka'!$B$16)*((('Arkusz1 (3)'!B109-DATE(YEAR(B109),1,1)+1)/366)+((DATE(YEAR(B108),12,31)-'Arkusz1 (3)'!B108)/365))),0))</f>
        <v>0</v>
      </c>
      <c r="H109">
        <f t="shared" ca="1" si="11"/>
        <v>0</v>
      </c>
      <c r="I109">
        <f t="shared" ca="1" si="12"/>
        <v>1.0062849315068494</v>
      </c>
      <c r="J109">
        <f t="shared" ca="1" si="13"/>
        <v>1.0062849315068494</v>
      </c>
      <c r="K109">
        <f ca="1">PRODUCT($J$3:J109)</f>
        <v>1.925265713322134</v>
      </c>
      <c r="L109">
        <f t="shared" ca="1" si="14"/>
        <v>0.51940882397705734</v>
      </c>
      <c r="M109">
        <f ca="1">SUM($L$3:L109)</f>
        <v>78.390783995526292</v>
      </c>
      <c r="O109">
        <f ca="1">(Q108*'Arkusz1 (3)'!J109)-Q108</f>
        <v>1218.257735836989</v>
      </c>
      <c r="P109" s="16">
        <f t="shared" ca="1" si="15"/>
        <v>13275.978736061774</v>
      </c>
      <c r="Q109" s="17">
        <f t="shared" ca="1" si="16"/>
        <v>180561.89117697233</v>
      </c>
    </row>
    <row r="110" spans="1:17" x14ac:dyDescent="0.35">
      <c r="A110">
        <v>108</v>
      </c>
      <c r="B110" s="14">
        <f t="shared" ca="1" si="17"/>
        <v>49357</v>
      </c>
      <c r="C110" s="15">
        <f ca="1">(1+('Symulacja Pożyczka'!$B$7+'Symulacja Pożyczka'!$B$16)*('Arkusz1 (3)'!B110-'Arkusz1 (3)'!B109)/365)</f>
        <v>1.0062849315068494</v>
      </c>
      <c r="D110" s="15">
        <f ca="1">(1+('Symulacja Pożyczka'!$B$7+'Symulacja Pożyczka'!$B$16)*('Arkusz1 (3)'!B110-'Arkusz1 (3)'!B109)/366)</f>
        <v>1.0062677595628415</v>
      </c>
      <c r="E110" s="15">
        <f t="shared" ca="1" si="9"/>
        <v>0</v>
      </c>
      <c r="F110" s="15">
        <f t="shared" ca="1" si="10"/>
        <v>0</v>
      </c>
      <c r="G110">
        <f ca="1">IF(E110=1,(1+('Symulacja Pożyczka'!$B$7+'Symulacja Pożyczka'!$B$16)*((('Arkusz1 (3)'!B110-DATE(YEAR(B110),1,1)+1)/365)+((DATE(YEAR(B109),12,31)-'Arkusz1 (3)'!B109)/366))),IF(F110=1,(1+('Symulacja Pożyczka'!$B$7+'Symulacja Pożyczka'!$B$16)*((('Arkusz1 (3)'!B110-DATE(YEAR(B110),1,1)+1)/366)+((DATE(YEAR(B109),12,31)-'Arkusz1 (3)'!B109)/365))),0))</f>
        <v>0</v>
      </c>
      <c r="H110">
        <f t="shared" ca="1" si="11"/>
        <v>0</v>
      </c>
      <c r="I110">
        <f t="shared" ca="1" si="12"/>
        <v>1.0062849315068494</v>
      </c>
      <c r="J110">
        <f t="shared" ca="1" si="13"/>
        <v>1.0062849315068494</v>
      </c>
      <c r="K110">
        <f ca="1">PRODUCT($J$3:J110)</f>
        <v>1.9373658764628492</v>
      </c>
      <c r="L110">
        <f t="shared" ca="1" si="14"/>
        <v>0.51616476379038567</v>
      </c>
      <c r="M110">
        <f ca="1">SUM($L$3:L110)</f>
        <v>78.906948759316677</v>
      </c>
      <c r="O110">
        <f ca="1">(Q109*'Arkusz1 (3)'!J110)-Q109</f>
        <v>1134.8191187944612</v>
      </c>
      <c r="P110" s="16">
        <f t="shared" ca="1" si="15"/>
        <v>13359.417353104302</v>
      </c>
      <c r="Q110" s="17">
        <f t="shared" ca="1" si="16"/>
        <v>167202.47382386803</v>
      </c>
    </row>
    <row r="111" spans="1:17" x14ac:dyDescent="0.35">
      <c r="A111">
        <v>109</v>
      </c>
      <c r="B111" s="14">
        <f t="shared" ca="1" si="17"/>
        <v>49385</v>
      </c>
      <c r="C111" s="15">
        <f ca="1">(1+('Symulacja Pożyczka'!$B$7+'Symulacja Pożyczka'!$B$16)*('Arkusz1 (3)'!B111-'Arkusz1 (3)'!B110)/365)</f>
        <v>1.0056767123287671</v>
      </c>
      <c r="D111" s="15">
        <f ca="1">(1+('Symulacja Pożyczka'!$B$7+'Symulacja Pożyczka'!$B$16)*('Arkusz1 (3)'!B111-'Arkusz1 (3)'!B110)/366)</f>
        <v>1.0056612021857922</v>
      </c>
      <c r="E111" s="15">
        <f t="shared" ca="1" si="9"/>
        <v>0</v>
      </c>
      <c r="F111" s="15">
        <f t="shared" ca="1" si="10"/>
        <v>0</v>
      </c>
      <c r="G111">
        <f ca="1">IF(E111=1,(1+('Symulacja Pożyczka'!$B$7+'Symulacja Pożyczka'!$B$16)*((('Arkusz1 (3)'!B111-DATE(YEAR(B111),1,1)+1)/365)+((DATE(YEAR(B110),12,31)-'Arkusz1 (3)'!B110)/366))),IF(F111=1,(1+('Symulacja Pożyczka'!$B$7+'Symulacja Pożyczka'!$B$16)*((('Arkusz1 (3)'!B111-DATE(YEAR(B111),1,1)+1)/366)+((DATE(YEAR(B110),12,31)-'Arkusz1 (3)'!B110)/365))),0))</f>
        <v>0</v>
      </c>
      <c r="H111">
        <f t="shared" ca="1" si="11"/>
        <v>0</v>
      </c>
      <c r="I111">
        <f t="shared" ca="1" si="12"/>
        <v>1.0056767123287671</v>
      </c>
      <c r="J111">
        <f t="shared" ca="1" si="13"/>
        <v>1.0056767123287671</v>
      </c>
      <c r="K111">
        <f ca="1">PRODUCT($J$3:J111)</f>
        <v>1.9483637452190985</v>
      </c>
      <c r="L111">
        <f t="shared" ca="1" si="14"/>
        <v>0.5132511844637857</v>
      </c>
      <c r="M111">
        <f ca="1">SUM($L$3:L111)</f>
        <v>79.42019994378046</v>
      </c>
      <c r="O111">
        <f ca="1">(Q110*'Arkusz1 (3)'!J111)-Q110</f>
        <v>949.16034455632325</v>
      </c>
      <c r="P111" s="16">
        <f t="shared" ca="1" si="15"/>
        <v>13545.07612734244</v>
      </c>
      <c r="Q111" s="17">
        <f t="shared" ca="1" si="16"/>
        <v>153657.39769652559</v>
      </c>
    </row>
    <row r="112" spans="1:17" x14ac:dyDescent="0.35">
      <c r="A112">
        <v>110</v>
      </c>
      <c r="B112" s="14">
        <f t="shared" ca="1" si="17"/>
        <v>49416</v>
      </c>
      <c r="C112" s="15">
        <f ca="1">(1+('Symulacja Pożyczka'!$B$7+'Symulacja Pożyczka'!$B$16)*('Arkusz1 (3)'!B112-'Arkusz1 (3)'!B111)/365)</f>
        <v>1.0062849315068494</v>
      </c>
      <c r="D112" s="15">
        <f ca="1">(1+('Symulacja Pożyczka'!$B$7+'Symulacja Pożyczka'!$B$16)*('Arkusz1 (3)'!B112-'Arkusz1 (3)'!B111)/366)</f>
        <v>1.0062677595628415</v>
      </c>
      <c r="E112" s="15">
        <f t="shared" ca="1" si="9"/>
        <v>0</v>
      </c>
      <c r="F112" s="15">
        <f t="shared" ca="1" si="10"/>
        <v>0</v>
      </c>
      <c r="G112">
        <f ca="1">IF(E112=1,(1+('Symulacja Pożyczka'!$B$7+'Symulacja Pożyczka'!$B$16)*((('Arkusz1 (3)'!B112-DATE(YEAR(B112),1,1)+1)/365)+((DATE(YEAR(B111),12,31)-'Arkusz1 (3)'!B111)/366))),IF(F112=1,(1+('Symulacja Pożyczka'!$B$7+'Symulacja Pożyczka'!$B$16)*((('Arkusz1 (3)'!B112-DATE(YEAR(B112),1,1)+1)/366)+((DATE(YEAR(B111),12,31)-'Arkusz1 (3)'!B111)/365))),0))</f>
        <v>0</v>
      </c>
      <c r="H112">
        <f t="shared" ca="1" si="11"/>
        <v>0</v>
      </c>
      <c r="I112">
        <f t="shared" ca="1" si="12"/>
        <v>1.0062849315068494</v>
      </c>
      <c r="J112">
        <f t="shared" ca="1" si="13"/>
        <v>1.0062849315068494</v>
      </c>
      <c r="K112">
        <f ca="1">PRODUCT($J$3:J112)</f>
        <v>1.960609077908229</v>
      </c>
      <c r="L112">
        <f t="shared" ca="1" si="14"/>
        <v>0.51004558290982649</v>
      </c>
      <c r="M112">
        <f ca="1">SUM($L$3:L112)</f>
        <v>79.930245526690285</v>
      </c>
      <c r="O112">
        <f ca="1">(Q111*'Arkusz1 (3)'!J112)-Q111</f>
        <v>965.72622004337609</v>
      </c>
      <c r="P112" s="16">
        <f t="shared" ca="1" si="15"/>
        <v>13528.510251855387</v>
      </c>
      <c r="Q112" s="17">
        <f t="shared" ca="1" si="16"/>
        <v>140128.8874446702</v>
      </c>
    </row>
    <row r="113" spans="1:17" x14ac:dyDescent="0.35">
      <c r="A113">
        <v>111</v>
      </c>
      <c r="B113" s="14">
        <f t="shared" ca="1" si="17"/>
        <v>49446</v>
      </c>
      <c r="C113" s="15">
        <f ca="1">(1+('Symulacja Pożyczka'!$B$7+'Symulacja Pożyczka'!$B$16)*('Arkusz1 (3)'!B113-'Arkusz1 (3)'!B112)/365)</f>
        <v>1.0060821917808218</v>
      </c>
      <c r="D113" s="15">
        <f ca="1">(1+('Symulacja Pożyczka'!$B$7+'Symulacja Pożyczka'!$B$16)*('Arkusz1 (3)'!B113-'Arkusz1 (3)'!B112)/366)</f>
        <v>1.0060655737704918</v>
      </c>
      <c r="E113" s="15">
        <f t="shared" ca="1" si="9"/>
        <v>0</v>
      </c>
      <c r="F113" s="15">
        <f t="shared" ca="1" si="10"/>
        <v>0</v>
      </c>
      <c r="G113">
        <f ca="1">IF(E113=1,(1+('Symulacja Pożyczka'!$B$7+'Symulacja Pożyczka'!$B$16)*((('Arkusz1 (3)'!B113-DATE(YEAR(B113),1,1)+1)/365)+((DATE(YEAR(B112),12,31)-'Arkusz1 (3)'!B112)/366))),IF(F113=1,(1+('Symulacja Pożyczka'!$B$7+'Symulacja Pożyczka'!$B$16)*((('Arkusz1 (3)'!B113-DATE(YEAR(B113),1,1)+1)/366)+((DATE(YEAR(B112),12,31)-'Arkusz1 (3)'!B112)/365))),0))</f>
        <v>0</v>
      </c>
      <c r="H113">
        <f t="shared" ca="1" si="11"/>
        <v>0</v>
      </c>
      <c r="I113">
        <f t="shared" ca="1" si="12"/>
        <v>1.0060821917808218</v>
      </c>
      <c r="J113">
        <f t="shared" ca="1" si="13"/>
        <v>1.0060821917808218</v>
      </c>
      <c r="K113">
        <f ca="1">PRODUCT($J$3:J113)</f>
        <v>1.972533878327287</v>
      </c>
      <c r="L113">
        <f t="shared" ca="1" si="14"/>
        <v>0.50696214193694977</v>
      </c>
      <c r="M113">
        <f ca="1">SUM($L$3:L113)</f>
        <v>80.437207668627238</v>
      </c>
      <c r="O113">
        <f ca="1">(Q112*'Arkusz1 (3)'!J113)-Q112</f>
        <v>852.29076747168438</v>
      </c>
      <c r="P113" s="16">
        <f t="shared" ca="1" si="15"/>
        <v>13641.945704427078</v>
      </c>
      <c r="Q113" s="17">
        <f t="shared" ca="1" si="16"/>
        <v>126486.94174024311</v>
      </c>
    </row>
    <row r="114" spans="1:17" x14ac:dyDescent="0.35">
      <c r="A114">
        <v>112</v>
      </c>
      <c r="B114" s="14">
        <f t="shared" ca="1" si="17"/>
        <v>49477</v>
      </c>
      <c r="C114" s="15">
        <f ca="1">(1+('Symulacja Pożyczka'!$B$7+'Symulacja Pożyczka'!$B$16)*('Arkusz1 (3)'!B114-'Arkusz1 (3)'!B113)/365)</f>
        <v>1.0062849315068494</v>
      </c>
      <c r="D114" s="15">
        <f ca="1">(1+('Symulacja Pożyczka'!$B$7+'Symulacja Pożyczka'!$B$16)*('Arkusz1 (3)'!B114-'Arkusz1 (3)'!B113)/366)</f>
        <v>1.0062677595628415</v>
      </c>
      <c r="E114" s="15">
        <f t="shared" ca="1" si="9"/>
        <v>0</v>
      </c>
      <c r="F114" s="15">
        <f t="shared" ca="1" si="10"/>
        <v>0</v>
      </c>
      <c r="G114">
        <f ca="1">IF(E114=1,(1+('Symulacja Pożyczka'!$B$7+'Symulacja Pożyczka'!$B$16)*((('Arkusz1 (3)'!B114-DATE(YEAR(B114),1,1)+1)/365)+((DATE(YEAR(B113),12,31)-'Arkusz1 (3)'!B113)/366))),IF(F114=1,(1+('Symulacja Pożyczka'!$B$7+'Symulacja Pożyczka'!$B$16)*((('Arkusz1 (3)'!B114-DATE(YEAR(B114),1,1)+1)/366)+((DATE(YEAR(B113),12,31)-'Arkusz1 (3)'!B113)/365))),0))</f>
        <v>0</v>
      </c>
      <c r="H114">
        <f t="shared" ca="1" si="11"/>
        <v>0</v>
      </c>
      <c r="I114">
        <f t="shared" ca="1" si="12"/>
        <v>1.0062849315068494</v>
      </c>
      <c r="J114">
        <f t="shared" ca="1" si="13"/>
        <v>1.0062849315068494</v>
      </c>
      <c r="K114">
        <f ca="1">PRODUCT($J$3:J114)</f>
        <v>1.984931118647514</v>
      </c>
      <c r="L114">
        <f t="shared" ca="1" si="14"/>
        <v>0.50379581971659393</v>
      </c>
      <c r="M114">
        <f ca="1">SUM($L$3:L114)</f>
        <v>80.941003488343839</v>
      </c>
      <c r="O114">
        <f ca="1">(Q113*'Arkusz1 (3)'!J114)-Q113</f>
        <v>794.961765348271</v>
      </c>
      <c r="P114" s="16">
        <f t="shared" ca="1" si="15"/>
        <v>13699.274706550492</v>
      </c>
      <c r="Q114" s="17">
        <f t="shared" ca="1" si="16"/>
        <v>112787.66703369262</v>
      </c>
    </row>
    <row r="115" spans="1:17" x14ac:dyDescent="0.35">
      <c r="A115">
        <v>113</v>
      </c>
      <c r="B115" s="14">
        <f t="shared" ca="1" si="17"/>
        <v>49507</v>
      </c>
      <c r="C115" s="15">
        <f ca="1">(1+('Symulacja Pożyczka'!$B$7+'Symulacja Pożyczka'!$B$16)*('Arkusz1 (3)'!B115-'Arkusz1 (3)'!B114)/365)</f>
        <v>1.0060821917808218</v>
      </c>
      <c r="D115" s="15">
        <f ca="1">(1+('Symulacja Pożyczka'!$B$7+'Symulacja Pożyczka'!$B$16)*('Arkusz1 (3)'!B115-'Arkusz1 (3)'!B114)/366)</f>
        <v>1.0060655737704918</v>
      </c>
      <c r="E115" s="15">
        <f t="shared" ca="1" si="9"/>
        <v>0</v>
      </c>
      <c r="F115" s="15">
        <f t="shared" ca="1" si="10"/>
        <v>0</v>
      </c>
      <c r="G115">
        <f ca="1">IF(E115=1,(1+('Symulacja Pożyczka'!$B$7+'Symulacja Pożyczka'!$B$16)*((('Arkusz1 (3)'!B115-DATE(YEAR(B115),1,1)+1)/365)+((DATE(YEAR(B114),12,31)-'Arkusz1 (3)'!B114)/366))),IF(F115=1,(1+('Symulacja Pożyczka'!$B$7+'Symulacja Pożyczka'!$B$16)*((('Arkusz1 (3)'!B115-DATE(YEAR(B115),1,1)+1)/366)+((DATE(YEAR(B114),12,31)-'Arkusz1 (3)'!B114)/365))),0))</f>
        <v>0</v>
      </c>
      <c r="H115">
        <f t="shared" ca="1" si="11"/>
        <v>0</v>
      </c>
      <c r="I115">
        <f t="shared" ca="1" si="12"/>
        <v>1.0060821917808218</v>
      </c>
      <c r="J115">
        <f t="shared" ca="1" si="13"/>
        <v>1.0060821917808218</v>
      </c>
      <c r="K115">
        <f ca="1">PRODUCT($J$3:J115)</f>
        <v>1.9970038503828493</v>
      </c>
      <c r="L115">
        <f t="shared" ca="1" si="14"/>
        <v>0.50075016120188653</v>
      </c>
      <c r="M115">
        <f ca="1">SUM($L$3:L115)</f>
        <v>81.441753649545731</v>
      </c>
      <c r="O115">
        <f ca="1">(Q114*'Arkusz1 (3)'!J115)-Q114</f>
        <v>685.99622141038708</v>
      </c>
      <c r="P115" s="16">
        <f t="shared" ca="1" si="15"/>
        <v>13808.240250488376</v>
      </c>
      <c r="Q115" s="17">
        <f t="shared" ca="1" si="16"/>
        <v>98979.426783204239</v>
      </c>
    </row>
    <row r="116" spans="1:17" x14ac:dyDescent="0.35">
      <c r="A116">
        <v>114</v>
      </c>
      <c r="B116" s="14">
        <f t="shared" ca="1" si="17"/>
        <v>49538</v>
      </c>
      <c r="C116" s="15">
        <f ca="1">(1+('Symulacja Pożyczka'!$B$7+'Symulacja Pożyczka'!$B$16)*('Arkusz1 (3)'!B116-'Arkusz1 (3)'!B115)/365)</f>
        <v>1.0062849315068494</v>
      </c>
      <c r="D116" s="15">
        <f ca="1">(1+('Symulacja Pożyczka'!$B$7+'Symulacja Pożyczka'!$B$16)*('Arkusz1 (3)'!B116-'Arkusz1 (3)'!B115)/366)</f>
        <v>1.0062677595628415</v>
      </c>
      <c r="E116" s="15">
        <f t="shared" ca="1" si="9"/>
        <v>0</v>
      </c>
      <c r="F116" s="15">
        <f t="shared" ca="1" si="10"/>
        <v>0</v>
      </c>
      <c r="G116">
        <f ca="1">IF(E116=1,(1+('Symulacja Pożyczka'!$B$7+'Symulacja Pożyczka'!$B$16)*((('Arkusz1 (3)'!B116-DATE(YEAR(B116),1,1)+1)/365)+((DATE(YEAR(B115),12,31)-'Arkusz1 (3)'!B115)/366))),IF(F116=1,(1+('Symulacja Pożyczka'!$B$7+'Symulacja Pożyczka'!$B$16)*((('Arkusz1 (3)'!B116-DATE(YEAR(B116),1,1)+1)/366)+((DATE(YEAR(B115),12,31)-'Arkusz1 (3)'!B115)/365))),0))</f>
        <v>0</v>
      </c>
      <c r="H116">
        <f t="shared" ca="1" si="11"/>
        <v>0</v>
      </c>
      <c r="I116">
        <f t="shared" ca="1" si="12"/>
        <v>1.0062849315068494</v>
      </c>
      <c r="J116">
        <f t="shared" ca="1" si="13"/>
        <v>1.0062849315068494</v>
      </c>
      <c r="K116">
        <f ca="1">PRODUCT($J$3:J116)</f>
        <v>2.00955488280142</v>
      </c>
      <c r="L116">
        <f t="shared" ca="1" si="14"/>
        <v>0.49762263701200832</v>
      </c>
      <c r="M116">
        <f ca="1">SUM($L$3:L116)</f>
        <v>81.939376286557746</v>
      </c>
      <c r="O116">
        <f ca="1">(Q115*'Arkusz1 (3)'!J116)-Q115</f>
        <v>622.07891791965812</v>
      </c>
      <c r="P116" s="16">
        <f t="shared" ca="1" si="15"/>
        <v>13872.157553979105</v>
      </c>
      <c r="Q116" s="17">
        <f t="shared" ca="1" si="16"/>
        <v>85107.26922922513</v>
      </c>
    </row>
    <row r="117" spans="1:17" x14ac:dyDescent="0.35">
      <c r="A117">
        <v>115</v>
      </c>
      <c r="B117" s="14">
        <f t="shared" ca="1" si="17"/>
        <v>49569</v>
      </c>
      <c r="C117" s="15">
        <f ca="1">(1+('Symulacja Pożyczka'!$B$7+'Symulacja Pożyczka'!$B$16)*('Arkusz1 (3)'!B117-'Arkusz1 (3)'!B116)/365)</f>
        <v>1.0062849315068494</v>
      </c>
      <c r="D117" s="15">
        <f ca="1">(1+('Symulacja Pożyczka'!$B$7+'Symulacja Pożyczka'!$B$16)*('Arkusz1 (3)'!B117-'Arkusz1 (3)'!B116)/366)</f>
        <v>1.0062677595628415</v>
      </c>
      <c r="E117" s="15">
        <f t="shared" ca="1" si="9"/>
        <v>0</v>
      </c>
      <c r="F117" s="15">
        <f t="shared" ca="1" si="10"/>
        <v>0</v>
      </c>
      <c r="G117">
        <f ca="1">IF(E117=1,(1+('Symulacja Pożyczka'!$B$7+'Symulacja Pożyczka'!$B$16)*((('Arkusz1 (3)'!B117-DATE(YEAR(B117),1,1)+1)/365)+((DATE(YEAR(B116),12,31)-'Arkusz1 (3)'!B116)/366))),IF(F117=1,(1+('Symulacja Pożyczka'!$B$7+'Symulacja Pożyczka'!$B$16)*((('Arkusz1 (3)'!B117-DATE(YEAR(B117),1,1)+1)/366)+((DATE(YEAR(B116),12,31)-'Arkusz1 (3)'!B116)/365))),0))</f>
        <v>0</v>
      </c>
      <c r="H117">
        <f t="shared" ca="1" si="11"/>
        <v>0</v>
      </c>
      <c r="I117">
        <f t="shared" ca="1" si="12"/>
        <v>1.0062849315068494</v>
      </c>
      <c r="J117">
        <f t="shared" ca="1" si="13"/>
        <v>1.0062849315068494</v>
      </c>
      <c r="K117">
        <f ca="1">PRODUCT($J$3:J117)</f>
        <v>2.0221847975990817</v>
      </c>
      <c r="L117">
        <f t="shared" ca="1" si="14"/>
        <v>0.49451464633068615</v>
      </c>
      <c r="M117">
        <f ca="1">SUM($L$3:L117)</f>
        <v>82.433890932888431</v>
      </c>
      <c r="O117">
        <f ca="1">(Q116*'Arkusz1 (3)'!J117)-Q116</f>
        <v>534.89335784067225</v>
      </c>
      <c r="P117" s="16">
        <f t="shared" ca="1" si="15"/>
        <v>13959.343114058091</v>
      </c>
      <c r="Q117" s="17">
        <f t="shared" ca="1" si="16"/>
        <v>71147.926115167036</v>
      </c>
    </row>
    <row r="118" spans="1:17" x14ac:dyDescent="0.35">
      <c r="A118">
        <v>116</v>
      </c>
      <c r="B118" s="14">
        <f t="shared" ca="1" si="17"/>
        <v>49599</v>
      </c>
      <c r="C118" s="15">
        <f ca="1">(1+('Symulacja Pożyczka'!$B$7+'Symulacja Pożyczka'!$B$16)*('Arkusz1 (3)'!B118-'Arkusz1 (3)'!B117)/365)</f>
        <v>1.0060821917808218</v>
      </c>
      <c r="D118" s="15">
        <f ca="1">(1+('Symulacja Pożyczka'!$B$7+'Symulacja Pożyczka'!$B$16)*('Arkusz1 (3)'!B118-'Arkusz1 (3)'!B117)/366)</f>
        <v>1.0060655737704918</v>
      </c>
      <c r="E118" s="15">
        <f t="shared" ca="1" si="9"/>
        <v>0</v>
      </c>
      <c r="F118" s="15">
        <f t="shared" ca="1" si="10"/>
        <v>0</v>
      </c>
      <c r="G118">
        <f ca="1">IF(E118=1,(1+('Symulacja Pożyczka'!$B$7+'Symulacja Pożyczka'!$B$16)*((('Arkusz1 (3)'!B118-DATE(YEAR(B118),1,1)+1)/365)+((DATE(YEAR(B117),12,31)-'Arkusz1 (3)'!B117)/366))),IF(F118=1,(1+('Symulacja Pożyczka'!$B$7+'Symulacja Pożyczka'!$B$16)*((('Arkusz1 (3)'!B118-DATE(YEAR(B118),1,1)+1)/366)+((DATE(YEAR(B117),12,31)-'Arkusz1 (3)'!B117)/365))),0))</f>
        <v>0</v>
      </c>
      <c r="H118">
        <f t="shared" ca="1" si="11"/>
        <v>0</v>
      </c>
      <c r="I118">
        <f t="shared" ca="1" si="12"/>
        <v>1.0060821917808218</v>
      </c>
      <c r="J118">
        <f t="shared" ca="1" si="13"/>
        <v>1.0060821917808218</v>
      </c>
      <c r="K118">
        <f ca="1">PRODUCT($J$3:J118)</f>
        <v>2.0344841133543414</v>
      </c>
      <c r="L118">
        <f t="shared" ca="1" si="14"/>
        <v>0.49152509642911735</v>
      </c>
      <c r="M118">
        <f ca="1">SUM($L$3:L118)</f>
        <v>82.925416029317546</v>
      </c>
      <c r="O118">
        <f ca="1">(Q117*'Arkusz1 (3)'!J118)-Q117</f>
        <v>432.73533144018438</v>
      </c>
      <c r="P118" s="16">
        <f t="shared" ca="1" si="15"/>
        <v>14061.501140458578</v>
      </c>
      <c r="Q118" s="17">
        <f t="shared" ca="1" si="16"/>
        <v>57086.424974708454</v>
      </c>
    </row>
    <row r="119" spans="1:17" x14ac:dyDescent="0.35">
      <c r="A119">
        <v>117</v>
      </c>
      <c r="B119" s="14">
        <f t="shared" ca="1" si="17"/>
        <v>49630</v>
      </c>
      <c r="C119" s="15">
        <f ca="1">(1+('Symulacja Pożyczka'!$B$7+'Symulacja Pożyczka'!$B$16)*('Arkusz1 (3)'!B119-'Arkusz1 (3)'!B118)/365)</f>
        <v>1.0062849315068494</v>
      </c>
      <c r="D119" s="15">
        <f ca="1">(1+('Symulacja Pożyczka'!$B$7+'Symulacja Pożyczka'!$B$16)*('Arkusz1 (3)'!B119-'Arkusz1 (3)'!B118)/366)</f>
        <v>1.0062677595628415</v>
      </c>
      <c r="E119" s="15">
        <f t="shared" ca="1" si="9"/>
        <v>0</v>
      </c>
      <c r="F119" s="15">
        <f t="shared" ca="1" si="10"/>
        <v>0</v>
      </c>
      <c r="G119">
        <f ca="1">IF(E119=1,(1+('Symulacja Pożyczka'!$B$7+'Symulacja Pożyczka'!$B$16)*((('Arkusz1 (3)'!B119-DATE(YEAR(B119),1,1)+1)/365)+((DATE(YEAR(B118),12,31)-'Arkusz1 (3)'!B118)/366))),IF(F119=1,(1+('Symulacja Pożyczka'!$B$7+'Symulacja Pożyczka'!$B$16)*((('Arkusz1 (3)'!B119-DATE(YEAR(B119),1,1)+1)/366)+((DATE(YEAR(B118),12,31)-'Arkusz1 (3)'!B118)/365))),0))</f>
        <v>0</v>
      </c>
      <c r="H119">
        <f t="shared" ca="1" si="11"/>
        <v>0</v>
      </c>
      <c r="I119">
        <f t="shared" ca="1" si="12"/>
        <v>1.0062849315068494</v>
      </c>
      <c r="J119">
        <f t="shared" ca="1" si="13"/>
        <v>1.0062849315068494</v>
      </c>
      <c r="K119">
        <f ca="1">PRODUCT($J$3:J119)</f>
        <v>2.0472707066585465</v>
      </c>
      <c r="L119">
        <f t="shared" ca="1" si="14"/>
        <v>0.48845518902194929</v>
      </c>
      <c r="M119">
        <f ca="1">SUM($L$3:L119)</f>
        <v>83.413871218339494</v>
      </c>
      <c r="O119">
        <f ca="1">(Q118*'Arkusz1 (3)'!J119)-Q118</f>
        <v>358.78427093693608</v>
      </c>
      <c r="P119" s="16">
        <f t="shared" ca="1" si="15"/>
        <v>14135.452200961827</v>
      </c>
      <c r="Q119" s="17">
        <f t="shared" ca="1" si="16"/>
        <v>42950.972773746631</v>
      </c>
    </row>
    <row r="120" spans="1:17" x14ac:dyDescent="0.35">
      <c r="A120">
        <v>118</v>
      </c>
      <c r="B120" s="14">
        <f t="shared" ca="1" si="17"/>
        <v>49660</v>
      </c>
      <c r="C120" s="15">
        <f ca="1">(1+('Symulacja Pożyczka'!$B$7+'Symulacja Pożyczka'!$B$16)*('Arkusz1 (3)'!B120-'Arkusz1 (3)'!B119)/365)</f>
        <v>1.0060821917808218</v>
      </c>
      <c r="D120" s="15">
        <f ca="1">(1+('Symulacja Pożyczka'!$B$7+'Symulacja Pożyczka'!$B$16)*('Arkusz1 (3)'!B120-'Arkusz1 (3)'!B119)/366)</f>
        <v>1.0060655737704918</v>
      </c>
      <c r="E120" s="15">
        <f t="shared" ca="1" si="9"/>
        <v>0</v>
      </c>
      <c r="F120" s="15">
        <f t="shared" ca="1" si="10"/>
        <v>0</v>
      </c>
      <c r="G120">
        <f ca="1">IF(E120=1,(1+('Symulacja Pożyczka'!$B$7+'Symulacja Pożyczka'!$B$16)*((('Arkusz1 (3)'!B120-DATE(YEAR(B120),1,1)+1)/365)+((DATE(YEAR(B119),12,31)-'Arkusz1 (3)'!B119)/366))),IF(F120=1,(1+('Symulacja Pożyczka'!$B$7+'Symulacja Pożyczka'!$B$16)*((('Arkusz1 (3)'!B120-DATE(YEAR(B120),1,1)+1)/366)+((DATE(YEAR(B119),12,31)-'Arkusz1 (3)'!B119)/365))),0))</f>
        <v>0</v>
      </c>
      <c r="H120">
        <f t="shared" ca="1" si="11"/>
        <v>0</v>
      </c>
      <c r="I120">
        <f t="shared" ca="1" si="12"/>
        <v>1.0060821917808218</v>
      </c>
      <c r="J120">
        <f t="shared" ca="1" si="13"/>
        <v>1.0060821917808218</v>
      </c>
      <c r="K120">
        <f ca="1">PRODUCT($J$3:J120)</f>
        <v>2.0597225997237025</v>
      </c>
      <c r="L120">
        <f t="shared" ca="1" si="14"/>
        <v>0.48550227109909999</v>
      </c>
      <c r="M120">
        <f ca="1">SUM($L$3:L120)</f>
        <v>83.899373489438588</v>
      </c>
      <c r="O120">
        <f ca="1">(Q119*'Arkusz1 (3)'!J120)-Q119</f>
        <v>261.23605358278292</v>
      </c>
      <c r="P120" s="16">
        <f t="shared" ca="1" si="15"/>
        <v>14233.00041831598</v>
      </c>
      <c r="Q120" s="17">
        <f t="shared" ca="1" si="16"/>
        <v>28717.972355430651</v>
      </c>
    </row>
    <row r="121" spans="1:17" x14ac:dyDescent="0.35">
      <c r="A121">
        <v>119</v>
      </c>
      <c r="B121" s="14">
        <f t="shared" ca="1" si="17"/>
        <v>49691</v>
      </c>
      <c r="C121" s="15">
        <f ca="1">(1+('Symulacja Pożyczka'!$B$7+'Symulacja Pożyczka'!$B$16)*('Arkusz1 (3)'!B121-'Arkusz1 (3)'!B120)/365)</f>
        <v>1.0062849315068494</v>
      </c>
      <c r="D121" s="15">
        <f ca="1">(1+('Symulacja Pożyczka'!$B$7+'Symulacja Pożyczka'!$B$16)*('Arkusz1 (3)'!B121-'Arkusz1 (3)'!B120)/366)</f>
        <v>1.0062677595628415</v>
      </c>
      <c r="E121" s="15">
        <f t="shared" ca="1" si="9"/>
        <v>0</v>
      </c>
      <c r="F121" s="15">
        <f t="shared" ca="1" si="10"/>
        <v>1</v>
      </c>
      <c r="G121">
        <f ca="1">IF(E121=1,(1+('Symulacja Pożyczka'!$B$7+'Symulacja Pożyczka'!$B$16)*((('Arkusz1 (3)'!B121-DATE(YEAR(B121),1,1)+1)/365)+((DATE(YEAR(B120),12,31)-'Arkusz1 (3)'!B120)/366))),IF(F121=1,(1+('Symulacja Pożyczka'!$B$7+'Symulacja Pożyczka'!$B$16)*((('Arkusz1 (3)'!B121-DATE(YEAR(B121),1,1)+1)/366)+((DATE(YEAR(B120),12,31)-'Arkusz1 (3)'!B120)/365))),0))</f>
        <v>1.006275514634329</v>
      </c>
      <c r="H121">
        <f t="shared" ca="1" si="11"/>
        <v>1</v>
      </c>
      <c r="I121">
        <f t="shared" ca="1" si="12"/>
        <v>1.0062677595628415</v>
      </c>
      <c r="J121">
        <f t="shared" ca="1" si="13"/>
        <v>1.006275514634329</v>
      </c>
      <c r="K121">
        <f ca="1">PRODUCT($J$3:J121)</f>
        <v>2.0726484190409269</v>
      </c>
      <c r="L121">
        <f t="shared" ca="1" si="14"/>
        <v>0.48247449534288517</v>
      </c>
      <c r="M121">
        <f ca="1">SUM($L$3:L121)</f>
        <v>84.381847984781473</v>
      </c>
      <c r="O121">
        <f ca="1">(Q120*'Arkusz1 (3)'!J121)-Q120</f>
        <v>180.22005578476092</v>
      </c>
      <c r="P121" s="16">
        <f t="shared" ca="1" si="15"/>
        <v>14314.016416114002</v>
      </c>
      <c r="Q121" s="17">
        <f t="shared" ca="1" si="16"/>
        <v>14403.955939316649</v>
      </c>
    </row>
    <row r="122" spans="1:17" x14ac:dyDescent="0.35">
      <c r="A122">
        <v>120</v>
      </c>
      <c r="B122" s="14">
        <f t="shared" ca="1" si="17"/>
        <v>49722</v>
      </c>
      <c r="C122" s="15">
        <f ca="1">(1+('Symulacja Pożyczka'!$B$7+'Symulacja Pożyczka'!$B$16)*('Arkusz1 (3)'!B122-'Arkusz1 (3)'!B121)/365)</f>
        <v>1.0062849315068494</v>
      </c>
      <c r="D122" s="15">
        <f ca="1">(1+('Symulacja Pożyczka'!$B$7+'Symulacja Pożyczka'!$B$16)*('Arkusz1 (3)'!B122-'Arkusz1 (3)'!B121)/366)</f>
        <v>1.0062677595628415</v>
      </c>
      <c r="E122" s="15">
        <f t="shared" ca="1" si="9"/>
        <v>0</v>
      </c>
      <c r="F122" s="15">
        <f t="shared" ca="1" si="10"/>
        <v>0</v>
      </c>
      <c r="G122">
        <f ca="1">IF(E122=1,(1+('Symulacja Pożyczka'!$B$7+'Symulacja Pożyczka'!$B$16)*((('Arkusz1 (3)'!B122-DATE(YEAR(B122),1,1)+1)/365)+((DATE(YEAR(B121),12,31)-'Arkusz1 (3)'!B121)/366))),IF(F122=1,(1+('Symulacja Pożyczka'!$B$7+'Symulacja Pożyczka'!$B$16)*((('Arkusz1 (3)'!B122-DATE(YEAR(B122),1,1)+1)/366)+((DATE(YEAR(B121),12,31)-'Arkusz1 (3)'!B121)/365))),0))</f>
        <v>0</v>
      </c>
      <c r="H122">
        <f t="shared" ca="1" si="11"/>
        <v>1</v>
      </c>
      <c r="I122">
        <f t="shared" ca="1" si="12"/>
        <v>1.0062677595628415</v>
      </c>
      <c r="J122">
        <f t="shared" ca="1" si="13"/>
        <v>1.0062677595628415</v>
      </c>
      <c r="K122">
        <f ca="1">PRODUCT($J$3:J122)</f>
        <v>2.085639280989779</v>
      </c>
      <c r="L122">
        <f t="shared" ca="1" si="14"/>
        <v>0.47946929707107899</v>
      </c>
      <c r="M122">
        <f ca="1">SUM($L$3:L122)</f>
        <v>84.86131728185255</v>
      </c>
      <c r="O122">
        <f ca="1">(Q121*'Arkusz1 (3)'!J122)-Q121</f>
        <v>90.280532581400621</v>
      </c>
      <c r="P122" s="16">
        <f t="shared" ca="1" si="15"/>
        <v>14403.955939317362</v>
      </c>
      <c r="Q122" s="17">
        <f t="shared" ca="1" si="16"/>
        <v>-7.1304384618997574E-10</v>
      </c>
    </row>
    <row r="123" spans="1:17" x14ac:dyDescent="0.35">
      <c r="A123">
        <v>121</v>
      </c>
      <c r="B123" s="14">
        <f t="shared" ca="1" si="17"/>
        <v>49751</v>
      </c>
      <c r="C123" s="15">
        <f ca="1">(1+('Symulacja Pożyczka'!$B$7+'Symulacja Pożyczka'!$B$16)*('Arkusz1 (3)'!B123-'Arkusz1 (3)'!B122)/365)</f>
        <v>1.0058794520547945</v>
      </c>
      <c r="D123" s="15">
        <f ca="1">(1+('Symulacja Pożyczka'!$B$7+'Symulacja Pożyczka'!$B$16)*('Arkusz1 (3)'!B123-'Arkusz1 (3)'!B122)/366)</f>
        <v>1.005863387978142</v>
      </c>
      <c r="E123" s="15">
        <f t="shared" ca="1" si="9"/>
        <v>0</v>
      </c>
      <c r="F123" s="15">
        <f t="shared" ca="1" si="10"/>
        <v>0</v>
      </c>
      <c r="G123">
        <f ca="1">IF(E123=1,(1+('Symulacja Pożyczka'!$B$7+'Symulacja Pożyczka'!$B$16)*((('Arkusz1 (3)'!B123-DATE(YEAR(B123),1,1)+1)/365)+((DATE(YEAR(B122),12,31)-'Arkusz1 (3)'!B122)/366))),IF(F123=1,(1+('Symulacja Pożyczka'!$B$7+'Symulacja Pożyczka'!$B$16)*((('Arkusz1 (3)'!B123-DATE(YEAR(B123),1,1)+1)/366)+((DATE(YEAR(B122),12,31)-'Arkusz1 (3)'!B122)/365))),0))</f>
        <v>0</v>
      </c>
      <c r="H123">
        <f t="shared" ca="1" si="11"/>
        <v>1</v>
      </c>
      <c r="I123">
        <f t="shared" ca="1" si="12"/>
        <v>1.005863387978142</v>
      </c>
      <c r="J123">
        <f t="shared" ca="1" si="13"/>
        <v>1.005863387978142</v>
      </c>
      <c r="K123">
        <f ca="1">PRODUCT($J$3:J123)</f>
        <v>2.0978681932766752</v>
      </c>
      <c r="L123">
        <f t="shared" ca="1" si="14"/>
        <v>0.47667437029878074</v>
      </c>
      <c r="M123">
        <f ca="1">SUM($L$3:L123)</f>
        <v>85.337991652151331</v>
      </c>
      <c r="O123">
        <f ca="1">(Q122*'Arkusz1 (3)'!J123)-Q122</f>
        <v>-4.1808527156384406E-12</v>
      </c>
      <c r="P123" s="16">
        <f t="shared" ca="1" si="15"/>
        <v>14494.236471898766</v>
      </c>
      <c r="Q123" s="17">
        <f t="shared" ca="1" si="16"/>
        <v>-14494.23647189948</v>
      </c>
    </row>
    <row r="124" spans="1:17" x14ac:dyDescent="0.35">
      <c r="A124">
        <v>122</v>
      </c>
      <c r="B124" s="14">
        <f t="shared" ca="1" si="17"/>
        <v>49782</v>
      </c>
      <c r="C124" s="15">
        <f ca="1">(1+('Symulacja Pożyczka'!$B$7+'Symulacja Pożyczka'!$B$16)*('Arkusz1 (3)'!B124-'Arkusz1 (3)'!B123)/365)</f>
        <v>1.0062849315068494</v>
      </c>
      <c r="D124" s="15">
        <f ca="1">(1+('Symulacja Pożyczka'!$B$7+'Symulacja Pożyczka'!$B$16)*('Arkusz1 (3)'!B124-'Arkusz1 (3)'!B123)/366)</f>
        <v>1.0062677595628415</v>
      </c>
      <c r="E124" s="15">
        <f t="shared" ca="1" si="9"/>
        <v>0</v>
      </c>
      <c r="F124" s="15">
        <f t="shared" ca="1" si="10"/>
        <v>0</v>
      </c>
      <c r="G124">
        <f ca="1">IF(E124=1,(1+('Symulacja Pożyczka'!$B$7+'Symulacja Pożyczka'!$B$16)*((('Arkusz1 (3)'!B124-DATE(YEAR(B124),1,1)+1)/365)+((DATE(YEAR(B123),12,31)-'Arkusz1 (3)'!B123)/366))),IF(F124=1,(1+('Symulacja Pożyczka'!$B$7+'Symulacja Pożyczka'!$B$16)*((('Arkusz1 (3)'!B124-DATE(YEAR(B124),1,1)+1)/366)+((DATE(YEAR(B123),12,31)-'Arkusz1 (3)'!B123)/365))),0))</f>
        <v>0</v>
      </c>
      <c r="H124">
        <f t="shared" ca="1" si="11"/>
        <v>1</v>
      </c>
      <c r="I124">
        <f t="shared" ca="1" si="12"/>
        <v>1.0062677595628415</v>
      </c>
      <c r="J124">
        <f t="shared" ca="1" si="13"/>
        <v>1.0062677595628415</v>
      </c>
      <c r="K124">
        <f ca="1">PRODUCT($J$3:J124)</f>
        <v>2.111017126706666</v>
      </c>
      <c r="L124">
        <f t="shared" ca="1" si="14"/>
        <v>0.47370529937863165</v>
      </c>
      <c r="M124">
        <f ca="1">SUM($L$3:L124)</f>
        <v>85.811696951529967</v>
      </c>
      <c r="O124">
        <f ca="1">(Q123*'Arkusz1 (3)'!J124)-Q123</f>
        <v>-90.846389252834342</v>
      </c>
      <c r="P124" s="16">
        <f t="shared" ca="1" si="15"/>
        <v>14585.082861151597</v>
      </c>
      <c r="Q124" s="17">
        <f t="shared" ca="1" si="16"/>
        <v>-29079.319333051077</v>
      </c>
    </row>
    <row r="125" spans="1:17" x14ac:dyDescent="0.35">
      <c r="A125">
        <v>123</v>
      </c>
      <c r="B125" s="14">
        <f t="shared" ca="1" si="17"/>
        <v>49812</v>
      </c>
      <c r="C125" s="15">
        <f ca="1">(1+('Symulacja Pożyczka'!$B$7+'Symulacja Pożyczka'!$B$16)*('Arkusz1 (3)'!B125-'Arkusz1 (3)'!B124)/365)</f>
        <v>1.0060821917808218</v>
      </c>
      <c r="D125" s="15">
        <f ca="1">(1+('Symulacja Pożyczka'!$B$7+'Symulacja Pożyczka'!$B$16)*('Arkusz1 (3)'!B125-'Arkusz1 (3)'!B124)/366)</f>
        <v>1.0060655737704918</v>
      </c>
      <c r="E125" s="15">
        <f t="shared" ca="1" si="9"/>
        <v>0</v>
      </c>
      <c r="F125" s="15">
        <f t="shared" ca="1" si="10"/>
        <v>0</v>
      </c>
      <c r="G125">
        <f ca="1">IF(E125=1,(1+('Symulacja Pożyczka'!$B$7+'Symulacja Pożyczka'!$B$16)*((('Arkusz1 (3)'!B125-DATE(YEAR(B125),1,1)+1)/365)+((DATE(YEAR(B124),12,31)-'Arkusz1 (3)'!B124)/366))),IF(F125=1,(1+('Symulacja Pożyczka'!$B$7+'Symulacja Pożyczka'!$B$16)*((('Arkusz1 (3)'!B125-DATE(YEAR(B125),1,1)+1)/366)+((DATE(YEAR(B124),12,31)-'Arkusz1 (3)'!B124)/365))),0))</f>
        <v>0</v>
      </c>
      <c r="H125">
        <f t="shared" ca="1" si="11"/>
        <v>1</v>
      </c>
      <c r="I125">
        <f t="shared" ca="1" si="12"/>
        <v>1.0060655737704918</v>
      </c>
      <c r="J125">
        <f t="shared" ca="1" si="13"/>
        <v>1.0060655737704918</v>
      </c>
      <c r="K125">
        <f ca="1">PRODUCT($J$3:J125)</f>
        <v>2.123821656819477</v>
      </c>
      <c r="L125">
        <f t="shared" ca="1" si="14"/>
        <v>0.47084932804459068</v>
      </c>
      <c r="M125">
        <f ca="1">SUM($L$3:L125)</f>
        <v>86.282546279574561</v>
      </c>
      <c r="O125">
        <f ca="1">(Q124*'Arkusz1 (3)'!J125)-Q124</f>
        <v>-176.38275661031003</v>
      </c>
      <c r="P125" s="16">
        <f t="shared" ca="1" si="15"/>
        <v>14670.619228509073</v>
      </c>
      <c r="Q125" s="17">
        <f t="shared" ca="1" si="16"/>
        <v>-43749.93856156015</v>
      </c>
    </row>
    <row r="126" spans="1:17" x14ac:dyDescent="0.35">
      <c r="A126">
        <v>124</v>
      </c>
      <c r="B126" s="14">
        <f t="shared" ca="1" si="17"/>
        <v>49843</v>
      </c>
      <c r="C126" s="15">
        <f ca="1">(1+('Symulacja Pożyczka'!$B$7+'Symulacja Pożyczka'!$B$16)*('Arkusz1 (3)'!B126-'Arkusz1 (3)'!B125)/365)</f>
        <v>1.0062849315068494</v>
      </c>
      <c r="D126" s="15">
        <f ca="1">(1+('Symulacja Pożyczka'!$B$7+'Symulacja Pożyczka'!$B$16)*('Arkusz1 (3)'!B126-'Arkusz1 (3)'!B125)/366)</f>
        <v>1.0062677595628415</v>
      </c>
      <c r="E126" s="15">
        <f t="shared" ca="1" si="9"/>
        <v>0</v>
      </c>
      <c r="F126" s="15">
        <f t="shared" ca="1" si="10"/>
        <v>0</v>
      </c>
      <c r="G126">
        <f ca="1">IF(E126=1,(1+('Symulacja Pożyczka'!$B$7+'Symulacja Pożyczka'!$B$16)*((('Arkusz1 (3)'!B126-DATE(YEAR(B126),1,1)+1)/365)+((DATE(YEAR(B125),12,31)-'Arkusz1 (3)'!B125)/366))),IF(F126=1,(1+('Symulacja Pożyczka'!$B$7+'Symulacja Pożyczka'!$B$16)*((('Arkusz1 (3)'!B126-DATE(YEAR(B126),1,1)+1)/366)+((DATE(YEAR(B125),12,31)-'Arkusz1 (3)'!B125)/365))),0))</f>
        <v>0</v>
      </c>
      <c r="H126">
        <f t="shared" ca="1" si="11"/>
        <v>1</v>
      </c>
      <c r="I126">
        <f t="shared" ca="1" si="12"/>
        <v>1.0062677595628415</v>
      </c>
      <c r="J126">
        <f t="shared" ca="1" si="13"/>
        <v>1.0062677595628415</v>
      </c>
      <c r="K126">
        <f ca="1">PRODUCT($J$3:J126)</f>
        <v>2.1371332603187772</v>
      </c>
      <c r="L126">
        <f t="shared" ca="1" si="14"/>
        <v>0.46791653967840963</v>
      </c>
      <c r="M126">
        <f ca="1">SUM($L$3:L126)</f>
        <v>86.750462819252974</v>
      </c>
      <c r="O126">
        <f ca="1">(Q125*'Arkusz1 (3)'!J126)-Q125</f>
        <v>-274.21409579295141</v>
      </c>
      <c r="P126" s="16">
        <f t="shared" ca="1" si="15"/>
        <v>14768.450567691714</v>
      </c>
      <c r="Q126" s="17">
        <f t="shared" ca="1" si="16"/>
        <v>-58518.389129251867</v>
      </c>
    </row>
    <row r="127" spans="1:17" x14ac:dyDescent="0.35">
      <c r="A127">
        <v>125</v>
      </c>
      <c r="B127" s="14">
        <f t="shared" ca="1" si="17"/>
        <v>49873</v>
      </c>
      <c r="C127" s="15">
        <f ca="1">(1+('Symulacja Pożyczka'!$B$7+'Symulacja Pożyczka'!$B$16)*('Arkusz1 (3)'!B127-'Arkusz1 (3)'!B126)/365)</f>
        <v>1.0060821917808218</v>
      </c>
      <c r="D127" s="15">
        <f ca="1">(1+('Symulacja Pożyczka'!$B$7+'Symulacja Pożyczka'!$B$16)*('Arkusz1 (3)'!B127-'Arkusz1 (3)'!B126)/366)</f>
        <v>1.0060655737704918</v>
      </c>
      <c r="E127" s="15">
        <f t="shared" ca="1" si="9"/>
        <v>0</v>
      </c>
      <c r="F127" s="15">
        <f t="shared" ca="1" si="10"/>
        <v>0</v>
      </c>
      <c r="G127">
        <f ca="1">IF(E127=1,(1+('Symulacja Pożyczka'!$B$7+'Symulacja Pożyczka'!$B$16)*((('Arkusz1 (3)'!B127-DATE(YEAR(B127),1,1)+1)/365)+((DATE(YEAR(B126),12,31)-'Arkusz1 (3)'!B126)/366))),IF(F127=1,(1+('Symulacja Pożyczka'!$B$7+'Symulacja Pożyczka'!$B$16)*((('Arkusz1 (3)'!B127-DATE(YEAR(B127),1,1)+1)/366)+((DATE(YEAR(B126),12,31)-'Arkusz1 (3)'!B126)/365))),0))</f>
        <v>0</v>
      </c>
      <c r="H127">
        <f t="shared" ca="1" si="11"/>
        <v>1</v>
      </c>
      <c r="I127">
        <f t="shared" ca="1" si="12"/>
        <v>1.0060655737704918</v>
      </c>
      <c r="J127">
        <f t="shared" ca="1" si="13"/>
        <v>1.0060655737704918</v>
      </c>
      <c r="K127">
        <f ca="1">PRODUCT($J$3:J127)</f>
        <v>2.1500961997666121</v>
      </c>
      <c r="L127">
        <f t="shared" ca="1" si="14"/>
        <v>0.46509546880206926</v>
      </c>
      <c r="M127">
        <f ca="1">SUM($L$3:L127)</f>
        <v>87.21555828805505</v>
      </c>
      <c r="O127">
        <f ca="1">(Q126*'Arkusz1 (3)'!J127)-Q126</f>
        <v>-354.9476061938185</v>
      </c>
      <c r="P127" s="16">
        <f t="shared" ca="1" si="15"/>
        <v>14849.184078092581</v>
      </c>
      <c r="Q127" s="17">
        <f t="shared" ca="1" si="16"/>
        <v>-73367.573207344452</v>
      </c>
    </row>
    <row r="128" spans="1:17" x14ac:dyDescent="0.35">
      <c r="A128">
        <v>126</v>
      </c>
      <c r="B128" s="14">
        <f t="shared" ca="1" si="17"/>
        <v>49904</v>
      </c>
      <c r="C128" s="15">
        <f ca="1">(1+('Symulacja Pożyczka'!$B$7+'Symulacja Pożyczka'!$B$16)*('Arkusz1 (3)'!B128-'Arkusz1 (3)'!B127)/365)</f>
        <v>1.0062849315068494</v>
      </c>
      <c r="D128" s="15">
        <f ca="1">(1+('Symulacja Pożyczka'!$B$7+'Symulacja Pożyczka'!$B$16)*('Arkusz1 (3)'!B128-'Arkusz1 (3)'!B127)/366)</f>
        <v>1.0062677595628415</v>
      </c>
      <c r="E128" s="15">
        <f t="shared" ca="1" si="9"/>
        <v>0</v>
      </c>
      <c r="F128" s="15">
        <f t="shared" ca="1" si="10"/>
        <v>0</v>
      </c>
      <c r="G128">
        <f ca="1">IF(E128=1,(1+('Symulacja Pożyczka'!$B$7+'Symulacja Pożyczka'!$B$16)*((('Arkusz1 (3)'!B128-DATE(YEAR(B128),1,1)+1)/365)+((DATE(YEAR(B127),12,31)-'Arkusz1 (3)'!B127)/366))),IF(F128=1,(1+('Symulacja Pożyczka'!$B$7+'Symulacja Pożyczka'!$B$16)*((('Arkusz1 (3)'!B128-DATE(YEAR(B128),1,1)+1)/366)+((DATE(YEAR(B127),12,31)-'Arkusz1 (3)'!B127)/365))),0))</f>
        <v>0</v>
      </c>
      <c r="H128">
        <f t="shared" ca="1" si="11"/>
        <v>1</v>
      </c>
      <c r="I128">
        <f t="shared" ca="1" si="12"/>
        <v>1.0062677595628415</v>
      </c>
      <c r="J128">
        <f t="shared" ca="1" si="13"/>
        <v>1.0062677595628415</v>
      </c>
      <c r="K128">
        <f ca="1">PRODUCT($J$3:J128)</f>
        <v>2.1635724857837286</v>
      </c>
      <c r="L128">
        <f t="shared" ca="1" si="14"/>
        <v>0.46219851961084712</v>
      </c>
      <c r="M128">
        <f ca="1">SUM($L$3:L128)</f>
        <v>87.677756807665901</v>
      </c>
      <c r="O128">
        <f ca="1">(Q127*'Arkusz1 (3)'!J128)-Q127</f>
        <v>-459.85030857281527</v>
      </c>
      <c r="P128" s="16">
        <f t="shared" ca="1" si="15"/>
        <v>14954.086780471578</v>
      </c>
      <c r="Q128" s="17">
        <f t="shared" ca="1" si="16"/>
        <v>-88321.659987816034</v>
      </c>
    </row>
    <row r="129" spans="1:17" x14ac:dyDescent="0.35">
      <c r="A129">
        <v>127</v>
      </c>
      <c r="B129" s="14">
        <f t="shared" ca="1" si="17"/>
        <v>49935</v>
      </c>
      <c r="C129" s="15">
        <f ca="1">(1+('Symulacja Pożyczka'!$B$7+'Symulacja Pożyczka'!$B$16)*('Arkusz1 (3)'!B129-'Arkusz1 (3)'!B128)/365)</f>
        <v>1.0062849315068494</v>
      </c>
      <c r="D129" s="15">
        <f ca="1">(1+('Symulacja Pożyczka'!$B$7+'Symulacja Pożyczka'!$B$16)*('Arkusz1 (3)'!B129-'Arkusz1 (3)'!B128)/366)</f>
        <v>1.0062677595628415</v>
      </c>
      <c r="E129" s="15">
        <f t="shared" ca="1" si="9"/>
        <v>0</v>
      </c>
      <c r="F129" s="15">
        <f t="shared" ca="1" si="10"/>
        <v>0</v>
      </c>
      <c r="G129">
        <f ca="1">IF(E129=1,(1+('Symulacja Pożyczka'!$B$7+'Symulacja Pożyczka'!$B$16)*((('Arkusz1 (3)'!B129-DATE(YEAR(B129),1,1)+1)/365)+((DATE(YEAR(B128),12,31)-'Arkusz1 (3)'!B128)/366))),IF(F129=1,(1+('Symulacja Pożyczka'!$B$7+'Symulacja Pożyczka'!$B$16)*((('Arkusz1 (3)'!B129-DATE(YEAR(B129),1,1)+1)/366)+((DATE(YEAR(B128),12,31)-'Arkusz1 (3)'!B128)/365))),0))</f>
        <v>0</v>
      </c>
      <c r="H129">
        <f t="shared" ca="1" si="11"/>
        <v>1</v>
      </c>
      <c r="I129">
        <f t="shared" ca="1" si="12"/>
        <v>1.0062677595628415</v>
      </c>
      <c r="J129">
        <f t="shared" ca="1" si="13"/>
        <v>1.0062677595628415</v>
      </c>
      <c r="K129">
        <f ca="1">PRODUCT($J$3:J129)</f>
        <v>2.1771332379214003</v>
      </c>
      <c r="L129">
        <f t="shared" ca="1" si="14"/>
        <v>0.45931961470338928</v>
      </c>
      <c r="M129">
        <f ca="1">SUM($L$3:L129)</f>
        <v>88.13707642236929</v>
      </c>
      <c r="O129">
        <f ca="1">(Q128*'Arkusz1 (3)'!J129)-Q128</f>
        <v>-553.5789289946697</v>
      </c>
      <c r="P129" s="16">
        <f t="shared" ca="1" si="15"/>
        <v>15047.815400893433</v>
      </c>
      <c r="Q129" s="17">
        <f t="shared" ca="1" si="16"/>
        <v>-103369.47538870947</v>
      </c>
    </row>
    <row r="130" spans="1:17" x14ac:dyDescent="0.35">
      <c r="A130">
        <v>128</v>
      </c>
      <c r="B130" s="14">
        <f t="shared" ca="1" si="17"/>
        <v>49965</v>
      </c>
      <c r="C130" s="15">
        <f ca="1">(1+('Symulacja Pożyczka'!$B$7+'Symulacja Pożyczka'!$B$16)*('Arkusz1 (3)'!B130-'Arkusz1 (3)'!B129)/365)</f>
        <v>1.0060821917808218</v>
      </c>
      <c r="D130" s="15">
        <f ca="1">(1+('Symulacja Pożyczka'!$B$7+'Symulacja Pożyczka'!$B$16)*('Arkusz1 (3)'!B130-'Arkusz1 (3)'!B129)/366)</f>
        <v>1.0060655737704918</v>
      </c>
      <c r="E130" s="15">
        <f t="shared" ca="1" si="9"/>
        <v>0</v>
      </c>
      <c r="F130" s="15">
        <f t="shared" ca="1" si="10"/>
        <v>0</v>
      </c>
      <c r="G130">
        <f ca="1">IF(E130=1,(1+('Symulacja Pożyczka'!$B$7+'Symulacja Pożyczka'!$B$16)*((('Arkusz1 (3)'!B130-DATE(YEAR(B130),1,1)+1)/365)+((DATE(YEAR(B129),12,31)-'Arkusz1 (3)'!B129)/366))),IF(F130=1,(1+('Symulacja Pożyczka'!$B$7+'Symulacja Pożyczka'!$B$16)*((('Arkusz1 (3)'!B130-DATE(YEAR(B130),1,1)+1)/366)+((DATE(YEAR(B129),12,31)-'Arkusz1 (3)'!B129)/365))),0))</f>
        <v>0</v>
      </c>
      <c r="H130">
        <f t="shared" ca="1" si="11"/>
        <v>1</v>
      </c>
      <c r="I130">
        <f t="shared" ca="1" si="12"/>
        <v>1.0060655737704918</v>
      </c>
      <c r="J130">
        <f t="shared" ca="1" si="13"/>
        <v>1.0060655737704918</v>
      </c>
      <c r="K130">
        <f ca="1">PRODUCT($J$3:J130)</f>
        <v>2.1903388001842021</v>
      </c>
      <c r="L130">
        <f t="shared" ca="1" si="14"/>
        <v>0.45655037472554588</v>
      </c>
      <c r="M130">
        <f ca="1">SUM($L$3:L130)</f>
        <v>88.593626797094842</v>
      </c>
      <c r="O130">
        <f ca="1">(Q129*'Arkusz1 (3)'!J130)-Q129</f>
        <v>-626.99517858725449</v>
      </c>
      <c r="P130" s="16">
        <f t="shared" ca="1" si="15"/>
        <v>15121.231650486017</v>
      </c>
      <c r="Q130" s="17">
        <f t="shared" ca="1" si="16"/>
        <v>-118490.70703919549</v>
      </c>
    </row>
    <row r="131" spans="1:17" x14ac:dyDescent="0.35">
      <c r="A131">
        <v>129</v>
      </c>
      <c r="B131" s="14">
        <f t="shared" ca="1" si="17"/>
        <v>49996</v>
      </c>
      <c r="C131" s="15">
        <f ca="1">(1+('Symulacja Pożyczka'!$B$7+'Symulacja Pożyczka'!$B$16)*('Arkusz1 (3)'!B131-'Arkusz1 (3)'!B130)/365)</f>
        <v>1.0062849315068494</v>
      </c>
      <c r="D131" s="15">
        <f ca="1">(1+('Symulacja Pożyczka'!$B$7+'Symulacja Pożyczka'!$B$16)*('Arkusz1 (3)'!B131-'Arkusz1 (3)'!B130)/366)</f>
        <v>1.0062677595628415</v>
      </c>
      <c r="E131" s="15">
        <f t="shared" ca="1" si="9"/>
        <v>0</v>
      </c>
      <c r="F131" s="15">
        <f t="shared" ca="1" si="10"/>
        <v>0</v>
      </c>
      <c r="G131">
        <f ca="1">IF(E131=1,(1+('Symulacja Pożyczka'!$B$7+'Symulacja Pożyczka'!$B$16)*((('Arkusz1 (3)'!B131-DATE(YEAR(B131),1,1)+1)/365)+((DATE(YEAR(B130),12,31)-'Arkusz1 (3)'!B130)/366))),IF(F131=1,(1+('Symulacja Pożyczka'!$B$7+'Symulacja Pożyczka'!$B$16)*((('Arkusz1 (3)'!B131-DATE(YEAR(B131),1,1)+1)/366)+((DATE(YEAR(B130),12,31)-'Arkusz1 (3)'!B130)/365))),0))</f>
        <v>0</v>
      </c>
      <c r="H131">
        <f t="shared" ca="1" si="11"/>
        <v>1</v>
      </c>
      <c r="I131">
        <f t="shared" ca="1" si="12"/>
        <v>1.0062677595628415</v>
      </c>
      <c r="J131">
        <f t="shared" ca="1" si="13"/>
        <v>1.0062677595628415</v>
      </c>
      <c r="K131">
        <f ca="1">PRODUCT($J$3:J131)</f>
        <v>2.2040673171449194</v>
      </c>
      <c r="L131">
        <f t="shared" ca="1" si="14"/>
        <v>0.45370665052797438</v>
      </c>
      <c r="M131">
        <f ca="1">SUM($L$3:L131)</f>
        <v>89.047333447622819</v>
      </c>
      <c r="O131">
        <f ca="1">(Q130*'Arkusz1 (3)'!J131)-Q130</f>
        <v>-742.67126215276949</v>
      </c>
      <c r="P131" s="16">
        <f t="shared" ca="1" si="15"/>
        <v>15236.907734051532</v>
      </c>
      <c r="Q131" s="17">
        <f t="shared" ca="1" si="16"/>
        <v>-133727.61477324701</v>
      </c>
    </row>
    <row r="132" spans="1:17" x14ac:dyDescent="0.35">
      <c r="A132">
        <v>130</v>
      </c>
      <c r="B132" s="14">
        <f t="shared" ca="1" si="17"/>
        <v>50026</v>
      </c>
      <c r="C132" s="15">
        <f ca="1">(1+('Symulacja Pożyczka'!$B$7+'Symulacja Pożyczka'!$B$16)*('Arkusz1 (3)'!B132-'Arkusz1 (3)'!B131)/365)</f>
        <v>1.0060821917808218</v>
      </c>
      <c r="D132" s="15">
        <f ca="1">(1+('Symulacja Pożyczka'!$B$7+'Symulacja Pożyczka'!$B$16)*('Arkusz1 (3)'!B132-'Arkusz1 (3)'!B131)/366)</f>
        <v>1.0060655737704918</v>
      </c>
      <c r="E132" s="15">
        <f t="shared" ref="E132:E182" ca="1" si="18">IF(AND(MOD(YEAR(B131),4)=0,MOD(YEAR(B132),4)&lt;&gt;0),1,0)</f>
        <v>0</v>
      </c>
      <c r="F132" s="15">
        <f t="shared" ref="F132:F182" ca="1" si="19">IF(AND(MOD(YEAR(B132),4)=0,MOD(YEAR(B131),4)&lt;&gt;0),1,0)</f>
        <v>0</v>
      </c>
      <c r="G132">
        <f ca="1">IF(E132=1,(1+('Symulacja Pożyczka'!$B$7+'Symulacja Pożyczka'!$B$16)*((('Arkusz1 (3)'!B132-DATE(YEAR(B132),1,1)+1)/365)+((DATE(YEAR(B131),12,31)-'Arkusz1 (3)'!B131)/366))),IF(F132=1,(1+('Symulacja Pożyczka'!$B$7+'Symulacja Pożyczka'!$B$16)*((('Arkusz1 (3)'!B132-DATE(YEAR(B132),1,1)+1)/366)+((DATE(YEAR(B131),12,31)-'Arkusz1 (3)'!B131)/365))),0))</f>
        <v>0</v>
      </c>
      <c r="H132">
        <f t="shared" ref="H132:H182" ca="1" si="20">IF(MOD(YEAR(B132),4)=0,1,0)</f>
        <v>1</v>
      </c>
      <c r="I132">
        <f t="shared" ref="I132:I182" ca="1" si="21">IF(H132=0,C132,IF(H132=1,D132,"blad"))</f>
        <v>1.0060655737704918</v>
      </c>
      <c r="J132">
        <f t="shared" ref="J132:J182" ca="1" si="22">IF(OR(E132=1,F132=1),G132,I132)</f>
        <v>1.0060655737704918</v>
      </c>
      <c r="K132">
        <f ca="1">PRODUCT($J$3:J132)</f>
        <v>2.217436250052192</v>
      </c>
      <c r="L132">
        <f t="shared" ref="L132:L182" ca="1" si="23">1/K132</f>
        <v>0.45097125113583891</v>
      </c>
      <c r="M132">
        <f ca="1">SUM($L$3:L132)</f>
        <v>89.498304698758659</v>
      </c>
      <c r="O132">
        <f ca="1">(Q131*'Arkusz1 (3)'!J132)-Q131</f>
        <v>-811.1347125590255</v>
      </c>
      <c r="P132" s="16">
        <f t="shared" ca="1" si="15"/>
        <v>15305.371184457788</v>
      </c>
      <c r="Q132" s="17">
        <f t="shared" ca="1" si="16"/>
        <v>-149032.9859577048</v>
      </c>
    </row>
    <row r="133" spans="1:17" x14ac:dyDescent="0.35">
      <c r="A133">
        <v>131</v>
      </c>
      <c r="B133" s="14">
        <f t="shared" ca="1" si="17"/>
        <v>50057</v>
      </c>
      <c r="C133" s="15">
        <f ca="1">(1+('Symulacja Pożyczka'!$B$7+'Symulacja Pożyczka'!$B$16)*('Arkusz1 (3)'!B133-'Arkusz1 (3)'!B132)/365)</f>
        <v>1.0062849315068494</v>
      </c>
      <c r="D133" s="15">
        <f ca="1">(1+('Symulacja Pożyczka'!$B$7+'Symulacja Pożyczka'!$B$16)*('Arkusz1 (3)'!B133-'Arkusz1 (3)'!B132)/366)</f>
        <v>1.0062677595628415</v>
      </c>
      <c r="E133" s="15">
        <f t="shared" ca="1" si="18"/>
        <v>1</v>
      </c>
      <c r="F133" s="15">
        <f t="shared" ca="1" si="19"/>
        <v>0</v>
      </c>
      <c r="G133">
        <f ca="1">IF(E133=1,(1+('Symulacja Pożyczka'!$B$7+'Symulacja Pożyczka'!$B$16)*((('Arkusz1 (3)'!B133-DATE(YEAR(B133),1,1)+1)/365)+((DATE(YEAR(B132),12,31)-'Arkusz1 (3)'!B132)/366))),IF(F133=1,(1+('Symulacja Pożyczka'!$B$7+'Symulacja Pożyczka'!$B$16)*((('Arkusz1 (3)'!B133-DATE(YEAR(B133),1,1)+1)/366)+((DATE(YEAR(B132),12,31)-'Arkusz1 (3)'!B132)/365))),0))</f>
        <v>1.006277176435362</v>
      </c>
      <c r="H133">
        <f t="shared" ca="1" si="20"/>
        <v>0</v>
      </c>
      <c r="I133">
        <f t="shared" ca="1" si="21"/>
        <v>1.0062849315068494</v>
      </c>
      <c r="J133">
        <f t="shared" ca="1" si="22"/>
        <v>1.006277176435362</v>
      </c>
      <c r="K133">
        <f ca="1">PRODUCT($J$3:J133)</f>
        <v>2.231355488627937</v>
      </c>
      <c r="L133">
        <f t="shared" ca="1" si="23"/>
        <v>0.44815808377306171</v>
      </c>
      <c r="M133">
        <f ca="1">SUM($L$3:L133)</f>
        <v>89.946462782531725</v>
      </c>
      <c r="O133">
        <f ca="1">(Q132*'Arkusz1 (3)'!J133)-Q132</f>
        <v>-935.5063475453353</v>
      </c>
      <c r="P133" s="16">
        <f t="shared" ref="P133:P182" ca="1" si="24">$N$2-O133</f>
        <v>15429.742819444098</v>
      </c>
      <c r="Q133" s="17">
        <f t="shared" ref="Q133:Q182" ca="1" si="25">Q132-P133</f>
        <v>-164462.72877714891</v>
      </c>
    </row>
    <row r="134" spans="1:17" x14ac:dyDescent="0.35">
      <c r="A134">
        <v>132</v>
      </c>
      <c r="B134" s="14">
        <f t="shared" ref="B134:B182" ca="1" si="26">DATE(YEAR((B133)),MONTH((B133))+1,IF(AND(DAY(B133)&gt;28,MONTH((B133))+1=2),IF(MOD(YEAR(B133),4)=0,29,28),IF(AND(OR(DAY(B133)=28,DAY(B133)=29),MONTH((B133))=2),DAY(B132),DAY(B133))))</f>
        <v>50088</v>
      </c>
      <c r="C134" s="15">
        <f ca="1">(1+('Symulacja Pożyczka'!$B$7+'Symulacja Pożyczka'!$B$16)*('Arkusz1 (3)'!B134-'Arkusz1 (3)'!B133)/365)</f>
        <v>1.0062849315068494</v>
      </c>
      <c r="D134" s="15">
        <f ca="1">(1+('Symulacja Pożyczka'!$B$7+'Symulacja Pożyczka'!$B$16)*('Arkusz1 (3)'!B134-'Arkusz1 (3)'!B133)/366)</f>
        <v>1.0062677595628415</v>
      </c>
      <c r="E134" s="15">
        <f t="shared" ca="1" si="18"/>
        <v>0</v>
      </c>
      <c r="F134" s="15">
        <f t="shared" ca="1" si="19"/>
        <v>0</v>
      </c>
      <c r="G134">
        <f ca="1">IF(E134=1,(1+('Symulacja Pożyczka'!$B$7+'Symulacja Pożyczka'!$B$16)*((('Arkusz1 (3)'!B134-DATE(YEAR(B134),1,1)+1)/365)+((DATE(YEAR(B133),12,31)-'Arkusz1 (3)'!B133)/366))),IF(F134=1,(1+('Symulacja Pożyczka'!$B$7+'Symulacja Pożyczka'!$B$16)*((('Arkusz1 (3)'!B134-DATE(YEAR(B134),1,1)+1)/366)+((DATE(YEAR(B133),12,31)-'Arkusz1 (3)'!B133)/365))),0))</f>
        <v>0</v>
      </c>
      <c r="H134">
        <f t="shared" ca="1" si="20"/>
        <v>0</v>
      </c>
      <c r="I134">
        <f t="shared" ca="1" si="21"/>
        <v>1.0062849315068494</v>
      </c>
      <c r="J134">
        <f t="shared" ca="1" si="22"/>
        <v>1.0062849315068494</v>
      </c>
      <c r="K134">
        <f ca="1">PRODUCT($J$3:J134)</f>
        <v>2.2453794050413962</v>
      </c>
      <c r="L134">
        <f t="shared" ca="1" si="23"/>
        <v>0.44535903275623206</v>
      </c>
      <c r="M134">
        <f ca="1">SUM($L$3:L134)</f>
        <v>90.391821815287955</v>
      </c>
      <c r="O134">
        <f ca="1">(Q133*'Arkusz1 (3)'!J134)-Q133</f>
        <v>-1033.6369857939426</v>
      </c>
      <c r="P134" s="16">
        <f t="shared" ca="1" si="24"/>
        <v>15527.873457692705</v>
      </c>
      <c r="Q134" s="17">
        <f t="shared" ca="1" si="25"/>
        <v>-179990.60223484162</v>
      </c>
    </row>
    <row r="135" spans="1:17" x14ac:dyDescent="0.35">
      <c r="A135">
        <v>133</v>
      </c>
      <c r="B135" s="14">
        <f t="shared" ca="1" si="26"/>
        <v>50116</v>
      </c>
      <c r="C135" s="15">
        <f ca="1">(1+('Symulacja Pożyczka'!$B$7+'Symulacja Pożyczka'!$B$16)*('Arkusz1 (3)'!B135-'Arkusz1 (3)'!B134)/365)</f>
        <v>1.0056767123287671</v>
      </c>
      <c r="D135" s="15">
        <f ca="1">(1+('Symulacja Pożyczka'!$B$7+'Symulacja Pożyczka'!$B$16)*('Arkusz1 (3)'!B135-'Arkusz1 (3)'!B134)/366)</f>
        <v>1.0056612021857922</v>
      </c>
      <c r="E135" s="15">
        <f t="shared" ca="1" si="18"/>
        <v>0</v>
      </c>
      <c r="F135" s="15">
        <f t="shared" ca="1" si="19"/>
        <v>0</v>
      </c>
      <c r="G135">
        <f ca="1">IF(E135=1,(1+('Symulacja Pożyczka'!$B$7+'Symulacja Pożyczka'!$B$16)*((('Arkusz1 (3)'!B135-DATE(YEAR(B135),1,1)+1)/365)+((DATE(YEAR(B134),12,31)-'Arkusz1 (3)'!B134)/366))),IF(F135=1,(1+('Symulacja Pożyczka'!$B$7+'Symulacja Pożyczka'!$B$16)*((('Arkusz1 (3)'!B135-DATE(YEAR(B135),1,1)+1)/366)+((DATE(YEAR(B134),12,31)-'Arkusz1 (3)'!B134)/365))),0))</f>
        <v>0</v>
      </c>
      <c r="H135">
        <f t="shared" ca="1" si="20"/>
        <v>0</v>
      </c>
      <c r="I135">
        <f t="shared" ca="1" si="21"/>
        <v>1.0056767123287671</v>
      </c>
      <c r="J135">
        <f t="shared" ca="1" si="22"/>
        <v>1.0056767123287671</v>
      </c>
      <c r="K135">
        <f ca="1">PRODUCT($J$3:J135)</f>
        <v>2.2581257779927544</v>
      </c>
      <c r="L135">
        <f t="shared" ca="1" si="23"/>
        <v>0.44284512835635709</v>
      </c>
      <c r="M135">
        <f ca="1">SUM($L$3:L135)</f>
        <v>90.834666943644308</v>
      </c>
      <c r="O135">
        <f ca="1">(Q134*'Arkusz1 (3)'!J135)-Q134</f>
        <v>-1021.7548707687529</v>
      </c>
      <c r="P135" s="16">
        <f t="shared" ca="1" si="24"/>
        <v>15515.991342667516</v>
      </c>
      <c r="Q135" s="17">
        <f t="shared" ca="1" si="25"/>
        <v>-195506.59357750913</v>
      </c>
    </row>
    <row r="136" spans="1:17" x14ac:dyDescent="0.35">
      <c r="A136">
        <v>134</v>
      </c>
      <c r="B136" s="14">
        <f t="shared" ca="1" si="26"/>
        <v>50147</v>
      </c>
      <c r="C136" s="15">
        <f ca="1">(1+('Symulacja Pożyczka'!$B$7+'Symulacja Pożyczka'!$B$16)*('Arkusz1 (3)'!B136-'Arkusz1 (3)'!B135)/365)</f>
        <v>1.0062849315068494</v>
      </c>
      <c r="D136" s="15">
        <f ca="1">(1+('Symulacja Pożyczka'!$B$7+'Symulacja Pożyczka'!$B$16)*('Arkusz1 (3)'!B136-'Arkusz1 (3)'!B135)/366)</f>
        <v>1.0062677595628415</v>
      </c>
      <c r="E136" s="15">
        <f t="shared" ca="1" si="18"/>
        <v>0</v>
      </c>
      <c r="F136" s="15">
        <f t="shared" ca="1" si="19"/>
        <v>0</v>
      </c>
      <c r="G136">
        <f ca="1">IF(E136=1,(1+('Symulacja Pożyczka'!$B$7+'Symulacja Pożyczka'!$B$16)*((('Arkusz1 (3)'!B136-DATE(YEAR(B136),1,1)+1)/365)+((DATE(YEAR(B135),12,31)-'Arkusz1 (3)'!B135)/366))),IF(F136=1,(1+('Symulacja Pożyczka'!$B$7+'Symulacja Pożyczka'!$B$16)*((('Arkusz1 (3)'!B136-DATE(YEAR(B136),1,1)+1)/366)+((DATE(YEAR(B135),12,31)-'Arkusz1 (3)'!B135)/365))),0))</f>
        <v>0</v>
      </c>
      <c r="H136">
        <f t="shared" ca="1" si="20"/>
        <v>0</v>
      </c>
      <c r="I136">
        <f t="shared" ca="1" si="21"/>
        <v>1.0062849315068494</v>
      </c>
      <c r="J136">
        <f t="shared" ca="1" si="22"/>
        <v>1.0062849315068494</v>
      </c>
      <c r="K136">
        <f ca="1">PRODUCT($J$3:J136)</f>
        <v>2.2723179438412897</v>
      </c>
      <c r="L136">
        <f t="shared" ca="1" si="23"/>
        <v>0.44007926034748818</v>
      </c>
      <c r="M136">
        <f ca="1">SUM($L$3:L136)</f>
        <v>91.274746203991796</v>
      </c>
      <c r="O136">
        <f ca="1">(Q135*'Arkusz1 (3)'!J136)-Q135</f>
        <v>-1228.7455497720803</v>
      </c>
      <c r="P136" s="16">
        <f t="shared" ca="1" si="24"/>
        <v>15722.982021670843</v>
      </c>
      <c r="Q136" s="17">
        <f t="shared" ca="1" si="25"/>
        <v>-211229.57559917998</v>
      </c>
    </row>
    <row r="137" spans="1:17" x14ac:dyDescent="0.35">
      <c r="A137">
        <v>135</v>
      </c>
      <c r="B137" s="14">
        <f t="shared" ca="1" si="26"/>
        <v>50177</v>
      </c>
      <c r="C137" s="15">
        <f ca="1">(1+('Symulacja Pożyczka'!$B$7+'Symulacja Pożyczka'!$B$16)*('Arkusz1 (3)'!B137-'Arkusz1 (3)'!B136)/365)</f>
        <v>1.0060821917808218</v>
      </c>
      <c r="D137" s="15">
        <f ca="1">(1+('Symulacja Pożyczka'!$B$7+'Symulacja Pożyczka'!$B$16)*('Arkusz1 (3)'!B137-'Arkusz1 (3)'!B136)/366)</f>
        <v>1.0060655737704918</v>
      </c>
      <c r="E137" s="15">
        <f t="shared" ca="1" si="18"/>
        <v>0</v>
      </c>
      <c r="F137" s="15">
        <f t="shared" ca="1" si="19"/>
        <v>0</v>
      </c>
      <c r="G137">
        <f ca="1">IF(E137=1,(1+('Symulacja Pożyczka'!$B$7+'Symulacja Pożyczka'!$B$16)*((('Arkusz1 (3)'!B137-DATE(YEAR(B137),1,1)+1)/365)+((DATE(YEAR(B136),12,31)-'Arkusz1 (3)'!B136)/366))),IF(F137=1,(1+('Symulacja Pożyczka'!$B$7+'Symulacja Pożyczka'!$B$16)*((('Arkusz1 (3)'!B137-DATE(YEAR(B137),1,1)+1)/366)+((DATE(YEAR(B136),12,31)-'Arkusz1 (3)'!B136)/365))),0))</f>
        <v>0</v>
      </c>
      <c r="H137">
        <f t="shared" ca="1" si="20"/>
        <v>0</v>
      </c>
      <c r="I137">
        <f t="shared" ca="1" si="21"/>
        <v>1.0060821917808218</v>
      </c>
      <c r="J137">
        <f t="shared" ca="1" si="22"/>
        <v>1.0060821917808218</v>
      </c>
      <c r="K137">
        <f ca="1">PRODUCT($J$3:J137)</f>
        <v>2.2861386173627349</v>
      </c>
      <c r="L137">
        <f t="shared" ca="1" si="23"/>
        <v>0.43741879534565986</v>
      </c>
      <c r="M137">
        <f ca="1">SUM($L$3:L137)</f>
        <v>91.71216499933746</v>
      </c>
      <c r="O137">
        <f ca="1">(Q136*'Arkusz1 (3)'!J137)-Q136</f>
        <v>-1284.7387885758071</v>
      </c>
      <c r="P137" s="16">
        <f t="shared" ca="1" si="24"/>
        <v>15778.97526047457</v>
      </c>
      <c r="Q137" s="17">
        <f t="shared" ca="1" si="25"/>
        <v>-227008.55085965456</v>
      </c>
    </row>
    <row r="138" spans="1:17" x14ac:dyDescent="0.35">
      <c r="A138">
        <v>136</v>
      </c>
      <c r="B138" s="14">
        <f t="shared" ca="1" si="26"/>
        <v>50208</v>
      </c>
      <c r="C138" s="15">
        <f ca="1">(1+('Symulacja Pożyczka'!$B$7+'Symulacja Pożyczka'!$B$16)*('Arkusz1 (3)'!B138-'Arkusz1 (3)'!B137)/365)</f>
        <v>1.0062849315068494</v>
      </c>
      <c r="D138" s="15">
        <f ca="1">(1+('Symulacja Pożyczka'!$B$7+'Symulacja Pożyczka'!$B$16)*('Arkusz1 (3)'!B138-'Arkusz1 (3)'!B137)/366)</f>
        <v>1.0062677595628415</v>
      </c>
      <c r="E138" s="15">
        <f t="shared" ca="1" si="18"/>
        <v>0</v>
      </c>
      <c r="F138" s="15">
        <f t="shared" ca="1" si="19"/>
        <v>0</v>
      </c>
      <c r="G138">
        <f ca="1">IF(E138=1,(1+('Symulacja Pożyczka'!$B$7+'Symulacja Pożyczka'!$B$16)*((('Arkusz1 (3)'!B138-DATE(YEAR(B138),1,1)+1)/365)+((DATE(YEAR(B137),12,31)-'Arkusz1 (3)'!B137)/366))),IF(F138=1,(1+('Symulacja Pożyczka'!$B$7+'Symulacja Pożyczka'!$B$16)*((('Arkusz1 (3)'!B138-DATE(YEAR(B138),1,1)+1)/366)+((DATE(YEAR(B137),12,31)-'Arkusz1 (3)'!B137)/365))),0))</f>
        <v>0</v>
      </c>
      <c r="H138">
        <f t="shared" ca="1" si="20"/>
        <v>0</v>
      </c>
      <c r="I138">
        <f t="shared" ca="1" si="21"/>
        <v>1.0062849315068494</v>
      </c>
      <c r="J138">
        <f t="shared" ca="1" si="22"/>
        <v>1.0062849315068494</v>
      </c>
      <c r="K138">
        <f ca="1">PRODUCT($J$3:J138)</f>
        <v>2.3005068419880232</v>
      </c>
      <c r="L138">
        <f t="shared" ca="1" si="23"/>
        <v>0.43468681846467905</v>
      </c>
      <c r="M138">
        <f ca="1">SUM($L$3:L138)</f>
        <v>92.146851817802144</v>
      </c>
      <c r="O138">
        <f ca="1">(Q137*'Arkusz1 (3)'!J138)-Q137</f>
        <v>-1426.733193622058</v>
      </c>
      <c r="P138" s="16">
        <f t="shared" ca="1" si="24"/>
        <v>15920.969665520821</v>
      </c>
      <c r="Q138" s="17">
        <f t="shared" ca="1" si="25"/>
        <v>-242929.52052517538</v>
      </c>
    </row>
    <row r="139" spans="1:17" x14ac:dyDescent="0.35">
      <c r="A139">
        <v>137</v>
      </c>
      <c r="B139" s="14">
        <f t="shared" ca="1" si="26"/>
        <v>50238</v>
      </c>
      <c r="C139" s="15">
        <f ca="1">(1+('Symulacja Pożyczka'!$B$7+'Symulacja Pożyczka'!$B$16)*('Arkusz1 (3)'!B139-'Arkusz1 (3)'!B138)/365)</f>
        <v>1.0060821917808218</v>
      </c>
      <c r="D139" s="15">
        <f ca="1">(1+('Symulacja Pożyczka'!$B$7+'Symulacja Pożyczka'!$B$16)*('Arkusz1 (3)'!B139-'Arkusz1 (3)'!B138)/366)</f>
        <v>1.0060655737704918</v>
      </c>
      <c r="E139" s="15">
        <f t="shared" ca="1" si="18"/>
        <v>0</v>
      </c>
      <c r="F139" s="15">
        <f t="shared" ca="1" si="19"/>
        <v>0</v>
      </c>
      <c r="G139">
        <f ca="1">IF(E139=1,(1+('Symulacja Pożyczka'!$B$7+'Symulacja Pożyczka'!$B$16)*((('Arkusz1 (3)'!B139-DATE(YEAR(B139),1,1)+1)/365)+((DATE(YEAR(B138),12,31)-'Arkusz1 (3)'!B138)/366))),IF(F139=1,(1+('Symulacja Pożyczka'!$B$7+'Symulacja Pożyczka'!$B$16)*((('Arkusz1 (3)'!B139-DATE(YEAR(B139),1,1)+1)/366)+((DATE(YEAR(B138),12,31)-'Arkusz1 (3)'!B138)/365))),0))</f>
        <v>0</v>
      </c>
      <c r="H139">
        <f t="shared" ca="1" si="20"/>
        <v>0</v>
      </c>
      <c r="I139">
        <f t="shared" ca="1" si="21"/>
        <v>1.0060821917808218</v>
      </c>
      <c r="J139">
        <f t="shared" ca="1" si="22"/>
        <v>1.0060821917808218</v>
      </c>
      <c r="K139">
        <f ca="1">PRODUCT($J$3:J139)</f>
        <v>2.3144989657940873</v>
      </c>
      <c r="L139">
        <f t="shared" ca="1" si="23"/>
        <v>0.43205895305159814</v>
      </c>
      <c r="M139">
        <f ca="1">SUM($L$3:L139)</f>
        <v>92.578910770853739</v>
      </c>
      <c r="O139">
        <f ca="1">(Q138*'Arkusz1 (3)'!J139)-Q138</f>
        <v>-1477.5439330571971</v>
      </c>
      <c r="P139" s="16">
        <f t="shared" ca="1" si="24"/>
        <v>15971.78040495596</v>
      </c>
      <c r="Q139" s="17">
        <f t="shared" ca="1" si="25"/>
        <v>-258901.30093013134</v>
      </c>
    </row>
    <row r="140" spans="1:17" x14ac:dyDescent="0.35">
      <c r="A140">
        <v>138</v>
      </c>
      <c r="B140" s="14">
        <f t="shared" ca="1" si="26"/>
        <v>50269</v>
      </c>
      <c r="C140" s="15">
        <f ca="1">(1+('Symulacja Pożyczka'!$B$7+'Symulacja Pożyczka'!$B$16)*('Arkusz1 (3)'!B140-'Arkusz1 (3)'!B139)/365)</f>
        <v>1.0062849315068494</v>
      </c>
      <c r="D140" s="15">
        <f ca="1">(1+('Symulacja Pożyczka'!$B$7+'Symulacja Pożyczka'!$B$16)*('Arkusz1 (3)'!B140-'Arkusz1 (3)'!B139)/366)</f>
        <v>1.0062677595628415</v>
      </c>
      <c r="E140" s="15">
        <f t="shared" ca="1" si="18"/>
        <v>0</v>
      </c>
      <c r="F140" s="15">
        <f t="shared" ca="1" si="19"/>
        <v>0</v>
      </c>
      <c r="G140">
        <f ca="1">IF(E140=1,(1+('Symulacja Pożyczka'!$B$7+'Symulacja Pożyczka'!$B$16)*((('Arkusz1 (3)'!B140-DATE(YEAR(B140),1,1)+1)/365)+((DATE(YEAR(B139),12,31)-'Arkusz1 (3)'!B139)/366))),IF(F140=1,(1+('Symulacja Pożyczka'!$B$7+'Symulacja Pożyczka'!$B$16)*((('Arkusz1 (3)'!B140-DATE(YEAR(B140),1,1)+1)/366)+((DATE(YEAR(B139),12,31)-'Arkusz1 (3)'!B139)/365))),0))</f>
        <v>0</v>
      </c>
      <c r="H140">
        <f t="shared" ca="1" si="20"/>
        <v>0</v>
      </c>
      <c r="I140">
        <f t="shared" ca="1" si="21"/>
        <v>1.0062849315068494</v>
      </c>
      <c r="J140">
        <f t="shared" ca="1" si="22"/>
        <v>1.0062849315068494</v>
      </c>
      <c r="K140">
        <f ca="1">PRODUCT($J$3:J140)</f>
        <v>2.3290454332667769</v>
      </c>
      <c r="L140">
        <f t="shared" ca="1" si="23"/>
        <v>0.42936045201890938</v>
      </c>
      <c r="M140">
        <f ca="1">SUM($L$3:L140)</f>
        <v>93.008271222872651</v>
      </c>
      <c r="O140">
        <f ca="1">(Q139*'Arkusz1 (3)'!J140)-Q139</f>
        <v>-1627.1769433800655</v>
      </c>
      <c r="P140" s="16">
        <f t="shared" ca="1" si="24"/>
        <v>16121.413415278828</v>
      </c>
      <c r="Q140" s="17">
        <f t="shared" ca="1" si="25"/>
        <v>-275022.71434541018</v>
      </c>
    </row>
    <row r="141" spans="1:17" x14ac:dyDescent="0.35">
      <c r="A141">
        <v>139</v>
      </c>
      <c r="B141" s="14">
        <f t="shared" ca="1" si="26"/>
        <v>50300</v>
      </c>
      <c r="C141" s="15">
        <f ca="1">(1+('Symulacja Pożyczka'!$B$7+'Symulacja Pożyczka'!$B$16)*('Arkusz1 (3)'!B141-'Arkusz1 (3)'!B140)/365)</f>
        <v>1.0062849315068494</v>
      </c>
      <c r="D141" s="15">
        <f ca="1">(1+('Symulacja Pożyczka'!$B$7+'Symulacja Pożyczka'!$B$16)*('Arkusz1 (3)'!B141-'Arkusz1 (3)'!B140)/366)</f>
        <v>1.0062677595628415</v>
      </c>
      <c r="E141" s="15">
        <f t="shared" ca="1" si="18"/>
        <v>0</v>
      </c>
      <c r="F141" s="15">
        <f t="shared" ca="1" si="19"/>
        <v>0</v>
      </c>
      <c r="G141">
        <f ca="1">IF(E141=1,(1+('Symulacja Pożyczka'!$B$7+'Symulacja Pożyczka'!$B$16)*((('Arkusz1 (3)'!B141-DATE(YEAR(B141),1,1)+1)/365)+((DATE(YEAR(B140),12,31)-'Arkusz1 (3)'!B140)/366))),IF(F141=1,(1+('Symulacja Pożyczka'!$B$7+'Symulacja Pożyczka'!$B$16)*((('Arkusz1 (3)'!B141-DATE(YEAR(B141),1,1)+1)/366)+((DATE(YEAR(B140),12,31)-'Arkusz1 (3)'!B140)/365))),0))</f>
        <v>0</v>
      </c>
      <c r="H141">
        <f t="shared" ca="1" si="20"/>
        <v>0</v>
      </c>
      <c r="I141">
        <f t="shared" ca="1" si="21"/>
        <v>1.0062849315068494</v>
      </c>
      <c r="J141">
        <f t="shared" ca="1" si="22"/>
        <v>1.0062849315068494</v>
      </c>
      <c r="K141">
        <f ca="1">PRODUCT($J$3:J141)</f>
        <v>2.3436833242911992</v>
      </c>
      <c r="L141">
        <f t="shared" ca="1" si="23"/>
        <v>0.4266788049543469</v>
      </c>
      <c r="M141">
        <f ca="1">SUM($L$3:L141)</f>
        <v>93.434950027827</v>
      </c>
      <c r="O141">
        <f ca="1">(Q140*'Arkusz1 (3)'!J141)-Q140</f>
        <v>-1728.4989224887104</v>
      </c>
      <c r="P141" s="16">
        <f t="shared" ca="1" si="24"/>
        <v>16222.735394387473</v>
      </c>
      <c r="Q141" s="17">
        <f t="shared" ca="1" si="25"/>
        <v>-291245.44973979762</v>
      </c>
    </row>
    <row r="142" spans="1:17" x14ac:dyDescent="0.35">
      <c r="A142">
        <v>140</v>
      </c>
      <c r="B142" s="14">
        <f t="shared" ca="1" si="26"/>
        <v>50330</v>
      </c>
      <c r="C142" s="15">
        <f ca="1">(1+('Symulacja Pożyczka'!$B$7+'Symulacja Pożyczka'!$B$16)*('Arkusz1 (3)'!B142-'Arkusz1 (3)'!B141)/365)</f>
        <v>1.0060821917808218</v>
      </c>
      <c r="D142" s="15">
        <f ca="1">(1+('Symulacja Pożyczka'!$B$7+'Symulacja Pożyczka'!$B$16)*('Arkusz1 (3)'!B142-'Arkusz1 (3)'!B141)/366)</f>
        <v>1.0060655737704918</v>
      </c>
      <c r="E142" s="15">
        <f t="shared" ca="1" si="18"/>
        <v>0</v>
      </c>
      <c r="F142" s="15">
        <f t="shared" ca="1" si="19"/>
        <v>0</v>
      </c>
      <c r="G142">
        <f ca="1">IF(E142=1,(1+('Symulacja Pożyczka'!$B$7+'Symulacja Pożyczka'!$B$16)*((('Arkusz1 (3)'!B142-DATE(YEAR(B142),1,1)+1)/365)+((DATE(YEAR(B141),12,31)-'Arkusz1 (3)'!B141)/366))),IF(F142=1,(1+('Symulacja Pożyczka'!$B$7+'Symulacja Pożyczka'!$B$16)*((('Arkusz1 (3)'!B142-DATE(YEAR(B142),1,1)+1)/366)+((DATE(YEAR(B141),12,31)-'Arkusz1 (3)'!B141)/365))),0))</f>
        <v>0</v>
      </c>
      <c r="H142">
        <f t="shared" ca="1" si="20"/>
        <v>0</v>
      </c>
      <c r="I142">
        <f t="shared" ca="1" si="21"/>
        <v>1.0060821917808218</v>
      </c>
      <c r="J142">
        <f t="shared" ca="1" si="22"/>
        <v>1.0060821917808218</v>
      </c>
      <c r="K142">
        <f ca="1">PRODUCT($J$3:J142)</f>
        <v>2.3579380557430523</v>
      </c>
      <c r="L142">
        <f t="shared" ca="1" si="23"/>
        <v>0.42409935136522153</v>
      </c>
      <c r="M142">
        <f ca="1">SUM($L$3:L142)</f>
        <v>93.859049379192228</v>
      </c>
      <c r="O142">
        <f ca="1">(Q141*'Arkusz1 (3)'!J142)-Q141</f>
        <v>-1771.4106806091731</v>
      </c>
      <c r="P142" s="16">
        <f t="shared" ca="1" si="24"/>
        <v>16265.647152507936</v>
      </c>
      <c r="Q142" s="17">
        <f t="shared" ca="1" si="25"/>
        <v>-307511.09689230553</v>
      </c>
    </row>
    <row r="143" spans="1:17" x14ac:dyDescent="0.35">
      <c r="A143">
        <v>141</v>
      </c>
      <c r="B143" s="14">
        <f t="shared" ca="1" si="26"/>
        <v>50361</v>
      </c>
      <c r="C143" s="15">
        <f ca="1">(1+('Symulacja Pożyczka'!$B$7+'Symulacja Pożyczka'!$B$16)*('Arkusz1 (3)'!B143-'Arkusz1 (3)'!B142)/365)</f>
        <v>1.0062849315068494</v>
      </c>
      <c r="D143" s="15">
        <f ca="1">(1+('Symulacja Pożyczka'!$B$7+'Symulacja Pożyczka'!$B$16)*('Arkusz1 (3)'!B143-'Arkusz1 (3)'!B142)/366)</f>
        <v>1.0062677595628415</v>
      </c>
      <c r="E143" s="15">
        <f t="shared" ca="1" si="18"/>
        <v>0</v>
      </c>
      <c r="F143" s="15">
        <f t="shared" ca="1" si="19"/>
        <v>0</v>
      </c>
      <c r="G143">
        <f ca="1">IF(E143=1,(1+('Symulacja Pożyczka'!$B$7+'Symulacja Pożyczka'!$B$16)*((('Arkusz1 (3)'!B143-DATE(YEAR(B143),1,1)+1)/365)+((DATE(YEAR(B142),12,31)-'Arkusz1 (3)'!B142)/366))),IF(F143=1,(1+('Symulacja Pożyczka'!$B$7+'Symulacja Pożyczka'!$B$16)*((('Arkusz1 (3)'!B143-DATE(YEAR(B143),1,1)+1)/366)+((DATE(YEAR(B142),12,31)-'Arkusz1 (3)'!B142)/365))),0))</f>
        <v>0</v>
      </c>
      <c r="H143">
        <f t="shared" ca="1" si="20"/>
        <v>0</v>
      </c>
      <c r="I143">
        <f t="shared" ca="1" si="21"/>
        <v>1.0062849315068494</v>
      </c>
      <c r="J143">
        <f t="shared" ca="1" si="22"/>
        <v>1.0062849315068494</v>
      </c>
      <c r="K143">
        <f ca="1">PRODUCT($J$3:J143)</f>
        <v>2.3727575349207908</v>
      </c>
      <c r="L143">
        <f t="shared" ca="1" si="23"/>
        <v>0.4214505634404751</v>
      </c>
      <c r="M143">
        <f ca="1">SUM($L$3:L143)</f>
        <v>94.280499942632702</v>
      </c>
      <c r="O143">
        <f ca="1">(Q142*'Arkusz1 (3)'!J143)-Q142</f>
        <v>-1932.6861815642915</v>
      </c>
      <c r="P143" s="16">
        <f t="shared" ca="1" si="24"/>
        <v>16426.922653463054</v>
      </c>
      <c r="Q143" s="17">
        <f t="shared" ca="1" si="25"/>
        <v>-323938.01954576856</v>
      </c>
    </row>
    <row r="144" spans="1:17" x14ac:dyDescent="0.35">
      <c r="A144">
        <v>142</v>
      </c>
      <c r="B144" s="14">
        <f t="shared" ca="1" si="26"/>
        <v>50391</v>
      </c>
      <c r="C144" s="15">
        <f ca="1">(1+('Symulacja Pożyczka'!$B$7+'Symulacja Pożyczka'!$B$16)*('Arkusz1 (3)'!B144-'Arkusz1 (3)'!B143)/365)</f>
        <v>1.0060821917808218</v>
      </c>
      <c r="D144" s="15">
        <f ca="1">(1+('Symulacja Pożyczka'!$B$7+'Symulacja Pożyczka'!$B$16)*('Arkusz1 (3)'!B144-'Arkusz1 (3)'!B143)/366)</f>
        <v>1.0060655737704918</v>
      </c>
      <c r="E144" s="15">
        <f t="shared" ca="1" si="18"/>
        <v>0</v>
      </c>
      <c r="F144" s="15">
        <f t="shared" ca="1" si="19"/>
        <v>0</v>
      </c>
      <c r="G144">
        <f ca="1">IF(E144=1,(1+('Symulacja Pożyczka'!$B$7+'Symulacja Pożyczka'!$B$16)*((('Arkusz1 (3)'!B144-DATE(YEAR(B144),1,1)+1)/365)+((DATE(YEAR(B143),12,31)-'Arkusz1 (3)'!B143)/366))),IF(F144=1,(1+('Symulacja Pożyczka'!$B$7+'Symulacja Pożyczka'!$B$16)*((('Arkusz1 (3)'!B144-DATE(YEAR(B144),1,1)+1)/366)+((DATE(YEAR(B143),12,31)-'Arkusz1 (3)'!B143)/365))),0))</f>
        <v>0</v>
      </c>
      <c r="H144">
        <f t="shared" ca="1" si="20"/>
        <v>0</v>
      </c>
      <c r="I144">
        <f t="shared" ca="1" si="21"/>
        <v>1.0060821917808218</v>
      </c>
      <c r="J144">
        <f t="shared" ca="1" si="22"/>
        <v>1.0060821917808218</v>
      </c>
      <c r="K144">
        <f ca="1">PRODUCT($J$3:J144)</f>
        <v>2.3871891012975692</v>
      </c>
      <c r="L144">
        <f t="shared" ca="1" si="23"/>
        <v>0.41890271677951474</v>
      </c>
      <c r="M144">
        <f ca="1">SUM($L$3:L144)</f>
        <v>94.699402659412215</v>
      </c>
      <c r="O144">
        <f ca="1">(Q143*'Arkusz1 (3)'!J144)-Q143</f>
        <v>-1970.2531599769718</v>
      </c>
      <c r="P144" s="16">
        <f t="shared" ca="1" si="24"/>
        <v>16464.489631875735</v>
      </c>
      <c r="Q144" s="17">
        <f t="shared" ca="1" si="25"/>
        <v>-340402.50917764427</v>
      </c>
    </row>
    <row r="145" spans="1:17" x14ac:dyDescent="0.35">
      <c r="A145">
        <v>143</v>
      </c>
      <c r="B145" s="14">
        <f t="shared" ca="1" si="26"/>
        <v>50422</v>
      </c>
      <c r="C145" s="15">
        <f ca="1">(1+('Symulacja Pożyczka'!$B$7+'Symulacja Pożyczka'!$B$16)*('Arkusz1 (3)'!B145-'Arkusz1 (3)'!B144)/365)</f>
        <v>1.0062849315068494</v>
      </c>
      <c r="D145" s="15">
        <f ca="1">(1+('Symulacja Pożyczka'!$B$7+'Symulacja Pożyczka'!$B$16)*('Arkusz1 (3)'!B145-'Arkusz1 (3)'!B144)/366)</f>
        <v>1.0062677595628415</v>
      </c>
      <c r="E145" s="15">
        <f t="shared" ca="1" si="18"/>
        <v>0</v>
      </c>
      <c r="F145" s="15">
        <f t="shared" ca="1" si="19"/>
        <v>0</v>
      </c>
      <c r="G145">
        <f ca="1">IF(E145=1,(1+('Symulacja Pożyczka'!$B$7+'Symulacja Pożyczka'!$B$16)*((('Arkusz1 (3)'!B145-DATE(YEAR(B145),1,1)+1)/365)+((DATE(YEAR(B144),12,31)-'Arkusz1 (3)'!B144)/366))),IF(F145=1,(1+('Symulacja Pożyczka'!$B$7+'Symulacja Pożyczka'!$B$16)*((('Arkusz1 (3)'!B145-DATE(YEAR(B145),1,1)+1)/366)+((DATE(YEAR(B144),12,31)-'Arkusz1 (3)'!B144)/365))),0))</f>
        <v>0</v>
      </c>
      <c r="H145">
        <f t="shared" ca="1" si="20"/>
        <v>0</v>
      </c>
      <c r="I145">
        <f t="shared" ca="1" si="21"/>
        <v>1.0062849315068494</v>
      </c>
      <c r="J145">
        <f t="shared" ca="1" si="22"/>
        <v>1.0062849315068494</v>
      </c>
      <c r="K145">
        <f ca="1">PRODUCT($J$3:J145)</f>
        <v>2.4021924212931216</v>
      </c>
      <c r="L145">
        <f t="shared" ca="1" si="23"/>
        <v>0.41628638536029144</v>
      </c>
      <c r="M145">
        <f ca="1">SUM($L$3:L145)</f>
        <v>95.115689044772509</v>
      </c>
      <c r="O145">
        <f ca="1">(Q144*'Arkusz1 (3)'!J145)-Q144</f>
        <v>-2139.4064549411414</v>
      </c>
      <c r="P145" s="16">
        <f t="shared" ca="1" si="24"/>
        <v>16633.642926839904</v>
      </c>
      <c r="Q145" s="17">
        <f t="shared" ca="1" si="25"/>
        <v>-357036.15210448415</v>
      </c>
    </row>
    <row r="146" spans="1:17" x14ac:dyDescent="0.35">
      <c r="A146">
        <v>144</v>
      </c>
      <c r="B146" s="14">
        <f t="shared" ca="1" si="26"/>
        <v>50453</v>
      </c>
      <c r="C146" s="15">
        <f ca="1">(1+('Symulacja Pożyczka'!$B$7+'Symulacja Pożyczka'!$B$16)*('Arkusz1 (3)'!B146-'Arkusz1 (3)'!B145)/365)</f>
        <v>1.0062849315068494</v>
      </c>
      <c r="D146" s="15">
        <f ca="1">(1+('Symulacja Pożyczka'!$B$7+'Symulacja Pożyczka'!$B$16)*('Arkusz1 (3)'!B146-'Arkusz1 (3)'!B145)/366)</f>
        <v>1.0062677595628415</v>
      </c>
      <c r="E146" s="15">
        <f t="shared" ca="1" si="18"/>
        <v>0</v>
      </c>
      <c r="F146" s="15">
        <f t="shared" ca="1" si="19"/>
        <v>0</v>
      </c>
      <c r="G146">
        <f ca="1">IF(E146=1,(1+('Symulacja Pożyczka'!$B$7+'Symulacja Pożyczka'!$B$16)*((('Arkusz1 (3)'!B146-DATE(YEAR(B146),1,1)+1)/365)+((DATE(YEAR(B145),12,31)-'Arkusz1 (3)'!B145)/366))),IF(F146=1,(1+('Symulacja Pożyczka'!$B$7+'Symulacja Pożyczka'!$B$16)*((('Arkusz1 (3)'!B146-DATE(YEAR(B146),1,1)+1)/366)+((DATE(YEAR(B145),12,31)-'Arkusz1 (3)'!B145)/365))),0))</f>
        <v>0</v>
      </c>
      <c r="H146">
        <f t="shared" ca="1" si="20"/>
        <v>0</v>
      </c>
      <c r="I146">
        <f t="shared" ca="1" si="21"/>
        <v>1.0062849315068494</v>
      </c>
      <c r="J146">
        <f t="shared" ca="1" si="22"/>
        <v>1.0062849315068494</v>
      </c>
      <c r="K146">
        <f ca="1">PRODUCT($J$3:J146)</f>
        <v>2.4172900361272216</v>
      </c>
      <c r="L146">
        <f t="shared" ca="1" si="23"/>
        <v>0.41368639470425972</v>
      </c>
      <c r="M146">
        <f ca="1">SUM($L$3:L146)</f>
        <v>95.529375439476766</v>
      </c>
      <c r="O146">
        <f ca="1">(Q145*'Arkusz1 (3)'!J146)-Q145</f>
        <v>-2243.9477614457719</v>
      </c>
      <c r="P146" s="16">
        <f t="shared" ca="1" si="24"/>
        <v>16738.184233344535</v>
      </c>
      <c r="Q146" s="17">
        <f t="shared" ca="1" si="25"/>
        <v>-373774.33633782866</v>
      </c>
    </row>
    <row r="147" spans="1:17" x14ac:dyDescent="0.35">
      <c r="A147">
        <v>145</v>
      </c>
      <c r="B147" s="14">
        <f t="shared" ca="1" si="26"/>
        <v>50481</v>
      </c>
      <c r="C147" s="15">
        <f ca="1">(1+('Symulacja Pożyczka'!$B$7+'Symulacja Pożyczka'!$B$16)*('Arkusz1 (3)'!B147-'Arkusz1 (3)'!B146)/365)</f>
        <v>1.0056767123287671</v>
      </c>
      <c r="D147" s="15">
        <f ca="1">(1+('Symulacja Pożyczka'!$B$7+'Symulacja Pożyczka'!$B$16)*('Arkusz1 (3)'!B147-'Arkusz1 (3)'!B146)/366)</f>
        <v>1.0056612021857922</v>
      </c>
      <c r="E147" s="15">
        <f t="shared" ca="1" si="18"/>
        <v>0</v>
      </c>
      <c r="F147" s="15">
        <f t="shared" ca="1" si="19"/>
        <v>0</v>
      </c>
      <c r="G147">
        <f ca="1">IF(E147=1,(1+('Symulacja Pożyczka'!$B$7+'Symulacja Pożyczka'!$B$16)*((('Arkusz1 (3)'!B147-DATE(YEAR(B147),1,1)+1)/365)+((DATE(YEAR(B146),12,31)-'Arkusz1 (3)'!B146)/366))),IF(F147=1,(1+('Symulacja Pożyczka'!$B$7+'Symulacja Pożyczka'!$B$16)*((('Arkusz1 (3)'!B147-DATE(YEAR(B147),1,1)+1)/366)+((DATE(YEAR(B146),12,31)-'Arkusz1 (3)'!B146)/365))),0))</f>
        <v>0</v>
      </c>
      <c r="H147">
        <f t="shared" ca="1" si="20"/>
        <v>0</v>
      </c>
      <c r="I147">
        <f t="shared" ca="1" si="21"/>
        <v>1.0056767123287671</v>
      </c>
      <c r="J147">
        <f t="shared" ca="1" si="22"/>
        <v>1.0056767123287671</v>
      </c>
      <c r="K147">
        <f ca="1">PRODUCT($J$3:J147)</f>
        <v>2.4310122962775109</v>
      </c>
      <c r="L147">
        <f t="shared" ca="1" si="23"/>
        <v>0.41135127186779374</v>
      </c>
      <c r="M147">
        <f ca="1">SUM($L$3:L147)</f>
        <v>95.940726711344553</v>
      </c>
      <c r="O147">
        <f ca="1">(Q146*'Arkusz1 (3)'!J147)-Q146</f>
        <v>-2121.8093832656741</v>
      </c>
      <c r="P147" s="16">
        <f t="shared" ca="1" si="24"/>
        <v>16616.045855164437</v>
      </c>
      <c r="Q147" s="17">
        <f t="shared" ca="1" si="25"/>
        <v>-390390.38219299307</v>
      </c>
    </row>
    <row r="148" spans="1:17" x14ac:dyDescent="0.35">
      <c r="A148">
        <v>146</v>
      </c>
      <c r="B148" s="14">
        <f t="shared" ca="1" si="26"/>
        <v>50512</v>
      </c>
      <c r="C148" s="15">
        <f ca="1">(1+('Symulacja Pożyczka'!$B$7+'Symulacja Pożyczka'!$B$16)*('Arkusz1 (3)'!B148-'Arkusz1 (3)'!B147)/365)</f>
        <v>1.0062849315068494</v>
      </c>
      <c r="D148" s="15">
        <f ca="1">(1+('Symulacja Pożyczka'!$B$7+'Symulacja Pożyczka'!$B$16)*('Arkusz1 (3)'!B148-'Arkusz1 (3)'!B147)/366)</f>
        <v>1.0062677595628415</v>
      </c>
      <c r="E148" s="15">
        <f t="shared" ca="1" si="18"/>
        <v>0</v>
      </c>
      <c r="F148" s="15">
        <f t="shared" ca="1" si="19"/>
        <v>0</v>
      </c>
      <c r="G148">
        <f ca="1">IF(E148=1,(1+('Symulacja Pożyczka'!$B$7+'Symulacja Pożyczka'!$B$16)*((('Arkusz1 (3)'!B148-DATE(YEAR(B148),1,1)+1)/365)+((DATE(YEAR(B147),12,31)-'Arkusz1 (3)'!B147)/366))),IF(F148=1,(1+('Symulacja Pożyczka'!$B$7+'Symulacja Pożyczka'!$B$16)*((('Arkusz1 (3)'!B148-DATE(YEAR(B148),1,1)+1)/366)+((DATE(YEAR(B147),12,31)-'Arkusz1 (3)'!B147)/365))),0))</f>
        <v>0</v>
      </c>
      <c r="H148">
        <f t="shared" ca="1" si="20"/>
        <v>0</v>
      </c>
      <c r="I148">
        <f t="shared" ca="1" si="21"/>
        <v>1.0062849315068494</v>
      </c>
      <c r="J148">
        <f t="shared" ca="1" si="22"/>
        <v>1.0062849315068494</v>
      </c>
      <c r="K148">
        <f ca="1">PRODUCT($J$3:J148)</f>
        <v>2.4462910420519237</v>
      </c>
      <c r="L148">
        <f t="shared" ca="1" si="23"/>
        <v>0.40878210434078616</v>
      </c>
      <c r="M148">
        <f ca="1">SUM($L$3:L148)</f>
        <v>96.34950881568534</v>
      </c>
      <c r="O148">
        <f ca="1">(Q147*'Arkusz1 (3)'!J148)-Q147</f>
        <v>-2453.5768130157376</v>
      </c>
      <c r="P148" s="16">
        <f t="shared" ca="1" si="24"/>
        <v>16947.8132849145</v>
      </c>
      <c r="Q148" s="17">
        <f t="shared" ca="1" si="25"/>
        <v>-407338.19547790755</v>
      </c>
    </row>
    <row r="149" spans="1:17" x14ac:dyDescent="0.35">
      <c r="A149">
        <v>147</v>
      </c>
      <c r="B149" s="14">
        <f t="shared" ca="1" si="26"/>
        <v>50542</v>
      </c>
      <c r="C149" s="15">
        <f ca="1">(1+('Symulacja Pożyczka'!$B$7+'Symulacja Pożyczka'!$B$16)*('Arkusz1 (3)'!B149-'Arkusz1 (3)'!B148)/365)</f>
        <v>1.0060821917808218</v>
      </c>
      <c r="D149" s="15">
        <f ca="1">(1+('Symulacja Pożyczka'!$B$7+'Symulacja Pożyczka'!$B$16)*('Arkusz1 (3)'!B149-'Arkusz1 (3)'!B148)/366)</f>
        <v>1.0060655737704918</v>
      </c>
      <c r="E149" s="15">
        <f t="shared" ca="1" si="18"/>
        <v>0</v>
      </c>
      <c r="F149" s="15">
        <f t="shared" ca="1" si="19"/>
        <v>0</v>
      </c>
      <c r="G149">
        <f ca="1">IF(E149=1,(1+('Symulacja Pożyczka'!$B$7+'Symulacja Pożyczka'!$B$16)*((('Arkusz1 (3)'!B149-DATE(YEAR(B149),1,1)+1)/365)+((DATE(YEAR(B148),12,31)-'Arkusz1 (3)'!B148)/366))),IF(F149=1,(1+('Symulacja Pożyczka'!$B$7+'Symulacja Pożyczka'!$B$16)*((('Arkusz1 (3)'!B149-DATE(YEAR(B149),1,1)+1)/366)+((DATE(YEAR(B148),12,31)-'Arkusz1 (3)'!B148)/365))),0))</f>
        <v>0</v>
      </c>
      <c r="H149">
        <f t="shared" ca="1" si="20"/>
        <v>0</v>
      </c>
      <c r="I149">
        <f t="shared" ca="1" si="21"/>
        <v>1.0060821917808218</v>
      </c>
      <c r="J149">
        <f t="shared" ca="1" si="22"/>
        <v>1.0060821917808218</v>
      </c>
      <c r="K149">
        <f ca="1">PRODUCT($J$3:J149)</f>
        <v>2.4611698533213899</v>
      </c>
      <c r="L149">
        <f t="shared" ca="1" si="23"/>
        <v>0.40631084386576705</v>
      </c>
      <c r="M149">
        <f ca="1">SUM($L$3:L149)</f>
        <v>96.755819659551108</v>
      </c>
      <c r="O149">
        <f ca="1">(Q148*'Arkusz1 (3)'!J149)-Q148</f>
        <v>-2477.509024550498</v>
      </c>
      <c r="P149" s="16">
        <f t="shared" ca="1" si="24"/>
        <v>16971.745496449261</v>
      </c>
      <c r="Q149" s="17">
        <f t="shared" ca="1" si="25"/>
        <v>-424309.94097435678</v>
      </c>
    </row>
    <row r="150" spans="1:17" x14ac:dyDescent="0.35">
      <c r="A150">
        <v>148</v>
      </c>
      <c r="B150" s="14">
        <f t="shared" ca="1" si="26"/>
        <v>50573</v>
      </c>
      <c r="C150" s="15">
        <f ca="1">(1+('Symulacja Pożyczka'!$B$7+'Symulacja Pożyczka'!$B$16)*('Arkusz1 (3)'!B150-'Arkusz1 (3)'!B149)/365)</f>
        <v>1.0062849315068494</v>
      </c>
      <c r="D150" s="15">
        <f ca="1">(1+('Symulacja Pożyczka'!$B$7+'Symulacja Pożyczka'!$B$16)*('Arkusz1 (3)'!B150-'Arkusz1 (3)'!B149)/366)</f>
        <v>1.0062677595628415</v>
      </c>
      <c r="E150" s="15">
        <f t="shared" ca="1" si="18"/>
        <v>0</v>
      </c>
      <c r="F150" s="15">
        <f t="shared" ca="1" si="19"/>
        <v>0</v>
      </c>
      <c r="G150">
        <f ca="1">IF(E150=1,(1+('Symulacja Pożyczka'!$B$7+'Symulacja Pożyczka'!$B$16)*((('Arkusz1 (3)'!B150-DATE(YEAR(B150),1,1)+1)/365)+((DATE(YEAR(B149),12,31)-'Arkusz1 (3)'!B149)/366))),IF(F150=1,(1+('Symulacja Pożyczka'!$B$7+'Symulacja Pożyczka'!$B$16)*((('Arkusz1 (3)'!B150-DATE(YEAR(B150),1,1)+1)/366)+((DATE(YEAR(B149),12,31)-'Arkusz1 (3)'!B149)/365))),0))</f>
        <v>0</v>
      </c>
      <c r="H150">
        <f t="shared" ca="1" si="20"/>
        <v>0</v>
      </c>
      <c r="I150">
        <f t="shared" ca="1" si="21"/>
        <v>1.0062849315068494</v>
      </c>
      <c r="J150">
        <f t="shared" ca="1" si="22"/>
        <v>1.0062849315068494</v>
      </c>
      <c r="K150">
        <f ca="1">PRODUCT($J$3:J150)</f>
        <v>2.4766381372762374</v>
      </c>
      <c r="L150">
        <f t="shared" ca="1" si="23"/>
        <v>0.40377315722828294</v>
      </c>
      <c r="M150">
        <f ca="1">SUM($L$3:L150)</f>
        <v>97.159592816779394</v>
      </c>
      <c r="O150">
        <f ca="1">(Q149*'Arkusz1 (3)'!J150)-Q149</f>
        <v>-2666.7589166991529</v>
      </c>
      <c r="P150" s="16">
        <f t="shared" ca="1" si="24"/>
        <v>17160.995388597916</v>
      </c>
      <c r="Q150" s="17">
        <f t="shared" ca="1" si="25"/>
        <v>-441470.93636295467</v>
      </c>
    </row>
    <row r="151" spans="1:17" x14ac:dyDescent="0.35">
      <c r="A151">
        <v>149</v>
      </c>
      <c r="B151" s="14">
        <f t="shared" ca="1" si="26"/>
        <v>50603</v>
      </c>
      <c r="C151" s="15">
        <f ca="1">(1+('Symulacja Pożyczka'!$B$7+'Symulacja Pożyczka'!$B$16)*('Arkusz1 (3)'!B151-'Arkusz1 (3)'!B150)/365)</f>
        <v>1.0060821917808218</v>
      </c>
      <c r="D151" s="15">
        <f ca="1">(1+('Symulacja Pożyczka'!$B$7+'Symulacja Pożyczka'!$B$16)*('Arkusz1 (3)'!B151-'Arkusz1 (3)'!B150)/366)</f>
        <v>1.0060655737704918</v>
      </c>
      <c r="E151" s="15">
        <f t="shared" ca="1" si="18"/>
        <v>0</v>
      </c>
      <c r="F151" s="15">
        <f t="shared" ca="1" si="19"/>
        <v>0</v>
      </c>
      <c r="G151">
        <f ca="1">IF(E151=1,(1+('Symulacja Pożyczka'!$B$7+'Symulacja Pożyczka'!$B$16)*((('Arkusz1 (3)'!B151-DATE(YEAR(B151),1,1)+1)/365)+((DATE(YEAR(B150),12,31)-'Arkusz1 (3)'!B150)/366))),IF(F151=1,(1+('Symulacja Pożyczka'!$B$7+'Symulacja Pożyczka'!$B$16)*((('Arkusz1 (3)'!B151-DATE(YEAR(B151),1,1)+1)/366)+((DATE(YEAR(B150),12,31)-'Arkusz1 (3)'!B150)/365))),0))</f>
        <v>0</v>
      </c>
      <c r="H151">
        <f t="shared" ca="1" si="20"/>
        <v>0</v>
      </c>
      <c r="I151">
        <f t="shared" ca="1" si="21"/>
        <v>1.0060821917808218</v>
      </c>
      <c r="J151">
        <f t="shared" ca="1" si="22"/>
        <v>1.0060821917808218</v>
      </c>
      <c r="K151">
        <f ca="1">PRODUCT($J$3:J151)</f>
        <v>2.4917015253988488</v>
      </c>
      <c r="L151">
        <f t="shared" ca="1" si="23"/>
        <v>0.40133217795415088</v>
      </c>
      <c r="M151">
        <f ca="1">SUM($L$3:L151)</f>
        <v>97.56092499473354</v>
      </c>
      <c r="O151">
        <f ca="1">(Q150*'Arkusz1 (3)'!J151)-Q150</f>
        <v>-2685.1109006184852</v>
      </c>
      <c r="P151" s="16">
        <f t="shared" ca="1" si="24"/>
        <v>17179.347372517248</v>
      </c>
      <c r="Q151" s="17">
        <f t="shared" ca="1" si="25"/>
        <v>-458650.28373547189</v>
      </c>
    </row>
    <row r="152" spans="1:17" x14ac:dyDescent="0.35">
      <c r="A152">
        <v>150</v>
      </c>
      <c r="B152" s="14">
        <f t="shared" ca="1" si="26"/>
        <v>50634</v>
      </c>
      <c r="C152" s="15">
        <f ca="1">(1+('Symulacja Pożyczka'!$B$7+'Symulacja Pożyczka'!$B$16)*('Arkusz1 (3)'!B152-'Arkusz1 (3)'!B151)/365)</f>
        <v>1.0062849315068494</v>
      </c>
      <c r="D152" s="15">
        <f ca="1">(1+('Symulacja Pożyczka'!$B$7+'Symulacja Pożyczka'!$B$16)*('Arkusz1 (3)'!B152-'Arkusz1 (3)'!B151)/366)</f>
        <v>1.0062677595628415</v>
      </c>
      <c r="E152" s="15">
        <f t="shared" ca="1" si="18"/>
        <v>0</v>
      </c>
      <c r="F152" s="15">
        <f t="shared" ca="1" si="19"/>
        <v>0</v>
      </c>
      <c r="G152">
        <f ca="1">IF(E152=1,(1+('Symulacja Pożyczka'!$B$7+'Symulacja Pożyczka'!$B$16)*((('Arkusz1 (3)'!B152-DATE(YEAR(B152),1,1)+1)/365)+((DATE(YEAR(B151),12,31)-'Arkusz1 (3)'!B151)/366))),IF(F152=1,(1+('Symulacja Pożyczka'!$B$7+'Symulacja Pożyczka'!$B$16)*((('Arkusz1 (3)'!B152-DATE(YEAR(B152),1,1)+1)/366)+((DATE(YEAR(B151),12,31)-'Arkusz1 (3)'!B151)/365))),0))</f>
        <v>0</v>
      </c>
      <c r="H152">
        <f t="shared" ca="1" si="20"/>
        <v>0</v>
      </c>
      <c r="I152">
        <f t="shared" ca="1" si="21"/>
        <v>1.0062849315068494</v>
      </c>
      <c r="J152">
        <f t="shared" ca="1" si="22"/>
        <v>1.0062849315068494</v>
      </c>
      <c r="K152">
        <f ca="1">PRODUCT($J$3:J152)</f>
        <v>2.5073616988214926</v>
      </c>
      <c r="L152">
        <f t="shared" ca="1" si="23"/>
        <v>0.39882558646007032</v>
      </c>
      <c r="M152">
        <f ca="1">SUM($L$3:L152)</f>
        <v>97.959750581193617</v>
      </c>
      <c r="O152">
        <f ca="1">(Q151*'Arkusz1 (3)'!J152)-Q151</f>
        <v>-2882.5856188744656</v>
      </c>
      <c r="P152" s="16">
        <f t="shared" ca="1" si="24"/>
        <v>17376.822090773228</v>
      </c>
      <c r="Q152" s="17">
        <f t="shared" ca="1" si="25"/>
        <v>-476027.1058262451</v>
      </c>
    </row>
    <row r="153" spans="1:17" x14ac:dyDescent="0.35">
      <c r="A153">
        <v>151</v>
      </c>
      <c r="B153" s="14">
        <f t="shared" ca="1" si="26"/>
        <v>50665</v>
      </c>
      <c r="C153" s="15">
        <f ca="1">(1+('Symulacja Pożyczka'!$B$7+'Symulacja Pożyczka'!$B$16)*('Arkusz1 (3)'!B153-'Arkusz1 (3)'!B152)/365)</f>
        <v>1.0062849315068494</v>
      </c>
      <c r="D153" s="15">
        <f ca="1">(1+('Symulacja Pożyczka'!$B$7+'Symulacja Pożyczka'!$B$16)*('Arkusz1 (3)'!B153-'Arkusz1 (3)'!B152)/366)</f>
        <v>1.0062677595628415</v>
      </c>
      <c r="E153" s="15">
        <f t="shared" ca="1" si="18"/>
        <v>0</v>
      </c>
      <c r="F153" s="15">
        <f t="shared" ca="1" si="19"/>
        <v>0</v>
      </c>
      <c r="G153">
        <f ca="1">IF(E153=1,(1+('Symulacja Pożyczka'!$B$7+'Symulacja Pożyczka'!$B$16)*((('Arkusz1 (3)'!B153-DATE(YEAR(B153),1,1)+1)/365)+((DATE(YEAR(B152),12,31)-'Arkusz1 (3)'!B152)/366))),IF(F153=1,(1+('Symulacja Pożyczka'!$B$7+'Symulacja Pożyczka'!$B$16)*((('Arkusz1 (3)'!B153-DATE(YEAR(B153),1,1)+1)/366)+((DATE(YEAR(B152),12,31)-'Arkusz1 (3)'!B152)/365))),0))</f>
        <v>0</v>
      </c>
      <c r="H153">
        <f t="shared" ca="1" si="20"/>
        <v>0</v>
      </c>
      <c r="I153">
        <f t="shared" ca="1" si="21"/>
        <v>1.0062849315068494</v>
      </c>
      <c r="J153">
        <f t="shared" ca="1" si="22"/>
        <v>1.0062849315068494</v>
      </c>
      <c r="K153">
        <f ca="1">PRODUCT($J$3:J153)</f>
        <v>2.5231202953614833</v>
      </c>
      <c r="L153">
        <f t="shared" ca="1" si="23"/>
        <v>0.3963346503289617</v>
      </c>
      <c r="M153">
        <f ca="1">SUM($L$3:L153)</f>
        <v>98.356085231522584</v>
      </c>
      <c r="O153">
        <f ca="1">(Q152*'Arkusz1 (3)'!J153)-Q152</f>
        <v>-2991.7977555217221</v>
      </c>
      <c r="P153" s="16">
        <f t="shared" ca="1" si="24"/>
        <v>17486.034227420485</v>
      </c>
      <c r="Q153" s="17">
        <f t="shared" ca="1" si="25"/>
        <v>-493513.14005366556</v>
      </c>
    </row>
    <row r="154" spans="1:17" x14ac:dyDescent="0.35">
      <c r="A154">
        <v>152</v>
      </c>
      <c r="B154" s="14">
        <f t="shared" ca="1" si="26"/>
        <v>50695</v>
      </c>
      <c r="C154" s="15">
        <f ca="1">(1+('Symulacja Pożyczka'!$B$7+'Symulacja Pożyczka'!$B$16)*('Arkusz1 (3)'!B154-'Arkusz1 (3)'!B153)/365)</f>
        <v>1.0060821917808218</v>
      </c>
      <c r="D154" s="15">
        <f ca="1">(1+('Symulacja Pożyczka'!$B$7+'Symulacja Pożyczka'!$B$16)*('Arkusz1 (3)'!B154-'Arkusz1 (3)'!B153)/366)</f>
        <v>1.0060655737704918</v>
      </c>
      <c r="E154" s="15">
        <f t="shared" ca="1" si="18"/>
        <v>0</v>
      </c>
      <c r="F154" s="15">
        <f t="shared" ca="1" si="19"/>
        <v>0</v>
      </c>
      <c r="G154">
        <f ca="1">IF(E154=1,(1+('Symulacja Pożyczka'!$B$7+'Symulacja Pożyczka'!$B$16)*((('Arkusz1 (3)'!B154-DATE(YEAR(B154),1,1)+1)/365)+((DATE(YEAR(B153),12,31)-'Arkusz1 (3)'!B153)/366))),IF(F154=1,(1+('Symulacja Pożyczka'!$B$7+'Symulacja Pożyczka'!$B$16)*((('Arkusz1 (3)'!B154-DATE(YEAR(B154),1,1)+1)/366)+((DATE(YEAR(B153),12,31)-'Arkusz1 (3)'!B153)/365))),0))</f>
        <v>0</v>
      </c>
      <c r="H154">
        <f t="shared" ca="1" si="20"/>
        <v>0</v>
      </c>
      <c r="I154">
        <f t="shared" ca="1" si="21"/>
        <v>1.0060821917808218</v>
      </c>
      <c r="J154">
        <f t="shared" ca="1" si="22"/>
        <v>1.0060821917808218</v>
      </c>
      <c r="K154">
        <f ca="1">PRODUCT($J$3:J154)</f>
        <v>2.5384663968839556</v>
      </c>
      <c r="L154">
        <f t="shared" ca="1" si="23"/>
        <v>0.39393863997078327</v>
      </c>
      <c r="M154">
        <f ca="1">SUM($L$3:L154)</f>
        <v>98.750023871493369</v>
      </c>
      <c r="O154">
        <f ca="1">(Q153*'Arkusz1 (3)'!J154)-Q153</f>
        <v>-3001.6415641619824</v>
      </c>
      <c r="P154" s="16">
        <f t="shared" ca="1" si="24"/>
        <v>17495.878036060745</v>
      </c>
      <c r="Q154" s="17">
        <f t="shared" ca="1" si="25"/>
        <v>-511009.01808972628</v>
      </c>
    </row>
    <row r="155" spans="1:17" x14ac:dyDescent="0.35">
      <c r="A155">
        <v>153</v>
      </c>
      <c r="B155" s="14">
        <f t="shared" ca="1" si="26"/>
        <v>50726</v>
      </c>
      <c r="C155" s="15">
        <f ca="1">(1+('Symulacja Pożyczka'!$B$7+'Symulacja Pożyczka'!$B$16)*('Arkusz1 (3)'!B155-'Arkusz1 (3)'!B154)/365)</f>
        <v>1.0062849315068494</v>
      </c>
      <c r="D155" s="15">
        <f ca="1">(1+('Symulacja Pożyczka'!$B$7+'Symulacja Pożyczka'!$B$16)*('Arkusz1 (3)'!B155-'Arkusz1 (3)'!B154)/366)</f>
        <v>1.0062677595628415</v>
      </c>
      <c r="E155" s="15">
        <f t="shared" ca="1" si="18"/>
        <v>0</v>
      </c>
      <c r="F155" s="15">
        <f t="shared" ca="1" si="19"/>
        <v>0</v>
      </c>
      <c r="G155">
        <f ca="1">IF(E155=1,(1+('Symulacja Pożyczka'!$B$7+'Symulacja Pożyczka'!$B$16)*((('Arkusz1 (3)'!B155-DATE(YEAR(B155),1,1)+1)/365)+((DATE(YEAR(B154),12,31)-'Arkusz1 (3)'!B154)/366))),IF(F155=1,(1+('Symulacja Pożyczka'!$B$7+'Symulacja Pożyczka'!$B$16)*((('Arkusz1 (3)'!B155-DATE(YEAR(B155),1,1)+1)/366)+((DATE(YEAR(B154),12,31)-'Arkusz1 (3)'!B154)/365))),0))</f>
        <v>0</v>
      </c>
      <c r="H155">
        <f t="shared" ca="1" si="20"/>
        <v>0</v>
      </c>
      <c r="I155">
        <f t="shared" ca="1" si="21"/>
        <v>1.0062849315068494</v>
      </c>
      <c r="J155">
        <f t="shared" ca="1" si="22"/>
        <v>1.0062849315068494</v>
      </c>
      <c r="K155">
        <f ca="1">PRODUCT($J$3:J155)</f>
        <v>2.55442048432081</v>
      </c>
      <c r="L155">
        <f t="shared" ca="1" si="23"/>
        <v>0.39147822613311373</v>
      </c>
      <c r="M155">
        <f ca="1">SUM($L$3:L155)</f>
        <v>99.141502097626486</v>
      </c>
      <c r="O155">
        <f ca="1">(Q154*'Arkusz1 (3)'!J155)-Q154</f>
        <v>-3211.6566780763096</v>
      </c>
      <c r="P155" s="16">
        <f t="shared" ca="1" si="24"/>
        <v>17705.893149975072</v>
      </c>
      <c r="Q155" s="17">
        <f t="shared" ca="1" si="25"/>
        <v>-528714.91123970132</v>
      </c>
    </row>
    <row r="156" spans="1:17" x14ac:dyDescent="0.35">
      <c r="A156">
        <v>154</v>
      </c>
      <c r="B156" s="14">
        <f t="shared" ca="1" si="26"/>
        <v>50756</v>
      </c>
      <c r="C156" s="15">
        <f ca="1">(1+('Symulacja Pożyczka'!$B$7+'Symulacja Pożyczka'!$B$16)*('Arkusz1 (3)'!B156-'Arkusz1 (3)'!B155)/365)</f>
        <v>1.0060821917808218</v>
      </c>
      <c r="D156" s="15">
        <f ca="1">(1+('Symulacja Pożyczka'!$B$7+'Symulacja Pożyczka'!$B$16)*('Arkusz1 (3)'!B156-'Arkusz1 (3)'!B155)/366)</f>
        <v>1.0060655737704918</v>
      </c>
      <c r="E156" s="15">
        <f t="shared" ca="1" si="18"/>
        <v>0</v>
      </c>
      <c r="F156" s="15">
        <f t="shared" ca="1" si="19"/>
        <v>0</v>
      </c>
      <c r="G156">
        <f ca="1">IF(E156=1,(1+('Symulacja Pożyczka'!$B$7+'Symulacja Pożyczka'!$B$16)*((('Arkusz1 (3)'!B156-DATE(YEAR(B156),1,1)+1)/365)+((DATE(YEAR(B155),12,31)-'Arkusz1 (3)'!B155)/366))),IF(F156=1,(1+('Symulacja Pożyczka'!$B$7+'Symulacja Pożyczka'!$B$16)*((('Arkusz1 (3)'!B156-DATE(YEAR(B156),1,1)+1)/366)+((DATE(YEAR(B155),12,31)-'Arkusz1 (3)'!B155)/365))),0))</f>
        <v>0</v>
      </c>
      <c r="H156">
        <f t="shared" ca="1" si="20"/>
        <v>0</v>
      </c>
      <c r="I156">
        <f t="shared" ca="1" si="21"/>
        <v>1.0060821917808218</v>
      </c>
      <c r="J156">
        <f t="shared" ca="1" si="22"/>
        <v>1.0060821917808218</v>
      </c>
      <c r="K156">
        <f ca="1">PRODUCT($J$3:J156)</f>
        <v>2.5699569595953089</v>
      </c>
      <c r="L156">
        <f t="shared" ca="1" si="23"/>
        <v>0.38911157491037124</v>
      </c>
      <c r="M156">
        <f ca="1">SUM($L$3:L156)</f>
        <v>99.530613672536859</v>
      </c>
      <c r="O156">
        <f ca="1">(Q155*'Arkusz1 (3)'!J156)-Q155</f>
        <v>-3215.745487540029</v>
      </c>
      <c r="P156" s="16">
        <f t="shared" ca="1" si="24"/>
        <v>17709.981959438792</v>
      </c>
      <c r="Q156" s="17">
        <f t="shared" ca="1" si="25"/>
        <v>-546424.89319914009</v>
      </c>
    </row>
    <row r="157" spans="1:17" x14ac:dyDescent="0.35">
      <c r="A157">
        <v>155</v>
      </c>
      <c r="B157" s="14">
        <f t="shared" ca="1" si="26"/>
        <v>50787</v>
      </c>
      <c r="C157" s="15">
        <f ca="1">(1+('Symulacja Pożyczka'!$B$7+'Symulacja Pożyczka'!$B$16)*('Arkusz1 (3)'!B157-'Arkusz1 (3)'!B156)/365)</f>
        <v>1.0062849315068494</v>
      </c>
      <c r="D157" s="15">
        <f ca="1">(1+('Symulacja Pożyczka'!$B$7+'Symulacja Pożyczka'!$B$16)*('Arkusz1 (3)'!B157-'Arkusz1 (3)'!B156)/366)</f>
        <v>1.0062677595628415</v>
      </c>
      <c r="E157" s="15">
        <f t="shared" ca="1" si="18"/>
        <v>0</v>
      </c>
      <c r="F157" s="15">
        <f t="shared" ca="1" si="19"/>
        <v>0</v>
      </c>
      <c r="G157">
        <f ca="1">IF(E157=1,(1+('Symulacja Pożyczka'!$B$7+'Symulacja Pożyczka'!$B$16)*((('Arkusz1 (3)'!B157-DATE(YEAR(B157),1,1)+1)/365)+((DATE(YEAR(B156),12,31)-'Arkusz1 (3)'!B156)/366))),IF(F157=1,(1+('Symulacja Pożyczka'!$B$7+'Symulacja Pożyczka'!$B$16)*((('Arkusz1 (3)'!B157-DATE(YEAR(B157),1,1)+1)/366)+((DATE(YEAR(B156),12,31)-'Arkusz1 (3)'!B156)/365))),0))</f>
        <v>0</v>
      </c>
      <c r="H157">
        <f t="shared" ca="1" si="20"/>
        <v>0</v>
      </c>
      <c r="I157">
        <f t="shared" ca="1" si="21"/>
        <v>1.0062849315068494</v>
      </c>
      <c r="J157">
        <f t="shared" ca="1" si="22"/>
        <v>1.0062849315068494</v>
      </c>
      <c r="K157">
        <f ca="1">PRODUCT($J$3:J157)</f>
        <v>2.5861089630619163</v>
      </c>
      <c r="L157">
        <f t="shared" ca="1" si="23"/>
        <v>0.38668130936602696</v>
      </c>
      <c r="M157">
        <f ca="1">SUM($L$3:L157)</f>
        <v>99.917294981902884</v>
      </c>
      <c r="O157">
        <f ca="1">(Q156*'Arkusz1 (3)'!J157)-Q156</f>
        <v>-3434.2430273940554</v>
      </c>
      <c r="P157" s="16">
        <f t="shared" ca="1" si="24"/>
        <v>17928.479499292818</v>
      </c>
      <c r="Q157" s="17">
        <f t="shared" ca="1" si="25"/>
        <v>-564353.37269843288</v>
      </c>
    </row>
    <row r="158" spans="1:17" x14ac:dyDescent="0.35">
      <c r="A158">
        <v>156</v>
      </c>
      <c r="B158" s="14">
        <f t="shared" ca="1" si="26"/>
        <v>50818</v>
      </c>
      <c r="C158" s="15">
        <f ca="1">(1+('Symulacja Pożyczka'!$B$7+'Symulacja Pożyczka'!$B$16)*('Arkusz1 (3)'!B158-'Arkusz1 (3)'!B157)/365)</f>
        <v>1.0062849315068494</v>
      </c>
      <c r="D158" s="15">
        <f ca="1">(1+('Symulacja Pożyczka'!$B$7+'Symulacja Pożyczka'!$B$16)*('Arkusz1 (3)'!B158-'Arkusz1 (3)'!B157)/366)</f>
        <v>1.0062677595628415</v>
      </c>
      <c r="E158" s="15">
        <f t="shared" ca="1" si="18"/>
        <v>0</v>
      </c>
      <c r="F158" s="15">
        <f t="shared" ca="1" si="19"/>
        <v>0</v>
      </c>
      <c r="G158">
        <f ca="1">IF(E158=1,(1+('Symulacja Pożyczka'!$B$7+'Symulacja Pożyczka'!$B$16)*((('Arkusz1 (3)'!B158-DATE(YEAR(B158),1,1)+1)/365)+((DATE(YEAR(B157),12,31)-'Arkusz1 (3)'!B157)/366))),IF(F158=1,(1+('Symulacja Pożyczka'!$B$7+'Symulacja Pożyczka'!$B$16)*((('Arkusz1 (3)'!B158-DATE(YEAR(B158),1,1)+1)/366)+((DATE(YEAR(B157),12,31)-'Arkusz1 (3)'!B157)/365))),0))</f>
        <v>0</v>
      </c>
      <c r="H158">
        <f t="shared" ca="1" si="20"/>
        <v>0</v>
      </c>
      <c r="I158">
        <f t="shared" ca="1" si="21"/>
        <v>1.0062849315068494</v>
      </c>
      <c r="J158">
        <f t="shared" ca="1" si="22"/>
        <v>1.0062849315068494</v>
      </c>
      <c r="K158">
        <f ca="1">PRODUCT($J$3:J158)</f>
        <v>2.6023624807640098</v>
      </c>
      <c r="L158">
        <f t="shared" ca="1" si="23"/>
        <v>0.38426622247736097</v>
      </c>
      <c r="M158">
        <f ca="1">SUM($L$3:L158)</f>
        <v>100.30156120438025</v>
      </c>
      <c r="O158">
        <f ca="1">(Q157*'Arkusz1 (3)'!J158)-Q157</f>
        <v>-3546.9222930690739</v>
      </c>
      <c r="P158" s="16">
        <f t="shared" ca="1" si="24"/>
        <v>18041.158764967837</v>
      </c>
      <c r="Q158" s="17">
        <f t="shared" ca="1" si="25"/>
        <v>-582394.53146340069</v>
      </c>
    </row>
    <row r="159" spans="1:17" x14ac:dyDescent="0.35">
      <c r="A159">
        <v>157</v>
      </c>
      <c r="B159" s="14">
        <f t="shared" ca="1" si="26"/>
        <v>50846</v>
      </c>
      <c r="C159" s="15">
        <f ca="1">(1+('Symulacja Pożyczka'!$B$7+'Symulacja Pożyczka'!$B$16)*('Arkusz1 (3)'!B159-'Arkusz1 (3)'!B158)/365)</f>
        <v>1.0056767123287671</v>
      </c>
      <c r="D159" s="15">
        <f ca="1">(1+('Symulacja Pożyczka'!$B$7+'Symulacja Pożyczka'!$B$16)*('Arkusz1 (3)'!B159-'Arkusz1 (3)'!B158)/366)</f>
        <v>1.0056612021857922</v>
      </c>
      <c r="E159" s="15">
        <f t="shared" ca="1" si="18"/>
        <v>0</v>
      </c>
      <c r="F159" s="15">
        <f t="shared" ca="1" si="19"/>
        <v>0</v>
      </c>
      <c r="G159">
        <f ca="1">IF(E159=1,(1+('Symulacja Pożyczka'!$B$7+'Symulacja Pożyczka'!$B$16)*((('Arkusz1 (3)'!B159-DATE(YEAR(B159),1,1)+1)/365)+((DATE(YEAR(B158),12,31)-'Arkusz1 (3)'!B158)/366))),IF(F159=1,(1+('Symulacja Pożyczka'!$B$7+'Symulacja Pożyczka'!$B$16)*((('Arkusz1 (3)'!B159-DATE(YEAR(B159),1,1)+1)/366)+((DATE(YEAR(B158),12,31)-'Arkusz1 (3)'!B158)/365))),0))</f>
        <v>0</v>
      </c>
      <c r="H159">
        <f t="shared" ca="1" si="20"/>
        <v>0</v>
      </c>
      <c r="I159">
        <f t="shared" ca="1" si="21"/>
        <v>1.0056767123287671</v>
      </c>
      <c r="J159">
        <f t="shared" ca="1" si="22"/>
        <v>1.0056767123287671</v>
      </c>
      <c r="K159">
        <f ca="1">PRODUCT($J$3:J159)</f>
        <v>2.6171353439424836</v>
      </c>
      <c r="L159">
        <f t="shared" ca="1" si="23"/>
        <v>0.38209716677991445</v>
      </c>
      <c r="M159">
        <f ca="1">SUM($L$3:L159)</f>
        <v>100.68365837116016</v>
      </c>
      <c r="O159">
        <f ca="1">(Q158*'Arkusz1 (3)'!J159)-Q158</f>
        <v>-3306.0862169648753</v>
      </c>
      <c r="P159" s="16">
        <f t="shared" ca="1" si="24"/>
        <v>17800.322688863638</v>
      </c>
      <c r="Q159" s="17">
        <f t="shared" ca="1" si="25"/>
        <v>-600194.85415226431</v>
      </c>
    </row>
    <row r="160" spans="1:17" x14ac:dyDescent="0.35">
      <c r="A160">
        <v>158</v>
      </c>
      <c r="B160" s="14">
        <f t="shared" ca="1" si="26"/>
        <v>50877</v>
      </c>
      <c r="C160" s="15">
        <f ca="1">(1+('Symulacja Pożyczka'!$B$7+'Symulacja Pożyczka'!$B$16)*('Arkusz1 (3)'!B160-'Arkusz1 (3)'!B159)/365)</f>
        <v>1.0062849315068494</v>
      </c>
      <c r="D160" s="15">
        <f ca="1">(1+('Symulacja Pożyczka'!$B$7+'Symulacja Pożyczka'!$B$16)*('Arkusz1 (3)'!B160-'Arkusz1 (3)'!B159)/366)</f>
        <v>1.0062677595628415</v>
      </c>
      <c r="E160" s="15">
        <f t="shared" ca="1" si="18"/>
        <v>0</v>
      </c>
      <c r="F160" s="15">
        <f t="shared" ca="1" si="19"/>
        <v>0</v>
      </c>
      <c r="G160">
        <f ca="1">IF(E160=1,(1+('Symulacja Pożyczka'!$B$7+'Symulacja Pożyczka'!$B$16)*((('Arkusz1 (3)'!B160-DATE(YEAR(B160),1,1)+1)/365)+((DATE(YEAR(B159),12,31)-'Arkusz1 (3)'!B159)/366))),IF(F160=1,(1+('Symulacja Pożyczka'!$B$7+'Symulacja Pożyczka'!$B$16)*((('Arkusz1 (3)'!B160-DATE(YEAR(B160),1,1)+1)/366)+((DATE(YEAR(B159),12,31)-'Arkusz1 (3)'!B159)/365))),0))</f>
        <v>0</v>
      </c>
      <c r="H160">
        <f t="shared" ca="1" si="20"/>
        <v>0</v>
      </c>
      <c r="I160">
        <f t="shared" ca="1" si="21"/>
        <v>1.0062849315068494</v>
      </c>
      <c r="J160">
        <f t="shared" ca="1" si="22"/>
        <v>1.0062849315068494</v>
      </c>
      <c r="K160">
        <f ca="1">PRODUCT($J$3:J160)</f>
        <v>2.6335838603233168</v>
      </c>
      <c r="L160">
        <f t="shared" ca="1" si="23"/>
        <v>0.3797107109690569</v>
      </c>
      <c r="M160">
        <f ca="1">SUM($L$3:L160)</f>
        <v>101.06336908212921</v>
      </c>
      <c r="O160">
        <f ca="1">(Q159*'Arkusz1 (3)'!J160)-Q159</f>
        <v>-3772.1835491104284</v>
      </c>
      <c r="P160" s="16">
        <f t="shared" ca="1" si="24"/>
        <v>18266.420021009191</v>
      </c>
      <c r="Q160" s="17">
        <f t="shared" ca="1" si="25"/>
        <v>-618461.27417327347</v>
      </c>
    </row>
    <row r="161" spans="1:17" x14ac:dyDescent="0.35">
      <c r="A161">
        <v>159</v>
      </c>
      <c r="B161" s="14">
        <f t="shared" ca="1" si="26"/>
        <v>50907</v>
      </c>
      <c r="C161" s="15">
        <f ca="1">(1+('Symulacja Pożyczka'!$B$7+'Symulacja Pożyczka'!$B$16)*('Arkusz1 (3)'!B161-'Arkusz1 (3)'!B160)/365)</f>
        <v>1.0060821917808218</v>
      </c>
      <c r="D161" s="15">
        <f ca="1">(1+('Symulacja Pożyczka'!$B$7+'Symulacja Pożyczka'!$B$16)*('Arkusz1 (3)'!B161-'Arkusz1 (3)'!B160)/366)</f>
        <v>1.0060655737704918</v>
      </c>
      <c r="E161" s="15">
        <f t="shared" ca="1" si="18"/>
        <v>0</v>
      </c>
      <c r="F161" s="15">
        <f t="shared" ca="1" si="19"/>
        <v>0</v>
      </c>
      <c r="G161">
        <f ca="1">IF(E161=1,(1+('Symulacja Pożyczka'!$B$7+'Symulacja Pożyczka'!$B$16)*((('Arkusz1 (3)'!B161-DATE(YEAR(B161),1,1)+1)/365)+((DATE(YEAR(B160),12,31)-'Arkusz1 (3)'!B160)/366))),IF(F161=1,(1+('Symulacja Pożyczka'!$B$7+'Symulacja Pożyczka'!$B$16)*((('Arkusz1 (3)'!B161-DATE(YEAR(B161),1,1)+1)/366)+((DATE(YEAR(B160),12,31)-'Arkusz1 (3)'!B160)/365))),0))</f>
        <v>0</v>
      </c>
      <c r="H161">
        <f t="shared" ca="1" si="20"/>
        <v>0</v>
      </c>
      <c r="I161">
        <f t="shared" ca="1" si="21"/>
        <v>1.0060821917808218</v>
      </c>
      <c r="J161">
        <f t="shared" ca="1" si="22"/>
        <v>1.0060821917808218</v>
      </c>
      <c r="K161">
        <f ca="1">PRODUCT($J$3:J161)</f>
        <v>2.6496018224326803</v>
      </c>
      <c r="L161">
        <f t="shared" ca="1" si="23"/>
        <v>0.37741519934563961</v>
      </c>
      <c r="M161">
        <f ca="1">SUM($L$3:L161)</f>
        <v>101.44078428147485</v>
      </c>
      <c r="O161">
        <f ca="1">(Q160*'Arkusz1 (3)'!J161)-Q160</f>
        <v>-3761.6000785332872</v>
      </c>
      <c r="P161" s="16">
        <f t="shared" ca="1" si="24"/>
        <v>18255.83655043205</v>
      </c>
      <c r="Q161" s="17">
        <f t="shared" ca="1" si="25"/>
        <v>-636717.1107237055</v>
      </c>
    </row>
    <row r="162" spans="1:17" x14ac:dyDescent="0.35">
      <c r="A162">
        <v>160</v>
      </c>
      <c r="B162" s="14">
        <f t="shared" ca="1" si="26"/>
        <v>50938</v>
      </c>
      <c r="C162" s="15">
        <f ca="1">(1+('Symulacja Pożyczka'!$B$7+'Symulacja Pożyczka'!$B$16)*('Arkusz1 (3)'!B162-'Arkusz1 (3)'!B161)/365)</f>
        <v>1.0062849315068494</v>
      </c>
      <c r="D162" s="15">
        <f ca="1">(1+('Symulacja Pożyczka'!$B$7+'Symulacja Pożyczka'!$B$16)*('Arkusz1 (3)'!B162-'Arkusz1 (3)'!B161)/366)</f>
        <v>1.0062677595628415</v>
      </c>
      <c r="E162" s="15">
        <f t="shared" ca="1" si="18"/>
        <v>0</v>
      </c>
      <c r="F162" s="15">
        <f t="shared" ca="1" si="19"/>
        <v>0</v>
      </c>
      <c r="G162">
        <f ca="1">IF(E162=1,(1+('Symulacja Pożyczka'!$B$7+'Symulacja Pożyczka'!$B$16)*((('Arkusz1 (3)'!B162-DATE(YEAR(B162),1,1)+1)/365)+((DATE(YEAR(B161),12,31)-'Arkusz1 (3)'!B161)/366))),IF(F162=1,(1+('Symulacja Pożyczka'!$B$7+'Symulacja Pożyczka'!$B$16)*((('Arkusz1 (3)'!B162-DATE(YEAR(B162),1,1)+1)/366)+((DATE(YEAR(B161),12,31)-'Arkusz1 (3)'!B161)/365))),0))</f>
        <v>0</v>
      </c>
      <c r="H162">
        <f t="shared" ca="1" si="20"/>
        <v>0</v>
      </c>
      <c r="I162">
        <f t="shared" ca="1" si="21"/>
        <v>1.0062849315068494</v>
      </c>
      <c r="J162">
        <f t="shared" ca="1" si="22"/>
        <v>1.0062849315068494</v>
      </c>
      <c r="K162">
        <f ca="1">PRODUCT($J$3:J162)</f>
        <v>2.6662543884070931</v>
      </c>
      <c r="L162">
        <f t="shared" ca="1" si="23"/>
        <v>0.37505798559507764</v>
      </c>
      <c r="M162">
        <f ca="1">SUM($L$3:L162)</f>
        <v>101.81584226706993</v>
      </c>
      <c r="O162">
        <f ca="1">(Q161*'Arkusz1 (3)'!J162)-Q161</f>
        <v>-4001.7234301374992</v>
      </c>
      <c r="P162" s="16">
        <f t="shared" ca="1" si="24"/>
        <v>18495.959902036262</v>
      </c>
      <c r="Q162" s="17">
        <f t="shared" ca="1" si="25"/>
        <v>-655213.07062574173</v>
      </c>
    </row>
    <row r="163" spans="1:17" x14ac:dyDescent="0.35">
      <c r="A163">
        <v>161</v>
      </c>
      <c r="B163" s="14">
        <f t="shared" ca="1" si="26"/>
        <v>50968</v>
      </c>
      <c r="C163" s="15">
        <f ca="1">(1+('Symulacja Pożyczka'!$B$7+'Symulacja Pożyczka'!$B$16)*('Arkusz1 (3)'!B163-'Arkusz1 (3)'!B162)/365)</f>
        <v>1.0060821917808218</v>
      </c>
      <c r="D163" s="15">
        <f ca="1">(1+('Symulacja Pożyczka'!$B$7+'Symulacja Pożyczka'!$B$16)*('Arkusz1 (3)'!B163-'Arkusz1 (3)'!B162)/366)</f>
        <v>1.0060655737704918</v>
      </c>
      <c r="E163" s="15">
        <f t="shared" ca="1" si="18"/>
        <v>0</v>
      </c>
      <c r="F163" s="15">
        <f t="shared" ca="1" si="19"/>
        <v>0</v>
      </c>
      <c r="G163">
        <f ca="1">IF(E163=1,(1+('Symulacja Pożyczka'!$B$7+'Symulacja Pożyczka'!$B$16)*((('Arkusz1 (3)'!B163-DATE(YEAR(B163),1,1)+1)/365)+((DATE(YEAR(B162),12,31)-'Arkusz1 (3)'!B162)/366))),IF(F163=1,(1+('Symulacja Pożyczka'!$B$7+'Symulacja Pożyczka'!$B$16)*((('Arkusz1 (3)'!B163-DATE(YEAR(B163),1,1)+1)/366)+((DATE(YEAR(B162),12,31)-'Arkusz1 (3)'!B162)/365))),0))</f>
        <v>0</v>
      </c>
      <c r="H163">
        <f t="shared" ca="1" si="20"/>
        <v>0</v>
      </c>
      <c r="I163">
        <f t="shared" ca="1" si="21"/>
        <v>1.0060821917808218</v>
      </c>
      <c r="J163">
        <f t="shared" ca="1" si="22"/>
        <v>1.0060821917808218</v>
      </c>
      <c r="K163">
        <f ca="1">PRODUCT($J$3:J163)</f>
        <v>2.6824710589338427</v>
      </c>
      <c r="L163">
        <f t="shared" ca="1" si="23"/>
        <v>0.37279060166168332</v>
      </c>
      <c r="M163">
        <f ca="1">SUM($L$3:L163)</f>
        <v>102.1886328687316</v>
      </c>
      <c r="O163">
        <f ca="1">(Q162*'Arkusz1 (3)'!J163)-Q162</f>
        <v>-3985.1315528468695</v>
      </c>
      <c r="P163" s="16">
        <f t="shared" ca="1" si="24"/>
        <v>18479.368024745632</v>
      </c>
      <c r="Q163" s="17">
        <f t="shared" ca="1" si="25"/>
        <v>-673692.43865048734</v>
      </c>
    </row>
    <row r="164" spans="1:17" x14ac:dyDescent="0.35">
      <c r="A164">
        <v>162</v>
      </c>
      <c r="B164" s="14">
        <f t="shared" ca="1" si="26"/>
        <v>50999</v>
      </c>
      <c r="C164" s="15">
        <f ca="1">(1+('Symulacja Pożyczka'!$B$7+'Symulacja Pożyczka'!$B$16)*('Arkusz1 (3)'!B164-'Arkusz1 (3)'!B163)/365)</f>
        <v>1.0062849315068494</v>
      </c>
      <c r="D164" s="15">
        <f ca="1">(1+('Symulacja Pożyczka'!$B$7+'Symulacja Pożyczka'!$B$16)*('Arkusz1 (3)'!B164-'Arkusz1 (3)'!B163)/366)</f>
        <v>1.0062677595628415</v>
      </c>
      <c r="E164" s="15">
        <f t="shared" ca="1" si="18"/>
        <v>0</v>
      </c>
      <c r="F164" s="15">
        <f t="shared" ca="1" si="19"/>
        <v>0</v>
      </c>
      <c r="G164">
        <f ca="1">IF(E164=1,(1+('Symulacja Pożyczka'!$B$7+'Symulacja Pożyczka'!$B$16)*((('Arkusz1 (3)'!B164-DATE(YEAR(B164),1,1)+1)/365)+((DATE(YEAR(B163),12,31)-'Arkusz1 (3)'!B163)/366))),IF(F164=1,(1+('Symulacja Pożyczka'!$B$7+'Symulacja Pożyczka'!$B$16)*((('Arkusz1 (3)'!B164-DATE(YEAR(B164),1,1)+1)/366)+((DATE(YEAR(B163),12,31)-'Arkusz1 (3)'!B163)/365))),0))</f>
        <v>0</v>
      </c>
      <c r="H164">
        <f t="shared" ca="1" si="20"/>
        <v>0</v>
      </c>
      <c r="I164">
        <f t="shared" ca="1" si="21"/>
        <v>1.0062849315068494</v>
      </c>
      <c r="J164">
        <f t="shared" ca="1" si="22"/>
        <v>1.0062849315068494</v>
      </c>
      <c r="K164">
        <f ca="1">PRODUCT($J$3:J164)</f>
        <v>2.6993302058083475</v>
      </c>
      <c r="L164">
        <f t="shared" ca="1" si="23"/>
        <v>0.3704622716584382</v>
      </c>
      <c r="M164">
        <f ca="1">SUM($L$3:L164)</f>
        <v>102.55909514039004</v>
      </c>
      <c r="O164">
        <f ca="1">(Q163*'Arkusz1 (3)'!J164)-Q163</f>
        <v>-4234.1108336006291</v>
      </c>
      <c r="P164" s="16">
        <f t="shared" ca="1" si="24"/>
        <v>18728.347305499392</v>
      </c>
      <c r="Q164" s="17">
        <f t="shared" ca="1" si="25"/>
        <v>-692420.78595598671</v>
      </c>
    </row>
    <row r="165" spans="1:17" x14ac:dyDescent="0.35">
      <c r="A165">
        <v>163</v>
      </c>
      <c r="B165" s="14">
        <f t="shared" ca="1" si="26"/>
        <v>51030</v>
      </c>
      <c r="C165" s="15">
        <f ca="1">(1+('Symulacja Pożyczka'!$B$7+'Symulacja Pożyczka'!$B$16)*('Arkusz1 (3)'!B165-'Arkusz1 (3)'!B164)/365)</f>
        <v>1.0062849315068494</v>
      </c>
      <c r="D165" s="15">
        <f ca="1">(1+('Symulacja Pożyczka'!$B$7+'Symulacja Pożyczka'!$B$16)*('Arkusz1 (3)'!B165-'Arkusz1 (3)'!B164)/366)</f>
        <v>1.0062677595628415</v>
      </c>
      <c r="E165" s="15">
        <f t="shared" ca="1" si="18"/>
        <v>0</v>
      </c>
      <c r="F165" s="15">
        <f t="shared" ca="1" si="19"/>
        <v>0</v>
      </c>
      <c r="G165">
        <f ca="1">IF(E165=1,(1+('Symulacja Pożyczka'!$B$7+'Symulacja Pożyczka'!$B$16)*((('Arkusz1 (3)'!B165-DATE(YEAR(B165),1,1)+1)/365)+((DATE(YEAR(B164),12,31)-'Arkusz1 (3)'!B164)/366))),IF(F165=1,(1+('Symulacja Pożyczka'!$B$7+'Symulacja Pożyczka'!$B$16)*((('Arkusz1 (3)'!B165-DATE(YEAR(B165),1,1)+1)/366)+((DATE(YEAR(B164),12,31)-'Arkusz1 (3)'!B164)/365))),0))</f>
        <v>0</v>
      </c>
      <c r="H165">
        <f t="shared" ca="1" si="20"/>
        <v>0</v>
      </c>
      <c r="I165">
        <f t="shared" ca="1" si="21"/>
        <v>1.0062849315068494</v>
      </c>
      <c r="J165">
        <f t="shared" ca="1" si="22"/>
        <v>1.0062849315068494</v>
      </c>
      <c r="K165">
        <f ca="1">PRODUCT($J$3:J165)</f>
        <v>2.7162953112662227</v>
      </c>
      <c r="L165">
        <f t="shared" ca="1" si="23"/>
        <v>0.36814848365432035</v>
      </c>
      <c r="M165">
        <f ca="1">SUM($L$3:L165)</f>
        <v>102.92724362404437</v>
      </c>
      <c r="O165">
        <f ca="1">(Q164*'Arkusz1 (3)'!J165)-Q164</f>
        <v>-4351.8172136521898</v>
      </c>
      <c r="P165" s="16">
        <f t="shared" ca="1" si="24"/>
        <v>18846.053685550953</v>
      </c>
      <c r="Q165" s="17">
        <f t="shared" ca="1" si="25"/>
        <v>-711266.83964153763</v>
      </c>
    </row>
    <row r="166" spans="1:17" x14ac:dyDescent="0.35">
      <c r="A166">
        <v>164</v>
      </c>
      <c r="B166" s="14">
        <f t="shared" ca="1" si="26"/>
        <v>51060</v>
      </c>
      <c r="C166" s="15">
        <f ca="1">(1+('Symulacja Pożyczka'!$B$7+'Symulacja Pożyczka'!$B$16)*('Arkusz1 (3)'!B166-'Arkusz1 (3)'!B165)/365)</f>
        <v>1.0060821917808218</v>
      </c>
      <c r="D166" s="15">
        <f ca="1">(1+('Symulacja Pożyczka'!$B$7+'Symulacja Pożyczka'!$B$16)*('Arkusz1 (3)'!B166-'Arkusz1 (3)'!B165)/366)</f>
        <v>1.0060655737704918</v>
      </c>
      <c r="E166" s="15">
        <f t="shared" ca="1" si="18"/>
        <v>0</v>
      </c>
      <c r="F166" s="15">
        <f t="shared" ca="1" si="19"/>
        <v>0</v>
      </c>
      <c r="G166">
        <f ca="1">IF(E166=1,(1+('Symulacja Pożyczka'!$B$7+'Symulacja Pożyczka'!$B$16)*((('Arkusz1 (3)'!B166-DATE(YEAR(B166),1,1)+1)/365)+((DATE(YEAR(B165),12,31)-'Arkusz1 (3)'!B165)/366))),IF(F166=1,(1+('Symulacja Pożyczka'!$B$7+'Symulacja Pożyczka'!$B$16)*((('Arkusz1 (3)'!B166-DATE(YEAR(B166),1,1)+1)/366)+((DATE(YEAR(B165),12,31)-'Arkusz1 (3)'!B165)/365))),0))</f>
        <v>0</v>
      </c>
      <c r="H166">
        <f t="shared" ca="1" si="20"/>
        <v>0</v>
      </c>
      <c r="I166">
        <f t="shared" ca="1" si="21"/>
        <v>1.0060821917808218</v>
      </c>
      <c r="J166">
        <f t="shared" ca="1" si="22"/>
        <v>1.0060821917808218</v>
      </c>
      <c r="K166">
        <f ca="1">PRODUCT($J$3:J166)</f>
        <v>2.732816340282691</v>
      </c>
      <c r="L166">
        <f t="shared" ca="1" si="23"/>
        <v>0.36592287057847322</v>
      </c>
      <c r="M166">
        <f ca="1">SUM($L$3:L166)</f>
        <v>103.29316649462284</v>
      </c>
      <c r="O166">
        <f ca="1">(Q165*'Arkusz1 (3)'!J166)-Q165</f>
        <v>-4326.0613260389073</v>
      </c>
      <c r="P166" s="16">
        <f t="shared" ca="1" si="24"/>
        <v>18820.29779793767</v>
      </c>
      <c r="Q166" s="17">
        <f t="shared" ca="1" si="25"/>
        <v>-730087.13743947528</v>
      </c>
    </row>
    <row r="167" spans="1:17" x14ac:dyDescent="0.35">
      <c r="A167">
        <v>165</v>
      </c>
      <c r="B167" s="14">
        <f t="shared" ca="1" si="26"/>
        <v>51091</v>
      </c>
      <c r="C167" s="15">
        <f ca="1">(1+('Symulacja Pożyczka'!$B$7+'Symulacja Pożyczka'!$B$16)*('Arkusz1 (3)'!B167-'Arkusz1 (3)'!B166)/365)</f>
        <v>1.0062849315068494</v>
      </c>
      <c r="D167" s="15">
        <f ca="1">(1+('Symulacja Pożyczka'!$B$7+'Symulacja Pożyczka'!$B$16)*('Arkusz1 (3)'!B167-'Arkusz1 (3)'!B166)/366)</f>
        <v>1.0062677595628415</v>
      </c>
      <c r="E167" s="15">
        <f t="shared" ca="1" si="18"/>
        <v>0</v>
      </c>
      <c r="F167" s="15">
        <f t="shared" ca="1" si="19"/>
        <v>0</v>
      </c>
      <c r="G167">
        <f ca="1">IF(E167=1,(1+('Symulacja Pożyczka'!$B$7+'Symulacja Pożyczka'!$B$16)*((('Arkusz1 (3)'!B167-DATE(YEAR(B167),1,1)+1)/365)+((DATE(YEAR(B166),12,31)-'Arkusz1 (3)'!B166)/366))),IF(F167=1,(1+('Symulacja Pożyczka'!$B$7+'Symulacja Pożyczka'!$B$16)*((('Arkusz1 (3)'!B167-DATE(YEAR(B167),1,1)+1)/366)+((DATE(YEAR(B166),12,31)-'Arkusz1 (3)'!B166)/365))),0))</f>
        <v>0</v>
      </c>
      <c r="H167">
        <f t="shared" ca="1" si="20"/>
        <v>0</v>
      </c>
      <c r="I167">
        <f t="shared" ca="1" si="21"/>
        <v>1.0062849315068494</v>
      </c>
      <c r="J167">
        <f t="shared" ca="1" si="22"/>
        <v>1.0062849315068494</v>
      </c>
      <c r="K167">
        <f ca="1">PRODUCT($J$3:J167)</f>
        <v>2.7499919038021665</v>
      </c>
      <c r="L167">
        <f t="shared" ca="1" si="23"/>
        <v>0.36363743421112982</v>
      </c>
      <c r="M167">
        <f ca="1">SUM($L$3:L167)</f>
        <v>103.65680392883397</v>
      </c>
      <c r="O167">
        <f ca="1">(Q166*'Arkusz1 (3)'!J167)-Q166</f>
        <v>-4588.5476528388681</v>
      </c>
      <c r="P167" s="16">
        <f t="shared" ca="1" si="24"/>
        <v>19082.784124737631</v>
      </c>
      <c r="Q167" s="17">
        <f t="shared" ca="1" si="25"/>
        <v>-749169.92156421288</v>
      </c>
    </row>
    <row r="168" spans="1:17" x14ac:dyDescent="0.35">
      <c r="A168">
        <v>166</v>
      </c>
      <c r="B168" s="14">
        <f t="shared" ca="1" si="26"/>
        <v>51121</v>
      </c>
      <c r="C168" s="15">
        <f ca="1">(1+('Symulacja Pożyczka'!$B$7+'Symulacja Pożyczka'!$B$16)*('Arkusz1 (3)'!B168-'Arkusz1 (3)'!B167)/365)</f>
        <v>1.0060821917808218</v>
      </c>
      <c r="D168" s="15">
        <f ca="1">(1+('Symulacja Pożyczka'!$B$7+'Symulacja Pożyczka'!$B$16)*('Arkusz1 (3)'!B168-'Arkusz1 (3)'!B167)/366)</f>
        <v>1.0060655737704918</v>
      </c>
      <c r="E168" s="15">
        <f t="shared" ca="1" si="18"/>
        <v>0</v>
      </c>
      <c r="F168" s="15">
        <f t="shared" ca="1" si="19"/>
        <v>0</v>
      </c>
      <c r="G168">
        <f ca="1">IF(E168=1,(1+('Symulacja Pożyczka'!$B$7+'Symulacja Pożyczka'!$B$16)*((('Arkusz1 (3)'!B168-DATE(YEAR(B168),1,1)+1)/365)+((DATE(YEAR(B167),12,31)-'Arkusz1 (3)'!B167)/366))),IF(F168=1,(1+('Symulacja Pożyczka'!$B$7+'Symulacja Pożyczka'!$B$16)*((('Arkusz1 (3)'!B168-DATE(YEAR(B168),1,1)+1)/366)+((DATE(YEAR(B167),12,31)-'Arkusz1 (3)'!B167)/365))),0))</f>
        <v>0</v>
      </c>
      <c r="H168">
        <f t="shared" ca="1" si="20"/>
        <v>0</v>
      </c>
      <c r="I168">
        <f t="shared" ca="1" si="21"/>
        <v>1.0060821917808218</v>
      </c>
      <c r="J168">
        <f t="shared" ca="1" si="22"/>
        <v>1.0060821917808218</v>
      </c>
      <c r="K168">
        <f ca="1">PRODUCT($J$3:J168)</f>
        <v>2.7667178819567986</v>
      </c>
      <c r="L168">
        <f t="shared" ca="1" si="23"/>
        <v>0.36143909233446547</v>
      </c>
      <c r="M168">
        <f ca="1">SUM($L$3:L168)</f>
        <v>104.01824302116843</v>
      </c>
      <c r="O168">
        <f ca="1">(Q167*'Arkusz1 (3)'!J168)-Q167</f>
        <v>-4556.5951393768191</v>
      </c>
      <c r="P168" s="16">
        <f t="shared" ca="1" si="24"/>
        <v>19050.831611275582</v>
      </c>
      <c r="Q168" s="17">
        <f t="shared" ca="1" si="25"/>
        <v>-768220.75317548844</v>
      </c>
    </row>
    <row r="169" spans="1:17" x14ac:dyDescent="0.35">
      <c r="A169">
        <v>167</v>
      </c>
      <c r="B169" s="14">
        <f t="shared" ca="1" si="26"/>
        <v>51152</v>
      </c>
      <c r="C169" s="15">
        <f ca="1">(1+('Symulacja Pożyczka'!$B$7+'Symulacja Pożyczka'!$B$16)*('Arkusz1 (3)'!B169-'Arkusz1 (3)'!B168)/365)</f>
        <v>1.0062849315068494</v>
      </c>
      <c r="D169" s="15">
        <f ca="1">(1+('Symulacja Pożyczka'!$B$7+'Symulacja Pożyczka'!$B$16)*('Arkusz1 (3)'!B169-'Arkusz1 (3)'!B168)/366)</f>
        <v>1.0062677595628415</v>
      </c>
      <c r="E169" s="15">
        <f t="shared" ca="1" si="18"/>
        <v>0</v>
      </c>
      <c r="F169" s="15">
        <f t="shared" ca="1" si="19"/>
        <v>1</v>
      </c>
      <c r="G169">
        <f ca="1">IF(E169=1,(1+('Symulacja Pożyczka'!$B$7+'Symulacja Pożyczka'!$B$16)*((('Arkusz1 (3)'!B169-DATE(YEAR(B169),1,1)+1)/365)+((DATE(YEAR(B168),12,31)-'Arkusz1 (3)'!B168)/366))),IF(F169=1,(1+('Symulacja Pożyczka'!$B$7+'Symulacja Pożyczka'!$B$16)*((('Arkusz1 (3)'!B169-DATE(YEAR(B169),1,1)+1)/366)+((DATE(YEAR(B168),12,31)-'Arkusz1 (3)'!B168)/365))),0))</f>
        <v>1.006275514634329</v>
      </c>
      <c r="H169">
        <f t="shared" ca="1" si="20"/>
        <v>1</v>
      </c>
      <c r="I169">
        <f t="shared" ca="1" si="21"/>
        <v>1.0062677595628415</v>
      </c>
      <c r="J169">
        <f t="shared" ca="1" si="22"/>
        <v>1.006275514634329</v>
      </c>
      <c r="K169">
        <f ca="1">PRODUCT($J$3:J169)</f>
        <v>2.7840804605140779</v>
      </c>
      <c r="L169">
        <f t="shared" ca="1" si="23"/>
        <v>0.35918502147576259</v>
      </c>
      <c r="M169">
        <f ca="1">SUM($L$3:L169)</f>
        <v>104.3774280426442</v>
      </c>
      <c r="O169">
        <f ca="1">(Q168*'Arkusz1 (3)'!J169)-Q168</f>
        <v>-4820.9805789480451</v>
      </c>
      <c r="P169" s="16">
        <f t="shared" ca="1" si="24"/>
        <v>19315.217050846808</v>
      </c>
      <c r="Q169" s="17">
        <f t="shared" ca="1" si="25"/>
        <v>-787535.97022633522</v>
      </c>
    </row>
    <row r="170" spans="1:17" x14ac:dyDescent="0.35">
      <c r="A170">
        <v>168</v>
      </c>
      <c r="B170" s="14">
        <f t="shared" ca="1" si="26"/>
        <v>51183</v>
      </c>
      <c r="C170" s="15">
        <f ca="1">(1+('Symulacja Pożyczka'!$B$7+'Symulacja Pożyczka'!$B$16)*('Arkusz1 (3)'!B170-'Arkusz1 (3)'!B169)/365)</f>
        <v>1.0062849315068494</v>
      </c>
      <c r="D170" s="15">
        <f ca="1">(1+('Symulacja Pożyczka'!$B$7+'Symulacja Pożyczka'!$B$16)*('Arkusz1 (3)'!B170-'Arkusz1 (3)'!B169)/366)</f>
        <v>1.0062677595628415</v>
      </c>
      <c r="E170" s="15">
        <f t="shared" ca="1" si="18"/>
        <v>0</v>
      </c>
      <c r="F170" s="15">
        <f t="shared" ca="1" si="19"/>
        <v>0</v>
      </c>
      <c r="G170">
        <f ca="1">IF(E170=1,(1+('Symulacja Pożyczka'!$B$7+'Symulacja Pożyczka'!$B$16)*((('Arkusz1 (3)'!B170-DATE(YEAR(B170),1,1)+1)/365)+((DATE(YEAR(B169),12,31)-'Arkusz1 (3)'!B169)/366))),IF(F170=1,(1+('Symulacja Pożyczka'!$B$7+'Symulacja Pożyczka'!$B$16)*((('Arkusz1 (3)'!B170-DATE(YEAR(B170),1,1)+1)/366)+((DATE(YEAR(B169),12,31)-'Arkusz1 (3)'!B169)/365))),0))</f>
        <v>0</v>
      </c>
      <c r="H170">
        <f t="shared" ca="1" si="20"/>
        <v>1</v>
      </c>
      <c r="I170">
        <f t="shared" ca="1" si="21"/>
        <v>1.0062677595628415</v>
      </c>
      <c r="J170">
        <f t="shared" ca="1" si="22"/>
        <v>1.0062677595628415</v>
      </c>
      <c r="K170">
        <f ca="1">PRODUCT($J$3:J170)</f>
        <v>2.8015304074441851</v>
      </c>
      <c r="L170">
        <f t="shared" ca="1" si="23"/>
        <v>0.35694775874743845</v>
      </c>
      <c r="M170">
        <f ca="1">SUM($L$3:L170)</f>
        <v>104.73437580139164</v>
      </c>
      <c r="O170">
        <f ca="1">(Q169*'Arkusz1 (3)'!J170)-Q169</f>
        <v>-4936.0861084677745</v>
      </c>
      <c r="P170" s="16">
        <f t="shared" ca="1" si="24"/>
        <v>19430.322580366537</v>
      </c>
      <c r="Q170" s="17">
        <f t="shared" ca="1" si="25"/>
        <v>-806966.29280670173</v>
      </c>
    </row>
    <row r="171" spans="1:17" x14ac:dyDescent="0.35">
      <c r="A171">
        <v>169</v>
      </c>
      <c r="B171" s="14">
        <f t="shared" ca="1" si="26"/>
        <v>51212</v>
      </c>
      <c r="C171" s="15">
        <f ca="1">(1+('Symulacja Pożyczka'!$B$7+'Symulacja Pożyczka'!$B$16)*('Arkusz1 (3)'!B171-'Arkusz1 (3)'!B170)/365)</f>
        <v>1.0058794520547945</v>
      </c>
      <c r="D171" s="15">
        <f ca="1">(1+('Symulacja Pożyczka'!$B$7+'Symulacja Pożyczka'!$B$16)*('Arkusz1 (3)'!B171-'Arkusz1 (3)'!B170)/366)</f>
        <v>1.005863387978142</v>
      </c>
      <c r="E171" s="15">
        <f t="shared" ca="1" si="18"/>
        <v>0</v>
      </c>
      <c r="F171" s="15">
        <f t="shared" ca="1" si="19"/>
        <v>0</v>
      </c>
      <c r="G171">
        <f ca="1">IF(E171=1,(1+('Symulacja Pożyczka'!$B$7+'Symulacja Pożyczka'!$B$16)*((('Arkusz1 (3)'!B171-DATE(YEAR(B171),1,1)+1)/365)+((DATE(YEAR(B170),12,31)-'Arkusz1 (3)'!B170)/366))),IF(F171=1,(1+('Symulacja Pożyczka'!$B$7+'Symulacja Pożyczka'!$B$16)*((('Arkusz1 (3)'!B171-DATE(YEAR(B171),1,1)+1)/366)+((DATE(YEAR(B170),12,31)-'Arkusz1 (3)'!B170)/365))),0))</f>
        <v>0</v>
      </c>
      <c r="H171">
        <f t="shared" ca="1" si="20"/>
        <v>1</v>
      </c>
      <c r="I171">
        <f t="shared" ca="1" si="21"/>
        <v>1.005863387978142</v>
      </c>
      <c r="J171">
        <f t="shared" ca="1" si="22"/>
        <v>1.005863387978142</v>
      </c>
      <c r="K171">
        <f ca="1">PRODUCT($J$3:J171)</f>
        <v>2.8179568671555928</v>
      </c>
      <c r="L171">
        <f t="shared" ca="1" si="23"/>
        <v>0.35486703563684646</v>
      </c>
      <c r="M171">
        <f ca="1">SUM($L$3:L171)</f>
        <v>105.08924283702848</v>
      </c>
      <c r="O171">
        <f ca="1">(Q170*'Arkusz1 (3)'!J171)-Q170</f>
        <v>-4731.5564600086072</v>
      </c>
      <c r="P171" s="16">
        <f t="shared" ca="1" si="24"/>
        <v>19225.79293190737</v>
      </c>
      <c r="Q171" s="17">
        <f t="shared" ca="1" si="25"/>
        <v>-826192.08573860908</v>
      </c>
    </row>
    <row r="172" spans="1:17" x14ac:dyDescent="0.35">
      <c r="A172">
        <v>170</v>
      </c>
      <c r="B172" s="14">
        <f t="shared" ca="1" si="26"/>
        <v>51243</v>
      </c>
      <c r="C172" s="15">
        <f ca="1">(1+('Symulacja Pożyczka'!$B$7+'Symulacja Pożyczka'!$B$16)*('Arkusz1 (3)'!B172-'Arkusz1 (3)'!B171)/365)</f>
        <v>1.0062849315068494</v>
      </c>
      <c r="D172" s="15">
        <f ca="1">(1+('Symulacja Pożyczka'!$B$7+'Symulacja Pożyczka'!$B$16)*('Arkusz1 (3)'!B172-'Arkusz1 (3)'!B171)/366)</f>
        <v>1.0062677595628415</v>
      </c>
      <c r="E172" s="15">
        <f t="shared" ca="1" si="18"/>
        <v>0</v>
      </c>
      <c r="F172" s="15">
        <f t="shared" ca="1" si="19"/>
        <v>0</v>
      </c>
      <c r="G172">
        <f ca="1">IF(E172=1,(1+('Symulacja Pożyczka'!$B$7+'Symulacja Pożyczka'!$B$16)*((('Arkusz1 (3)'!B172-DATE(YEAR(B172),1,1)+1)/365)+((DATE(YEAR(B171),12,31)-'Arkusz1 (3)'!B171)/366))),IF(F172=1,(1+('Symulacja Pożyczka'!$B$7+'Symulacja Pożyczka'!$B$16)*((('Arkusz1 (3)'!B172-DATE(YEAR(B172),1,1)+1)/366)+((DATE(YEAR(B171),12,31)-'Arkusz1 (3)'!B171)/365))),0))</f>
        <v>0</v>
      </c>
      <c r="H172">
        <f t="shared" ca="1" si="20"/>
        <v>1</v>
      </c>
      <c r="I172">
        <f t="shared" ca="1" si="21"/>
        <v>1.0062677595628415</v>
      </c>
      <c r="J172">
        <f t="shared" ca="1" si="22"/>
        <v>1.0062677595628415</v>
      </c>
      <c r="K172">
        <f ca="1">PRODUCT($J$3:J172)</f>
        <v>2.8356191432573823</v>
      </c>
      <c r="L172">
        <f t="shared" ca="1" si="23"/>
        <v>0.35265666843088894</v>
      </c>
      <c r="M172">
        <f ca="1">SUM($L$3:L172)</f>
        <v>105.44189950545936</v>
      </c>
      <c r="O172">
        <f ca="1">(Q171*'Arkusz1 (3)'!J172)-Q171</f>
        <v>-5178.3733461321099</v>
      </c>
      <c r="P172" s="16">
        <f t="shared" ca="1" si="24"/>
        <v>19672.609818030873</v>
      </c>
      <c r="Q172" s="17">
        <f t="shared" ca="1" si="25"/>
        <v>-845864.69555663993</v>
      </c>
    </row>
    <row r="173" spans="1:17" x14ac:dyDescent="0.35">
      <c r="A173">
        <v>171</v>
      </c>
      <c r="B173" s="14">
        <f t="shared" ca="1" si="26"/>
        <v>51273</v>
      </c>
      <c r="C173" s="15">
        <f ca="1">(1+('Symulacja Pożyczka'!$B$7+'Symulacja Pożyczka'!$B$16)*('Arkusz1 (3)'!B173-'Arkusz1 (3)'!B172)/365)</f>
        <v>1.0060821917808218</v>
      </c>
      <c r="D173" s="15">
        <f ca="1">(1+('Symulacja Pożyczka'!$B$7+'Symulacja Pożyczka'!$B$16)*('Arkusz1 (3)'!B173-'Arkusz1 (3)'!B172)/366)</f>
        <v>1.0060655737704918</v>
      </c>
      <c r="E173" s="15">
        <f t="shared" ca="1" si="18"/>
        <v>0</v>
      </c>
      <c r="F173" s="15">
        <f t="shared" ca="1" si="19"/>
        <v>0</v>
      </c>
      <c r="G173">
        <f ca="1">IF(E173=1,(1+('Symulacja Pożyczka'!$B$7+'Symulacja Pożyczka'!$B$16)*((('Arkusz1 (3)'!B173-DATE(YEAR(B173),1,1)+1)/365)+((DATE(YEAR(B172),12,31)-'Arkusz1 (3)'!B172)/366))),IF(F173=1,(1+('Symulacja Pożyczka'!$B$7+'Symulacja Pożyczka'!$B$16)*((('Arkusz1 (3)'!B173-DATE(YEAR(B173),1,1)+1)/366)+((DATE(YEAR(B172),12,31)-'Arkusz1 (3)'!B172)/365))),0))</f>
        <v>0</v>
      </c>
      <c r="H173">
        <f t="shared" ca="1" si="20"/>
        <v>1</v>
      </c>
      <c r="I173">
        <f t="shared" ca="1" si="21"/>
        <v>1.0060655737704918</v>
      </c>
      <c r="J173">
        <f t="shared" ca="1" si="22"/>
        <v>1.0060655737704918</v>
      </c>
      <c r="K173">
        <f ca="1">PRODUCT($J$3:J173)</f>
        <v>2.8528188003558288</v>
      </c>
      <c r="L173">
        <f t="shared" ca="1" si="23"/>
        <v>0.35053049982539064</v>
      </c>
      <c r="M173">
        <f ca="1">SUM($L$3:L173)</f>
        <v>105.79243000528476</v>
      </c>
      <c r="O173">
        <f ca="1">(Q172*'Arkusz1 (3)'!J173)-Q172</f>
        <v>-5130.6547107533552</v>
      </c>
      <c r="P173" s="16">
        <f t="shared" ca="1" si="24"/>
        <v>19624.891182652118</v>
      </c>
      <c r="Q173" s="17">
        <f t="shared" ca="1" si="25"/>
        <v>-865489.58673929202</v>
      </c>
    </row>
    <row r="174" spans="1:17" x14ac:dyDescent="0.35">
      <c r="A174">
        <v>172</v>
      </c>
      <c r="B174" s="14">
        <f t="shared" ca="1" si="26"/>
        <v>51304</v>
      </c>
      <c r="C174" s="15">
        <f ca="1">(1+('Symulacja Pożyczka'!$B$7+'Symulacja Pożyczka'!$B$16)*('Arkusz1 (3)'!B174-'Arkusz1 (3)'!B173)/365)</f>
        <v>1.0062849315068494</v>
      </c>
      <c r="D174" s="15">
        <f ca="1">(1+('Symulacja Pożyczka'!$B$7+'Symulacja Pożyczka'!$B$16)*('Arkusz1 (3)'!B174-'Arkusz1 (3)'!B173)/366)</f>
        <v>1.0062677595628415</v>
      </c>
      <c r="E174" s="15">
        <f t="shared" ca="1" si="18"/>
        <v>0</v>
      </c>
      <c r="F174" s="15">
        <f t="shared" ca="1" si="19"/>
        <v>0</v>
      </c>
      <c r="G174">
        <f ca="1">IF(E174=1,(1+('Symulacja Pożyczka'!$B$7+'Symulacja Pożyczka'!$B$16)*((('Arkusz1 (3)'!B174-DATE(YEAR(B174),1,1)+1)/365)+((DATE(YEAR(B173),12,31)-'Arkusz1 (3)'!B173)/366))),IF(F174=1,(1+('Symulacja Pożyczka'!$B$7+'Symulacja Pożyczka'!$B$16)*((('Arkusz1 (3)'!B174-DATE(YEAR(B174),1,1)+1)/366)+((DATE(YEAR(B173),12,31)-'Arkusz1 (3)'!B173)/365))),0))</f>
        <v>0</v>
      </c>
      <c r="H174">
        <f t="shared" ca="1" si="20"/>
        <v>1</v>
      </c>
      <c r="I174">
        <f t="shared" ca="1" si="21"/>
        <v>1.0062677595628415</v>
      </c>
      <c r="J174">
        <f t="shared" ca="1" si="22"/>
        <v>1.0062677595628415</v>
      </c>
      <c r="K174">
        <f ca="1">PRODUCT($J$3:J174)</f>
        <v>2.8706995826728132</v>
      </c>
      <c r="L174">
        <f t="shared" ca="1" si="23"/>
        <v>0.34834714368437436</v>
      </c>
      <c r="M174">
        <f ca="1">SUM($L$3:L174)</f>
        <v>106.14077714896914</v>
      </c>
      <c r="O174">
        <f ca="1">(Q173*'Arkusz1 (3)'!J174)-Q173</f>
        <v>-5424.6806338250171</v>
      </c>
      <c r="P174" s="16">
        <f t="shared" ca="1" si="24"/>
        <v>19918.91710572378</v>
      </c>
      <c r="Q174" s="17">
        <f t="shared" ca="1" si="25"/>
        <v>-885408.50384501577</v>
      </c>
    </row>
    <row r="175" spans="1:17" x14ac:dyDescent="0.35">
      <c r="A175">
        <v>173</v>
      </c>
      <c r="B175" s="14">
        <f t="shared" ca="1" si="26"/>
        <v>51334</v>
      </c>
      <c r="C175" s="15">
        <f ca="1">(1+('Symulacja Pożyczka'!$B$7+'Symulacja Pożyczka'!$B$16)*('Arkusz1 (3)'!B175-'Arkusz1 (3)'!B174)/365)</f>
        <v>1.0060821917808218</v>
      </c>
      <c r="D175" s="15">
        <f ca="1">(1+('Symulacja Pożyczka'!$B$7+'Symulacja Pożyczka'!$B$16)*('Arkusz1 (3)'!B175-'Arkusz1 (3)'!B174)/366)</f>
        <v>1.0060655737704918</v>
      </c>
      <c r="E175" s="15">
        <f t="shared" ca="1" si="18"/>
        <v>0</v>
      </c>
      <c r="F175" s="15">
        <f t="shared" ca="1" si="19"/>
        <v>0</v>
      </c>
      <c r="G175">
        <f ca="1">IF(E175=1,(1+('Symulacja Pożyczka'!$B$7+'Symulacja Pożyczka'!$B$16)*((('Arkusz1 (3)'!B175-DATE(YEAR(B175),1,1)+1)/365)+((DATE(YEAR(B174),12,31)-'Arkusz1 (3)'!B174)/366))),IF(F175=1,(1+('Symulacja Pożyczka'!$B$7+'Symulacja Pożyczka'!$B$16)*((('Arkusz1 (3)'!B175-DATE(YEAR(B175),1,1)+1)/366)+((DATE(YEAR(B174),12,31)-'Arkusz1 (3)'!B174)/365))),0))</f>
        <v>0</v>
      </c>
      <c r="H175">
        <f t="shared" ca="1" si="20"/>
        <v>1</v>
      </c>
      <c r="I175">
        <f t="shared" ca="1" si="21"/>
        <v>1.0060655737704918</v>
      </c>
      <c r="J175">
        <f t="shared" ca="1" si="22"/>
        <v>1.0060655737704918</v>
      </c>
      <c r="K175">
        <f ca="1">PRODUCT($J$3:J175)</f>
        <v>2.8881120227644352</v>
      </c>
      <c r="L175">
        <f t="shared" ca="1" si="23"/>
        <v>0.34624695722253279</v>
      </c>
      <c r="M175">
        <f ca="1">SUM($L$3:L175)</f>
        <v>106.48702410619167</v>
      </c>
      <c r="O175">
        <f ca="1">(Q174*'Arkusz1 (3)'!J175)-Q174</f>
        <v>-5370.5105970926816</v>
      </c>
      <c r="P175" s="16">
        <f t="shared" ca="1" si="24"/>
        <v>19864.747068991444</v>
      </c>
      <c r="Q175" s="17">
        <f t="shared" ca="1" si="25"/>
        <v>-905273.25091400719</v>
      </c>
    </row>
    <row r="176" spans="1:17" x14ac:dyDescent="0.35">
      <c r="A176">
        <v>174</v>
      </c>
      <c r="B176" s="14">
        <f t="shared" ca="1" si="26"/>
        <v>51365</v>
      </c>
      <c r="C176" s="15">
        <f ca="1">(1+('Symulacja Pożyczka'!$B$7+'Symulacja Pożyczka'!$B$16)*('Arkusz1 (3)'!B176-'Arkusz1 (3)'!B175)/365)</f>
        <v>1.0062849315068494</v>
      </c>
      <c r="D176" s="15">
        <f ca="1">(1+('Symulacja Pożyczka'!$B$7+'Symulacja Pożyczka'!$B$16)*('Arkusz1 (3)'!B176-'Arkusz1 (3)'!B175)/366)</f>
        <v>1.0062677595628415</v>
      </c>
      <c r="E176" s="15">
        <f t="shared" ca="1" si="18"/>
        <v>0</v>
      </c>
      <c r="F176" s="15">
        <f t="shared" ca="1" si="19"/>
        <v>0</v>
      </c>
      <c r="G176">
        <f ca="1">IF(E176=1,(1+('Symulacja Pożyczka'!$B$7+'Symulacja Pożyczka'!$B$16)*((('Arkusz1 (3)'!B176-DATE(YEAR(B176),1,1)+1)/365)+((DATE(YEAR(B175),12,31)-'Arkusz1 (3)'!B175)/366))),IF(F176=1,(1+('Symulacja Pożyczka'!$B$7+'Symulacja Pożyczka'!$B$16)*((('Arkusz1 (3)'!B176-DATE(YEAR(B176),1,1)+1)/366)+((DATE(YEAR(B175),12,31)-'Arkusz1 (3)'!B175)/365))),0))</f>
        <v>0</v>
      </c>
      <c r="H176">
        <f t="shared" ca="1" si="20"/>
        <v>1</v>
      </c>
      <c r="I176">
        <f t="shared" ca="1" si="21"/>
        <v>1.0062677595628415</v>
      </c>
      <c r="J176">
        <f t="shared" ca="1" si="22"/>
        <v>1.0062677595628415</v>
      </c>
      <c r="K176">
        <f ca="1">PRODUCT($J$3:J176)</f>
        <v>2.9062140145136746</v>
      </c>
      <c r="L176">
        <f t="shared" ca="1" si="23"/>
        <v>0.34409028206662884</v>
      </c>
      <c r="M176">
        <f ca="1">SUM($L$3:L176)</f>
        <v>106.8311143882583</v>
      </c>
      <c r="O176">
        <f ca="1">(Q175*'Arkusz1 (3)'!J176)-Q175</f>
        <v>-5674.035075400956</v>
      </c>
      <c r="P176" s="16">
        <f t="shared" ca="1" si="24"/>
        <v>20168.271547299719</v>
      </c>
      <c r="Q176" s="17">
        <f t="shared" ca="1" si="25"/>
        <v>-925441.52246130689</v>
      </c>
    </row>
    <row r="177" spans="1:17" x14ac:dyDescent="0.35">
      <c r="A177">
        <v>175</v>
      </c>
      <c r="B177" s="14">
        <f t="shared" ca="1" si="26"/>
        <v>51396</v>
      </c>
      <c r="C177" s="15">
        <f ca="1">(1+('Symulacja Pożyczka'!$B$7+'Symulacja Pożyczka'!$B$16)*('Arkusz1 (3)'!B177-'Arkusz1 (3)'!B176)/365)</f>
        <v>1.0062849315068494</v>
      </c>
      <c r="D177" s="15">
        <f ca="1">(1+('Symulacja Pożyczka'!$B$7+'Symulacja Pożyczka'!$B$16)*('Arkusz1 (3)'!B177-'Arkusz1 (3)'!B176)/366)</f>
        <v>1.0062677595628415</v>
      </c>
      <c r="E177" s="15">
        <f t="shared" ca="1" si="18"/>
        <v>0</v>
      </c>
      <c r="F177" s="15">
        <f t="shared" ca="1" si="19"/>
        <v>0</v>
      </c>
      <c r="G177">
        <f ca="1">IF(E177=1,(1+('Symulacja Pożyczka'!$B$7+'Symulacja Pożyczka'!$B$16)*((('Arkusz1 (3)'!B177-DATE(YEAR(B177),1,1)+1)/365)+((DATE(YEAR(B176),12,31)-'Arkusz1 (3)'!B176)/366))),IF(F177=1,(1+('Symulacja Pożyczka'!$B$7+'Symulacja Pożyczka'!$B$16)*((('Arkusz1 (3)'!B177-DATE(YEAR(B177),1,1)+1)/366)+((DATE(YEAR(B176),12,31)-'Arkusz1 (3)'!B176)/365))),0))</f>
        <v>0</v>
      </c>
      <c r="H177">
        <f t="shared" ca="1" si="20"/>
        <v>1</v>
      </c>
      <c r="I177">
        <f t="shared" ca="1" si="21"/>
        <v>1.0062677595628415</v>
      </c>
      <c r="J177">
        <f t="shared" ca="1" si="22"/>
        <v>1.0062677595628415</v>
      </c>
      <c r="K177">
        <f ca="1">PRODUCT($J$3:J177)</f>
        <v>2.9244294651948066</v>
      </c>
      <c r="L177">
        <f t="shared" ca="1" si="23"/>
        <v>0.34194704023520922</v>
      </c>
      <c r="M177">
        <f ca="1">SUM($L$3:L177)</f>
        <v>107.17306142849351</v>
      </c>
      <c r="O177">
        <f ca="1">(Q176*'Arkusz1 (3)'!J177)-Q176</f>
        <v>-5800.4449522574432</v>
      </c>
      <c r="P177" s="16">
        <f t="shared" ca="1" si="24"/>
        <v>20294.681424156206</v>
      </c>
      <c r="Q177" s="17">
        <f t="shared" ca="1" si="25"/>
        <v>-945736.20388546307</v>
      </c>
    </row>
    <row r="178" spans="1:17" x14ac:dyDescent="0.35">
      <c r="A178">
        <v>176</v>
      </c>
      <c r="B178" s="14">
        <f t="shared" ca="1" si="26"/>
        <v>51426</v>
      </c>
      <c r="C178" s="15">
        <f ca="1">(1+('Symulacja Pożyczka'!$B$7+'Symulacja Pożyczka'!$B$16)*('Arkusz1 (3)'!B178-'Arkusz1 (3)'!B177)/365)</f>
        <v>1.0060821917808218</v>
      </c>
      <c r="D178" s="15">
        <f ca="1">(1+('Symulacja Pożyczka'!$B$7+'Symulacja Pożyczka'!$B$16)*('Arkusz1 (3)'!B178-'Arkusz1 (3)'!B177)/366)</f>
        <v>1.0060655737704918</v>
      </c>
      <c r="E178" s="15">
        <f t="shared" ca="1" si="18"/>
        <v>0</v>
      </c>
      <c r="F178" s="15">
        <f t="shared" ca="1" si="19"/>
        <v>0</v>
      </c>
      <c r="G178">
        <f ca="1">IF(E178=1,(1+('Symulacja Pożyczka'!$B$7+'Symulacja Pożyczka'!$B$16)*((('Arkusz1 (3)'!B178-DATE(YEAR(B178),1,1)+1)/365)+((DATE(YEAR(B177),12,31)-'Arkusz1 (3)'!B177)/366))),IF(F178=1,(1+('Symulacja Pożyczka'!$B$7+'Symulacja Pożyczka'!$B$16)*((('Arkusz1 (3)'!B178-DATE(YEAR(B178),1,1)+1)/366)+((DATE(YEAR(B177),12,31)-'Arkusz1 (3)'!B177)/365))),0))</f>
        <v>0</v>
      </c>
      <c r="H178">
        <f t="shared" ca="1" si="20"/>
        <v>1</v>
      </c>
      <c r="I178">
        <f t="shared" ca="1" si="21"/>
        <v>1.0060655737704918</v>
      </c>
      <c r="J178">
        <f t="shared" ca="1" si="22"/>
        <v>1.0060655737704918</v>
      </c>
      <c r="K178">
        <f ca="1">PRODUCT($J$3:J178)</f>
        <v>2.9421678078525457</v>
      </c>
      <c r="L178">
        <f t="shared" ca="1" si="23"/>
        <v>0.3398854400252202</v>
      </c>
      <c r="M178">
        <f ca="1">SUM($L$3:L178)</f>
        <v>107.51294686851872</v>
      </c>
      <c r="O178">
        <f ca="1">(Q177*'Arkusz1 (3)'!J178)-Q177</f>
        <v>-5736.4327120921807</v>
      </c>
      <c r="P178" s="16">
        <f t="shared" ca="1" si="24"/>
        <v>20230.669183990944</v>
      </c>
      <c r="Q178" s="17">
        <f t="shared" ca="1" si="25"/>
        <v>-965966.87306945398</v>
      </c>
    </row>
    <row r="179" spans="1:17" x14ac:dyDescent="0.35">
      <c r="A179">
        <v>177</v>
      </c>
      <c r="B179" s="14">
        <f t="shared" ca="1" si="26"/>
        <v>51457</v>
      </c>
      <c r="C179" s="15">
        <f ca="1">(1+('Symulacja Pożyczka'!$B$7+'Symulacja Pożyczka'!$B$16)*('Arkusz1 (3)'!B179-'Arkusz1 (3)'!B178)/365)</f>
        <v>1.0062849315068494</v>
      </c>
      <c r="D179" s="15">
        <f ca="1">(1+('Symulacja Pożyczka'!$B$7+'Symulacja Pożyczka'!$B$16)*('Arkusz1 (3)'!B179-'Arkusz1 (3)'!B178)/366)</f>
        <v>1.0062677595628415</v>
      </c>
      <c r="E179" s="15">
        <f t="shared" ca="1" si="18"/>
        <v>0</v>
      </c>
      <c r="F179" s="15">
        <f t="shared" ca="1" si="19"/>
        <v>0</v>
      </c>
      <c r="G179">
        <f ca="1">IF(E179=1,(1+('Symulacja Pożyczka'!$B$7+'Symulacja Pożyczka'!$B$16)*((('Arkusz1 (3)'!B179-DATE(YEAR(B179),1,1)+1)/365)+((DATE(YEAR(B178),12,31)-'Arkusz1 (3)'!B178)/366))),IF(F179=1,(1+('Symulacja Pożyczka'!$B$7+'Symulacja Pożyczka'!$B$16)*((('Arkusz1 (3)'!B179-DATE(YEAR(B179),1,1)+1)/366)+((DATE(YEAR(B178),12,31)-'Arkusz1 (3)'!B178)/365))),0))</f>
        <v>0</v>
      </c>
      <c r="H179">
        <f t="shared" ca="1" si="20"/>
        <v>1</v>
      </c>
      <c r="I179">
        <f t="shared" ca="1" si="21"/>
        <v>1.0062677595628415</v>
      </c>
      <c r="J179">
        <f t="shared" ca="1" si="22"/>
        <v>1.0062677595628415</v>
      </c>
      <c r="K179">
        <f ca="1">PRODUCT($J$3:J179)</f>
        <v>2.9606086082656979</v>
      </c>
      <c r="L179">
        <f t="shared" ca="1" si="23"/>
        <v>0.33776838897519534</v>
      </c>
      <c r="M179">
        <f ca="1">SUM($L$3:L179)</f>
        <v>107.85071525749392</v>
      </c>
      <c r="O179">
        <f ca="1">(Q178*'Arkusz1 (3)'!J179)-Q178</f>
        <v>-6054.4481060692342</v>
      </c>
      <c r="P179" s="16">
        <f t="shared" ca="1" si="24"/>
        <v>20548.684577967997</v>
      </c>
      <c r="Q179" s="17">
        <f t="shared" ca="1" si="25"/>
        <v>-986515.55764742196</v>
      </c>
    </row>
    <row r="180" spans="1:17" x14ac:dyDescent="0.35">
      <c r="A180">
        <v>178</v>
      </c>
      <c r="B180" s="14">
        <f t="shared" ca="1" si="26"/>
        <v>51487</v>
      </c>
      <c r="C180" s="15">
        <f ca="1">(1+('Symulacja Pożyczka'!$B$7+'Symulacja Pożyczka'!$B$16)*('Arkusz1 (3)'!B180-'Arkusz1 (3)'!B179)/365)</f>
        <v>1.0060821917808218</v>
      </c>
      <c r="D180" s="15">
        <f ca="1">(1+('Symulacja Pożyczka'!$B$7+'Symulacja Pożyczka'!$B$16)*('Arkusz1 (3)'!B180-'Arkusz1 (3)'!B179)/366)</f>
        <v>1.0060655737704918</v>
      </c>
      <c r="E180" s="15">
        <f t="shared" ca="1" si="18"/>
        <v>0</v>
      </c>
      <c r="F180" s="15">
        <f t="shared" ca="1" si="19"/>
        <v>0</v>
      </c>
      <c r="G180">
        <f ca="1">IF(E180=1,(1+('Symulacja Pożyczka'!$B$7+'Symulacja Pożyczka'!$B$16)*((('Arkusz1 (3)'!B180-DATE(YEAR(B180),1,1)+1)/365)+((DATE(YEAR(B179),12,31)-'Arkusz1 (3)'!B179)/366))),IF(F180=1,(1+('Symulacja Pożyczka'!$B$7+'Symulacja Pożyczka'!$B$16)*((('Arkusz1 (3)'!B180-DATE(YEAR(B180),1,1)+1)/366)+((DATE(YEAR(B179),12,31)-'Arkusz1 (3)'!B179)/365))),0))</f>
        <v>0</v>
      </c>
      <c r="H180">
        <f t="shared" ca="1" si="20"/>
        <v>1</v>
      </c>
      <c r="I180">
        <f t="shared" ca="1" si="21"/>
        <v>1.0060655737704918</v>
      </c>
      <c r="J180">
        <f t="shared" ca="1" si="22"/>
        <v>1.0060655737704918</v>
      </c>
      <c r="K180">
        <f ca="1">PRODUCT($J$3:J180)</f>
        <v>2.9785663981846864</v>
      </c>
      <c r="L180">
        <f t="shared" ca="1" si="23"/>
        <v>0.33573198187203712</v>
      </c>
      <c r="M180">
        <f ca="1">SUM($L$3:L180)</f>
        <v>108.18644723936596</v>
      </c>
      <c r="O180">
        <f ca="1">(Q179*'Arkusz1 (3)'!J180)-Q179</f>
        <v>-5983.7828906482318</v>
      </c>
      <c r="P180" s="16">
        <f t="shared" ca="1" si="24"/>
        <v>20478.019362546995</v>
      </c>
      <c r="Q180" s="17">
        <f t="shared" ca="1" si="25"/>
        <v>-1006993.5770099689</v>
      </c>
    </row>
    <row r="181" spans="1:17" x14ac:dyDescent="0.35">
      <c r="A181">
        <v>179</v>
      </c>
      <c r="B181" s="14">
        <f t="shared" ca="1" si="26"/>
        <v>51518</v>
      </c>
      <c r="C181" s="15">
        <f ca="1">(1+('Symulacja Pożyczka'!$B$7+'Symulacja Pożyczka'!$B$16)*('Arkusz1 (3)'!B181-'Arkusz1 (3)'!B180)/365)</f>
        <v>1.0062849315068494</v>
      </c>
      <c r="D181" s="15">
        <f ca="1">(1+('Symulacja Pożyczka'!$B$7+'Symulacja Pożyczka'!$B$16)*('Arkusz1 (3)'!B181-'Arkusz1 (3)'!B180)/366)</f>
        <v>1.0062677595628415</v>
      </c>
      <c r="E181" s="15">
        <f t="shared" ca="1" si="18"/>
        <v>1</v>
      </c>
      <c r="F181" s="15">
        <f t="shared" ca="1" si="19"/>
        <v>0</v>
      </c>
      <c r="G181">
        <f ca="1">IF(E181=1,(1+('Symulacja Pożyczka'!$B$7+'Symulacja Pożyczka'!$B$16)*((('Arkusz1 (3)'!B181-DATE(YEAR(B181),1,1)+1)/365)+((DATE(YEAR(B180),12,31)-'Arkusz1 (3)'!B180)/366))),IF(F181=1,(1+('Symulacja Pożyczka'!$B$7+'Symulacja Pożyczka'!$B$16)*((('Arkusz1 (3)'!B181-DATE(YEAR(B181),1,1)+1)/366)+((DATE(YEAR(B180),12,31)-'Arkusz1 (3)'!B180)/365))),0))</f>
        <v>1.006277176435362</v>
      </c>
      <c r="H181">
        <f t="shared" ca="1" si="20"/>
        <v>0</v>
      </c>
      <c r="I181">
        <f t="shared" ca="1" si="21"/>
        <v>1.0062849315068494</v>
      </c>
      <c r="J181">
        <f t="shared" ca="1" si="22"/>
        <v>1.006277176435362</v>
      </c>
      <c r="K181">
        <f ca="1">PRODUCT($J$3:J181)</f>
        <v>2.9972633849905321</v>
      </c>
      <c r="L181">
        <f t="shared" ca="1" si="23"/>
        <v>0.33363767929362631</v>
      </c>
      <c r="M181">
        <f ca="1">SUM($L$3:L181)</f>
        <v>108.52008491865959</v>
      </c>
      <c r="O181">
        <f ca="1">(Q180*'Arkusz1 (3)'!J181)-Q180</f>
        <v>-6321.0763521678746</v>
      </c>
      <c r="P181" s="16">
        <f t="shared" ca="1" si="24"/>
        <v>20815.312824066637</v>
      </c>
      <c r="Q181" s="17">
        <f t="shared" ca="1" si="25"/>
        <v>-1027808.8898340355</v>
      </c>
    </row>
    <row r="182" spans="1:17" x14ac:dyDescent="0.35">
      <c r="A182">
        <v>180</v>
      </c>
      <c r="B182" s="14">
        <f t="shared" ca="1" si="26"/>
        <v>51549</v>
      </c>
      <c r="C182" s="15">
        <f ca="1">(1+('Symulacja Pożyczka'!$B$7+'Symulacja Pożyczka'!$B$16)*('Arkusz1 (3)'!B182-'Arkusz1 (3)'!B181)/365)</f>
        <v>1.0062849315068494</v>
      </c>
      <c r="D182" s="15">
        <f ca="1">(1+('Symulacja Pożyczka'!$B$7+'Symulacja Pożyczka'!$B$16)*('Arkusz1 (3)'!B182-'Arkusz1 (3)'!B181)/366)</f>
        <v>1.0062677595628415</v>
      </c>
      <c r="E182" s="15">
        <f t="shared" ca="1" si="18"/>
        <v>0</v>
      </c>
      <c r="F182" s="15">
        <f t="shared" ca="1" si="19"/>
        <v>0</v>
      </c>
      <c r="G182">
        <f ca="1">IF(E182=1,(1+('Symulacja Pożyczka'!$B$7+'Symulacja Pożyczka'!$B$16)*((('Arkusz1 (3)'!B182-DATE(YEAR(B182),1,1)+1)/365)+((DATE(YEAR(B181),12,31)-'Arkusz1 (3)'!B181)/366))),IF(F182=1,(1+('Symulacja Pożyczka'!$B$7+'Symulacja Pożyczka'!$B$16)*((('Arkusz1 (3)'!B182-DATE(YEAR(B182),1,1)+1)/366)+((DATE(YEAR(B181),12,31)-'Arkusz1 (3)'!B181)/365))),0))</f>
        <v>0</v>
      </c>
      <c r="H182">
        <f t="shared" ca="1" si="20"/>
        <v>0</v>
      </c>
      <c r="I182">
        <f t="shared" ca="1" si="21"/>
        <v>1.0062849315068494</v>
      </c>
      <c r="J182">
        <f t="shared" ca="1" si="22"/>
        <v>1.0062849315068494</v>
      </c>
      <c r="K182">
        <f ca="1">PRODUCT($J$3:J182)</f>
        <v>3.0161009800731851</v>
      </c>
      <c r="L182">
        <f t="shared" ca="1" si="23"/>
        <v>0.33155388583035278</v>
      </c>
      <c r="M182">
        <f ca="1">SUM($L$3:L182)</f>
        <v>108.85163880448995</v>
      </c>
      <c r="O182">
        <f ca="1">(Q181*'Arkusz1 (3)'!J182)-Q181</f>
        <v>-6459.7084747378249</v>
      </c>
      <c r="P182" s="16">
        <f t="shared" ca="1" si="24"/>
        <v>20953.944946636588</v>
      </c>
      <c r="Q182" s="17">
        <f t="shared" ca="1" si="25"/>
        <v>-1048762.8347806721</v>
      </c>
    </row>
  </sheetData>
  <pageMargins left="0.7" right="0.7" top="0.75" bottom="0.75" header="0.3" footer="0.3"/>
  <pageSetup paperSize="9" orientation="portrait" horizontalDpi="30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Arkusz27"/>
  <dimension ref="A1:Q182"/>
  <sheetViews>
    <sheetView workbookViewId="0">
      <pane ySplit="1" topLeftCell="A2" activePane="bottomLeft" state="frozen"/>
      <selection pane="bottomLeft"/>
    </sheetView>
  </sheetViews>
  <sheetFormatPr defaultRowHeight="14.5" x14ac:dyDescent="0.35"/>
  <cols>
    <col min="1" max="1" width="4" bestFit="1" customWidth="1"/>
    <col min="2" max="2" width="16.1796875" customWidth="1"/>
    <col min="3" max="3" width="16.1796875" style="15" customWidth="1"/>
    <col min="4" max="11" width="16.1796875" customWidth="1"/>
    <col min="12" max="12" width="17.453125" customWidth="1"/>
    <col min="13" max="13" width="12.1796875" customWidth="1"/>
    <col min="14" max="14" width="10.1796875" bestFit="1" customWidth="1"/>
    <col min="15" max="15" width="15.1796875" customWidth="1"/>
    <col min="16" max="16" width="16.81640625" customWidth="1"/>
    <col min="17" max="17" width="16.1796875" customWidth="1"/>
  </cols>
  <sheetData>
    <row r="1" spans="1:17" x14ac:dyDescent="0.35">
      <c r="A1" s="1" t="s">
        <v>6</v>
      </c>
      <c r="B1" s="2"/>
      <c r="C1" s="3" t="s">
        <v>7</v>
      </c>
      <c r="D1" s="2" t="s">
        <v>8</v>
      </c>
      <c r="E1" s="2" t="s">
        <v>9</v>
      </c>
      <c r="F1" s="2" t="s">
        <v>10</v>
      </c>
      <c r="G1" s="2" t="s">
        <v>11</v>
      </c>
      <c r="H1" s="2" t="s">
        <v>12</v>
      </c>
      <c r="I1" s="2" t="s">
        <v>13</v>
      </c>
      <c r="J1" s="2" t="s">
        <v>14</v>
      </c>
      <c r="K1" s="2" t="s">
        <v>15</v>
      </c>
      <c r="L1" s="4" t="s">
        <v>16</v>
      </c>
      <c r="M1" s="5" t="s">
        <v>17</v>
      </c>
      <c r="N1" s="4" t="s">
        <v>18</v>
      </c>
      <c r="O1" s="6" t="s">
        <v>19</v>
      </c>
      <c r="P1" s="7" t="s">
        <v>20</v>
      </c>
      <c r="Q1" s="7" t="s">
        <v>21</v>
      </c>
    </row>
    <row r="2" spans="1:17" x14ac:dyDescent="0.35">
      <c r="A2" s="8">
        <v>0</v>
      </c>
      <c r="B2" s="9" t="e">
        <f>#REF!</f>
        <v>#REF!</v>
      </c>
      <c r="C2" s="10"/>
      <c r="D2" s="9"/>
      <c r="E2" s="9"/>
      <c r="F2" s="9"/>
      <c r="G2" s="11"/>
      <c r="H2" s="11"/>
      <c r="I2" s="11"/>
      <c r="J2" s="11"/>
      <c r="K2" s="11"/>
      <c r="L2" s="7"/>
      <c r="M2" s="12"/>
      <c r="N2" s="13" t="e">
        <f>#REF!/VLOOKUP(#REF!,'Arkusz1 (4)'!$A$1:$O$182,13,1)</f>
        <v>#REF!</v>
      </c>
      <c r="O2" s="7"/>
    </row>
    <row r="3" spans="1:17" x14ac:dyDescent="0.35">
      <c r="A3">
        <v>1</v>
      </c>
      <c r="B3" s="14" t="e">
        <f>#REF!</f>
        <v>#REF!</v>
      </c>
      <c r="C3" s="15" t="e">
        <f>(1+(#REF!)*('Arkusz1 (4)'!B3-'Arkusz1 (4)'!B2)/365)</f>
        <v>#REF!</v>
      </c>
      <c r="D3" s="15" t="e">
        <f>(1+(#REF!)*('Arkusz1 (4)'!B3-'Arkusz1 (4)'!B2)/366)</f>
        <v>#REF!</v>
      </c>
      <c r="E3" s="15" t="e">
        <f>IF(AND(MOD(YEAR(B2),4)=0,MOD(YEAR(B3),4)&lt;&gt;0),1,0)</f>
        <v>#REF!</v>
      </c>
      <c r="F3" s="15" t="e">
        <f>IF(AND(MOD(YEAR(B3),4)=0,MOD(YEAR(B2),4)&lt;&gt;0),1,0)</f>
        <v>#REF!</v>
      </c>
      <c r="G3" t="e">
        <f>IF(E3=1,(1+(#REF!)*((('Arkusz1 (4)'!B3-DATE(YEAR(B3),1,1)+1)/365)+((DATE(YEAR(B2),12,31)-'Arkusz1 (4)'!B2)/366))),IF(F3=1,(1+(#REF!)*((('Arkusz1 (4)'!B3-DATE(YEAR(B3),1,1)+1)/366)+((DATE(YEAR(B2),12,31)-'Arkusz1 (4)'!B2)/365))),0))</f>
        <v>#REF!</v>
      </c>
      <c r="H3" t="e">
        <f>IF(MOD(YEAR(B3),4)=0,1,0)</f>
        <v>#REF!</v>
      </c>
      <c r="I3" t="e">
        <f>IF(H3=0,C3,IF(H3=1,D3,"blad"))</f>
        <v>#REF!</v>
      </c>
      <c r="J3" t="e">
        <f>IF(OR(E3=1,F3=1),G3,I3)</f>
        <v>#REF!</v>
      </c>
      <c r="K3" t="e">
        <f>J3</f>
        <v>#REF!</v>
      </c>
      <c r="L3" t="e">
        <f>1/K3</f>
        <v>#REF!</v>
      </c>
      <c r="O3" t="e">
        <f>(#REF!*'Arkusz1 (4)'!J3)-#REF!</f>
        <v>#REF!</v>
      </c>
      <c r="P3" s="16" t="e">
        <f>$N$2-O3</f>
        <v>#REF!</v>
      </c>
      <c r="Q3" s="17" t="e">
        <f>#REF!-P3</f>
        <v>#REF!</v>
      </c>
    </row>
    <row r="4" spans="1:17" x14ac:dyDescent="0.35">
      <c r="A4">
        <v>2</v>
      </c>
      <c r="B4" s="14" t="e">
        <f>DATE(YEAR((B3)),MONTH((B3))+1,IF(AND(DAY(B3)&gt;28,MONTH((B3))+1=2),IF(MOD(YEAR(B3),4)=0,29,28),DAY(B3)))</f>
        <v>#REF!</v>
      </c>
      <c r="C4" s="15" t="e">
        <f>(1+(#REF!)*('Arkusz1 (4)'!B4-'Arkusz1 (4)'!B3)/365)</f>
        <v>#REF!</v>
      </c>
      <c r="D4" s="15" t="e">
        <f>(1+(#REF!)*('Arkusz1 (4)'!B4-'Arkusz1 (4)'!B3)/366)</f>
        <v>#REF!</v>
      </c>
      <c r="E4" s="15" t="e">
        <f t="shared" ref="E4:E67" si="0">IF(AND(MOD(YEAR(B3),4)=0,MOD(YEAR(B4),4)&lt;&gt;0),1,0)</f>
        <v>#REF!</v>
      </c>
      <c r="F4" s="15" t="e">
        <f t="shared" ref="F4:F67" si="1">IF(AND(MOD(YEAR(B4),4)=0,MOD(YEAR(B3),4)&lt;&gt;0),1,0)</f>
        <v>#REF!</v>
      </c>
      <c r="G4" t="e">
        <f>IF(E4=1,(1+(#REF!)*((('Arkusz1 (4)'!B4-DATE(YEAR(B4),1,1)+1)/365)+((DATE(YEAR(B3),12,31)-'Arkusz1 (4)'!B3)/366))),IF(F4=1,(1+(#REF!)*((('Arkusz1 (4)'!B4-DATE(YEAR(B4),1,1)+1)/366)+((DATE(YEAR(B3),12,31)-'Arkusz1 (4)'!B3)/365))),0))</f>
        <v>#REF!</v>
      </c>
      <c r="H4" t="e">
        <f t="shared" ref="H4:H67" si="2">IF(MOD(YEAR(B4),4)=0,1,0)</f>
        <v>#REF!</v>
      </c>
      <c r="I4" t="e">
        <f t="shared" ref="I4:I67" si="3">IF(H4=0,C4,IF(H4=1,D4,"blad"))</f>
        <v>#REF!</v>
      </c>
      <c r="J4" t="e">
        <f t="shared" ref="J4:J67" si="4">IF(OR(E4=1,F4=1),G4,I4)</f>
        <v>#REF!</v>
      </c>
      <c r="K4" t="e">
        <f>PRODUCT($J$3:J4)</f>
        <v>#REF!</v>
      </c>
      <c r="L4" t="e">
        <f t="shared" ref="L4:L67" si="5">1/K4</f>
        <v>#REF!</v>
      </c>
      <c r="M4" t="e">
        <f>L3+L4</f>
        <v>#REF!</v>
      </c>
      <c r="O4" t="e">
        <f>(Q3*'Arkusz1 (4)'!J4)-Q3</f>
        <v>#REF!</v>
      </c>
      <c r="P4" s="16" t="e">
        <f>$N$2-O4</f>
        <v>#REF!</v>
      </c>
      <c r="Q4" s="17" t="e">
        <f>Q3-P4</f>
        <v>#REF!</v>
      </c>
    </row>
    <row r="5" spans="1:17" x14ac:dyDescent="0.35">
      <c r="A5">
        <v>3</v>
      </c>
      <c r="B5" s="14" t="e">
        <f>DATE(YEAR((B4)),MONTH((B4))+1,IF(AND(DAY(B4)&gt;28,MONTH((B4))+1=2),IF(MOD(YEAR(B4),4)=0,29,28),IF(AND(OR(DAY(B4)=28,DAY(B4)=29),MONTH((B4))=2),DAY(B3),DAY(B4))))</f>
        <v>#REF!</v>
      </c>
      <c r="C5" s="15" t="e">
        <f>(1+(#REF!)*('Arkusz1 (4)'!B5-'Arkusz1 (4)'!B4)/365)</f>
        <v>#REF!</v>
      </c>
      <c r="D5" s="15" t="e">
        <f>(1+(#REF!)*('Arkusz1 (4)'!B5-'Arkusz1 (4)'!B4)/366)</f>
        <v>#REF!</v>
      </c>
      <c r="E5" s="15" t="e">
        <f t="shared" si="0"/>
        <v>#REF!</v>
      </c>
      <c r="F5" s="15" t="e">
        <f t="shared" si="1"/>
        <v>#REF!</v>
      </c>
      <c r="G5" t="e">
        <f>IF(E5=1,(1+(#REF!)*((('Arkusz1 (4)'!B5-DATE(YEAR(B5),1,1)+1)/365)+((DATE(YEAR(B4),12,31)-'Arkusz1 (4)'!B4)/366))),IF(F5=1,(1+(#REF!)*((('Arkusz1 (4)'!B5-DATE(YEAR(B5),1,1)+1)/366)+((DATE(YEAR(B4),12,31)-'Arkusz1 (4)'!B4)/365))),0))</f>
        <v>#REF!</v>
      </c>
      <c r="H5" t="e">
        <f t="shared" si="2"/>
        <v>#REF!</v>
      </c>
      <c r="I5" t="e">
        <f t="shared" si="3"/>
        <v>#REF!</v>
      </c>
      <c r="J5" t="e">
        <f t="shared" si="4"/>
        <v>#REF!</v>
      </c>
      <c r="K5" t="e">
        <f>PRODUCT($J$3:J5)</f>
        <v>#REF!</v>
      </c>
      <c r="L5" t="e">
        <f t="shared" si="5"/>
        <v>#REF!</v>
      </c>
      <c r="M5" t="e">
        <f>SUM($L$3:L5)</f>
        <v>#REF!</v>
      </c>
      <c r="O5" t="e">
        <f>(Q4*'Arkusz1 (4)'!J5)-Q4</f>
        <v>#REF!</v>
      </c>
      <c r="P5" s="16" t="e">
        <f t="shared" ref="P5:P68" si="6">$N$2-O5</f>
        <v>#REF!</v>
      </c>
      <c r="Q5" s="17" t="e">
        <f t="shared" ref="Q5:Q68" si="7">Q4-P5</f>
        <v>#REF!</v>
      </c>
    </row>
    <row r="6" spans="1:17" x14ac:dyDescent="0.35">
      <c r="A6">
        <v>4</v>
      </c>
      <c r="B6" s="14" t="e">
        <f t="shared" ref="B6:B69" si="8">DATE(YEAR((B5)),MONTH((B5))+1,IF(AND(DAY(B5)&gt;28,MONTH((B5))+1=2),IF(MOD(YEAR(B5),4)=0,29,28),IF(AND(OR(DAY(B5)=28,DAY(B5)=29),MONTH((B5))=2),DAY(B4),DAY(B5))))</f>
        <v>#REF!</v>
      </c>
      <c r="C6" s="15" t="e">
        <f>(1+(#REF!)*('Arkusz1 (4)'!B6-'Arkusz1 (4)'!B5)/365)</f>
        <v>#REF!</v>
      </c>
      <c r="D6" s="15" t="e">
        <f>(1+(#REF!)*('Arkusz1 (4)'!B6-'Arkusz1 (4)'!B5)/366)</f>
        <v>#REF!</v>
      </c>
      <c r="E6" s="15" t="e">
        <f t="shared" si="0"/>
        <v>#REF!</v>
      </c>
      <c r="F6" s="15" t="e">
        <f t="shared" si="1"/>
        <v>#REF!</v>
      </c>
      <c r="G6" t="e">
        <f>IF(E6=1,(1+(#REF!)*((('Arkusz1 (4)'!B6-DATE(YEAR(B6),1,1)+1)/365)+((DATE(YEAR(B5),12,31)-'Arkusz1 (4)'!B5)/366))),IF(F6=1,(1+(#REF!)*((('Arkusz1 (4)'!B6-DATE(YEAR(B6),1,1)+1)/366)+((DATE(YEAR(B5),12,31)-'Arkusz1 (4)'!B5)/365))),0))</f>
        <v>#REF!</v>
      </c>
      <c r="H6" t="e">
        <f t="shared" si="2"/>
        <v>#REF!</v>
      </c>
      <c r="I6" t="e">
        <f t="shared" si="3"/>
        <v>#REF!</v>
      </c>
      <c r="J6" t="e">
        <f t="shared" si="4"/>
        <v>#REF!</v>
      </c>
      <c r="K6" t="e">
        <f>PRODUCT($J$3:J6)</f>
        <v>#REF!</v>
      </c>
      <c r="L6" t="e">
        <f t="shared" si="5"/>
        <v>#REF!</v>
      </c>
      <c r="M6" t="e">
        <f>SUM($L$3:L6)</f>
        <v>#REF!</v>
      </c>
      <c r="O6" t="e">
        <f>(Q5*'Arkusz1 (4)'!J6)-Q5</f>
        <v>#REF!</v>
      </c>
      <c r="P6" s="16" t="e">
        <f t="shared" si="6"/>
        <v>#REF!</v>
      </c>
      <c r="Q6" s="17" t="e">
        <f t="shared" si="7"/>
        <v>#REF!</v>
      </c>
    </row>
    <row r="7" spans="1:17" x14ac:dyDescent="0.35">
      <c r="A7">
        <v>5</v>
      </c>
      <c r="B7" s="14" t="e">
        <f t="shared" si="8"/>
        <v>#REF!</v>
      </c>
      <c r="C7" s="15" t="e">
        <f>(1+(#REF!)*('Arkusz1 (4)'!B7-'Arkusz1 (4)'!B6)/365)</f>
        <v>#REF!</v>
      </c>
      <c r="D7" s="15" t="e">
        <f>(1+(#REF!)*('Arkusz1 (4)'!B7-'Arkusz1 (4)'!B6)/366)</f>
        <v>#REF!</v>
      </c>
      <c r="E7" s="15" t="e">
        <f t="shared" si="0"/>
        <v>#REF!</v>
      </c>
      <c r="F7" s="15" t="e">
        <f t="shared" si="1"/>
        <v>#REF!</v>
      </c>
      <c r="G7" t="e">
        <f>IF(E7=1,(1+(#REF!)*((('Arkusz1 (4)'!B7-DATE(YEAR(B7),1,1)+1)/365)+((DATE(YEAR(B6),12,31)-'Arkusz1 (4)'!B6)/366))),IF(F7=1,(1+(#REF!)*((('Arkusz1 (4)'!B7-DATE(YEAR(B7),1,1)+1)/366)+((DATE(YEAR(B6),12,31)-'Arkusz1 (4)'!B6)/365))),0))</f>
        <v>#REF!</v>
      </c>
      <c r="H7" t="e">
        <f t="shared" si="2"/>
        <v>#REF!</v>
      </c>
      <c r="I7" t="e">
        <f t="shared" si="3"/>
        <v>#REF!</v>
      </c>
      <c r="J7" t="e">
        <f t="shared" si="4"/>
        <v>#REF!</v>
      </c>
      <c r="K7" t="e">
        <f>PRODUCT($J$3:J7)</f>
        <v>#REF!</v>
      </c>
      <c r="L7" t="e">
        <f t="shared" si="5"/>
        <v>#REF!</v>
      </c>
      <c r="M7" t="e">
        <f>SUM($L$3:L7)</f>
        <v>#REF!</v>
      </c>
      <c r="O7" t="e">
        <f>(Q6*'Arkusz1 (4)'!J7)-Q6</f>
        <v>#REF!</v>
      </c>
      <c r="P7" s="16" t="e">
        <f t="shared" si="6"/>
        <v>#REF!</v>
      </c>
      <c r="Q7" s="17" t="e">
        <f t="shared" si="7"/>
        <v>#REF!</v>
      </c>
    </row>
    <row r="8" spans="1:17" x14ac:dyDescent="0.35">
      <c r="A8">
        <v>6</v>
      </c>
      <c r="B8" s="14" t="e">
        <f t="shared" si="8"/>
        <v>#REF!</v>
      </c>
      <c r="C8" s="15" t="e">
        <f>(1+(#REF!)*('Arkusz1 (4)'!B8-'Arkusz1 (4)'!B7)/365)</f>
        <v>#REF!</v>
      </c>
      <c r="D8" s="15" t="e">
        <f>(1+(#REF!)*('Arkusz1 (4)'!B8-'Arkusz1 (4)'!B7)/366)</f>
        <v>#REF!</v>
      </c>
      <c r="E8" s="15" t="e">
        <f t="shared" si="0"/>
        <v>#REF!</v>
      </c>
      <c r="F8" s="15" t="e">
        <f t="shared" si="1"/>
        <v>#REF!</v>
      </c>
      <c r="G8" t="e">
        <f>IF(E8=1,(1+(#REF!)*((('Arkusz1 (4)'!B8-DATE(YEAR(B8),1,1)+1)/365)+((DATE(YEAR(B7),12,31)-'Arkusz1 (4)'!B7)/366))),IF(F8=1,(1+(#REF!)*((('Arkusz1 (4)'!B8-DATE(YEAR(B8),1,1)+1)/366)+((DATE(YEAR(B7),12,31)-'Arkusz1 (4)'!B7)/365))),0))</f>
        <v>#REF!</v>
      </c>
      <c r="H8" t="e">
        <f t="shared" si="2"/>
        <v>#REF!</v>
      </c>
      <c r="I8" t="e">
        <f t="shared" si="3"/>
        <v>#REF!</v>
      </c>
      <c r="J8" t="e">
        <f t="shared" si="4"/>
        <v>#REF!</v>
      </c>
      <c r="K8" t="e">
        <f>PRODUCT($J$3:J8)</f>
        <v>#REF!</v>
      </c>
      <c r="L8" t="e">
        <f t="shared" si="5"/>
        <v>#REF!</v>
      </c>
      <c r="M8" t="e">
        <f>SUM($L$3:L8)</f>
        <v>#REF!</v>
      </c>
      <c r="O8" t="e">
        <f>(Q7*'Arkusz1 (4)'!J8)-Q7</f>
        <v>#REF!</v>
      </c>
      <c r="P8" s="16" t="e">
        <f t="shared" si="6"/>
        <v>#REF!</v>
      </c>
      <c r="Q8" s="17" t="e">
        <f t="shared" si="7"/>
        <v>#REF!</v>
      </c>
    </row>
    <row r="9" spans="1:17" x14ac:dyDescent="0.35">
      <c r="A9">
        <v>7</v>
      </c>
      <c r="B9" s="14" t="e">
        <f t="shared" si="8"/>
        <v>#REF!</v>
      </c>
      <c r="C9" s="15" t="e">
        <f>(1+(#REF!)*('Arkusz1 (4)'!B9-'Arkusz1 (4)'!B8)/365)</f>
        <v>#REF!</v>
      </c>
      <c r="D9" s="15" t="e">
        <f>(1+(#REF!)*('Arkusz1 (4)'!B9-'Arkusz1 (4)'!B8)/366)</f>
        <v>#REF!</v>
      </c>
      <c r="E9" s="15" t="e">
        <f t="shared" si="0"/>
        <v>#REF!</v>
      </c>
      <c r="F9" s="15" t="e">
        <f t="shared" si="1"/>
        <v>#REF!</v>
      </c>
      <c r="G9" t="e">
        <f>IF(E9=1,(1+(#REF!)*((('Arkusz1 (4)'!B9-DATE(YEAR(B9),1,1)+1)/365)+((DATE(YEAR(B8),12,31)-'Arkusz1 (4)'!B8)/366))),IF(F9=1,(1+(#REF!)*((('Arkusz1 (4)'!B9-DATE(YEAR(B9),1,1)+1)/366)+((DATE(YEAR(B8),12,31)-'Arkusz1 (4)'!B8)/365))),0))</f>
        <v>#REF!</v>
      </c>
      <c r="H9" t="e">
        <f t="shared" si="2"/>
        <v>#REF!</v>
      </c>
      <c r="I9" t="e">
        <f t="shared" si="3"/>
        <v>#REF!</v>
      </c>
      <c r="J9" t="e">
        <f t="shared" si="4"/>
        <v>#REF!</v>
      </c>
      <c r="K9" t="e">
        <f>PRODUCT($J$3:J9)</f>
        <v>#REF!</v>
      </c>
      <c r="L9" t="e">
        <f t="shared" si="5"/>
        <v>#REF!</v>
      </c>
      <c r="M9" t="e">
        <f>SUM($L$3:L9)</f>
        <v>#REF!</v>
      </c>
      <c r="O9" t="e">
        <f>(Q8*'Arkusz1 (4)'!J9)-Q8</f>
        <v>#REF!</v>
      </c>
      <c r="P9" s="16" t="e">
        <f t="shared" si="6"/>
        <v>#REF!</v>
      </c>
      <c r="Q9" s="17" t="e">
        <f t="shared" si="7"/>
        <v>#REF!</v>
      </c>
    </row>
    <row r="10" spans="1:17" x14ac:dyDescent="0.35">
      <c r="A10">
        <v>8</v>
      </c>
      <c r="B10" s="14" t="e">
        <f t="shared" si="8"/>
        <v>#REF!</v>
      </c>
      <c r="C10" s="15" t="e">
        <f>(1+(#REF!)*('Arkusz1 (4)'!B10-'Arkusz1 (4)'!B9)/365)</f>
        <v>#REF!</v>
      </c>
      <c r="D10" s="15" t="e">
        <f>(1+(#REF!)*('Arkusz1 (4)'!B10-'Arkusz1 (4)'!B9)/366)</f>
        <v>#REF!</v>
      </c>
      <c r="E10" s="15" t="e">
        <f t="shared" si="0"/>
        <v>#REF!</v>
      </c>
      <c r="F10" s="15" t="e">
        <f t="shared" si="1"/>
        <v>#REF!</v>
      </c>
      <c r="G10" t="e">
        <f>IF(E10=1,(1+(#REF!)*((('Arkusz1 (4)'!B10-DATE(YEAR(B10),1,1)+1)/365)+((DATE(YEAR(B9),12,31)-'Arkusz1 (4)'!B9)/366))),IF(F10=1,(1+(#REF!)*((('Arkusz1 (4)'!B10-DATE(YEAR(B10),1,1)+1)/366)+((DATE(YEAR(B9),12,31)-'Arkusz1 (4)'!B9)/365))),0))</f>
        <v>#REF!</v>
      </c>
      <c r="H10" t="e">
        <f t="shared" si="2"/>
        <v>#REF!</v>
      </c>
      <c r="I10" t="e">
        <f t="shared" si="3"/>
        <v>#REF!</v>
      </c>
      <c r="J10" t="e">
        <f t="shared" si="4"/>
        <v>#REF!</v>
      </c>
      <c r="K10" t="e">
        <f>PRODUCT($J$3:J10)</f>
        <v>#REF!</v>
      </c>
      <c r="L10" t="e">
        <f t="shared" si="5"/>
        <v>#REF!</v>
      </c>
      <c r="M10" t="e">
        <f>SUM($L$3:L10)</f>
        <v>#REF!</v>
      </c>
      <c r="O10" t="e">
        <f>(Q9*'Arkusz1 (4)'!J10)-Q9</f>
        <v>#REF!</v>
      </c>
      <c r="P10" s="16" t="e">
        <f t="shared" si="6"/>
        <v>#REF!</v>
      </c>
      <c r="Q10" s="17" t="e">
        <f t="shared" si="7"/>
        <v>#REF!</v>
      </c>
    </row>
    <row r="11" spans="1:17" x14ac:dyDescent="0.35">
      <c r="A11">
        <v>9</v>
      </c>
      <c r="B11" s="14" t="e">
        <f t="shared" si="8"/>
        <v>#REF!</v>
      </c>
      <c r="C11" s="15" t="e">
        <f>(1+(#REF!)*('Arkusz1 (4)'!B11-'Arkusz1 (4)'!B10)/365)</f>
        <v>#REF!</v>
      </c>
      <c r="D11" s="15" t="e">
        <f>(1+(#REF!)*('Arkusz1 (4)'!B11-'Arkusz1 (4)'!B10)/366)</f>
        <v>#REF!</v>
      </c>
      <c r="E11" s="15" t="e">
        <f t="shared" si="0"/>
        <v>#REF!</v>
      </c>
      <c r="F11" s="15" t="e">
        <f t="shared" si="1"/>
        <v>#REF!</v>
      </c>
      <c r="G11" t="e">
        <f>IF(E11=1,(1+(#REF!)*((('Arkusz1 (4)'!B11-DATE(YEAR(B11),1,1)+1)/365)+((DATE(YEAR(B10),12,31)-'Arkusz1 (4)'!B10)/366))),IF(F11=1,(1+(#REF!)*((('Arkusz1 (4)'!B11-DATE(YEAR(B11),1,1)+1)/366)+((DATE(YEAR(B10),12,31)-'Arkusz1 (4)'!B10)/365))),0))</f>
        <v>#REF!</v>
      </c>
      <c r="H11" t="e">
        <f t="shared" si="2"/>
        <v>#REF!</v>
      </c>
      <c r="I11" t="e">
        <f t="shared" si="3"/>
        <v>#REF!</v>
      </c>
      <c r="J11" t="e">
        <f t="shared" si="4"/>
        <v>#REF!</v>
      </c>
      <c r="K11" t="e">
        <f>PRODUCT($J$3:J11)</f>
        <v>#REF!</v>
      </c>
      <c r="L11" t="e">
        <f t="shared" si="5"/>
        <v>#REF!</v>
      </c>
      <c r="M11" t="e">
        <f>SUM($L$3:L11)</f>
        <v>#REF!</v>
      </c>
      <c r="O11" t="e">
        <f>(Q10*'Arkusz1 (4)'!J11)-Q10</f>
        <v>#REF!</v>
      </c>
      <c r="P11" s="16" t="e">
        <f t="shared" si="6"/>
        <v>#REF!</v>
      </c>
      <c r="Q11" s="17" t="e">
        <f t="shared" si="7"/>
        <v>#REF!</v>
      </c>
    </row>
    <row r="12" spans="1:17" x14ac:dyDescent="0.35">
      <c r="A12">
        <v>10</v>
      </c>
      <c r="B12" s="14" t="e">
        <f t="shared" si="8"/>
        <v>#REF!</v>
      </c>
      <c r="C12" s="15" t="e">
        <f>(1+(#REF!)*('Arkusz1 (4)'!B12-'Arkusz1 (4)'!B11)/365)</f>
        <v>#REF!</v>
      </c>
      <c r="D12" s="15" t="e">
        <f>(1+(#REF!)*('Arkusz1 (4)'!B12-'Arkusz1 (4)'!B11)/366)</f>
        <v>#REF!</v>
      </c>
      <c r="E12" s="15" t="e">
        <f t="shared" si="0"/>
        <v>#REF!</v>
      </c>
      <c r="F12" s="15" t="e">
        <f t="shared" si="1"/>
        <v>#REF!</v>
      </c>
      <c r="G12" t="e">
        <f>IF(E12=1,(1+(#REF!)*((('Arkusz1 (4)'!B12-DATE(YEAR(B12),1,1)+1)/365)+((DATE(YEAR(B11),12,31)-'Arkusz1 (4)'!B11)/366))),IF(F12=1,(1+(#REF!)*((('Arkusz1 (4)'!B12-DATE(YEAR(B12),1,1)+1)/366)+((DATE(YEAR(B11),12,31)-'Arkusz1 (4)'!B11)/365))),0))</f>
        <v>#REF!</v>
      </c>
      <c r="H12" t="e">
        <f t="shared" si="2"/>
        <v>#REF!</v>
      </c>
      <c r="I12" t="e">
        <f t="shared" si="3"/>
        <v>#REF!</v>
      </c>
      <c r="J12" t="e">
        <f t="shared" si="4"/>
        <v>#REF!</v>
      </c>
      <c r="K12" t="e">
        <f>PRODUCT($J$3:J12)</f>
        <v>#REF!</v>
      </c>
      <c r="L12" t="e">
        <f t="shared" si="5"/>
        <v>#REF!</v>
      </c>
      <c r="M12" t="e">
        <f>SUM($L$3:L12)</f>
        <v>#REF!</v>
      </c>
      <c r="O12" t="e">
        <f>(Q11*'Arkusz1 (4)'!J12)-Q11</f>
        <v>#REF!</v>
      </c>
      <c r="P12" s="16" t="e">
        <f t="shared" si="6"/>
        <v>#REF!</v>
      </c>
      <c r="Q12" s="17" t="e">
        <f t="shared" si="7"/>
        <v>#REF!</v>
      </c>
    </row>
    <row r="13" spans="1:17" x14ac:dyDescent="0.35">
      <c r="A13">
        <v>11</v>
      </c>
      <c r="B13" s="14" t="e">
        <f t="shared" si="8"/>
        <v>#REF!</v>
      </c>
      <c r="C13" s="15" t="e">
        <f>(1+(#REF!)*('Arkusz1 (4)'!B13-'Arkusz1 (4)'!B12)/365)</f>
        <v>#REF!</v>
      </c>
      <c r="D13" s="15" t="e">
        <f>(1+(#REF!)*('Arkusz1 (4)'!B13-'Arkusz1 (4)'!B12)/366)</f>
        <v>#REF!</v>
      </c>
      <c r="E13" s="15" t="e">
        <f t="shared" si="0"/>
        <v>#REF!</v>
      </c>
      <c r="F13" s="15" t="e">
        <f t="shared" si="1"/>
        <v>#REF!</v>
      </c>
      <c r="G13" t="e">
        <f>IF(E13=1,(1+(#REF!)*((('Arkusz1 (4)'!B13-DATE(YEAR(B13),1,1)+1)/365)+((DATE(YEAR(B12),12,31)-'Arkusz1 (4)'!B12)/366))),IF(F13=1,(1+(#REF!)*((('Arkusz1 (4)'!B13-DATE(YEAR(B13),1,1)+1)/366)+((DATE(YEAR(B12),12,31)-'Arkusz1 (4)'!B12)/365))),0))</f>
        <v>#REF!</v>
      </c>
      <c r="H13" t="e">
        <f t="shared" si="2"/>
        <v>#REF!</v>
      </c>
      <c r="I13" t="e">
        <f t="shared" si="3"/>
        <v>#REF!</v>
      </c>
      <c r="J13" t="e">
        <f t="shared" si="4"/>
        <v>#REF!</v>
      </c>
      <c r="K13" t="e">
        <f>PRODUCT($J$3:J13)</f>
        <v>#REF!</v>
      </c>
      <c r="L13" t="e">
        <f t="shared" si="5"/>
        <v>#REF!</v>
      </c>
      <c r="M13" t="e">
        <f>SUM($L$3:L13)</f>
        <v>#REF!</v>
      </c>
      <c r="O13" t="e">
        <f>(Q12*'Arkusz1 (4)'!J13)-Q12</f>
        <v>#REF!</v>
      </c>
      <c r="P13" s="16" t="e">
        <f t="shared" si="6"/>
        <v>#REF!</v>
      </c>
      <c r="Q13" s="17" t="e">
        <f t="shared" si="7"/>
        <v>#REF!</v>
      </c>
    </row>
    <row r="14" spans="1:17" x14ac:dyDescent="0.35">
      <c r="A14">
        <v>12</v>
      </c>
      <c r="B14" s="14" t="e">
        <f t="shared" si="8"/>
        <v>#REF!</v>
      </c>
      <c r="C14" s="15" t="e">
        <f>(1+(#REF!)*('Arkusz1 (4)'!B14-'Arkusz1 (4)'!B13)/365)</f>
        <v>#REF!</v>
      </c>
      <c r="D14" s="15" t="e">
        <f>(1+(#REF!)*('Arkusz1 (4)'!B14-'Arkusz1 (4)'!B13)/366)</f>
        <v>#REF!</v>
      </c>
      <c r="E14" s="15" t="e">
        <f t="shared" si="0"/>
        <v>#REF!</v>
      </c>
      <c r="F14" s="15" t="e">
        <f t="shared" si="1"/>
        <v>#REF!</v>
      </c>
      <c r="G14" t="e">
        <f>IF(E14=1,(1+(#REF!)*((('Arkusz1 (4)'!B14-DATE(YEAR(B14),1,1)+1)/365)+((DATE(YEAR(B13),12,31)-'Arkusz1 (4)'!B13)/366))),IF(F14=1,(1+(#REF!)*((('Arkusz1 (4)'!B14-DATE(YEAR(B14),1,1)+1)/366)+((DATE(YEAR(B13),12,31)-'Arkusz1 (4)'!B13)/365))),0))</f>
        <v>#REF!</v>
      </c>
      <c r="H14" t="e">
        <f t="shared" si="2"/>
        <v>#REF!</v>
      </c>
      <c r="I14" t="e">
        <f t="shared" si="3"/>
        <v>#REF!</v>
      </c>
      <c r="J14" t="e">
        <f t="shared" si="4"/>
        <v>#REF!</v>
      </c>
      <c r="K14" t="e">
        <f>PRODUCT($J$3:J14)</f>
        <v>#REF!</v>
      </c>
      <c r="L14" t="e">
        <f t="shared" si="5"/>
        <v>#REF!</v>
      </c>
      <c r="M14" t="e">
        <f>SUM($L$3:L14)</f>
        <v>#REF!</v>
      </c>
      <c r="O14" t="e">
        <f>(Q13*'Arkusz1 (4)'!J14)-Q13</f>
        <v>#REF!</v>
      </c>
      <c r="P14" s="16" t="e">
        <f t="shared" si="6"/>
        <v>#REF!</v>
      </c>
      <c r="Q14" s="17" t="e">
        <f t="shared" si="7"/>
        <v>#REF!</v>
      </c>
    </row>
    <row r="15" spans="1:17" x14ac:dyDescent="0.35">
      <c r="A15">
        <v>13</v>
      </c>
      <c r="B15" s="14" t="e">
        <f t="shared" si="8"/>
        <v>#REF!</v>
      </c>
      <c r="C15" s="15" t="e">
        <f>(1+(#REF!)*('Arkusz1 (4)'!B15-'Arkusz1 (4)'!B14)/365)</f>
        <v>#REF!</v>
      </c>
      <c r="D15" s="15" t="e">
        <f>(1+(#REF!)*('Arkusz1 (4)'!B15-'Arkusz1 (4)'!B14)/366)</f>
        <v>#REF!</v>
      </c>
      <c r="E15" s="15" t="e">
        <f t="shared" si="0"/>
        <v>#REF!</v>
      </c>
      <c r="F15" s="15" t="e">
        <f t="shared" si="1"/>
        <v>#REF!</v>
      </c>
      <c r="G15" t="e">
        <f>IF(E15=1,(1+(#REF!)*((('Arkusz1 (4)'!B15-DATE(YEAR(B15),1,1)+1)/365)+((DATE(YEAR(B14),12,31)-'Arkusz1 (4)'!B14)/366))),IF(F15=1,(1+(#REF!)*((('Arkusz1 (4)'!B15-DATE(YEAR(B15),1,1)+1)/366)+((DATE(YEAR(B14),12,31)-'Arkusz1 (4)'!B14)/365))),0))</f>
        <v>#REF!</v>
      </c>
      <c r="H15" t="e">
        <f t="shared" si="2"/>
        <v>#REF!</v>
      </c>
      <c r="I15" t="e">
        <f t="shared" si="3"/>
        <v>#REF!</v>
      </c>
      <c r="J15" t="e">
        <f t="shared" si="4"/>
        <v>#REF!</v>
      </c>
      <c r="K15" t="e">
        <f>PRODUCT($J$3:J15)</f>
        <v>#REF!</v>
      </c>
      <c r="L15" t="e">
        <f t="shared" si="5"/>
        <v>#REF!</v>
      </c>
      <c r="M15" t="e">
        <f>SUM($L$3:L15)</f>
        <v>#REF!</v>
      </c>
      <c r="O15" t="e">
        <f>(Q14*'Arkusz1 (4)'!J15)-Q14</f>
        <v>#REF!</v>
      </c>
      <c r="P15" s="16" t="e">
        <f t="shared" si="6"/>
        <v>#REF!</v>
      </c>
      <c r="Q15" s="17" t="e">
        <f t="shared" si="7"/>
        <v>#REF!</v>
      </c>
    </row>
    <row r="16" spans="1:17" x14ac:dyDescent="0.35">
      <c r="A16">
        <v>14</v>
      </c>
      <c r="B16" s="14" t="e">
        <f t="shared" si="8"/>
        <v>#REF!</v>
      </c>
      <c r="C16" s="15" t="e">
        <f>(1+(#REF!)*('Arkusz1 (4)'!B16-'Arkusz1 (4)'!B15)/365)</f>
        <v>#REF!</v>
      </c>
      <c r="D16" s="15" t="e">
        <f>(1+(#REF!)*('Arkusz1 (4)'!B16-'Arkusz1 (4)'!B15)/366)</f>
        <v>#REF!</v>
      </c>
      <c r="E16" s="15" t="e">
        <f t="shared" si="0"/>
        <v>#REF!</v>
      </c>
      <c r="F16" s="15" t="e">
        <f t="shared" si="1"/>
        <v>#REF!</v>
      </c>
      <c r="G16" t="e">
        <f>IF(E16=1,(1+(#REF!)*((('Arkusz1 (4)'!B16-DATE(YEAR(B16),1,1)+1)/365)+((DATE(YEAR(B15),12,31)-'Arkusz1 (4)'!B15)/366))),IF(F16=1,(1+(#REF!)*((('Arkusz1 (4)'!B16-DATE(YEAR(B16),1,1)+1)/366)+((DATE(YEAR(B15),12,31)-'Arkusz1 (4)'!B15)/365))),0))</f>
        <v>#REF!</v>
      </c>
      <c r="H16" t="e">
        <f t="shared" si="2"/>
        <v>#REF!</v>
      </c>
      <c r="I16" t="e">
        <f t="shared" si="3"/>
        <v>#REF!</v>
      </c>
      <c r="J16" t="e">
        <f t="shared" si="4"/>
        <v>#REF!</v>
      </c>
      <c r="K16" t="e">
        <f>PRODUCT($J$3:J16)</f>
        <v>#REF!</v>
      </c>
      <c r="L16" t="e">
        <f t="shared" si="5"/>
        <v>#REF!</v>
      </c>
      <c r="M16" t="e">
        <f>SUM($L$3:L16)</f>
        <v>#REF!</v>
      </c>
      <c r="O16" t="e">
        <f>(Q15*'Arkusz1 (4)'!J16)-Q15</f>
        <v>#REF!</v>
      </c>
      <c r="P16" s="16" t="e">
        <f t="shared" si="6"/>
        <v>#REF!</v>
      </c>
      <c r="Q16" s="17" t="e">
        <f t="shared" si="7"/>
        <v>#REF!</v>
      </c>
    </row>
    <row r="17" spans="1:17" x14ac:dyDescent="0.35">
      <c r="A17">
        <v>15</v>
      </c>
      <c r="B17" s="14" t="e">
        <f t="shared" si="8"/>
        <v>#REF!</v>
      </c>
      <c r="C17" s="15" t="e">
        <f>(1+(#REF!)*('Arkusz1 (4)'!B17-'Arkusz1 (4)'!B16)/365)</f>
        <v>#REF!</v>
      </c>
      <c r="D17" s="15" t="e">
        <f>(1+(#REF!)*('Arkusz1 (4)'!B17-'Arkusz1 (4)'!B16)/366)</f>
        <v>#REF!</v>
      </c>
      <c r="E17" s="15" t="e">
        <f t="shared" si="0"/>
        <v>#REF!</v>
      </c>
      <c r="F17" s="15" t="e">
        <f t="shared" si="1"/>
        <v>#REF!</v>
      </c>
      <c r="G17" t="e">
        <f>IF(E17=1,(1+(#REF!)*((('Arkusz1 (4)'!B17-DATE(YEAR(B17),1,1)+1)/365)+((DATE(YEAR(B16),12,31)-'Arkusz1 (4)'!B16)/366))),IF(F17=1,(1+(#REF!)*((('Arkusz1 (4)'!B17-DATE(YEAR(B17),1,1)+1)/366)+((DATE(YEAR(B16),12,31)-'Arkusz1 (4)'!B16)/365))),0))</f>
        <v>#REF!</v>
      </c>
      <c r="H17" t="e">
        <f t="shared" si="2"/>
        <v>#REF!</v>
      </c>
      <c r="I17" t="e">
        <f t="shared" si="3"/>
        <v>#REF!</v>
      </c>
      <c r="J17" t="e">
        <f t="shared" si="4"/>
        <v>#REF!</v>
      </c>
      <c r="K17" t="e">
        <f>PRODUCT($J$3:J17)</f>
        <v>#REF!</v>
      </c>
      <c r="L17" t="e">
        <f t="shared" si="5"/>
        <v>#REF!</v>
      </c>
      <c r="M17" t="e">
        <f>SUM($L$3:L17)</f>
        <v>#REF!</v>
      </c>
      <c r="O17" t="e">
        <f>(Q16*'Arkusz1 (4)'!J17)-Q16</f>
        <v>#REF!</v>
      </c>
      <c r="P17" s="16" t="e">
        <f t="shared" si="6"/>
        <v>#REF!</v>
      </c>
      <c r="Q17" s="17" t="e">
        <f t="shared" si="7"/>
        <v>#REF!</v>
      </c>
    </row>
    <row r="18" spans="1:17" x14ac:dyDescent="0.35">
      <c r="A18">
        <v>16</v>
      </c>
      <c r="B18" s="14" t="e">
        <f t="shared" si="8"/>
        <v>#REF!</v>
      </c>
      <c r="C18" s="15" t="e">
        <f>(1+(#REF!)*('Arkusz1 (4)'!B18-'Arkusz1 (4)'!B17)/365)</f>
        <v>#REF!</v>
      </c>
      <c r="D18" s="15" t="e">
        <f>(1+(#REF!)*('Arkusz1 (4)'!B18-'Arkusz1 (4)'!B17)/366)</f>
        <v>#REF!</v>
      </c>
      <c r="E18" s="15" t="e">
        <f t="shared" si="0"/>
        <v>#REF!</v>
      </c>
      <c r="F18" s="15" t="e">
        <f t="shared" si="1"/>
        <v>#REF!</v>
      </c>
      <c r="G18" t="e">
        <f>IF(E18=1,(1+(#REF!)*((('Arkusz1 (4)'!B18-DATE(YEAR(B18),1,1)+1)/365)+((DATE(YEAR(B17),12,31)-'Arkusz1 (4)'!B17)/366))),IF(F18=1,(1+(#REF!)*((('Arkusz1 (4)'!B18-DATE(YEAR(B18),1,1)+1)/366)+((DATE(YEAR(B17),12,31)-'Arkusz1 (4)'!B17)/365))),0))</f>
        <v>#REF!</v>
      </c>
      <c r="H18" t="e">
        <f t="shared" si="2"/>
        <v>#REF!</v>
      </c>
      <c r="I18" t="e">
        <f t="shared" si="3"/>
        <v>#REF!</v>
      </c>
      <c r="J18" t="e">
        <f t="shared" si="4"/>
        <v>#REF!</v>
      </c>
      <c r="K18" t="e">
        <f>PRODUCT($J$3:J18)</f>
        <v>#REF!</v>
      </c>
      <c r="L18" t="e">
        <f t="shared" si="5"/>
        <v>#REF!</v>
      </c>
      <c r="M18" t="e">
        <f>SUM($L$3:L18)</f>
        <v>#REF!</v>
      </c>
      <c r="O18" t="e">
        <f>(Q17*'Arkusz1 (4)'!J18)-Q17</f>
        <v>#REF!</v>
      </c>
      <c r="P18" s="16" t="e">
        <f t="shared" si="6"/>
        <v>#REF!</v>
      </c>
      <c r="Q18" s="17" t="e">
        <f t="shared" si="7"/>
        <v>#REF!</v>
      </c>
    </row>
    <row r="19" spans="1:17" x14ac:dyDescent="0.35">
      <c r="A19">
        <v>17</v>
      </c>
      <c r="B19" s="14" t="e">
        <f t="shared" si="8"/>
        <v>#REF!</v>
      </c>
      <c r="C19" s="15" t="e">
        <f>(1+(#REF!)*('Arkusz1 (4)'!B19-'Arkusz1 (4)'!B18)/365)</f>
        <v>#REF!</v>
      </c>
      <c r="D19" s="15" t="e">
        <f>(1+(#REF!)*('Arkusz1 (4)'!B19-'Arkusz1 (4)'!B18)/366)</f>
        <v>#REF!</v>
      </c>
      <c r="E19" s="15" t="e">
        <f t="shared" si="0"/>
        <v>#REF!</v>
      </c>
      <c r="F19" s="15" t="e">
        <f t="shared" si="1"/>
        <v>#REF!</v>
      </c>
      <c r="G19" t="e">
        <f>IF(E19=1,(1+(#REF!)*((('Arkusz1 (4)'!B19-DATE(YEAR(B19),1,1)+1)/365)+((DATE(YEAR(B18),12,31)-'Arkusz1 (4)'!B18)/366))),IF(F19=1,(1+(#REF!)*((('Arkusz1 (4)'!B19-DATE(YEAR(B19),1,1)+1)/366)+((DATE(YEAR(B18),12,31)-'Arkusz1 (4)'!B18)/365))),0))</f>
        <v>#REF!</v>
      </c>
      <c r="H19" t="e">
        <f t="shared" si="2"/>
        <v>#REF!</v>
      </c>
      <c r="I19" t="e">
        <f t="shared" si="3"/>
        <v>#REF!</v>
      </c>
      <c r="J19" t="e">
        <f t="shared" si="4"/>
        <v>#REF!</v>
      </c>
      <c r="K19" t="e">
        <f>PRODUCT($J$3:J19)</f>
        <v>#REF!</v>
      </c>
      <c r="L19" t="e">
        <f t="shared" si="5"/>
        <v>#REF!</v>
      </c>
      <c r="M19" t="e">
        <f>SUM($L$3:L19)</f>
        <v>#REF!</v>
      </c>
      <c r="O19" t="e">
        <f>(Q18*'Arkusz1 (4)'!J19)-Q18</f>
        <v>#REF!</v>
      </c>
      <c r="P19" s="16" t="e">
        <f t="shared" si="6"/>
        <v>#REF!</v>
      </c>
      <c r="Q19" s="17" t="e">
        <f t="shared" si="7"/>
        <v>#REF!</v>
      </c>
    </row>
    <row r="20" spans="1:17" x14ac:dyDescent="0.35">
      <c r="A20">
        <v>18</v>
      </c>
      <c r="B20" s="14" t="e">
        <f t="shared" si="8"/>
        <v>#REF!</v>
      </c>
      <c r="C20" s="15" t="e">
        <f>(1+(#REF!)*('Arkusz1 (4)'!B20-'Arkusz1 (4)'!B19)/365)</f>
        <v>#REF!</v>
      </c>
      <c r="D20" s="15" t="e">
        <f>(1+(#REF!)*('Arkusz1 (4)'!B20-'Arkusz1 (4)'!B19)/366)</f>
        <v>#REF!</v>
      </c>
      <c r="E20" s="15" t="e">
        <f t="shared" si="0"/>
        <v>#REF!</v>
      </c>
      <c r="F20" s="15" t="e">
        <f t="shared" si="1"/>
        <v>#REF!</v>
      </c>
      <c r="G20" t="e">
        <f>IF(E20=1,(1+(#REF!)*((('Arkusz1 (4)'!B20-DATE(YEAR(B20),1,1)+1)/365)+((DATE(YEAR(B19),12,31)-'Arkusz1 (4)'!B19)/366))),IF(F20=1,(1+(#REF!)*((('Arkusz1 (4)'!B20-DATE(YEAR(B20),1,1)+1)/366)+((DATE(YEAR(B19),12,31)-'Arkusz1 (4)'!B19)/365))),0))</f>
        <v>#REF!</v>
      </c>
      <c r="H20" t="e">
        <f t="shared" si="2"/>
        <v>#REF!</v>
      </c>
      <c r="I20" t="e">
        <f t="shared" si="3"/>
        <v>#REF!</v>
      </c>
      <c r="J20" t="e">
        <f t="shared" si="4"/>
        <v>#REF!</v>
      </c>
      <c r="K20" t="e">
        <f>PRODUCT($J$3:J20)</f>
        <v>#REF!</v>
      </c>
      <c r="L20" t="e">
        <f t="shared" si="5"/>
        <v>#REF!</v>
      </c>
      <c r="M20" t="e">
        <f>SUM($L$3:L20)</f>
        <v>#REF!</v>
      </c>
      <c r="O20" t="e">
        <f>(Q19*'Arkusz1 (4)'!J20)-Q19</f>
        <v>#REF!</v>
      </c>
      <c r="P20" s="16" t="e">
        <f t="shared" si="6"/>
        <v>#REF!</v>
      </c>
      <c r="Q20" s="17" t="e">
        <f t="shared" si="7"/>
        <v>#REF!</v>
      </c>
    </row>
    <row r="21" spans="1:17" x14ac:dyDescent="0.35">
      <c r="A21">
        <v>19</v>
      </c>
      <c r="B21" s="14" t="e">
        <f t="shared" si="8"/>
        <v>#REF!</v>
      </c>
      <c r="C21" s="15" t="e">
        <f>(1+(#REF!)*('Arkusz1 (4)'!B21-'Arkusz1 (4)'!B20)/365)</f>
        <v>#REF!</v>
      </c>
      <c r="D21" s="15" t="e">
        <f>(1+(#REF!)*('Arkusz1 (4)'!B21-'Arkusz1 (4)'!B20)/366)</f>
        <v>#REF!</v>
      </c>
      <c r="E21" s="15" t="e">
        <f t="shared" si="0"/>
        <v>#REF!</v>
      </c>
      <c r="F21" s="15" t="e">
        <f t="shared" si="1"/>
        <v>#REF!</v>
      </c>
      <c r="G21" t="e">
        <f>IF(E21=1,(1+(#REF!)*((('Arkusz1 (4)'!B21-DATE(YEAR(B21),1,1)+1)/365)+((DATE(YEAR(B20),12,31)-'Arkusz1 (4)'!B20)/366))),IF(F21=1,(1+(#REF!)*((('Arkusz1 (4)'!B21-DATE(YEAR(B21),1,1)+1)/366)+((DATE(YEAR(B20),12,31)-'Arkusz1 (4)'!B20)/365))),0))</f>
        <v>#REF!</v>
      </c>
      <c r="H21" t="e">
        <f t="shared" si="2"/>
        <v>#REF!</v>
      </c>
      <c r="I21" t="e">
        <f t="shared" si="3"/>
        <v>#REF!</v>
      </c>
      <c r="J21" t="e">
        <f t="shared" si="4"/>
        <v>#REF!</v>
      </c>
      <c r="K21" t="e">
        <f>PRODUCT($J$3:J21)</f>
        <v>#REF!</v>
      </c>
      <c r="L21" t="e">
        <f t="shared" si="5"/>
        <v>#REF!</v>
      </c>
      <c r="M21" t="e">
        <f>SUM($L$3:L21)</f>
        <v>#REF!</v>
      </c>
      <c r="O21" t="e">
        <f>(Q20*'Arkusz1 (4)'!J21)-Q20</f>
        <v>#REF!</v>
      </c>
      <c r="P21" s="16" t="e">
        <f t="shared" si="6"/>
        <v>#REF!</v>
      </c>
      <c r="Q21" s="17" t="e">
        <f t="shared" si="7"/>
        <v>#REF!</v>
      </c>
    </row>
    <row r="22" spans="1:17" x14ac:dyDescent="0.35">
      <c r="A22">
        <v>20</v>
      </c>
      <c r="B22" s="14" t="e">
        <f t="shared" si="8"/>
        <v>#REF!</v>
      </c>
      <c r="C22" s="15" t="e">
        <f>(1+(#REF!)*('Arkusz1 (4)'!B22-'Arkusz1 (4)'!B21)/365)</f>
        <v>#REF!</v>
      </c>
      <c r="D22" s="15" t="e">
        <f>(1+(#REF!)*('Arkusz1 (4)'!B22-'Arkusz1 (4)'!B21)/366)</f>
        <v>#REF!</v>
      </c>
      <c r="E22" s="15" t="e">
        <f t="shared" si="0"/>
        <v>#REF!</v>
      </c>
      <c r="F22" s="15" t="e">
        <f t="shared" si="1"/>
        <v>#REF!</v>
      </c>
      <c r="G22" t="e">
        <f>IF(E22=1,(1+(#REF!)*((('Arkusz1 (4)'!B22-DATE(YEAR(B22),1,1)+1)/365)+((DATE(YEAR(B21),12,31)-'Arkusz1 (4)'!B21)/366))),IF(F22=1,(1+(#REF!)*((('Arkusz1 (4)'!B22-DATE(YEAR(B22),1,1)+1)/366)+((DATE(YEAR(B21),12,31)-'Arkusz1 (4)'!B21)/365))),0))</f>
        <v>#REF!</v>
      </c>
      <c r="H22" t="e">
        <f t="shared" si="2"/>
        <v>#REF!</v>
      </c>
      <c r="I22" t="e">
        <f t="shared" si="3"/>
        <v>#REF!</v>
      </c>
      <c r="J22" t="e">
        <f t="shared" si="4"/>
        <v>#REF!</v>
      </c>
      <c r="K22" t="e">
        <f>PRODUCT($J$3:J22)</f>
        <v>#REF!</v>
      </c>
      <c r="L22" t="e">
        <f t="shared" si="5"/>
        <v>#REF!</v>
      </c>
      <c r="M22" t="e">
        <f>SUM($L$3:L22)</f>
        <v>#REF!</v>
      </c>
      <c r="O22" t="e">
        <f>(Q21*'Arkusz1 (4)'!J22)-Q21</f>
        <v>#REF!</v>
      </c>
      <c r="P22" s="16" t="e">
        <f t="shared" si="6"/>
        <v>#REF!</v>
      </c>
      <c r="Q22" s="17" t="e">
        <f t="shared" si="7"/>
        <v>#REF!</v>
      </c>
    </row>
    <row r="23" spans="1:17" x14ac:dyDescent="0.35">
      <c r="A23">
        <v>21</v>
      </c>
      <c r="B23" s="14" t="e">
        <f t="shared" si="8"/>
        <v>#REF!</v>
      </c>
      <c r="C23" s="15" t="e">
        <f>(1+(#REF!)*('Arkusz1 (4)'!B23-'Arkusz1 (4)'!B22)/365)</f>
        <v>#REF!</v>
      </c>
      <c r="D23" s="15" t="e">
        <f>(1+(#REF!)*('Arkusz1 (4)'!B23-'Arkusz1 (4)'!B22)/366)</f>
        <v>#REF!</v>
      </c>
      <c r="E23" s="15" t="e">
        <f t="shared" si="0"/>
        <v>#REF!</v>
      </c>
      <c r="F23" s="15" t="e">
        <f t="shared" si="1"/>
        <v>#REF!</v>
      </c>
      <c r="G23" t="e">
        <f>IF(E23=1,(1+(#REF!)*((('Arkusz1 (4)'!B23-DATE(YEAR(B23),1,1)+1)/365)+((DATE(YEAR(B22),12,31)-'Arkusz1 (4)'!B22)/366))),IF(F23=1,(1+(#REF!)*((('Arkusz1 (4)'!B23-DATE(YEAR(B23),1,1)+1)/366)+((DATE(YEAR(B22),12,31)-'Arkusz1 (4)'!B22)/365))),0))</f>
        <v>#REF!</v>
      </c>
      <c r="H23" t="e">
        <f t="shared" si="2"/>
        <v>#REF!</v>
      </c>
      <c r="I23" t="e">
        <f t="shared" si="3"/>
        <v>#REF!</v>
      </c>
      <c r="J23" t="e">
        <f t="shared" si="4"/>
        <v>#REF!</v>
      </c>
      <c r="K23" t="e">
        <f>PRODUCT($J$3:J23)</f>
        <v>#REF!</v>
      </c>
      <c r="L23" t="e">
        <f t="shared" si="5"/>
        <v>#REF!</v>
      </c>
      <c r="M23" t="e">
        <f>SUM($L$3:L23)</f>
        <v>#REF!</v>
      </c>
      <c r="O23" t="e">
        <f>(Q22*'Arkusz1 (4)'!J23)-Q22</f>
        <v>#REF!</v>
      </c>
      <c r="P23" s="16" t="e">
        <f t="shared" si="6"/>
        <v>#REF!</v>
      </c>
      <c r="Q23" s="17" t="e">
        <f t="shared" si="7"/>
        <v>#REF!</v>
      </c>
    </row>
    <row r="24" spans="1:17" x14ac:dyDescent="0.35">
      <c r="A24">
        <v>22</v>
      </c>
      <c r="B24" s="14" t="e">
        <f t="shared" si="8"/>
        <v>#REF!</v>
      </c>
      <c r="C24" s="15" t="e">
        <f>(1+(#REF!)*('Arkusz1 (4)'!B24-'Arkusz1 (4)'!B23)/365)</f>
        <v>#REF!</v>
      </c>
      <c r="D24" s="15" t="e">
        <f>(1+(#REF!)*('Arkusz1 (4)'!B24-'Arkusz1 (4)'!B23)/366)</f>
        <v>#REF!</v>
      </c>
      <c r="E24" s="15" t="e">
        <f t="shared" si="0"/>
        <v>#REF!</v>
      </c>
      <c r="F24" s="15" t="e">
        <f t="shared" si="1"/>
        <v>#REF!</v>
      </c>
      <c r="G24" t="e">
        <f>IF(E24=1,(1+(#REF!)*((('Arkusz1 (4)'!B24-DATE(YEAR(B24),1,1)+1)/365)+((DATE(YEAR(B23),12,31)-'Arkusz1 (4)'!B23)/366))),IF(F24=1,(1+(#REF!)*((('Arkusz1 (4)'!B24-DATE(YEAR(B24),1,1)+1)/366)+((DATE(YEAR(B23),12,31)-'Arkusz1 (4)'!B23)/365))),0))</f>
        <v>#REF!</v>
      </c>
      <c r="H24" t="e">
        <f t="shared" si="2"/>
        <v>#REF!</v>
      </c>
      <c r="I24" t="e">
        <f t="shared" si="3"/>
        <v>#REF!</v>
      </c>
      <c r="J24" t="e">
        <f t="shared" si="4"/>
        <v>#REF!</v>
      </c>
      <c r="K24" t="e">
        <f>PRODUCT($J$3:J24)</f>
        <v>#REF!</v>
      </c>
      <c r="L24" t="e">
        <f t="shared" si="5"/>
        <v>#REF!</v>
      </c>
      <c r="M24" t="e">
        <f>SUM($L$3:L24)</f>
        <v>#REF!</v>
      </c>
      <c r="O24" t="e">
        <f>(Q23*'Arkusz1 (4)'!J24)-Q23</f>
        <v>#REF!</v>
      </c>
      <c r="P24" s="16" t="e">
        <f t="shared" si="6"/>
        <v>#REF!</v>
      </c>
      <c r="Q24" s="17" t="e">
        <f t="shared" si="7"/>
        <v>#REF!</v>
      </c>
    </row>
    <row r="25" spans="1:17" x14ac:dyDescent="0.35">
      <c r="A25">
        <v>23</v>
      </c>
      <c r="B25" s="14" t="e">
        <f t="shared" si="8"/>
        <v>#REF!</v>
      </c>
      <c r="C25" s="15" t="e">
        <f>(1+(#REF!)*('Arkusz1 (4)'!B25-'Arkusz1 (4)'!B24)/365)</f>
        <v>#REF!</v>
      </c>
      <c r="D25" s="15" t="e">
        <f>(1+(#REF!)*('Arkusz1 (4)'!B25-'Arkusz1 (4)'!B24)/366)</f>
        <v>#REF!</v>
      </c>
      <c r="E25" s="15" t="e">
        <f t="shared" si="0"/>
        <v>#REF!</v>
      </c>
      <c r="F25" s="15" t="e">
        <f t="shared" si="1"/>
        <v>#REF!</v>
      </c>
      <c r="G25" t="e">
        <f>IF(E25=1,(1+(#REF!)*((('Arkusz1 (4)'!B25-DATE(YEAR(B25),1,1)+1)/365)+((DATE(YEAR(B24),12,31)-'Arkusz1 (4)'!B24)/366))),IF(F25=1,(1+(#REF!)*((('Arkusz1 (4)'!B25-DATE(YEAR(B25),1,1)+1)/366)+((DATE(YEAR(B24),12,31)-'Arkusz1 (4)'!B24)/365))),0))</f>
        <v>#REF!</v>
      </c>
      <c r="H25" t="e">
        <f t="shared" si="2"/>
        <v>#REF!</v>
      </c>
      <c r="I25" t="e">
        <f t="shared" si="3"/>
        <v>#REF!</v>
      </c>
      <c r="J25" t="e">
        <f t="shared" si="4"/>
        <v>#REF!</v>
      </c>
      <c r="K25" t="e">
        <f>PRODUCT($J$3:J25)</f>
        <v>#REF!</v>
      </c>
      <c r="L25" t="e">
        <f t="shared" si="5"/>
        <v>#REF!</v>
      </c>
      <c r="M25" t="e">
        <f>SUM($L$3:L25)</f>
        <v>#REF!</v>
      </c>
      <c r="O25" t="e">
        <f>(Q24*'Arkusz1 (4)'!J25)-Q24</f>
        <v>#REF!</v>
      </c>
      <c r="P25" s="16" t="e">
        <f t="shared" si="6"/>
        <v>#REF!</v>
      </c>
      <c r="Q25" s="17" t="e">
        <f t="shared" si="7"/>
        <v>#REF!</v>
      </c>
    </row>
    <row r="26" spans="1:17" x14ac:dyDescent="0.35">
      <c r="A26">
        <v>24</v>
      </c>
      <c r="B26" s="14" t="e">
        <f t="shared" si="8"/>
        <v>#REF!</v>
      </c>
      <c r="C26" s="15" t="e">
        <f>(1+(#REF!)*('Arkusz1 (4)'!B26-'Arkusz1 (4)'!B25)/365)</f>
        <v>#REF!</v>
      </c>
      <c r="D26" s="15" t="e">
        <f>(1+(#REF!)*('Arkusz1 (4)'!B26-'Arkusz1 (4)'!B25)/366)</f>
        <v>#REF!</v>
      </c>
      <c r="E26" s="15" t="e">
        <f t="shared" si="0"/>
        <v>#REF!</v>
      </c>
      <c r="F26" s="15" t="e">
        <f t="shared" si="1"/>
        <v>#REF!</v>
      </c>
      <c r="G26" t="e">
        <f>IF(E26=1,(1+(#REF!)*((('Arkusz1 (4)'!B26-DATE(YEAR(B26),1,1)+1)/365)+((DATE(YEAR(B25),12,31)-'Arkusz1 (4)'!B25)/366))),IF(F26=1,(1+(#REF!)*((('Arkusz1 (4)'!B26-DATE(YEAR(B26),1,1)+1)/366)+((DATE(YEAR(B25),12,31)-'Arkusz1 (4)'!B25)/365))),0))</f>
        <v>#REF!</v>
      </c>
      <c r="H26" t="e">
        <f t="shared" si="2"/>
        <v>#REF!</v>
      </c>
      <c r="I26" t="e">
        <f t="shared" si="3"/>
        <v>#REF!</v>
      </c>
      <c r="J26" t="e">
        <f t="shared" si="4"/>
        <v>#REF!</v>
      </c>
      <c r="K26" t="e">
        <f>PRODUCT($J$3:J26)</f>
        <v>#REF!</v>
      </c>
      <c r="L26" t="e">
        <f t="shared" si="5"/>
        <v>#REF!</v>
      </c>
      <c r="M26" t="e">
        <f>SUM($L$3:L26)</f>
        <v>#REF!</v>
      </c>
      <c r="O26" t="e">
        <f>(Q25*'Arkusz1 (4)'!J26)-Q25</f>
        <v>#REF!</v>
      </c>
      <c r="P26" s="16" t="e">
        <f t="shared" si="6"/>
        <v>#REF!</v>
      </c>
      <c r="Q26" s="17" t="e">
        <f t="shared" si="7"/>
        <v>#REF!</v>
      </c>
    </row>
    <row r="27" spans="1:17" x14ac:dyDescent="0.35">
      <c r="A27">
        <v>25</v>
      </c>
      <c r="B27" s="14" t="e">
        <f t="shared" si="8"/>
        <v>#REF!</v>
      </c>
      <c r="C27" s="15" t="e">
        <f>(1+(#REF!)*('Arkusz1 (4)'!B27-'Arkusz1 (4)'!B26)/365)</f>
        <v>#REF!</v>
      </c>
      <c r="D27" s="15" t="e">
        <f>(1+(#REF!)*('Arkusz1 (4)'!B27-'Arkusz1 (4)'!B26)/366)</f>
        <v>#REF!</v>
      </c>
      <c r="E27" s="15" t="e">
        <f t="shared" si="0"/>
        <v>#REF!</v>
      </c>
      <c r="F27" s="15" t="e">
        <f t="shared" si="1"/>
        <v>#REF!</v>
      </c>
      <c r="G27" t="e">
        <f>IF(E27=1,(1+(#REF!)*((('Arkusz1 (4)'!B27-DATE(YEAR(B27),1,1)+1)/365)+((DATE(YEAR(B26),12,31)-'Arkusz1 (4)'!B26)/366))),IF(F27=1,(1+(#REF!)*((('Arkusz1 (4)'!B27-DATE(YEAR(B27),1,1)+1)/366)+((DATE(YEAR(B26),12,31)-'Arkusz1 (4)'!B26)/365))),0))</f>
        <v>#REF!</v>
      </c>
      <c r="H27" t="e">
        <f t="shared" si="2"/>
        <v>#REF!</v>
      </c>
      <c r="I27" t="e">
        <f t="shared" si="3"/>
        <v>#REF!</v>
      </c>
      <c r="J27" t="e">
        <f t="shared" si="4"/>
        <v>#REF!</v>
      </c>
      <c r="K27" t="e">
        <f>PRODUCT($J$3:J27)</f>
        <v>#REF!</v>
      </c>
      <c r="L27" t="e">
        <f t="shared" si="5"/>
        <v>#REF!</v>
      </c>
      <c r="M27" t="e">
        <f>SUM($L$3:L27)</f>
        <v>#REF!</v>
      </c>
      <c r="O27" t="e">
        <f>(Q26*'Arkusz1 (4)'!J27)-Q26</f>
        <v>#REF!</v>
      </c>
      <c r="P27" s="16" t="e">
        <f t="shared" si="6"/>
        <v>#REF!</v>
      </c>
      <c r="Q27" s="17" t="e">
        <f t="shared" si="7"/>
        <v>#REF!</v>
      </c>
    </row>
    <row r="28" spans="1:17" x14ac:dyDescent="0.35">
      <c r="A28">
        <v>26</v>
      </c>
      <c r="B28" s="14" t="e">
        <f t="shared" si="8"/>
        <v>#REF!</v>
      </c>
      <c r="C28" s="15" t="e">
        <f>(1+(#REF!)*('Arkusz1 (4)'!B28-'Arkusz1 (4)'!B27)/365)</f>
        <v>#REF!</v>
      </c>
      <c r="D28" s="15" t="e">
        <f>(1+(#REF!)*('Arkusz1 (4)'!B28-'Arkusz1 (4)'!B27)/366)</f>
        <v>#REF!</v>
      </c>
      <c r="E28" s="15" t="e">
        <f t="shared" si="0"/>
        <v>#REF!</v>
      </c>
      <c r="F28" s="15" t="e">
        <f t="shared" si="1"/>
        <v>#REF!</v>
      </c>
      <c r="G28" t="e">
        <f>IF(E28=1,(1+(#REF!)*((('Arkusz1 (4)'!B28-DATE(YEAR(B28),1,1)+1)/365)+((DATE(YEAR(B27),12,31)-'Arkusz1 (4)'!B27)/366))),IF(F28=1,(1+(#REF!)*((('Arkusz1 (4)'!B28-DATE(YEAR(B28),1,1)+1)/366)+((DATE(YEAR(B27),12,31)-'Arkusz1 (4)'!B27)/365))),0))</f>
        <v>#REF!</v>
      </c>
      <c r="H28" t="e">
        <f t="shared" si="2"/>
        <v>#REF!</v>
      </c>
      <c r="I28" t="e">
        <f t="shared" si="3"/>
        <v>#REF!</v>
      </c>
      <c r="J28" t="e">
        <f t="shared" si="4"/>
        <v>#REF!</v>
      </c>
      <c r="K28" t="e">
        <f>PRODUCT($J$3:J28)</f>
        <v>#REF!</v>
      </c>
      <c r="L28" t="e">
        <f t="shared" si="5"/>
        <v>#REF!</v>
      </c>
      <c r="M28" t="e">
        <f>SUM($L$3:L28)</f>
        <v>#REF!</v>
      </c>
      <c r="O28" t="e">
        <f>(Q27*'Arkusz1 (4)'!J28)-Q27</f>
        <v>#REF!</v>
      </c>
      <c r="P28" s="16" t="e">
        <f t="shared" si="6"/>
        <v>#REF!</v>
      </c>
      <c r="Q28" s="17" t="e">
        <f t="shared" si="7"/>
        <v>#REF!</v>
      </c>
    </row>
    <row r="29" spans="1:17" x14ac:dyDescent="0.35">
      <c r="A29">
        <v>27</v>
      </c>
      <c r="B29" s="14" t="e">
        <f t="shared" si="8"/>
        <v>#REF!</v>
      </c>
      <c r="C29" s="15" t="e">
        <f>(1+(#REF!)*('Arkusz1 (4)'!B29-'Arkusz1 (4)'!B28)/365)</f>
        <v>#REF!</v>
      </c>
      <c r="D29" s="15" t="e">
        <f>(1+(#REF!)*('Arkusz1 (4)'!B29-'Arkusz1 (4)'!B28)/366)</f>
        <v>#REF!</v>
      </c>
      <c r="E29" s="15" t="e">
        <f t="shared" si="0"/>
        <v>#REF!</v>
      </c>
      <c r="F29" s="15" t="e">
        <f t="shared" si="1"/>
        <v>#REF!</v>
      </c>
      <c r="G29" t="e">
        <f>IF(E29=1,(1+(#REF!)*((('Arkusz1 (4)'!B29-DATE(YEAR(B29),1,1)+1)/365)+((DATE(YEAR(B28),12,31)-'Arkusz1 (4)'!B28)/366))),IF(F29=1,(1+(#REF!)*((('Arkusz1 (4)'!B29-DATE(YEAR(B29),1,1)+1)/366)+((DATE(YEAR(B28),12,31)-'Arkusz1 (4)'!B28)/365))),0))</f>
        <v>#REF!</v>
      </c>
      <c r="H29" t="e">
        <f t="shared" si="2"/>
        <v>#REF!</v>
      </c>
      <c r="I29" t="e">
        <f t="shared" si="3"/>
        <v>#REF!</v>
      </c>
      <c r="J29" t="e">
        <f t="shared" si="4"/>
        <v>#REF!</v>
      </c>
      <c r="K29" t="e">
        <f>PRODUCT($J$3:J29)</f>
        <v>#REF!</v>
      </c>
      <c r="L29" t="e">
        <f t="shared" si="5"/>
        <v>#REF!</v>
      </c>
      <c r="M29" t="e">
        <f>SUM($L$3:L29)</f>
        <v>#REF!</v>
      </c>
      <c r="O29" t="e">
        <f>(Q28*'Arkusz1 (4)'!J29)-Q28</f>
        <v>#REF!</v>
      </c>
      <c r="P29" s="16" t="e">
        <f t="shared" si="6"/>
        <v>#REF!</v>
      </c>
      <c r="Q29" s="17" t="e">
        <f t="shared" si="7"/>
        <v>#REF!</v>
      </c>
    </row>
    <row r="30" spans="1:17" x14ac:dyDescent="0.35">
      <c r="A30">
        <v>28</v>
      </c>
      <c r="B30" s="14" t="e">
        <f t="shared" si="8"/>
        <v>#REF!</v>
      </c>
      <c r="C30" s="15" t="e">
        <f>(1+(#REF!)*('Arkusz1 (4)'!B30-'Arkusz1 (4)'!B29)/365)</f>
        <v>#REF!</v>
      </c>
      <c r="D30" s="15" t="e">
        <f>(1+(#REF!)*('Arkusz1 (4)'!B30-'Arkusz1 (4)'!B29)/366)</f>
        <v>#REF!</v>
      </c>
      <c r="E30" s="15" t="e">
        <f t="shared" si="0"/>
        <v>#REF!</v>
      </c>
      <c r="F30" s="15" t="e">
        <f t="shared" si="1"/>
        <v>#REF!</v>
      </c>
      <c r="G30" t="e">
        <f>IF(E30=1,(1+(#REF!)*((('Arkusz1 (4)'!B30-DATE(YEAR(B30),1,1)+1)/365)+((DATE(YEAR(B29),12,31)-'Arkusz1 (4)'!B29)/366))),IF(F30=1,(1+(#REF!)*((('Arkusz1 (4)'!B30-DATE(YEAR(B30),1,1)+1)/366)+((DATE(YEAR(B29),12,31)-'Arkusz1 (4)'!B29)/365))),0))</f>
        <v>#REF!</v>
      </c>
      <c r="H30" t="e">
        <f t="shared" si="2"/>
        <v>#REF!</v>
      </c>
      <c r="I30" t="e">
        <f t="shared" si="3"/>
        <v>#REF!</v>
      </c>
      <c r="J30" t="e">
        <f t="shared" si="4"/>
        <v>#REF!</v>
      </c>
      <c r="K30" t="e">
        <f>PRODUCT($J$3:J30)</f>
        <v>#REF!</v>
      </c>
      <c r="L30" t="e">
        <f t="shared" si="5"/>
        <v>#REF!</v>
      </c>
      <c r="M30" t="e">
        <f>SUM($L$3:L30)</f>
        <v>#REF!</v>
      </c>
      <c r="O30" t="e">
        <f>(Q29*'Arkusz1 (4)'!J30)-Q29</f>
        <v>#REF!</v>
      </c>
      <c r="P30" s="16" t="e">
        <f t="shared" si="6"/>
        <v>#REF!</v>
      </c>
      <c r="Q30" s="17" t="e">
        <f t="shared" si="7"/>
        <v>#REF!</v>
      </c>
    </row>
    <row r="31" spans="1:17" x14ac:dyDescent="0.35">
      <c r="A31">
        <v>29</v>
      </c>
      <c r="B31" s="14" t="e">
        <f t="shared" si="8"/>
        <v>#REF!</v>
      </c>
      <c r="C31" s="15" t="e">
        <f>(1+(#REF!)*('Arkusz1 (4)'!B31-'Arkusz1 (4)'!B30)/365)</f>
        <v>#REF!</v>
      </c>
      <c r="D31" s="15" t="e">
        <f>(1+(#REF!)*('Arkusz1 (4)'!B31-'Arkusz1 (4)'!B30)/366)</f>
        <v>#REF!</v>
      </c>
      <c r="E31" s="15" t="e">
        <f t="shared" si="0"/>
        <v>#REF!</v>
      </c>
      <c r="F31" s="15" t="e">
        <f t="shared" si="1"/>
        <v>#REF!</v>
      </c>
      <c r="G31" t="e">
        <f>IF(E31=1,(1+(#REF!)*((('Arkusz1 (4)'!B31-DATE(YEAR(B31),1,1)+1)/365)+((DATE(YEAR(B30),12,31)-'Arkusz1 (4)'!B30)/366))),IF(F31=1,(1+(#REF!)*((('Arkusz1 (4)'!B31-DATE(YEAR(B31),1,1)+1)/366)+((DATE(YEAR(B30),12,31)-'Arkusz1 (4)'!B30)/365))),0))</f>
        <v>#REF!</v>
      </c>
      <c r="H31" t="e">
        <f t="shared" si="2"/>
        <v>#REF!</v>
      </c>
      <c r="I31" t="e">
        <f t="shared" si="3"/>
        <v>#REF!</v>
      </c>
      <c r="J31" t="e">
        <f t="shared" si="4"/>
        <v>#REF!</v>
      </c>
      <c r="K31" t="e">
        <f>PRODUCT($J$3:J31)</f>
        <v>#REF!</v>
      </c>
      <c r="L31" t="e">
        <f t="shared" si="5"/>
        <v>#REF!</v>
      </c>
      <c r="M31" t="e">
        <f>SUM($L$3:L31)</f>
        <v>#REF!</v>
      </c>
      <c r="O31" t="e">
        <f>(Q30*'Arkusz1 (4)'!J31)-Q30</f>
        <v>#REF!</v>
      </c>
      <c r="P31" s="16" t="e">
        <f t="shared" si="6"/>
        <v>#REF!</v>
      </c>
      <c r="Q31" s="17" t="e">
        <f t="shared" si="7"/>
        <v>#REF!</v>
      </c>
    </row>
    <row r="32" spans="1:17" x14ac:dyDescent="0.35">
      <c r="A32">
        <v>30</v>
      </c>
      <c r="B32" s="14" t="e">
        <f t="shared" si="8"/>
        <v>#REF!</v>
      </c>
      <c r="C32" s="15" t="e">
        <f>(1+(#REF!)*('Arkusz1 (4)'!B32-'Arkusz1 (4)'!B31)/365)</f>
        <v>#REF!</v>
      </c>
      <c r="D32" s="15" t="e">
        <f>(1+(#REF!)*('Arkusz1 (4)'!B32-'Arkusz1 (4)'!B31)/366)</f>
        <v>#REF!</v>
      </c>
      <c r="E32" s="15" t="e">
        <f t="shared" si="0"/>
        <v>#REF!</v>
      </c>
      <c r="F32" s="15" t="e">
        <f t="shared" si="1"/>
        <v>#REF!</v>
      </c>
      <c r="G32" t="e">
        <f>IF(E32=1,(1+(#REF!)*((('Arkusz1 (4)'!B32-DATE(YEAR(B32),1,1)+1)/365)+((DATE(YEAR(B31),12,31)-'Arkusz1 (4)'!B31)/366))),IF(F32=1,(1+(#REF!)*((('Arkusz1 (4)'!B32-DATE(YEAR(B32),1,1)+1)/366)+((DATE(YEAR(B31),12,31)-'Arkusz1 (4)'!B31)/365))),0))</f>
        <v>#REF!</v>
      </c>
      <c r="H32" t="e">
        <f t="shared" si="2"/>
        <v>#REF!</v>
      </c>
      <c r="I32" t="e">
        <f t="shared" si="3"/>
        <v>#REF!</v>
      </c>
      <c r="J32" t="e">
        <f t="shared" si="4"/>
        <v>#REF!</v>
      </c>
      <c r="K32" t="e">
        <f>PRODUCT($J$3:J32)</f>
        <v>#REF!</v>
      </c>
      <c r="L32" t="e">
        <f t="shared" si="5"/>
        <v>#REF!</v>
      </c>
      <c r="M32" t="e">
        <f>SUM($L$3:L32)</f>
        <v>#REF!</v>
      </c>
      <c r="O32" t="e">
        <f>(Q31*'Arkusz1 (4)'!J32)-Q31</f>
        <v>#REF!</v>
      </c>
      <c r="P32" s="16" t="e">
        <f t="shared" si="6"/>
        <v>#REF!</v>
      </c>
      <c r="Q32" s="17" t="e">
        <f t="shared" si="7"/>
        <v>#REF!</v>
      </c>
    </row>
    <row r="33" spans="1:17" x14ac:dyDescent="0.35">
      <c r="A33">
        <v>31</v>
      </c>
      <c r="B33" s="14" t="e">
        <f t="shared" si="8"/>
        <v>#REF!</v>
      </c>
      <c r="C33" s="15" t="e">
        <f>(1+(#REF!)*('Arkusz1 (4)'!B33-'Arkusz1 (4)'!B32)/365)</f>
        <v>#REF!</v>
      </c>
      <c r="D33" s="15" t="e">
        <f>(1+(#REF!)*('Arkusz1 (4)'!B33-'Arkusz1 (4)'!B32)/366)</f>
        <v>#REF!</v>
      </c>
      <c r="E33" s="15" t="e">
        <f t="shared" si="0"/>
        <v>#REF!</v>
      </c>
      <c r="F33" s="15" t="e">
        <f t="shared" si="1"/>
        <v>#REF!</v>
      </c>
      <c r="G33" t="e">
        <f>IF(E33=1,(1+(#REF!)*((('Arkusz1 (4)'!B33-DATE(YEAR(B33),1,1)+1)/365)+((DATE(YEAR(B32),12,31)-'Arkusz1 (4)'!B32)/366))),IF(F33=1,(1+(#REF!)*((('Arkusz1 (4)'!B33-DATE(YEAR(B33),1,1)+1)/366)+((DATE(YEAR(B32),12,31)-'Arkusz1 (4)'!B32)/365))),0))</f>
        <v>#REF!</v>
      </c>
      <c r="H33" t="e">
        <f t="shared" si="2"/>
        <v>#REF!</v>
      </c>
      <c r="I33" t="e">
        <f t="shared" si="3"/>
        <v>#REF!</v>
      </c>
      <c r="J33" t="e">
        <f t="shared" si="4"/>
        <v>#REF!</v>
      </c>
      <c r="K33" t="e">
        <f>PRODUCT($J$3:J33)</f>
        <v>#REF!</v>
      </c>
      <c r="L33" t="e">
        <f t="shared" si="5"/>
        <v>#REF!</v>
      </c>
      <c r="M33" t="e">
        <f>SUM($L$3:L33)</f>
        <v>#REF!</v>
      </c>
      <c r="O33" t="e">
        <f>(Q32*'Arkusz1 (4)'!J33)-Q32</f>
        <v>#REF!</v>
      </c>
      <c r="P33" s="16" t="e">
        <f t="shared" si="6"/>
        <v>#REF!</v>
      </c>
      <c r="Q33" s="17" t="e">
        <f t="shared" si="7"/>
        <v>#REF!</v>
      </c>
    </row>
    <row r="34" spans="1:17" x14ac:dyDescent="0.35">
      <c r="A34">
        <v>32</v>
      </c>
      <c r="B34" s="14" t="e">
        <f t="shared" si="8"/>
        <v>#REF!</v>
      </c>
      <c r="C34" s="15" t="e">
        <f>(1+(#REF!)*('Arkusz1 (4)'!B34-'Arkusz1 (4)'!B33)/365)</f>
        <v>#REF!</v>
      </c>
      <c r="D34" s="15" t="e">
        <f>(1+(#REF!)*('Arkusz1 (4)'!B34-'Arkusz1 (4)'!B33)/366)</f>
        <v>#REF!</v>
      </c>
      <c r="E34" s="15" t="e">
        <f t="shared" si="0"/>
        <v>#REF!</v>
      </c>
      <c r="F34" s="15" t="e">
        <f t="shared" si="1"/>
        <v>#REF!</v>
      </c>
      <c r="G34" t="e">
        <f>IF(E34=1,(1+(#REF!)*((('Arkusz1 (4)'!B34-DATE(YEAR(B34),1,1)+1)/365)+((DATE(YEAR(B33),12,31)-'Arkusz1 (4)'!B33)/366))),IF(F34=1,(1+(#REF!)*((('Arkusz1 (4)'!B34-DATE(YEAR(B34),1,1)+1)/366)+((DATE(YEAR(B33),12,31)-'Arkusz1 (4)'!B33)/365))),0))</f>
        <v>#REF!</v>
      </c>
      <c r="H34" t="e">
        <f t="shared" si="2"/>
        <v>#REF!</v>
      </c>
      <c r="I34" t="e">
        <f t="shared" si="3"/>
        <v>#REF!</v>
      </c>
      <c r="J34" t="e">
        <f t="shared" si="4"/>
        <v>#REF!</v>
      </c>
      <c r="K34" t="e">
        <f>PRODUCT($J$3:J34)</f>
        <v>#REF!</v>
      </c>
      <c r="L34" t="e">
        <f t="shared" si="5"/>
        <v>#REF!</v>
      </c>
      <c r="M34" t="e">
        <f>SUM($L$3:L34)</f>
        <v>#REF!</v>
      </c>
      <c r="O34" t="e">
        <f>(Q33*'Arkusz1 (4)'!J34)-Q33</f>
        <v>#REF!</v>
      </c>
      <c r="P34" s="16" t="e">
        <f t="shared" si="6"/>
        <v>#REF!</v>
      </c>
      <c r="Q34" s="17" t="e">
        <f t="shared" si="7"/>
        <v>#REF!</v>
      </c>
    </row>
    <row r="35" spans="1:17" x14ac:dyDescent="0.35">
      <c r="A35">
        <v>33</v>
      </c>
      <c r="B35" s="14" t="e">
        <f t="shared" si="8"/>
        <v>#REF!</v>
      </c>
      <c r="C35" s="15" t="e">
        <f>(1+(#REF!)*('Arkusz1 (4)'!B35-'Arkusz1 (4)'!B34)/365)</f>
        <v>#REF!</v>
      </c>
      <c r="D35" s="15" t="e">
        <f>(1+(#REF!)*('Arkusz1 (4)'!B35-'Arkusz1 (4)'!B34)/366)</f>
        <v>#REF!</v>
      </c>
      <c r="E35" s="15" t="e">
        <f t="shared" si="0"/>
        <v>#REF!</v>
      </c>
      <c r="F35" s="15" t="e">
        <f t="shared" si="1"/>
        <v>#REF!</v>
      </c>
      <c r="G35" t="e">
        <f>IF(E35=1,(1+(#REF!)*((('Arkusz1 (4)'!B35-DATE(YEAR(B35),1,1)+1)/365)+((DATE(YEAR(B34),12,31)-'Arkusz1 (4)'!B34)/366))),IF(F35=1,(1+(#REF!)*((('Arkusz1 (4)'!B35-DATE(YEAR(B35),1,1)+1)/366)+((DATE(YEAR(B34),12,31)-'Arkusz1 (4)'!B34)/365))),0))</f>
        <v>#REF!</v>
      </c>
      <c r="H35" t="e">
        <f t="shared" si="2"/>
        <v>#REF!</v>
      </c>
      <c r="I35" t="e">
        <f t="shared" si="3"/>
        <v>#REF!</v>
      </c>
      <c r="J35" t="e">
        <f t="shared" si="4"/>
        <v>#REF!</v>
      </c>
      <c r="K35" t="e">
        <f>PRODUCT($J$3:J35)</f>
        <v>#REF!</v>
      </c>
      <c r="L35" t="e">
        <f t="shared" si="5"/>
        <v>#REF!</v>
      </c>
      <c r="M35" t="e">
        <f>SUM($L$3:L35)</f>
        <v>#REF!</v>
      </c>
      <c r="O35" t="e">
        <f>(Q34*'Arkusz1 (4)'!J35)-Q34</f>
        <v>#REF!</v>
      </c>
      <c r="P35" s="16" t="e">
        <f t="shared" si="6"/>
        <v>#REF!</v>
      </c>
      <c r="Q35" s="17" t="e">
        <f t="shared" si="7"/>
        <v>#REF!</v>
      </c>
    </row>
    <row r="36" spans="1:17" x14ac:dyDescent="0.35">
      <c r="A36">
        <v>34</v>
      </c>
      <c r="B36" s="14" t="e">
        <f t="shared" si="8"/>
        <v>#REF!</v>
      </c>
      <c r="C36" s="15" t="e">
        <f>(1+(#REF!)*('Arkusz1 (4)'!B36-'Arkusz1 (4)'!B35)/365)</f>
        <v>#REF!</v>
      </c>
      <c r="D36" s="15" t="e">
        <f>(1+(#REF!)*('Arkusz1 (4)'!B36-'Arkusz1 (4)'!B35)/366)</f>
        <v>#REF!</v>
      </c>
      <c r="E36" s="15" t="e">
        <f t="shared" si="0"/>
        <v>#REF!</v>
      </c>
      <c r="F36" s="15" t="e">
        <f t="shared" si="1"/>
        <v>#REF!</v>
      </c>
      <c r="G36" t="e">
        <f>IF(E36=1,(1+(#REF!)*((('Arkusz1 (4)'!B36-DATE(YEAR(B36),1,1)+1)/365)+((DATE(YEAR(B35),12,31)-'Arkusz1 (4)'!B35)/366))),IF(F36=1,(1+(#REF!)*((('Arkusz1 (4)'!B36-DATE(YEAR(B36),1,1)+1)/366)+((DATE(YEAR(B35),12,31)-'Arkusz1 (4)'!B35)/365))),0))</f>
        <v>#REF!</v>
      </c>
      <c r="H36" t="e">
        <f t="shared" si="2"/>
        <v>#REF!</v>
      </c>
      <c r="I36" t="e">
        <f t="shared" si="3"/>
        <v>#REF!</v>
      </c>
      <c r="J36" t="e">
        <f t="shared" si="4"/>
        <v>#REF!</v>
      </c>
      <c r="K36" t="e">
        <f>PRODUCT($J$3:J36)</f>
        <v>#REF!</v>
      </c>
      <c r="L36" t="e">
        <f t="shared" si="5"/>
        <v>#REF!</v>
      </c>
      <c r="M36" t="e">
        <f>SUM($L$3:L36)</f>
        <v>#REF!</v>
      </c>
      <c r="O36" t="e">
        <f>(Q35*'Arkusz1 (4)'!J36)-Q35</f>
        <v>#REF!</v>
      </c>
      <c r="P36" s="16" t="e">
        <f t="shared" si="6"/>
        <v>#REF!</v>
      </c>
      <c r="Q36" s="17" t="e">
        <f t="shared" si="7"/>
        <v>#REF!</v>
      </c>
    </row>
    <row r="37" spans="1:17" x14ac:dyDescent="0.35">
      <c r="A37">
        <v>35</v>
      </c>
      <c r="B37" s="14" t="e">
        <f t="shared" si="8"/>
        <v>#REF!</v>
      </c>
      <c r="C37" s="15" t="e">
        <f>(1+(#REF!)*('Arkusz1 (4)'!B37-'Arkusz1 (4)'!B36)/365)</f>
        <v>#REF!</v>
      </c>
      <c r="D37" s="15" t="e">
        <f>(1+(#REF!)*('Arkusz1 (4)'!B37-'Arkusz1 (4)'!B36)/366)</f>
        <v>#REF!</v>
      </c>
      <c r="E37" s="15" t="e">
        <f t="shared" si="0"/>
        <v>#REF!</v>
      </c>
      <c r="F37" s="15" t="e">
        <f t="shared" si="1"/>
        <v>#REF!</v>
      </c>
      <c r="G37" t="e">
        <f>IF(E37=1,(1+(#REF!)*((('Arkusz1 (4)'!B37-DATE(YEAR(B37),1,1)+1)/365)+((DATE(YEAR(B36),12,31)-'Arkusz1 (4)'!B36)/366))),IF(F37=1,(1+(#REF!)*((('Arkusz1 (4)'!B37-DATE(YEAR(B37),1,1)+1)/366)+((DATE(YEAR(B36),12,31)-'Arkusz1 (4)'!B36)/365))),0))</f>
        <v>#REF!</v>
      </c>
      <c r="H37" t="e">
        <f t="shared" si="2"/>
        <v>#REF!</v>
      </c>
      <c r="I37" t="e">
        <f t="shared" si="3"/>
        <v>#REF!</v>
      </c>
      <c r="J37" t="e">
        <f t="shared" si="4"/>
        <v>#REF!</v>
      </c>
      <c r="K37" t="e">
        <f>PRODUCT($J$3:J37)</f>
        <v>#REF!</v>
      </c>
      <c r="L37" t="e">
        <f t="shared" si="5"/>
        <v>#REF!</v>
      </c>
      <c r="M37" t="e">
        <f>SUM($L$3:L37)</f>
        <v>#REF!</v>
      </c>
      <c r="O37" t="e">
        <f>(Q36*'Arkusz1 (4)'!J37)-Q36</f>
        <v>#REF!</v>
      </c>
      <c r="P37" s="16" t="e">
        <f t="shared" si="6"/>
        <v>#REF!</v>
      </c>
      <c r="Q37" s="17" t="e">
        <f t="shared" si="7"/>
        <v>#REF!</v>
      </c>
    </row>
    <row r="38" spans="1:17" x14ac:dyDescent="0.35">
      <c r="A38">
        <v>36</v>
      </c>
      <c r="B38" s="14" t="e">
        <f t="shared" si="8"/>
        <v>#REF!</v>
      </c>
      <c r="C38" s="15" t="e">
        <f>(1+(#REF!)*('Arkusz1 (4)'!B38-'Arkusz1 (4)'!B37)/365)</f>
        <v>#REF!</v>
      </c>
      <c r="D38" s="15" t="e">
        <f>(1+(#REF!)*('Arkusz1 (4)'!B38-'Arkusz1 (4)'!B37)/366)</f>
        <v>#REF!</v>
      </c>
      <c r="E38" s="15" t="e">
        <f t="shared" si="0"/>
        <v>#REF!</v>
      </c>
      <c r="F38" s="15" t="e">
        <f t="shared" si="1"/>
        <v>#REF!</v>
      </c>
      <c r="G38" t="e">
        <f>IF(E38=1,(1+(#REF!)*((('Arkusz1 (4)'!B38-DATE(YEAR(B38),1,1)+1)/365)+((DATE(YEAR(B37),12,31)-'Arkusz1 (4)'!B37)/366))),IF(F38=1,(1+(#REF!)*((('Arkusz1 (4)'!B38-DATE(YEAR(B38),1,1)+1)/366)+((DATE(YEAR(B37),12,31)-'Arkusz1 (4)'!B37)/365))),0))</f>
        <v>#REF!</v>
      </c>
      <c r="H38" t="e">
        <f t="shared" si="2"/>
        <v>#REF!</v>
      </c>
      <c r="I38" t="e">
        <f t="shared" si="3"/>
        <v>#REF!</v>
      </c>
      <c r="J38" t="e">
        <f t="shared" si="4"/>
        <v>#REF!</v>
      </c>
      <c r="K38" t="e">
        <f>PRODUCT($J$3:J38)</f>
        <v>#REF!</v>
      </c>
      <c r="L38" t="e">
        <f t="shared" si="5"/>
        <v>#REF!</v>
      </c>
      <c r="M38" t="e">
        <f>SUM($L$3:L38)</f>
        <v>#REF!</v>
      </c>
      <c r="O38" t="e">
        <f>(Q37*'Arkusz1 (4)'!J38)-Q37</f>
        <v>#REF!</v>
      </c>
      <c r="P38" s="16" t="e">
        <f t="shared" si="6"/>
        <v>#REF!</v>
      </c>
      <c r="Q38" s="17" t="e">
        <f t="shared" si="7"/>
        <v>#REF!</v>
      </c>
    </row>
    <row r="39" spans="1:17" x14ac:dyDescent="0.35">
      <c r="A39">
        <v>37</v>
      </c>
      <c r="B39" s="14" t="e">
        <f t="shared" si="8"/>
        <v>#REF!</v>
      </c>
      <c r="C39" s="15" t="e">
        <f>(1+(#REF!)*('Arkusz1 (4)'!B39-'Arkusz1 (4)'!B38)/365)</f>
        <v>#REF!</v>
      </c>
      <c r="D39" s="15" t="e">
        <f>(1+(#REF!)*('Arkusz1 (4)'!B39-'Arkusz1 (4)'!B38)/366)</f>
        <v>#REF!</v>
      </c>
      <c r="E39" s="15" t="e">
        <f t="shared" si="0"/>
        <v>#REF!</v>
      </c>
      <c r="F39" s="15" t="e">
        <f t="shared" si="1"/>
        <v>#REF!</v>
      </c>
      <c r="G39" t="e">
        <f>IF(E39=1,(1+(#REF!)*((('Arkusz1 (4)'!B39-DATE(YEAR(B39),1,1)+1)/365)+((DATE(YEAR(B38),12,31)-'Arkusz1 (4)'!B38)/366))),IF(F39=1,(1+(#REF!)*((('Arkusz1 (4)'!B39-DATE(YEAR(B39),1,1)+1)/366)+((DATE(YEAR(B38),12,31)-'Arkusz1 (4)'!B38)/365))),0))</f>
        <v>#REF!</v>
      </c>
      <c r="H39" t="e">
        <f t="shared" si="2"/>
        <v>#REF!</v>
      </c>
      <c r="I39" t="e">
        <f t="shared" si="3"/>
        <v>#REF!</v>
      </c>
      <c r="J39" t="e">
        <f t="shared" si="4"/>
        <v>#REF!</v>
      </c>
      <c r="K39" t="e">
        <f>PRODUCT($J$3:J39)</f>
        <v>#REF!</v>
      </c>
      <c r="L39" t="e">
        <f t="shared" si="5"/>
        <v>#REF!</v>
      </c>
      <c r="M39" t="e">
        <f>SUM($L$3:L39)</f>
        <v>#REF!</v>
      </c>
      <c r="O39" t="e">
        <f>(Q38*'Arkusz1 (4)'!J39)-Q38</f>
        <v>#REF!</v>
      </c>
      <c r="P39" s="16" t="e">
        <f t="shared" si="6"/>
        <v>#REF!</v>
      </c>
      <c r="Q39" s="17" t="e">
        <f t="shared" si="7"/>
        <v>#REF!</v>
      </c>
    </row>
    <row r="40" spans="1:17" x14ac:dyDescent="0.35">
      <c r="A40">
        <v>38</v>
      </c>
      <c r="B40" s="14" t="e">
        <f t="shared" si="8"/>
        <v>#REF!</v>
      </c>
      <c r="C40" s="15" t="e">
        <f>(1+(#REF!)*('Arkusz1 (4)'!B40-'Arkusz1 (4)'!B39)/365)</f>
        <v>#REF!</v>
      </c>
      <c r="D40" s="15" t="e">
        <f>(1+(#REF!)*('Arkusz1 (4)'!B40-'Arkusz1 (4)'!B39)/366)</f>
        <v>#REF!</v>
      </c>
      <c r="E40" s="15" t="e">
        <f t="shared" si="0"/>
        <v>#REF!</v>
      </c>
      <c r="F40" s="15" t="e">
        <f t="shared" si="1"/>
        <v>#REF!</v>
      </c>
      <c r="G40" t="e">
        <f>IF(E40=1,(1+(#REF!)*((('Arkusz1 (4)'!B40-DATE(YEAR(B40),1,1)+1)/365)+((DATE(YEAR(B39),12,31)-'Arkusz1 (4)'!B39)/366))),IF(F40=1,(1+(#REF!)*((('Arkusz1 (4)'!B40-DATE(YEAR(B40),1,1)+1)/366)+((DATE(YEAR(B39),12,31)-'Arkusz1 (4)'!B39)/365))),0))</f>
        <v>#REF!</v>
      </c>
      <c r="H40" t="e">
        <f t="shared" si="2"/>
        <v>#REF!</v>
      </c>
      <c r="I40" t="e">
        <f t="shared" si="3"/>
        <v>#REF!</v>
      </c>
      <c r="J40" t="e">
        <f t="shared" si="4"/>
        <v>#REF!</v>
      </c>
      <c r="K40" t="e">
        <f>PRODUCT($J$3:J40)</f>
        <v>#REF!</v>
      </c>
      <c r="L40" t="e">
        <f t="shared" si="5"/>
        <v>#REF!</v>
      </c>
      <c r="M40" t="e">
        <f>SUM($L$3:L40)</f>
        <v>#REF!</v>
      </c>
      <c r="O40" t="e">
        <f>(Q39*'Arkusz1 (4)'!J40)-Q39</f>
        <v>#REF!</v>
      </c>
      <c r="P40" s="16" t="e">
        <f t="shared" si="6"/>
        <v>#REF!</v>
      </c>
      <c r="Q40" s="17" t="e">
        <f t="shared" si="7"/>
        <v>#REF!</v>
      </c>
    </row>
    <row r="41" spans="1:17" x14ac:dyDescent="0.35">
      <c r="A41">
        <v>39</v>
      </c>
      <c r="B41" s="14" t="e">
        <f t="shared" si="8"/>
        <v>#REF!</v>
      </c>
      <c r="C41" s="15" t="e">
        <f>(1+(#REF!)*('Arkusz1 (4)'!B41-'Arkusz1 (4)'!B40)/365)</f>
        <v>#REF!</v>
      </c>
      <c r="D41" s="15" t="e">
        <f>(1+(#REF!)*('Arkusz1 (4)'!B41-'Arkusz1 (4)'!B40)/366)</f>
        <v>#REF!</v>
      </c>
      <c r="E41" s="15" t="e">
        <f t="shared" si="0"/>
        <v>#REF!</v>
      </c>
      <c r="F41" s="15" t="e">
        <f t="shared" si="1"/>
        <v>#REF!</v>
      </c>
      <c r="G41" t="e">
        <f>IF(E41=1,(1+(#REF!)*((('Arkusz1 (4)'!B41-DATE(YEAR(B41),1,1)+1)/365)+((DATE(YEAR(B40),12,31)-'Arkusz1 (4)'!B40)/366))),IF(F41=1,(1+(#REF!)*((('Arkusz1 (4)'!B41-DATE(YEAR(B41),1,1)+1)/366)+((DATE(YEAR(B40),12,31)-'Arkusz1 (4)'!B40)/365))),0))</f>
        <v>#REF!</v>
      </c>
      <c r="H41" t="e">
        <f t="shared" si="2"/>
        <v>#REF!</v>
      </c>
      <c r="I41" t="e">
        <f t="shared" si="3"/>
        <v>#REF!</v>
      </c>
      <c r="J41" t="e">
        <f t="shared" si="4"/>
        <v>#REF!</v>
      </c>
      <c r="K41" t="e">
        <f>PRODUCT($J$3:J41)</f>
        <v>#REF!</v>
      </c>
      <c r="L41" t="e">
        <f t="shared" si="5"/>
        <v>#REF!</v>
      </c>
      <c r="M41" t="e">
        <f>SUM($L$3:L41)</f>
        <v>#REF!</v>
      </c>
      <c r="O41" t="e">
        <f>(Q40*'Arkusz1 (4)'!J41)-Q40</f>
        <v>#REF!</v>
      </c>
      <c r="P41" s="16" t="e">
        <f t="shared" si="6"/>
        <v>#REF!</v>
      </c>
      <c r="Q41" s="17" t="e">
        <f t="shared" si="7"/>
        <v>#REF!</v>
      </c>
    </row>
    <row r="42" spans="1:17" x14ac:dyDescent="0.35">
      <c r="A42">
        <v>40</v>
      </c>
      <c r="B42" s="14" t="e">
        <f t="shared" si="8"/>
        <v>#REF!</v>
      </c>
      <c r="C42" s="15" t="e">
        <f>(1+(#REF!)*('Arkusz1 (4)'!B42-'Arkusz1 (4)'!B41)/365)</f>
        <v>#REF!</v>
      </c>
      <c r="D42" s="15" t="e">
        <f>(1+(#REF!)*('Arkusz1 (4)'!B42-'Arkusz1 (4)'!B41)/366)</f>
        <v>#REF!</v>
      </c>
      <c r="E42" s="15" t="e">
        <f t="shared" si="0"/>
        <v>#REF!</v>
      </c>
      <c r="F42" s="15" t="e">
        <f t="shared" si="1"/>
        <v>#REF!</v>
      </c>
      <c r="G42" t="e">
        <f>IF(E42=1,(1+(#REF!)*((('Arkusz1 (4)'!B42-DATE(YEAR(B42),1,1)+1)/365)+((DATE(YEAR(B41),12,31)-'Arkusz1 (4)'!B41)/366))),IF(F42=1,(1+(#REF!)*((('Arkusz1 (4)'!B42-DATE(YEAR(B42),1,1)+1)/366)+((DATE(YEAR(B41),12,31)-'Arkusz1 (4)'!B41)/365))),0))</f>
        <v>#REF!</v>
      </c>
      <c r="H42" t="e">
        <f t="shared" si="2"/>
        <v>#REF!</v>
      </c>
      <c r="I42" t="e">
        <f t="shared" si="3"/>
        <v>#REF!</v>
      </c>
      <c r="J42" t="e">
        <f t="shared" si="4"/>
        <v>#REF!</v>
      </c>
      <c r="K42" t="e">
        <f>PRODUCT($J$3:J42)</f>
        <v>#REF!</v>
      </c>
      <c r="L42" t="e">
        <f t="shared" si="5"/>
        <v>#REF!</v>
      </c>
      <c r="M42" t="e">
        <f>SUM($L$3:L42)</f>
        <v>#REF!</v>
      </c>
      <c r="O42" t="e">
        <f>(Q41*'Arkusz1 (4)'!J42)-Q41</f>
        <v>#REF!</v>
      </c>
      <c r="P42" s="16" t="e">
        <f t="shared" si="6"/>
        <v>#REF!</v>
      </c>
      <c r="Q42" s="17" t="e">
        <f t="shared" si="7"/>
        <v>#REF!</v>
      </c>
    </row>
    <row r="43" spans="1:17" x14ac:dyDescent="0.35">
      <c r="A43">
        <v>41</v>
      </c>
      <c r="B43" s="14" t="e">
        <f t="shared" si="8"/>
        <v>#REF!</v>
      </c>
      <c r="C43" s="15" t="e">
        <f>(1+(#REF!)*('Arkusz1 (4)'!B43-'Arkusz1 (4)'!B42)/365)</f>
        <v>#REF!</v>
      </c>
      <c r="D43" s="15" t="e">
        <f>(1+(#REF!)*('Arkusz1 (4)'!B43-'Arkusz1 (4)'!B42)/366)</f>
        <v>#REF!</v>
      </c>
      <c r="E43" s="15" t="e">
        <f t="shared" si="0"/>
        <v>#REF!</v>
      </c>
      <c r="F43" s="15" t="e">
        <f t="shared" si="1"/>
        <v>#REF!</v>
      </c>
      <c r="G43" t="e">
        <f>IF(E43=1,(1+(#REF!)*((('Arkusz1 (4)'!B43-DATE(YEAR(B43),1,1)+1)/365)+((DATE(YEAR(B42),12,31)-'Arkusz1 (4)'!B42)/366))),IF(F43=1,(1+(#REF!)*((('Arkusz1 (4)'!B43-DATE(YEAR(B43),1,1)+1)/366)+((DATE(YEAR(B42),12,31)-'Arkusz1 (4)'!B42)/365))),0))</f>
        <v>#REF!</v>
      </c>
      <c r="H43" t="e">
        <f t="shared" si="2"/>
        <v>#REF!</v>
      </c>
      <c r="I43" t="e">
        <f t="shared" si="3"/>
        <v>#REF!</v>
      </c>
      <c r="J43" t="e">
        <f t="shared" si="4"/>
        <v>#REF!</v>
      </c>
      <c r="K43" t="e">
        <f>PRODUCT($J$3:J43)</f>
        <v>#REF!</v>
      </c>
      <c r="L43" t="e">
        <f t="shared" si="5"/>
        <v>#REF!</v>
      </c>
      <c r="M43" t="e">
        <f>SUM($L$3:L43)</f>
        <v>#REF!</v>
      </c>
      <c r="O43" t="e">
        <f>(Q42*'Arkusz1 (4)'!J43)-Q42</f>
        <v>#REF!</v>
      </c>
      <c r="P43" s="16" t="e">
        <f t="shared" si="6"/>
        <v>#REF!</v>
      </c>
      <c r="Q43" s="17" t="e">
        <f t="shared" si="7"/>
        <v>#REF!</v>
      </c>
    </row>
    <row r="44" spans="1:17" x14ac:dyDescent="0.35">
      <c r="A44">
        <v>42</v>
      </c>
      <c r="B44" s="14" t="e">
        <f t="shared" si="8"/>
        <v>#REF!</v>
      </c>
      <c r="C44" s="15" t="e">
        <f>(1+(#REF!)*('Arkusz1 (4)'!B44-'Arkusz1 (4)'!B43)/365)</f>
        <v>#REF!</v>
      </c>
      <c r="D44" s="15" t="e">
        <f>(1+(#REF!)*('Arkusz1 (4)'!B44-'Arkusz1 (4)'!B43)/366)</f>
        <v>#REF!</v>
      </c>
      <c r="E44" s="15" t="e">
        <f t="shared" si="0"/>
        <v>#REF!</v>
      </c>
      <c r="F44" s="15" t="e">
        <f t="shared" si="1"/>
        <v>#REF!</v>
      </c>
      <c r="G44" t="e">
        <f>IF(E44=1,(1+(#REF!)*((('Arkusz1 (4)'!B44-DATE(YEAR(B44),1,1)+1)/365)+((DATE(YEAR(B43),12,31)-'Arkusz1 (4)'!B43)/366))),IF(F44=1,(1+(#REF!)*((('Arkusz1 (4)'!B44-DATE(YEAR(B44),1,1)+1)/366)+((DATE(YEAR(B43),12,31)-'Arkusz1 (4)'!B43)/365))),0))</f>
        <v>#REF!</v>
      </c>
      <c r="H44" t="e">
        <f t="shared" si="2"/>
        <v>#REF!</v>
      </c>
      <c r="I44" t="e">
        <f t="shared" si="3"/>
        <v>#REF!</v>
      </c>
      <c r="J44" t="e">
        <f t="shared" si="4"/>
        <v>#REF!</v>
      </c>
      <c r="K44" t="e">
        <f>PRODUCT($J$3:J44)</f>
        <v>#REF!</v>
      </c>
      <c r="L44" t="e">
        <f t="shared" si="5"/>
        <v>#REF!</v>
      </c>
      <c r="M44" t="e">
        <f>SUM($L$3:L44)</f>
        <v>#REF!</v>
      </c>
      <c r="O44" t="e">
        <f>(Q43*'Arkusz1 (4)'!J44)-Q43</f>
        <v>#REF!</v>
      </c>
      <c r="P44" s="16" t="e">
        <f t="shared" si="6"/>
        <v>#REF!</v>
      </c>
      <c r="Q44" s="17" t="e">
        <f t="shared" si="7"/>
        <v>#REF!</v>
      </c>
    </row>
    <row r="45" spans="1:17" x14ac:dyDescent="0.35">
      <c r="A45">
        <v>43</v>
      </c>
      <c r="B45" s="14" t="e">
        <f t="shared" si="8"/>
        <v>#REF!</v>
      </c>
      <c r="C45" s="15" t="e">
        <f>(1+(#REF!)*('Arkusz1 (4)'!B45-'Arkusz1 (4)'!B44)/365)</f>
        <v>#REF!</v>
      </c>
      <c r="D45" s="15" t="e">
        <f>(1+(#REF!)*('Arkusz1 (4)'!B45-'Arkusz1 (4)'!B44)/366)</f>
        <v>#REF!</v>
      </c>
      <c r="E45" s="15" t="e">
        <f t="shared" si="0"/>
        <v>#REF!</v>
      </c>
      <c r="F45" s="15" t="e">
        <f t="shared" si="1"/>
        <v>#REF!</v>
      </c>
      <c r="G45" t="e">
        <f>IF(E45=1,(1+(#REF!)*((('Arkusz1 (4)'!B45-DATE(YEAR(B45),1,1)+1)/365)+((DATE(YEAR(B44),12,31)-'Arkusz1 (4)'!B44)/366))),IF(F45=1,(1+(#REF!)*((('Arkusz1 (4)'!B45-DATE(YEAR(B45),1,1)+1)/366)+((DATE(YEAR(B44),12,31)-'Arkusz1 (4)'!B44)/365))),0))</f>
        <v>#REF!</v>
      </c>
      <c r="H45" t="e">
        <f t="shared" si="2"/>
        <v>#REF!</v>
      </c>
      <c r="I45" t="e">
        <f t="shared" si="3"/>
        <v>#REF!</v>
      </c>
      <c r="J45" t="e">
        <f t="shared" si="4"/>
        <v>#REF!</v>
      </c>
      <c r="K45" t="e">
        <f>PRODUCT($J$3:J45)</f>
        <v>#REF!</v>
      </c>
      <c r="L45" t="e">
        <f t="shared" si="5"/>
        <v>#REF!</v>
      </c>
      <c r="M45" t="e">
        <f>SUM($L$3:L45)</f>
        <v>#REF!</v>
      </c>
      <c r="O45" t="e">
        <f>(Q44*'Arkusz1 (4)'!J45)-Q44</f>
        <v>#REF!</v>
      </c>
      <c r="P45" s="16" t="e">
        <f t="shared" si="6"/>
        <v>#REF!</v>
      </c>
      <c r="Q45" s="17" t="e">
        <f t="shared" si="7"/>
        <v>#REF!</v>
      </c>
    </row>
    <row r="46" spans="1:17" x14ac:dyDescent="0.35">
      <c r="A46">
        <v>44</v>
      </c>
      <c r="B46" s="14" t="e">
        <f t="shared" si="8"/>
        <v>#REF!</v>
      </c>
      <c r="C46" s="15" t="e">
        <f>(1+(#REF!)*('Arkusz1 (4)'!B46-'Arkusz1 (4)'!B45)/365)</f>
        <v>#REF!</v>
      </c>
      <c r="D46" s="15" t="e">
        <f>(1+(#REF!)*('Arkusz1 (4)'!B46-'Arkusz1 (4)'!B45)/366)</f>
        <v>#REF!</v>
      </c>
      <c r="E46" s="15" t="e">
        <f t="shared" si="0"/>
        <v>#REF!</v>
      </c>
      <c r="F46" s="15" t="e">
        <f t="shared" si="1"/>
        <v>#REF!</v>
      </c>
      <c r="G46" t="e">
        <f>IF(E46=1,(1+(#REF!)*((('Arkusz1 (4)'!B46-DATE(YEAR(B46),1,1)+1)/365)+((DATE(YEAR(B45),12,31)-'Arkusz1 (4)'!B45)/366))),IF(F46=1,(1+(#REF!)*((('Arkusz1 (4)'!B46-DATE(YEAR(B46),1,1)+1)/366)+((DATE(YEAR(B45),12,31)-'Arkusz1 (4)'!B45)/365))),0))</f>
        <v>#REF!</v>
      </c>
      <c r="H46" t="e">
        <f t="shared" si="2"/>
        <v>#REF!</v>
      </c>
      <c r="I46" t="e">
        <f t="shared" si="3"/>
        <v>#REF!</v>
      </c>
      <c r="J46" t="e">
        <f t="shared" si="4"/>
        <v>#REF!</v>
      </c>
      <c r="K46" t="e">
        <f>PRODUCT($J$3:J46)</f>
        <v>#REF!</v>
      </c>
      <c r="L46" t="e">
        <f t="shared" si="5"/>
        <v>#REF!</v>
      </c>
      <c r="M46" t="e">
        <f>SUM($L$3:L46)</f>
        <v>#REF!</v>
      </c>
      <c r="O46" t="e">
        <f>(Q45*'Arkusz1 (4)'!J46)-Q45</f>
        <v>#REF!</v>
      </c>
      <c r="P46" s="16" t="e">
        <f t="shared" si="6"/>
        <v>#REF!</v>
      </c>
      <c r="Q46" s="17" t="e">
        <f t="shared" si="7"/>
        <v>#REF!</v>
      </c>
    </row>
    <row r="47" spans="1:17" x14ac:dyDescent="0.35">
      <c r="A47">
        <v>45</v>
      </c>
      <c r="B47" s="14" t="e">
        <f t="shared" si="8"/>
        <v>#REF!</v>
      </c>
      <c r="C47" s="15" t="e">
        <f>(1+(#REF!)*('Arkusz1 (4)'!B47-'Arkusz1 (4)'!B46)/365)</f>
        <v>#REF!</v>
      </c>
      <c r="D47" s="15" t="e">
        <f>(1+(#REF!)*('Arkusz1 (4)'!B47-'Arkusz1 (4)'!B46)/366)</f>
        <v>#REF!</v>
      </c>
      <c r="E47" s="15" t="e">
        <f t="shared" si="0"/>
        <v>#REF!</v>
      </c>
      <c r="F47" s="15" t="e">
        <f t="shared" si="1"/>
        <v>#REF!</v>
      </c>
      <c r="G47" t="e">
        <f>IF(E47=1,(1+(#REF!)*((('Arkusz1 (4)'!B47-DATE(YEAR(B47),1,1)+1)/365)+((DATE(YEAR(B46),12,31)-'Arkusz1 (4)'!B46)/366))),IF(F47=1,(1+(#REF!)*((('Arkusz1 (4)'!B47-DATE(YEAR(B47),1,1)+1)/366)+((DATE(YEAR(B46),12,31)-'Arkusz1 (4)'!B46)/365))),0))</f>
        <v>#REF!</v>
      </c>
      <c r="H47" t="e">
        <f t="shared" si="2"/>
        <v>#REF!</v>
      </c>
      <c r="I47" t="e">
        <f t="shared" si="3"/>
        <v>#REF!</v>
      </c>
      <c r="J47" t="e">
        <f t="shared" si="4"/>
        <v>#REF!</v>
      </c>
      <c r="K47" t="e">
        <f>PRODUCT($J$3:J47)</f>
        <v>#REF!</v>
      </c>
      <c r="L47" t="e">
        <f t="shared" si="5"/>
        <v>#REF!</v>
      </c>
      <c r="M47" t="e">
        <f>SUM($L$3:L47)</f>
        <v>#REF!</v>
      </c>
      <c r="O47" t="e">
        <f>(Q46*'Arkusz1 (4)'!J47)-Q46</f>
        <v>#REF!</v>
      </c>
      <c r="P47" s="16" t="e">
        <f t="shared" si="6"/>
        <v>#REF!</v>
      </c>
      <c r="Q47" s="17" t="e">
        <f t="shared" si="7"/>
        <v>#REF!</v>
      </c>
    </row>
    <row r="48" spans="1:17" x14ac:dyDescent="0.35">
      <c r="A48">
        <v>46</v>
      </c>
      <c r="B48" s="14" t="e">
        <f t="shared" si="8"/>
        <v>#REF!</v>
      </c>
      <c r="C48" s="15" t="e">
        <f>(1+(#REF!)*('Arkusz1 (4)'!B48-'Arkusz1 (4)'!B47)/365)</f>
        <v>#REF!</v>
      </c>
      <c r="D48" s="15" t="e">
        <f>(1+(#REF!)*('Arkusz1 (4)'!B48-'Arkusz1 (4)'!B47)/366)</f>
        <v>#REF!</v>
      </c>
      <c r="E48" s="15" t="e">
        <f t="shared" si="0"/>
        <v>#REF!</v>
      </c>
      <c r="F48" s="15" t="e">
        <f t="shared" si="1"/>
        <v>#REF!</v>
      </c>
      <c r="G48" t="e">
        <f>IF(E48=1,(1+(#REF!)*((('Arkusz1 (4)'!B48-DATE(YEAR(B48),1,1)+1)/365)+((DATE(YEAR(B47),12,31)-'Arkusz1 (4)'!B47)/366))),IF(F48=1,(1+(#REF!)*((('Arkusz1 (4)'!B48-DATE(YEAR(B48),1,1)+1)/366)+((DATE(YEAR(B47),12,31)-'Arkusz1 (4)'!B47)/365))),0))</f>
        <v>#REF!</v>
      </c>
      <c r="H48" t="e">
        <f t="shared" si="2"/>
        <v>#REF!</v>
      </c>
      <c r="I48" t="e">
        <f t="shared" si="3"/>
        <v>#REF!</v>
      </c>
      <c r="J48" t="e">
        <f t="shared" si="4"/>
        <v>#REF!</v>
      </c>
      <c r="K48" t="e">
        <f>PRODUCT($J$3:J48)</f>
        <v>#REF!</v>
      </c>
      <c r="L48" t="e">
        <f t="shared" si="5"/>
        <v>#REF!</v>
      </c>
      <c r="M48" t="e">
        <f>SUM($L$3:L48)</f>
        <v>#REF!</v>
      </c>
      <c r="O48" t="e">
        <f>(Q47*'Arkusz1 (4)'!J48)-Q47</f>
        <v>#REF!</v>
      </c>
      <c r="P48" s="16" t="e">
        <f t="shared" si="6"/>
        <v>#REF!</v>
      </c>
      <c r="Q48" s="17" t="e">
        <f t="shared" si="7"/>
        <v>#REF!</v>
      </c>
    </row>
    <row r="49" spans="1:17" x14ac:dyDescent="0.35">
      <c r="A49">
        <v>47</v>
      </c>
      <c r="B49" s="14" t="e">
        <f t="shared" si="8"/>
        <v>#REF!</v>
      </c>
      <c r="C49" s="15" t="e">
        <f>(1+(#REF!)*('Arkusz1 (4)'!B49-'Arkusz1 (4)'!B48)/365)</f>
        <v>#REF!</v>
      </c>
      <c r="D49" s="15" t="e">
        <f>(1+(#REF!)*('Arkusz1 (4)'!B49-'Arkusz1 (4)'!B48)/366)</f>
        <v>#REF!</v>
      </c>
      <c r="E49" s="15" t="e">
        <f t="shared" si="0"/>
        <v>#REF!</v>
      </c>
      <c r="F49" s="15" t="e">
        <f t="shared" si="1"/>
        <v>#REF!</v>
      </c>
      <c r="G49" t="e">
        <f>IF(E49=1,(1+(#REF!)*((('Arkusz1 (4)'!B49-DATE(YEAR(B49),1,1)+1)/365)+((DATE(YEAR(B48),12,31)-'Arkusz1 (4)'!B48)/366))),IF(F49=1,(1+(#REF!)*((('Arkusz1 (4)'!B49-DATE(YEAR(B49),1,1)+1)/366)+((DATE(YEAR(B48),12,31)-'Arkusz1 (4)'!B48)/365))),0))</f>
        <v>#REF!</v>
      </c>
      <c r="H49" t="e">
        <f t="shared" si="2"/>
        <v>#REF!</v>
      </c>
      <c r="I49" t="e">
        <f t="shared" si="3"/>
        <v>#REF!</v>
      </c>
      <c r="J49" t="e">
        <f t="shared" si="4"/>
        <v>#REF!</v>
      </c>
      <c r="K49" t="e">
        <f>PRODUCT($J$3:J49)</f>
        <v>#REF!</v>
      </c>
      <c r="L49" t="e">
        <f t="shared" si="5"/>
        <v>#REF!</v>
      </c>
      <c r="M49" t="e">
        <f>SUM($L$3:L49)</f>
        <v>#REF!</v>
      </c>
      <c r="O49" t="e">
        <f>(Q48*'Arkusz1 (4)'!J49)-Q48</f>
        <v>#REF!</v>
      </c>
      <c r="P49" s="16" t="e">
        <f t="shared" si="6"/>
        <v>#REF!</v>
      </c>
      <c r="Q49" s="17" t="e">
        <f t="shared" si="7"/>
        <v>#REF!</v>
      </c>
    </row>
    <row r="50" spans="1:17" x14ac:dyDescent="0.35">
      <c r="A50">
        <v>48</v>
      </c>
      <c r="B50" s="14" t="e">
        <f t="shared" si="8"/>
        <v>#REF!</v>
      </c>
      <c r="C50" s="15" t="e">
        <f>(1+(#REF!)*('Arkusz1 (4)'!B50-'Arkusz1 (4)'!B49)/365)</f>
        <v>#REF!</v>
      </c>
      <c r="D50" s="15" t="e">
        <f>(1+(#REF!)*('Arkusz1 (4)'!B50-'Arkusz1 (4)'!B49)/366)</f>
        <v>#REF!</v>
      </c>
      <c r="E50" s="15" t="e">
        <f t="shared" si="0"/>
        <v>#REF!</v>
      </c>
      <c r="F50" s="15" t="e">
        <f t="shared" si="1"/>
        <v>#REF!</v>
      </c>
      <c r="G50" t="e">
        <f>IF(E50=1,(1+(#REF!)*((('Arkusz1 (4)'!B50-DATE(YEAR(B50),1,1)+1)/365)+((DATE(YEAR(B49),12,31)-'Arkusz1 (4)'!B49)/366))),IF(F50=1,(1+(#REF!)*((('Arkusz1 (4)'!B50-DATE(YEAR(B50),1,1)+1)/366)+((DATE(YEAR(B49),12,31)-'Arkusz1 (4)'!B49)/365))),0))</f>
        <v>#REF!</v>
      </c>
      <c r="H50" t="e">
        <f t="shared" si="2"/>
        <v>#REF!</v>
      </c>
      <c r="I50" t="e">
        <f t="shared" si="3"/>
        <v>#REF!</v>
      </c>
      <c r="J50" t="e">
        <f t="shared" si="4"/>
        <v>#REF!</v>
      </c>
      <c r="K50" t="e">
        <f>PRODUCT($J$3:J50)</f>
        <v>#REF!</v>
      </c>
      <c r="L50" t="e">
        <f t="shared" si="5"/>
        <v>#REF!</v>
      </c>
      <c r="M50" t="e">
        <f>SUM($L$3:L50)</f>
        <v>#REF!</v>
      </c>
      <c r="O50" t="e">
        <f>(Q49*'Arkusz1 (4)'!J50)-Q49</f>
        <v>#REF!</v>
      </c>
      <c r="P50" s="16" t="e">
        <f t="shared" si="6"/>
        <v>#REF!</v>
      </c>
      <c r="Q50" s="17" t="e">
        <f t="shared" si="7"/>
        <v>#REF!</v>
      </c>
    </row>
    <row r="51" spans="1:17" x14ac:dyDescent="0.35">
      <c r="A51">
        <v>49</v>
      </c>
      <c r="B51" s="14" t="e">
        <f t="shared" si="8"/>
        <v>#REF!</v>
      </c>
      <c r="C51" s="15" t="e">
        <f>(1+(#REF!)*('Arkusz1 (4)'!B51-'Arkusz1 (4)'!B50)/365)</f>
        <v>#REF!</v>
      </c>
      <c r="D51" s="15" t="e">
        <f>(1+(#REF!)*('Arkusz1 (4)'!B51-'Arkusz1 (4)'!B50)/366)</f>
        <v>#REF!</v>
      </c>
      <c r="E51" s="15" t="e">
        <f t="shared" si="0"/>
        <v>#REF!</v>
      </c>
      <c r="F51" s="15" t="e">
        <f t="shared" si="1"/>
        <v>#REF!</v>
      </c>
      <c r="G51" t="e">
        <f>IF(E51=1,(1+(#REF!)*((('Arkusz1 (4)'!B51-DATE(YEAR(B51),1,1)+1)/365)+((DATE(YEAR(B50),12,31)-'Arkusz1 (4)'!B50)/366))),IF(F51=1,(1+(#REF!)*((('Arkusz1 (4)'!B51-DATE(YEAR(B51),1,1)+1)/366)+((DATE(YEAR(B50),12,31)-'Arkusz1 (4)'!B50)/365))),0))</f>
        <v>#REF!</v>
      </c>
      <c r="H51" t="e">
        <f t="shared" si="2"/>
        <v>#REF!</v>
      </c>
      <c r="I51" t="e">
        <f t="shared" si="3"/>
        <v>#REF!</v>
      </c>
      <c r="J51" t="e">
        <f t="shared" si="4"/>
        <v>#REF!</v>
      </c>
      <c r="K51" t="e">
        <f>PRODUCT($J$3:J51)</f>
        <v>#REF!</v>
      </c>
      <c r="L51" t="e">
        <f t="shared" si="5"/>
        <v>#REF!</v>
      </c>
      <c r="M51" t="e">
        <f>SUM($L$3:L51)</f>
        <v>#REF!</v>
      </c>
      <c r="O51" t="e">
        <f>(Q50*'Arkusz1 (4)'!J51)-Q50</f>
        <v>#REF!</v>
      </c>
      <c r="P51" s="16" t="e">
        <f t="shared" si="6"/>
        <v>#REF!</v>
      </c>
      <c r="Q51" s="17" t="e">
        <f t="shared" si="7"/>
        <v>#REF!</v>
      </c>
    </row>
    <row r="52" spans="1:17" x14ac:dyDescent="0.35">
      <c r="A52">
        <v>50</v>
      </c>
      <c r="B52" s="14" t="e">
        <f t="shared" si="8"/>
        <v>#REF!</v>
      </c>
      <c r="C52" s="15" t="e">
        <f>(1+(#REF!)*('Arkusz1 (4)'!B52-'Arkusz1 (4)'!B51)/365)</f>
        <v>#REF!</v>
      </c>
      <c r="D52" s="15" t="e">
        <f>(1+(#REF!)*('Arkusz1 (4)'!B52-'Arkusz1 (4)'!B51)/366)</f>
        <v>#REF!</v>
      </c>
      <c r="E52" s="15" t="e">
        <f t="shared" si="0"/>
        <v>#REF!</v>
      </c>
      <c r="F52" s="15" t="e">
        <f t="shared" si="1"/>
        <v>#REF!</v>
      </c>
      <c r="G52" t="e">
        <f>IF(E52=1,(1+(#REF!)*((('Arkusz1 (4)'!B52-DATE(YEAR(B52),1,1)+1)/365)+((DATE(YEAR(B51),12,31)-'Arkusz1 (4)'!B51)/366))),IF(F52=1,(1+(#REF!)*((('Arkusz1 (4)'!B52-DATE(YEAR(B52),1,1)+1)/366)+((DATE(YEAR(B51),12,31)-'Arkusz1 (4)'!B51)/365))),0))</f>
        <v>#REF!</v>
      </c>
      <c r="H52" t="e">
        <f t="shared" si="2"/>
        <v>#REF!</v>
      </c>
      <c r="I52" t="e">
        <f t="shared" si="3"/>
        <v>#REF!</v>
      </c>
      <c r="J52" t="e">
        <f t="shared" si="4"/>
        <v>#REF!</v>
      </c>
      <c r="K52" t="e">
        <f>PRODUCT($J$3:J52)</f>
        <v>#REF!</v>
      </c>
      <c r="L52" t="e">
        <f t="shared" si="5"/>
        <v>#REF!</v>
      </c>
      <c r="M52" t="e">
        <f>SUM($L$3:L52)</f>
        <v>#REF!</v>
      </c>
      <c r="O52" t="e">
        <f>(Q51*'Arkusz1 (4)'!J52)-Q51</f>
        <v>#REF!</v>
      </c>
      <c r="P52" s="16" t="e">
        <f t="shared" si="6"/>
        <v>#REF!</v>
      </c>
      <c r="Q52" s="17" t="e">
        <f t="shared" si="7"/>
        <v>#REF!</v>
      </c>
    </row>
    <row r="53" spans="1:17" x14ac:dyDescent="0.35">
      <c r="A53">
        <v>51</v>
      </c>
      <c r="B53" s="14" t="e">
        <f t="shared" si="8"/>
        <v>#REF!</v>
      </c>
      <c r="C53" s="15" t="e">
        <f>(1+(#REF!)*('Arkusz1 (4)'!B53-'Arkusz1 (4)'!B52)/365)</f>
        <v>#REF!</v>
      </c>
      <c r="D53" s="15" t="e">
        <f>(1+(#REF!)*('Arkusz1 (4)'!B53-'Arkusz1 (4)'!B52)/366)</f>
        <v>#REF!</v>
      </c>
      <c r="E53" s="15" t="e">
        <f t="shared" si="0"/>
        <v>#REF!</v>
      </c>
      <c r="F53" s="15" t="e">
        <f t="shared" si="1"/>
        <v>#REF!</v>
      </c>
      <c r="G53" t="e">
        <f>IF(E53=1,(1+(#REF!)*((('Arkusz1 (4)'!B53-DATE(YEAR(B53),1,1)+1)/365)+((DATE(YEAR(B52),12,31)-'Arkusz1 (4)'!B52)/366))),IF(F53=1,(1+(#REF!)*((('Arkusz1 (4)'!B53-DATE(YEAR(B53),1,1)+1)/366)+((DATE(YEAR(B52),12,31)-'Arkusz1 (4)'!B52)/365))),0))</f>
        <v>#REF!</v>
      </c>
      <c r="H53" t="e">
        <f t="shared" si="2"/>
        <v>#REF!</v>
      </c>
      <c r="I53" t="e">
        <f t="shared" si="3"/>
        <v>#REF!</v>
      </c>
      <c r="J53" t="e">
        <f t="shared" si="4"/>
        <v>#REF!</v>
      </c>
      <c r="K53" t="e">
        <f>PRODUCT($J$3:J53)</f>
        <v>#REF!</v>
      </c>
      <c r="L53" t="e">
        <f t="shared" si="5"/>
        <v>#REF!</v>
      </c>
      <c r="M53" t="e">
        <f>SUM($L$3:L53)</f>
        <v>#REF!</v>
      </c>
      <c r="O53" t="e">
        <f>(Q52*'Arkusz1 (4)'!J53)-Q52</f>
        <v>#REF!</v>
      </c>
      <c r="P53" s="16" t="e">
        <f t="shared" si="6"/>
        <v>#REF!</v>
      </c>
      <c r="Q53" s="17" t="e">
        <f t="shared" si="7"/>
        <v>#REF!</v>
      </c>
    </row>
    <row r="54" spans="1:17" x14ac:dyDescent="0.35">
      <c r="A54">
        <v>52</v>
      </c>
      <c r="B54" s="14" t="e">
        <f t="shared" si="8"/>
        <v>#REF!</v>
      </c>
      <c r="C54" s="15" t="e">
        <f>(1+(#REF!)*('Arkusz1 (4)'!B54-'Arkusz1 (4)'!B53)/365)</f>
        <v>#REF!</v>
      </c>
      <c r="D54" s="15" t="e">
        <f>(1+(#REF!)*('Arkusz1 (4)'!B54-'Arkusz1 (4)'!B53)/366)</f>
        <v>#REF!</v>
      </c>
      <c r="E54" s="15" t="e">
        <f t="shared" si="0"/>
        <v>#REF!</v>
      </c>
      <c r="F54" s="15" t="e">
        <f t="shared" si="1"/>
        <v>#REF!</v>
      </c>
      <c r="G54" t="e">
        <f>IF(E54=1,(1+(#REF!)*((('Arkusz1 (4)'!B54-DATE(YEAR(B54),1,1)+1)/365)+((DATE(YEAR(B53),12,31)-'Arkusz1 (4)'!B53)/366))),IF(F54=1,(1+(#REF!)*((('Arkusz1 (4)'!B54-DATE(YEAR(B54),1,1)+1)/366)+((DATE(YEAR(B53),12,31)-'Arkusz1 (4)'!B53)/365))),0))</f>
        <v>#REF!</v>
      </c>
      <c r="H54" t="e">
        <f t="shared" si="2"/>
        <v>#REF!</v>
      </c>
      <c r="I54" t="e">
        <f t="shared" si="3"/>
        <v>#REF!</v>
      </c>
      <c r="J54" t="e">
        <f t="shared" si="4"/>
        <v>#REF!</v>
      </c>
      <c r="K54" t="e">
        <f>PRODUCT($J$3:J54)</f>
        <v>#REF!</v>
      </c>
      <c r="L54" t="e">
        <f t="shared" si="5"/>
        <v>#REF!</v>
      </c>
      <c r="M54" t="e">
        <f>SUM($L$3:L54)</f>
        <v>#REF!</v>
      </c>
      <c r="O54" t="e">
        <f>(Q53*'Arkusz1 (4)'!J54)-Q53</f>
        <v>#REF!</v>
      </c>
      <c r="P54" s="16" t="e">
        <f t="shared" si="6"/>
        <v>#REF!</v>
      </c>
      <c r="Q54" s="17" t="e">
        <f t="shared" si="7"/>
        <v>#REF!</v>
      </c>
    </row>
    <row r="55" spans="1:17" x14ac:dyDescent="0.35">
      <c r="A55">
        <v>53</v>
      </c>
      <c r="B55" s="14" t="e">
        <f t="shared" si="8"/>
        <v>#REF!</v>
      </c>
      <c r="C55" s="15" t="e">
        <f>(1+(#REF!)*('Arkusz1 (4)'!B55-'Arkusz1 (4)'!B54)/365)</f>
        <v>#REF!</v>
      </c>
      <c r="D55" s="15" t="e">
        <f>(1+(#REF!)*('Arkusz1 (4)'!B55-'Arkusz1 (4)'!B54)/366)</f>
        <v>#REF!</v>
      </c>
      <c r="E55" s="15" t="e">
        <f t="shared" si="0"/>
        <v>#REF!</v>
      </c>
      <c r="F55" s="15" t="e">
        <f t="shared" si="1"/>
        <v>#REF!</v>
      </c>
      <c r="G55" t="e">
        <f>IF(E55=1,(1+(#REF!)*((('Arkusz1 (4)'!B55-DATE(YEAR(B55),1,1)+1)/365)+((DATE(YEAR(B54),12,31)-'Arkusz1 (4)'!B54)/366))),IF(F55=1,(1+(#REF!)*((('Arkusz1 (4)'!B55-DATE(YEAR(B55),1,1)+1)/366)+((DATE(YEAR(B54),12,31)-'Arkusz1 (4)'!B54)/365))),0))</f>
        <v>#REF!</v>
      </c>
      <c r="H55" t="e">
        <f t="shared" si="2"/>
        <v>#REF!</v>
      </c>
      <c r="I55" t="e">
        <f t="shared" si="3"/>
        <v>#REF!</v>
      </c>
      <c r="J55" t="e">
        <f t="shared" si="4"/>
        <v>#REF!</v>
      </c>
      <c r="K55" t="e">
        <f>PRODUCT($J$3:J55)</f>
        <v>#REF!</v>
      </c>
      <c r="L55" t="e">
        <f t="shared" si="5"/>
        <v>#REF!</v>
      </c>
      <c r="M55" t="e">
        <f>SUM($L$3:L55)</f>
        <v>#REF!</v>
      </c>
      <c r="O55" t="e">
        <f>(Q54*'Arkusz1 (4)'!J55)-Q54</f>
        <v>#REF!</v>
      </c>
      <c r="P55" s="16" t="e">
        <f t="shared" si="6"/>
        <v>#REF!</v>
      </c>
      <c r="Q55" s="17" t="e">
        <f t="shared" si="7"/>
        <v>#REF!</v>
      </c>
    </row>
    <row r="56" spans="1:17" x14ac:dyDescent="0.35">
      <c r="A56">
        <v>54</v>
      </c>
      <c r="B56" s="14" t="e">
        <f t="shared" si="8"/>
        <v>#REF!</v>
      </c>
      <c r="C56" s="15" t="e">
        <f>(1+(#REF!)*('Arkusz1 (4)'!B56-'Arkusz1 (4)'!B55)/365)</f>
        <v>#REF!</v>
      </c>
      <c r="D56" s="15" t="e">
        <f>(1+(#REF!)*('Arkusz1 (4)'!B56-'Arkusz1 (4)'!B55)/366)</f>
        <v>#REF!</v>
      </c>
      <c r="E56" s="15" t="e">
        <f t="shared" si="0"/>
        <v>#REF!</v>
      </c>
      <c r="F56" s="15" t="e">
        <f t="shared" si="1"/>
        <v>#REF!</v>
      </c>
      <c r="G56" t="e">
        <f>IF(E56=1,(1+(#REF!)*((('Arkusz1 (4)'!B56-DATE(YEAR(B56),1,1)+1)/365)+((DATE(YEAR(B55),12,31)-'Arkusz1 (4)'!B55)/366))),IF(F56=1,(1+(#REF!)*((('Arkusz1 (4)'!B56-DATE(YEAR(B56),1,1)+1)/366)+((DATE(YEAR(B55),12,31)-'Arkusz1 (4)'!B55)/365))),0))</f>
        <v>#REF!</v>
      </c>
      <c r="H56" t="e">
        <f t="shared" si="2"/>
        <v>#REF!</v>
      </c>
      <c r="I56" t="e">
        <f t="shared" si="3"/>
        <v>#REF!</v>
      </c>
      <c r="J56" t="e">
        <f t="shared" si="4"/>
        <v>#REF!</v>
      </c>
      <c r="K56" t="e">
        <f>PRODUCT($J$3:J56)</f>
        <v>#REF!</v>
      </c>
      <c r="L56" t="e">
        <f t="shared" si="5"/>
        <v>#REF!</v>
      </c>
      <c r="M56" t="e">
        <f>SUM($L$3:L56)</f>
        <v>#REF!</v>
      </c>
      <c r="O56" t="e">
        <f>(Q55*'Arkusz1 (4)'!J56)-Q55</f>
        <v>#REF!</v>
      </c>
      <c r="P56" s="16" t="e">
        <f t="shared" si="6"/>
        <v>#REF!</v>
      </c>
      <c r="Q56" s="17" t="e">
        <f t="shared" si="7"/>
        <v>#REF!</v>
      </c>
    </row>
    <row r="57" spans="1:17" x14ac:dyDescent="0.35">
      <c r="A57">
        <v>55</v>
      </c>
      <c r="B57" s="14" t="e">
        <f t="shared" si="8"/>
        <v>#REF!</v>
      </c>
      <c r="C57" s="15" t="e">
        <f>(1+(#REF!)*('Arkusz1 (4)'!B57-'Arkusz1 (4)'!B56)/365)</f>
        <v>#REF!</v>
      </c>
      <c r="D57" s="15" t="e">
        <f>(1+(#REF!)*('Arkusz1 (4)'!B57-'Arkusz1 (4)'!B56)/366)</f>
        <v>#REF!</v>
      </c>
      <c r="E57" s="15" t="e">
        <f t="shared" si="0"/>
        <v>#REF!</v>
      </c>
      <c r="F57" s="15" t="e">
        <f t="shared" si="1"/>
        <v>#REF!</v>
      </c>
      <c r="G57" t="e">
        <f>IF(E57=1,(1+(#REF!)*((('Arkusz1 (4)'!B57-DATE(YEAR(B57),1,1)+1)/365)+((DATE(YEAR(B56),12,31)-'Arkusz1 (4)'!B56)/366))),IF(F57=1,(1+(#REF!)*((('Arkusz1 (4)'!B57-DATE(YEAR(B57),1,1)+1)/366)+((DATE(YEAR(B56),12,31)-'Arkusz1 (4)'!B56)/365))),0))</f>
        <v>#REF!</v>
      </c>
      <c r="H57" t="e">
        <f t="shared" si="2"/>
        <v>#REF!</v>
      </c>
      <c r="I57" t="e">
        <f t="shared" si="3"/>
        <v>#REF!</v>
      </c>
      <c r="J57" t="e">
        <f t="shared" si="4"/>
        <v>#REF!</v>
      </c>
      <c r="K57" t="e">
        <f>PRODUCT($J$3:J57)</f>
        <v>#REF!</v>
      </c>
      <c r="L57" t="e">
        <f t="shared" si="5"/>
        <v>#REF!</v>
      </c>
      <c r="M57" t="e">
        <f>SUM($L$3:L57)</f>
        <v>#REF!</v>
      </c>
      <c r="O57" t="e">
        <f>(Q56*'Arkusz1 (4)'!J57)-Q56</f>
        <v>#REF!</v>
      </c>
      <c r="P57" s="16" t="e">
        <f t="shared" si="6"/>
        <v>#REF!</v>
      </c>
      <c r="Q57" s="17" t="e">
        <f t="shared" si="7"/>
        <v>#REF!</v>
      </c>
    </row>
    <row r="58" spans="1:17" x14ac:dyDescent="0.35">
      <c r="A58">
        <v>56</v>
      </c>
      <c r="B58" s="14" t="e">
        <f t="shared" si="8"/>
        <v>#REF!</v>
      </c>
      <c r="C58" s="15" t="e">
        <f>(1+(#REF!)*('Arkusz1 (4)'!B58-'Arkusz1 (4)'!B57)/365)</f>
        <v>#REF!</v>
      </c>
      <c r="D58" s="15" t="e">
        <f>(1+(#REF!)*('Arkusz1 (4)'!B58-'Arkusz1 (4)'!B57)/366)</f>
        <v>#REF!</v>
      </c>
      <c r="E58" s="15" t="e">
        <f t="shared" si="0"/>
        <v>#REF!</v>
      </c>
      <c r="F58" s="15" t="e">
        <f t="shared" si="1"/>
        <v>#REF!</v>
      </c>
      <c r="G58" t="e">
        <f>IF(E58=1,(1+(#REF!)*((('Arkusz1 (4)'!B58-DATE(YEAR(B58),1,1)+1)/365)+((DATE(YEAR(B57),12,31)-'Arkusz1 (4)'!B57)/366))),IF(F58=1,(1+(#REF!)*((('Arkusz1 (4)'!B58-DATE(YEAR(B58),1,1)+1)/366)+((DATE(YEAR(B57),12,31)-'Arkusz1 (4)'!B57)/365))),0))</f>
        <v>#REF!</v>
      </c>
      <c r="H58" t="e">
        <f t="shared" si="2"/>
        <v>#REF!</v>
      </c>
      <c r="I58" t="e">
        <f t="shared" si="3"/>
        <v>#REF!</v>
      </c>
      <c r="J58" t="e">
        <f t="shared" si="4"/>
        <v>#REF!</v>
      </c>
      <c r="K58" t="e">
        <f>PRODUCT($J$3:J58)</f>
        <v>#REF!</v>
      </c>
      <c r="L58" t="e">
        <f t="shared" si="5"/>
        <v>#REF!</v>
      </c>
      <c r="M58" t="e">
        <f>SUM($L$3:L58)</f>
        <v>#REF!</v>
      </c>
      <c r="O58" t="e">
        <f>(Q57*'Arkusz1 (4)'!J58)-Q57</f>
        <v>#REF!</v>
      </c>
      <c r="P58" s="16" t="e">
        <f t="shared" si="6"/>
        <v>#REF!</v>
      </c>
      <c r="Q58" s="17" t="e">
        <f t="shared" si="7"/>
        <v>#REF!</v>
      </c>
    </row>
    <row r="59" spans="1:17" x14ac:dyDescent="0.35">
      <c r="A59">
        <v>57</v>
      </c>
      <c r="B59" s="14" t="e">
        <f t="shared" si="8"/>
        <v>#REF!</v>
      </c>
      <c r="C59" s="15" t="e">
        <f>(1+(#REF!)*('Arkusz1 (4)'!B59-'Arkusz1 (4)'!B58)/365)</f>
        <v>#REF!</v>
      </c>
      <c r="D59" s="15" t="e">
        <f>(1+(#REF!)*('Arkusz1 (4)'!B59-'Arkusz1 (4)'!B58)/366)</f>
        <v>#REF!</v>
      </c>
      <c r="E59" s="15" t="e">
        <f t="shared" si="0"/>
        <v>#REF!</v>
      </c>
      <c r="F59" s="15" t="e">
        <f t="shared" si="1"/>
        <v>#REF!</v>
      </c>
      <c r="G59" t="e">
        <f>IF(E59=1,(1+(#REF!)*((('Arkusz1 (4)'!B59-DATE(YEAR(B59),1,1)+1)/365)+((DATE(YEAR(B58),12,31)-'Arkusz1 (4)'!B58)/366))),IF(F59=1,(1+(#REF!)*((('Arkusz1 (4)'!B59-DATE(YEAR(B59),1,1)+1)/366)+((DATE(YEAR(B58),12,31)-'Arkusz1 (4)'!B58)/365))),0))</f>
        <v>#REF!</v>
      </c>
      <c r="H59" t="e">
        <f t="shared" si="2"/>
        <v>#REF!</v>
      </c>
      <c r="I59" t="e">
        <f t="shared" si="3"/>
        <v>#REF!</v>
      </c>
      <c r="J59" t="e">
        <f t="shared" si="4"/>
        <v>#REF!</v>
      </c>
      <c r="K59" t="e">
        <f>PRODUCT($J$3:J59)</f>
        <v>#REF!</v>
      </c>
      <c r="L59" t="e">
        <f t="shared" si="5"/>
        <v>#REF!</v>
      </c>
      <c r="M59" t="e">
        <f>SUM($L$3:L59)</f>
        <v>#REF!</v>
      </c>
      <c r="O59" t="e">
        <f>(Q58*'Arkusz1 (4)'!J59)-Q58</f>
        <v>#REF!</v>
      </c>
      <c r="P59" s="16" t="e">
        <f t="shared" si="6"/>
        <v>#REF!</v>
      </c>
      <c r="Q59" s="17" t="e">
        <f t="shared" si="7"/>
        <v>#REF!</v>
      </c>
    </row>
    <row r="60" spans="1:17" x14ac:dyDescent="0.35">
      <c r="A60">
        <v>58</v>
      </c>
      <c r="B60" s="14" t="e">
        <f t="shared" si="8"/>
        <v>#REF!</v>
      </c>
      <c r="C60" s="15" t="e">
        <f>(1+(#REF!)*('Arkusz1 (4)'!B60-'Arkusz1 (4)'!B59)/365)</f>
        <v>#REF!</v>
      </c>
      <c r="D60" s="15" t="e">
        <f>(1+(#REF!)*('Arkusz1 (4)'!B60-'Arkusz1 (4)'!B59)/366)</f>
        <v>#REF!</v>
      </c>
      <c r="E60" s="15" t="e">
        <f t="shared" si="0"/>
        <v>#REF!</v>
      </c>
      <c r="F60" s="15" t="e">
        <f t="shared" si="1"/>
        <v>#REF!</v>
      </c>
      <c r="G60" t="e">
        <f>IF(E60=1,(1+(#REF!)*((('Arkusz1 (4)'!B60-DATE(YEAR(B60),1,1)+1)/365)+((DATE(YEAR(B59),12,31)-'Arkusz1 (4)'!B59)/366))),IF(F60=1,(1+(#REF!)*((('Arkusz1 (4)'!B60-DATE(YEAR(B60),1,1)+1)/366)+((DATE(YEAR(B59),12,31)-'Arkusz1 (4)'!B59)/365))),0))</f>
        <v>#REF!</v>
      </c>
      <c r="H60" t="e">
        <f t="shared" si="2"/>
        <v>#REF!</v>
      </c>
      <c r="I60" t="e">
        <f t="shared" si="3"/>
        <v>#REF!</v>
      </c>
      <c r="J60" t="e">
        <f t="shared" si="4"/>
        <v>#REF!</v>
      </c>
      <c r="K60" t="e">
        <f>PRODUCT($J$3:J60)</f>
        <v>#REF!</v>
      </c>
      <c r="L60" t="e">
        <f t="shared" si="5"/>
        <v>#REF!</v>
      </c>
      <c r="M60" t="e">
        <f>SUM($L$3:L60)</f>
        <v>#REF!</v>
      </c>
      <c r="O60" t="e">
        <f>(Q59*'Arkusz1 (4)'!J60)-Q59</f>
        <v>#REF!</v>
      </c>
      <c r="P60" s="16" t="e">
        <f t="shared" si="6"/>
        <v>#REF!</v>
      </c>
      <c r="Q60" s="17" t="e">
        <f t="shared" si="7"/>
        <v>#REF!</v>
      </c>
    </row>
    <row r="61" spans="1:17" x14ac:dyDescent="0.35">
      <c r="A61">
        <v>59</v>
      </c>
      <c r="B61" s="14" t="e">
        <f t="shared" si="8"/>
        <v>#REF!</v>
      </c>
      <c r="C61" s="15" t="e">
        <f>(1+(#REF!)*('Arkusz1 (4)'!B61-'Arkusz1 (4)'!B60)/365)</f>
        <v>#REF!</v>
      </c>
      <c r="D61" s="15" t="e">
        <f>(1+(#REF!)*('Arkusz1 (4)'!B61-'Arkusz1 (4)'!B60)/366)</f>
        <v>#REF!</v>
      </c>
      <c r="E61" s="15" t="e">
        <f t="shared" si="0"/>
        <v>#REF!</v>
      </c>
      <c r="F61" s="15" t="e">
        <f t="shared" si="1"/>
        <v>#REF!</v>
      </c>
      <c r="G61" t="e">
        <f>IF(E61=1,(1+(#REF!)*((('Arkusz1 (4)'!B61-DATE(YEAR(B61),1,1)+1)/365)+((DATE(YEAR(B60),12,31)-'Arkusz1 (4)'!B60)/366))),IF(F61=1,(1+(#REF!)*((('Arkusz1 (4)'!B61-DATE(YEAR(B61),1,1)+1)/366)+((DATE(YEAR(B60),12,31)-'Arkusz1 (4)'!B60)/365))),0))</f>
        <v>#REF!</v>
      </c>
      <c r="H61" t="e">
        <f t="shared" si="2"/>
        <v>#REF!</v>
      </c>
      <c r="I61" t="e">
        <f t="shared" si="3"/>
        <v>#REF!</v>
      </c>
      <c r="J61" t="e">
        <f t="shared" si="4"/>
        <v>#REF!</v>
      </c>
      <c r="K61" t="e">
        <f>PRODUCT($J$3:J61)</f>
        <v>#REF!</v>
      </c>
      <c r="L61" t="e">
        <f t="shared" si="5"/>
        <v>#REF!</v>
      </c>
      <c r="M61" t="e">
        <f>SUM($L$3:L61)</f>
        <v>#REF!</v>
      </c>
      <c r="O61" t="e">
        <f>(Q60*'Arkusz1 (4)'!J61)-Q60</f>
        <v>#REF!</v>
      </c>
      <c r="P61" s="16" t="e">
        <f t="shared" si="6"/>
        <v>#REF!</v>
      </c>
      <c r="Q61" s="17" t="e">
        <f t="shared" si="7"/>
        <v>#REF!</v>
      </c>
    </row>
    <row r="62" spans="1:17" x14ac:dyDescent="0.35">
      <c r="A62">
        <v>60</v>
      </c>
      <c r="B62" s="14" t="e">
        <f t="shared" si="8"/>
        <v>#REF!</v>
      </c>
      <c r="C62" s="15" t="e">
        <f>(1+(#REF!)*('Arkusz1 (4)'!B62-'Arkusz1 (4)'!B61)/365)</f>
        <v>#REF!</v>
      </c>
      <c r="D62" s="15" t="e">
        <f>(1+(#REF!)*('Arkusz1 (4)'!B62-'Arkusz1 (4)'!B61)/366)</f>
        <v>#REF!</v>
      </c>
      <c r="E62" s="15" t="e">
        <f t="shared" si="0"/>
        <v>#REF!</v>
      </c>
      <c r="F62" s="15" t="e">
        <f t="shared" si="1"/>
        <v>#REF!</v>
      </c>
      <c r="G62" t="e">
        <f>IF(E62=1,(1+(#REF!)*((('Arkusz1 (4)'!B62-DATE(YEAR(B62),1,1)+1)/365)+((DATE(YEAR(B61),12,31)-'Arkusz1 (4)'!B61)/366))),IF(F62=1,(1+(#REF!)*((('Arkusz1 (4)'!B62-DATE(YEAR(B62),1,1)+1)/366)+((DATE(YEAR(B61),12,31)-'Arkusz1 (4)'!B61)/365))),0))</f>
        <v>#REF!</v>
      </c>
      <c r="H62" t="e">
        <f t="shared" si="2"/>
        <v>#REF!</v>
      </c>
      <c r="I62" t="e">
        <f t="shared" si="3"/>
        <v>#REF!</v>
      </c>
      <c r="J62" t="e">
        <f t="shared" si="4"/>
        <v>#REF!</v>
      </c>
      <c r="K62" t="e">
        <f>PRODUCT($J$3:J62)</f>
        <v>#REF!</v>
      </c>
      <c r="L62" t="e">
        <f t="shared" si="5"/>
        <v>#REF!</v>
      </c>
      <c r="M62" t="e">
        <f>SUM($L$3:L62)</f>
        <v>#REF!</v>
      </c>
      <c r="O62" t="e">
        <f>(Q61*'Arkusz1 (4)'!J62)-Q61</f>
        <v>#REF!</v>
      </c>
      <c r="P62" s="16" t="e">
        <f t="shared" si="6"/>
        <v>#REF!</v>
      </c>
      <c r="Q62" s="17" t="e">
        <f t="shared" si="7"/>
        <v>#REF!</v>
      </c>
    </row>
    <row r="63" spans="1:17" x14ac:dyDescent="0.35">
      <c r="A63">
        <v>61</v>
      </c>
      <c r="B63" s="14" t="e">
        <f t="shared" si="8"/>
        <v>#REF!</v>
      </c>
      <c r="C63" s="15" t="e">
        <f>(1+(#REF!)*('Arkusz1 (4)'!B63-'Arkusz1 (4)'!B62)/365)</f>
        <v>#REF!</v>
      </c>
      <c r="D63" s="15" t="e">
        <f>(1+(#REF!)*('Arkusz1 (4)'!B63-'Arkusz1 (4)'!B62)/366)</f>
        <v>#REF!</v>
      </c>
      <c r="E63" s="15" t="e">
        <f t="shared" si="0"/>
        <v>#REF!</v>
      </c>
      <c r="F63" s="15" t="e">
        <f t="shared" si="1"/>
        <v>#REF!</v>
      </c>
      <c r="G63" t="e">
        <f>IF(E63=1,(1+(#REF!)*((('Arkusz1 (4)'!B63-DATE(YEAR(B63),1,1)+1)/365)+((DATE(YEAR(B62),12,31)-'Arkusz1 (4)'!B62)/366))),IF(F63=1,(1+(#REF!)*((('Arkusz1 (4)'!B63-DATE(YEAR(B63),1,1)+1)/366)+((DATE(YEAR(B62),12,31)-'Arkusz1 (4)'!B62)/365))),0))</f>
        <v>#REF!</v>
      </c>
      <c r="H63" t="e">
        <f t="shared" si="2"/>
        <v>#REF!</v>
      </c>
      <c r="I63" t="e">
        <f t="shared" si="3"/>
        <v>#REF!</v>
      </c>
      <c r="J63" t="e">
        <f t="shared" si="4"/>
        <v>#REF!</v>
      </c>
      <c r="K63" t="e">
        <f>PRODUCT($J$3:J63)</f>
        <v>#REF!</v>
      </c>
      <c r="L63" t="e">
        <f t="shared" si="5"/>
        <v>#REF!</v>
      </c>
      <c r="M63" t="e">
        <f>SUM($L$3:L63)</f>
        <v>#REF!</v>
      </c>
      <c r="O63" t="e">
        <f>(Q62*'Arkusz1 (4)'!J63)-Q62</f>
        <v>#REF!</v>
      </c>
      <c r="P63" s="16" t="e">
        <f t="shared" si="6"/>
        <v>#REF!</v>
      </c>
      <c r="Q63" s="17" t="e">
        <f t="shared" si="7"/>
        <v>#REF!</v>
      </c>
    </row>
    <row r="64" spans="1:17" x14ac:dyDescent="0.35">
      <c r="A64">
        <v>62</v>
      </c>
      <c r="B64" s="14" t="e">
        <f t="shared" si="8"/>
        <v>#REF!</v>
      </c>
      <c r="C64" s="15" t="e">
        <f>(1+(#REF!)*('Arkusz1 (4)'!B64-'Arkusz1 (4)'!B63)/365)</f>
        <v>#REF!</v>
      </c>
      <c r="D64" s="15" t="e">
        <f>(1+(#REF!)*('Arkusz1 (4)'!B64-'Arkusz1 (4)'!B63)/366)</f>
        <v>#REF!</v>
      </c>
      <c r="E64" s="15" t="e">
        <f t="shared" si="0"/>
        <v>#REF!</v>
      </c>
      <c r="F64" s="15" t="e">
        <f t="shared" si="1"/>
        <v>#REF!</v>
      </c>
      <c r="G64" t="e">
        <f>IF(E64=1,(1+(#REF!)*((('Arkusz1 (4)'!B64-DATE(YEAR(B64),1,1)+1)/365)+((DATE(YEAR(B63),12,31)-'Arkusz1 (4)'!B63)/366))),IF(F64=1,(1+(#REF!)*((('Arkusz1 (4)'!B64-DATE(YEAR(B64),1,1)+1)/366)+((DATE(YEAR(B63),12,31)-'Arkusz1 (4)'!B63)/365))),0))</f>
        <v>#REF!</v>
      </c>
      <c r="H64" t="e">
        <f t="shared" si="2"/>
        <v>#REF!</v>
      </c>
      <c r="I64" t="e">
        <f t="shared" si="3"/>
        <v>#REF!</v>
      </c>
      <c r="J64" t="e">
        <f t="shared" si="4"/>
        <v>#REF!</v>
      </c>
      <c r="K64" t="e">
        <f>PRODUCT($J$3:J64)</f>
        <v>#REF!</v>
      </c>
      <c r="L64" t="e">
        <f t="shared" si="5"/>
        <v>#REF!</v>
      </c>
      <c r="M64" t="e">
        <f>SUM($L$3:L64)</f>
        <v>#REF!</v>
      </c>
      <c r="O64" t="e">
        <f>(Q63*'Arkusz1 (4)'!J64)-Q63</f>
        <v>#REF!</v>
      </c>
      <c r="P64" s="16" t="e">
        <f t="shared" si="6"/>
        <v>#REF!</v>
      </c>
      <c r="Q64" s="17" t="e">
        <f t="shared" si="7"/>
        <v>#REF!</v>
      </c>
    </row>
    <row r="65" spans="1:17" x14ac:dyDescent="0.35">
      <c r="A65">
        <v>63</v>
      </c>
      <c r="B65" s="14" t="e">
        <f t="shared" si="8"/>
        <v>#REF!</v>
      </c>
      <c r="C65" s="15" t="e">
        <f>(1+(#REF!)*('Arkusz1 (4)'!B65-'Arkusz1 (4)'!B64)/365)</f>
        <v>#REF!</v>
      </c>
      <c r="D65" s="15" t="e">
        <f>(1+(#REF!)*('Arkusz1 (4)'!B65-'Arkusz1 (4)'!B64)/366)</f>
        <v>#REF!</v>
      </c>
      <c r="E65" s="15" t="e">
        <f t="shared" si="0"/>
        <v>#REF!</v>
      </c>
      <c r="F65" s="15" t="e">
        <f t="shared" si="1"/>
        <v>#REF!</v>
      </c>
      <c r="G65" t="e">
        <f>IF(E65=1,(1+(#REF!)*((('Arkusz1 (4)'!B65-DATE(YEAR(B65),1,1)+1)/365)+((DATE(YEAR(B64),12,31)-'Arkusz1 (4)'!B64)/366))),IF(F65=1,(1+(#REF!)*((('Arkusz1 (4)'!B65-DATE(YEAR(B65),1,1)+1)/366)+((DATE(YEAR(B64),12,31)-'Arkusz1 (4)'!B64)/365))),0))</f>
        <v>#REF!</v>
      </c>
      <c r="H65" t="e">
        <f t="shared" si="2"/>
        <v>#REF!</v>
      </c>
      <c r="I65" t="e">
        <f t="shared" si="3"/>
        <v>#REF!</v>
      </c>
      <c r="J65" t="e">
        <f t="shared" si="4"/>
        <v>#REF!</v>
      </c>
      <c r="K65" t="e">
        <f>PRODUCT($J$3:J65)</f>
        <v>#REF!</v>
      </c>
      <c r="L65" t="e">
        <f t="shared" si="5"/>
        <v>#REF!</v>
      </c>
      <c r="M65" t="e">
        <f>SUM($L$3:L65)</f>
        <v>#REF!</v>
      </c>
      <c r="O65" t="e">
        <f>(Q64*'Arkusz1 (4)'!J65)-Q64</f>
        <v>#REF!</v>
      </c>
      <c r="P65" s="16" t="e">
        <f t="shared" si="6"/>
        <v>#REF!</v>
      </c>
      <c r="Q65" s="17" t="e">
        <f t="shared" si="7"/>
        <v>#REF!</v>
      </c>
    </row>
    <row r="66" spans="1:17" x14ac:dyDescent="0.35">
      <c r="A66">
        <v>64</v>
      </c>
      <c r="B66" s="14" t="e">
        <f t="shared" si="8"/>
        <v>#REF!</v>
      </c>
      <c r="C66" s="15" t="e">
        <f>(1+(#REF!)*('Arkusz1 (4)'!B66-'Arkusz1 (4)'!B65)/365)</f>
        <v>#REF!</v>
      </c>
      <c r="D66" s="15" t="e">
        <f>(1+(#REF!)*('Arkusz1 (4)'!B66-'Arkusz1 (4)'!B65)/366)</f>
        <v>#REF!</v>
      </c>
      <c r="E66" s="15" t="e">
        <f t="shared" si="0"/>
        <v>#REF!</v>
      </c>
      <c r="F66" s="15" t="e">
        <f t="shared" si="1"/>
        <v>#REF!</v>
      </c>
      <c r="G66" t="e">
        <f>IF(E66=1,(1+(#REF!)*((('Arkusz1 (4)'!B66-DATE(YEAR(B66),1,1)+1)/365)+((DATE(YEAR(B65),12,31)-'Arkusz1 (4)'!B65)/366))),IF(F66=1,(1+(#REF!)*((('Arkusz1 (4)'!B66-DATE(YEAR(B66),1,1)+1)/366)+((DATE(YEAR(B65),12,31)-'Arkusz1 (4)'!B65)/365))),0))</f>
        <v>#REF!</v>
      </c>
      <c r="H66" t="e">
        <f t="shared" si="2"/>
        <v>#REF!</v>
      </c>
      <c r="I66" t="e">
        <f t="shared" si="3"/>
        <v>#REF!</v>
      </c>
      <c r="J66" t="e">
        <f t="shared" si="4"/>
        <v>#REF!</v>
      </c>
      <c r="K66" t="e">
        <f>PRODUCT($J$3:J66)</f>
        <v>#REF!</v>
      </c>
      <c r="L66" t="e">
        <f t="shared" si="5"/>
        <v>#REF!</v>
      </c>
      <c r="M66" t="e">
        <f>SUM($L$3:L66)</f>
        <v>#REF!</v>
      </c>
      <c r="O66" t="e">
        <f>(Q65*'Arkusz1 (4)'!J66)-Q65</f>
        <v>#REF!</v>
      </c>
      <c r="P66" s="16" t="e">
        <f t="shared" si="6"/>
        <v>#REF!</v>
      </c>
      <c r="Q66" s="17" t="e">
        <f t="shared" si="7"/>
        <v>#REF!</v>
      </c>
    </row>
    <row r="67" spans="1:17" x14ac:dyDescent="0.35">
      <c r="A67">
        <v>65</v>
      </c>
      <c r="B67" s="14" t="e">
        <f t="shared" si="8"/>
        <v>#REF!</v>
      </c>
      <c r="C67" s="15" t="e">
        <f>(1+(#REF!)*('Arkusz1 (4)'!B67-'Arkusz1 (4)'!B66)/365)</f>
        <v>#REF!</v>
      </c>
      <c r="D67" s="15" t="e">
        <f>(1+(#REF!)*('Arkusz1 (4)'!B67-'Arkusz1 (4)'!B66)/366)</f>
        <v>#REF!</v>
      </c>
      <c r="E67" s="15" t="e">
        <f t="shared" si="0"/>
        <v>#REF!</v>
      </c>
      <c r="F67" s="15" t="e">
        <f t="shared" si="1"/>
        <v>#REF!</v>
      </c>
      <c r="G67" t="e">
        <f>IF(E67=1,(1+(#REF!)*((('Arkusz1 (4)'!B67-DATE(YEAR(B67),1,1)+1)/365)+((DATE(YEAR(B66),12,31)-'Arkusz1 (4)'!B66)/366))),IF(F67=1,(1+(#REF!)*((('Arkusz1 (4)'!B67-DATE(YEAR(B67),1,1)+1)/366)+((DATE(YEAR(B66),12,31)-'Arkusz1 (4)'!B66)/365))),0))</f>
        <v>#REF!</v>
      </c>
      <c r="H67" t="e">
        <f t="shared" si="2"/>
        <v>#REF!</v>
      </c>
      <c r="I67" t="e">
        <f t="shared" si="3"/>
        <v>#REF!</v>
      </c>
      <c r="J67" t="e">
        <f t="shared" si="4"/>
        <v>#REF!</v>
      </c>
      <c r="K67" t="e">
        <f>PRODUCT($J$3:J67)</f>
        <v>#REF!</v>
      </c>
      <c r="L67" t="e">
        <f t="shared" si="5"/>
        <v>#REF!</v>
      </c>
      <c r="M67" t="e">
        <f>SUM($L$3:L67)</f>
        <v>#REF!</v>
      </c>
      <c r="O67" t="e">
        <f>(Q66*'Arkusz1 (4)'!J67)-Q66</f>
        <v>#REF!</v>
      </c>
      <c r="P67" s="16" t="e">
        <f t="shared" si="6"/>
        <v>#REF!</v>
      </c>
      <c r="Q67" s="17" t="e">
        <f t="shared" si="7"/>
        <v>#REF!</v>
      </c>
    </row>
    <row r="68" spans="1:17" x14ac:dyDescent="0.35">
      <c r="A68">
        <v>66</v>
      </c>
      <c r="B68" s="14" t="e">
        <f t="shared" si="8"/>
        <v>#REF!</v>
      </c>
      <c r="C68" s="15" t="e">
        <f>(1+(#REF!)*('Arkusz1 (4)'!B68-'Arkusz1 (4)'!B67)/365)</f>
        <v>#REF!</v>
      </c>
      <c r="D68" s="15" t="e">
        <f>(1+(#REF!)*('Arkusz1 (4)'!B68-'Arkusz1 (4)'!B67)/366)</f>
        <v>#REF!</v>
      </c>
      <c r="E68" s="15" t="e">
        <f t="shared" ref="E68:E131" si="9">IF(AND(MOD(YEAR(B67),4)=0,MOD(YEAR(B68),4)&lt;&gt;0),1,0)</f>
        <v>#REF!</v>
      </c>
      <c r="F68" s="15" t="e">
        <f t="shared" ref="F68:F131" si="10">IF(AND(MOD(YEAR(B68),4)=0,MOD(YEAR(B67),4)&lt;&gt;0),1,0)</f>
        <v>#REF!</v>
      </c>
      <c r="G68" t="e">
        <f>IF(E68=1,(1+(#REF!)*((('Arkusz1 (4)'!B68-DATE(YEAR(B68),1,1)+1)/365)+((DATE(YEAR(B67),12,31)-'Arkusz1 (4)'!B67)/366))),IF(F68=1,(1+(#REF!)*((('Arkusz1 (4)'!B68-DATE(YEAR(B68),1,1)+1)/366)+((DATE(YEAR(B67),12,31)-'Arkusz1 (4)'!B67)/365))),0))</f>
        <v>#REF!</v>
      </c>
      <c r="H68" t="e">
        <f t="shared" ref="H68:H131" si="11">IF(MOD(YEAR(B68),4)=0,1,0)</f>
        <v>#REF!</v>
      </c>
      <c r="I68" t="e">
        <f t="shared" ref="I68:I131" si="12">IF(H68=0,C68,IF(H68=1,D68,"blad"))</f>
        <v>#REF!</v>
      </c>
      <c r="J68" t="e">
        <f t="shared" ref="J68:J131" si="13">IF(OR(E68=1,F68=1),G68,I68)</f>
        <v>#REF!</v>
      </c>
      <c r="K68" t="e">
        <f>PRODUCT($J$3:J68)</f>
        <v>#REF!</v>
      </c>
      <c r="L68" t="e">
        <f t="shared" ref="L68:L131" si="14">1/K68</f>
        <v>#REF!</v>
      </c>
      <c r="M68" t="e">
        <f>SUM($L$3:L68)</f>
        <v>#REF!</v>
      </c>
      <c r="O68" t="e">
        <f>(Q67*'Arkusz1 (4)'!J68)-Q67</f>
        <v>#REF!</v>
      </c>
      <c r="P68" s="16" t="e">
        <f t="shared" si="6"/>
        <v>#REF!</v>
      </c>
      <c r="Q68" s="17" t="e">
        <f t="shared" si="7"/>
        <v>#REF!</v>
      </c>
    </row>
    <row r="69" spans="1:17" x14ac:dyDescent="0.35">
      <c r="A69">
        <v>67</v>
      </c>
      <c r="B69" s="14" t="e">
        <f t="shared" si="8"/>
        <v>#REF!</v>
      </c>
      <c r="C69" s="15" t="e">
        <f>(1+(#REF!)*('Arkusz1 (4)'!B69-'Arkusz1 (4)'!B68)/365)</f>
        <v>#REF!</v>
      </c>
      <c r="D69" s="15" t="e">
        <f>(1+(#REF!)*('Arkusz1 (4)'!B69-'Arkusz1 (4)'!B68)/366)</f>
        <v>#REF!</v>
      </c>
      <c r="E69" s="15" t="e">
        <f t="shared" si="9"/>
        <v>#REF!</v>
      </c>
      <c r="F69" s="15" t="e">
        <f t="shared" si="10"/>
        <v>#REF!</v>
      </c>
      <c r="G69" t="e">
        <f>IF(E69=1,(1+(#REF!)*((('Arkusz1 (4)'!B69-DATE(YEAR(B69),1,1)+1)/365)+((DATE(YEAR(B68),12,31)-'Arkusz1 (4)'!B68)/366))),IF(F69=1,(1+(#REF!)*((('Arkusz1 (4)'!B69-DATE(YEAR(B69),1,1)+1)/366)+((DATE(YEAR(B68),12,31)-'Arkusz1 (4)'!B68)/365))),0))</f>
        <v>#REF!</v>
      </c>
      <c r="H69" t="e">
        <f t="shared" si="11"/>
        <v>#REF!</v>
      </c>
      <c r="I69" t="e">
        <f t="shared" si="12"/>
        <v>#REF!</v>
      </c>
      <c r="J69" t="e">
        <f t="shared" si="13"/>
        <v>#REF!</v>
      </c>
      <c r="K69" t="e">
        <f>PRODUCT($J$3:J69)</f>
        <v>#REF!</v>
      </c>
      <c r="L69" t="e">
        <f t="shared" si="14"/>
        <v>#REF!</v>
      </c>
      <c r="M69" t="e">
        <f>SUM($L$3:L69)</f>
        <v>#REF!</v>
      </c>
      <c r="O69" t="e">
        <f>(Q68*'Arkusz1 (4)'!J69)-Q68</f>
        <v>#REF!</v>
      </c>
      <c r="P69" s="16" t="e">
        <f t="shared" ref="P69:P132" si="15">$N$2-O69</f>
        <v>#REF!</v>
      </c>
      <c r="Q69" s="17" t="e">
        <f t="shared" ref="Q69:Q132" si="16">Q68-P69</f>
        <v>#REF!</v>
      </c>
    </row>
    <row r="70" spans="1:17" x14ac:dyDescent="0.35">
      <c r="A70">
        <v>68</v>
      </c>
      <c r="B70" s="14" t="e">
        <f t="shared" ref="B70:B133" si="17">DATE(YEAR((B69)),MONTH((B69))+1,IF(AND(DAY(B69)&gt;28,MONTH((B69))+1=2),IF(MOD(YEAR(B69),4)=0,29,28),IF(AND(OR(DAY(B69)=28,DAY(B69)=29),MONTH((B69))=2),DAY(B68),DAY(B69))))</f>
        <v>#REF!</v>
      </c>
      <c r="C70" s="15" t="e">
        <f>(1+(#REF!)*('Arkusz1 (4)'!B70-'Arkusz1 (4)'!B69)/365)</f>
        <v>#REF!</v>
      </c>
      <c r="D70" s="15" t="e">
        <f>(1+(#REF!)*('Arkusz1 (4)'!B70-'Arkusz1 (4)'!B69)/366)</f>
        <v>#REF!</v>
      </c>
      <c r="E70" s="15" t="e">
        <f t="shared" si="9"/>
        <v>#REF!</v>
      </c>
      <c r="F70" s="15" t="e">
        <f t="shared" si="10"/>
        <v>#REF!</v>
      </c>
      <c r="G70" t="e">
        <f>IF(E70=1,(1+(#REF!)*((('Arkusz1 (4)'!B70-DATE(YEAR(B70),1,1)+1)/365)+((DATE(YEAR(B69),12,31)-'Arkusz1 (4)'!B69)/366))),IF(F70=1,(1+(#REF!)*((('Arkusz1 (4)'!B70-DATE(YEAR(B70),1,1)+1)/366)+((DATE(YEAR(B69),12,31)-'Arkusz1 (4)'!B69)/365))),0))</f>
        <v>#REF!</v>
      </c>
      <c r="H70" t="e">
        <f t="shared" si="11"/>
        <v>#REF!</v>
      </c>
      <c r="I70" t="e">
        <f t="shared" si="12"/>
        <v>#REF!</v>
      </c>
      <c r="J70" t="e">
        <f t="shared" si="13"/>
        <v>#REF!</v>
      </c>
      <c r="K70" t="e">
        <f>PRODUCT($J$3:J70)</f>
        <v>#REF!</v>
      </c>
      <c r="L70" t="e">
        <f t="shared" si="14"/>
        <v>#REF!</v>
      </c>
      <c r="M70" t="e">
        <f>SUM($L$3:L70)</f>
        <v>#REF!</v>
      </c>
      <c r="O70" t="e">
        <f>(Q69*'Arkusz1 (4)'!J70)-Q69</f>
        <v>#REF!</v>
      </c>
      <c r="P70" s="16" t="e">
        <f t="shared" si="15"/>
        <v>#REF!</v>
      </c>
      <c r="Q70" s="17" t="e">
        <f t="shared" si="16"/>
        <v>#REF!</v>
      </c>
    </row>
    <row r="71" spans="1:17" x14ac:dyDescent="0.35">
      <c r="A71">
        <v>69</v>
      </c>
      <c r="B71" s="14" t="e">
        <f t="shared" si="17"/>
        <v>#REF!</v>
      </c>
      <c r="C71" s="15" t="e">
        <f>(1+(#REF!)*('Arkusz1 (4)'!B71-'Arkusz1 (4)'!B70)/365)</f>
        <v>#REF!</v>
      </c>
      <c r="D71" s="15" t="e">
        <f>(1+(#REF!)*('Arkusz1 (4)'!B71-'Arkusz1 (4)'!B70)/366)</f>
        <v>#REF!</v>
      </c>
      <c r="E71" s="15" t="e">
        <f t="shared" si="9"/>
        <v>#REF!</v>
      </c>
      <c r="F71" s="15" t="e">
        <f t="shared" si="10"/>
        <v>#REF!</v>
      </c>
      <c r="G71" t="e">
        <f>IF(E71=1,(1+(#REF!)*((('Arkusz1 (4)'!B71-DATE(YEAR(B71),1,1)+1)/365)+((DATE(YEAR(B70),12,31)-'Arkusz1 (4)'!B70)/366))),IF(F71=1,(1+(#REF!)*((('Arkusz1 (4)'!B71-DATE(YEAR(B71),1,1)+1)/366)+((DATE(YEAR(B70),12,31)-'Arkusz1 (4)'!B70)/365))),0))</f>
        <v>#REF!</v>
      </c>
      <c r="H71" t="e">
        <f t="shared" si="11"/>
        <v>#REF!</v>
      </c>
      <c r="I71" t="e">
        <f t="shared" si="12"/>
        <v>#REF!</v>
      </c>
      <c r="J71" t="e">
        <f t="shared" si="13"/>
        <v>#REF!</v>
      </c>
      <c r="K71" t="e">
        <f>PRODUCT($J$3:J71)</f>
        <v>#REF!</v>
      </c>
      <c r="L71" t="e">
        <f t="shared" si="14"/>
        <v>#REF!</v>
      </c>
      <c r="M71" t="e">
        <f>SUM($L$3:L71)</f>
        <v>#REF!</v>
      </c>
      <c r="O71" t="e">
        <f>(Q70*'Arkusz1 (4)'!J71)-Q70</f>
        <v>#REF!</v>
      </c>
      <c r="P71" s="16" t="e">
        <f t="shared" si="15"/>
        <v>#REF!</v>
      </c>
      <c r="Q71" s="17" t="e">
        <f t="shared" si="16"/>
        <v>#REF!</v>
      </c>
    </row>
    <row r="72" spans="1:17" x14ac:dyDescent="0.35">
      <c r="A72">
        <v>70</v>
      </c>
      <c r="B72" s="14" t="e">
        <f t="shared" si="17"/>
        <v>#REF!</v>
      </c>
      <c r="C72" s="15" t="e">
        <f>(1+(#REF!)*('Arkusz1 (4)'!B72-'Arkusz1 (4)'!B71)/365)</f>
        <v>#REF!</v>
      </c>
      <c r="D72" s="15" t="e">
        <f>(1+(#REF!)*('Arkusz1 (4)'!B72-'Arkusz1 (4)'!B71)/366)</f>
        <v>#REF!</v>
      </c>
      <c r="E72" s="15" t="e">
        <f t="shared" si="9"/>
        <v>#REF!</v>
      </c>
      <c r="F72" s="15" t="e">
        <f t="shared" si="10"/>
        <v>#REF!</v>
      </c>
      <c r="G72" t="e">
        <f>IF(E72=1,(1+(#REF!)*((('Arkusz1 (4)'!B72-DATE(YEAR(B72),1,1)+1)/365)+((DATE(YEAR(B71),12,31)-'Arkusz1 (4)'!B71)/366))),IF(F72=1,(1+(#REF!)*((('Arkusz1 (4)'!B72-DATE(YEAR(B72),1,1)+1)/366)+((DATE(YEAR(B71),12,31)-'Arkusz1 (4)'!B71)/365))),0))</f>
        <v>#REF!</v>
      </c>
      <c r="H72" t="e">
        <f t="shared" si="11"/>
        <v>#REF!</v>
      </c>
      <c r="I72" t="e">
        <f t="shared" si="12"/>
        <v>#REF!</v>
      </c>
      <c r="J72" t="e">
        <f t="shared" si="13"/>
        <v>#REF!</v>
      </c>
      <c r="K72" t="e">
        <f>PRODUCT($J$3:J72)</f>
        <v>#REF!</v>
      </c>
      <c r="L72" t="e">
        <f t="shared" si="14"/>
        <v>#REF!</v>
      </c>
      <c r="M72" t="e">
        <f>SUM($L$3:L72)</f>
        <v>#REF!</v>
      </c>
      <c r="O72" t="e">
        <f>(Q71*'Arkusz1 (4)'!J72)-Q71</f>
        <v>#REF!</v>
      </c>
      <c r="P72" s="16" t="e">
        <f t="shared" si="15"/>
        <v>#REF!</v>
      </c>
      <c r="Q72" s="17" t="e">
        <f t="shared" si="16"/>
        <v>#REF!</v>
      </c>
    </row>
    <row r="73" spans="1:17" x14ac:dyDescent="0.35">
      <c r="A73">
        <v>71</v>
      </c>
      <c r="B73" s="14" t="e">
        <f t="shared" si="17"/>
        <v>#REF!</v>
      </c>
      <c r="C73" s="15" t="e">
        <f>(1+(#REF!)*('Arkusz1 (4)'!B73-'Arkusz1 (4)'!B72)/365)</f>
        <v>#REF!</v>
      </c>
      <c r="D73" s="15" t="e">
        <f>(1+(#REF!)*('Arkusz1 (4)'!B73-'Arkusz1 (4)'!B72)/366)</f>
        <v>#REF!</v>
      </c>
      <c r="E73" s="15" t="e">
        <f t="shared" si="9"/>
        <v>#REF!</v>
      </c>
      <c r="F73" s="15" t="e">
        <f t="shared" si="10"/>
        <v>#REF!</v>
      </c>
      <c r="G73" t="e">
        <f>IF(E73=1,(1+(#REF!)*((('Arkusz1 (4)'!B73-DATE(YEAR(B73),1,1)+1)/365)+((DATE(YEAR(B72),12,31)-'Arkusz1 (4)'!B72)/366))),IF(F73=1,(1+(#REF!)*((('Arkusz1 (4)'!B73-DATE(YEAR(B73),1,1)+1)/366)+((DATE(YEAR(B72),12,31)-'Arkusz1 (4)'!B72)/365))),0))</f>
        <v>#REF!</v>
      </c>
      <c r="H73" t="e">
        <f t="shared" si="11"/>
        <v>#REF!</v>
      </c>
      <c r="I73" t="e">
        <f t="shared" si="12"/>
        <v>#REF!</v>
      </c>
      <c r="J73" t="e">
        <f t="shared" si="13"/>
        <v>#REF!</v>
      </c>
      <c r="K73" t="e">
        <f>PRODUCT($J$3:J73)</f>
        <v>#REF!</v>
      </c>
      <c r="L73" t="e">
        <f t="shared" si="14"/>
        <v>#REF!</v>
      </c>
      <c r="M73" t="e">
        <f>SUM($L$3:L73)</f>
        <v>#REF!</v>
      </c>
      <c r="O73" t="e">
        <f>(Q72*'Arkusz1 (4)'!J73)-Q72</f>
        <v>#REF!</v>
      </c>
      <c r="P73" s="16" t="e">
        <f t="shared" si="15"/>
        <v>#REF!</v>
      </c>
      <c r="Q73" s="17" t="e">
        <f t="shared" si="16"/>
        <v>#REF!</v>
      </c>
    </row>
    <row r="74" spans="1:17" x14ac:dyDescent="0.35">
      <c r="A74">
        <v>72</v>
      </c>
      <c r="B74" s="14" t="e">
        <f t="shared" si="17"/>
        <v>#REF!</v>
      </c>
      <c r="C74" s="15" t="e">
        <f>(1+(#REF!)*('Arkusz1 (4)'!B74-'Arkusz1 (4)'!B73)/365)</f>
        <v>#REF!</v>
      </c>
      <c r="D74" s="15" t="e">
        <f>(1+(#REF!)*('Arkusz1 (4)'!B74-'Arkusz1 (4)'!B73)/366)</f>
        <v>#REF!</v>
      </c>
      <c r="E74" s="15" t="e">
        <f t="shared" si="9"/>
        <v>#REF!</v>
      </c>
      <c r="F74" s="15" t="e">
        <f t="shared" si="10"/>
        <v>#REF!</v>
      </c>
      <c r="G74" t="e">
        <f>IF(E74=1,(1+(#REF!)*((('Arkusz1 (4)'!B74-DATE(YEAR(B74),1,1)+1)/365)+((DATE(YEAR(B73),12,31)-'Arkusz1 (4)'!B73)/366))),IF(F74=1,(1+(#REF!)*((('Arkusz1 (4)'!B74-DATE(YEAR(B74),1,1)+1)/366)+((DATE(YEAR(B73),12,31)-'Arkusz1 (4)'!B73)/365))),0))</f>
        <v>#REF!</v>
      </c>
      <c r="H74" t="e">
        <f t="shared" si="11"/>
        <v>#REF!</v>
      </c>
      <c r="I74" t="e">
        <f t="shared" si="12"/>
        <v>#REF!</v>
      </c>
      <c r="J74" t="e">
        <f t="shared" si="13"/>
        <v>#REF!</v>
      </c>
      <c r="K74" t="e">
        <f>PRODUCT($J$3:J74)</f>
        <v>#REF!</v>
      </c>
      <c r="L74" t="e">
        <f t="shared" si="14"/>
        <v>#REF!</v>
      </c>
      <c r="M74" t="e">
        <f>SUM($L$3:L74)</f>
        <v>#REF!</v>
      </c>
      <c r="O74" t="e">
        <f>(Q73*'Arkusz1 (4)'!J74)-Q73</f>
        <v>#REF!</v>
      </c>
      <c r="P74" s="16" t="e">
        <f t="shared" si="15"/>
        <v>#REF!</v>
      </c>
      <c r="Q74" s="17" t="e">
        <f t="shared" si="16"/>
        <v>#REF!</v>
      </c>
    </row>
    <row r="75" spans="1:17" x14ac:dyDescent="0.35">
      <c r="A75">
        <v>73</v>
      </c>
      <c r="B75" s="14" t="e">
        <f t="shared" si="17"/>
        <v>#REF!</v>
      </c>
      <c r="C75" s="15" t="e">
        <f>(1+(#REF!)*('Arkusz1 (4)'!B75-'Arkusz1 (4)'!B74)/365)</f>
        <v>#REF!</v>
      </c>
      <c r="D75" s="15" t="e">
        <f>(1+(#REF!)*('Arkusz1 (4)'!B75-'Arkusz1 (4)'!B74)/366)</f>
        <v>#REF!</v>
      </c>
      <c r="E75" s="15" t="e">
        <f t="shared" si="9"/>
        <v>#REF!</v>
      </c>
      <c r="F75" s="15" t="e">
        <f t="shared" si="10"/>
        <v>#REF!</v>
      </c>
      <c r="G75" t="e">
        <f>IF(E75=1,(1+(#REF!)*((('Arkusz1 (4)'!B75-DATE(YEAR(B75),1,1)+1)/365)+((DATE(YEAR(B74),12,31)-'Arkusz1 (4)'!B74)/366))),IF(F75=1,(1+(#REF!)*((('Arkusz1 (4)'!B75-DATE(YEAR(B75),1,1)+1)/366)+((DATE(YEAR(B74),12,31)-'Arkusz1 (4)'!B74)/365))),0))</f>
        <v>#REF!</v>
      </c>
      <c r="H75" t="e">
        <f t="shared" si="11"/>
        <v>#REF!</v>
      </c>
      <c r="I75" t="e">
        <f t="shared" si="12"/>
        <v>#REF!</v>
      </c>
      <c r="J75" t="e">
        <f t="shared" si="13"/>
        <v>#REF!</v>
      </c>
      <c r="K75" t="e">
        <f>PRODUCT($J$3:J75)</f>
        <v>#REF!</v>
      </c>
      <c r="L75" t="e">
        <f t="shared" si="14"/>
        <v>#REF!</v>
      </c>
      <c r="M75" t="e">
        <f>SUM($L$3:L75)</f>
        <v>#REF!</v>
      </c>
      <c r="O75" t="e">
        <f>(Q74*'Arkusz1 (4)'!J75)-Q74</f>
        <v>#REF!</v>
      </c>
      <c r="P75" s="16" t="e">
        <f t="shared" si="15"/>
        <v>#REF!</v>
      </c>
      <c r="Q75" s="17" t="e">
        <f t="shared" si="16"/>
        <v>#REF!</v>
      </c>
    </row>
    <row r="76" spans="1:17" x14ac:dyDescent="0.35">
      <c r="A76">
        <v>74</v>
      </c>
      <c r="B76" s="14" t="e">
        <f t="shared" si="17"/>
        <v>#REF!</v>
      </c>
      <c r="C76" s="15" t="e">
        <f>(1+(#REF!)*('Arkusz1 (4)'!B76-'Arkusz1 (4)'!B75)/365)</f>
        <v>#REF!</v>
      </c>
      <c r="D76" s="15" t="e">
        <f>(1+(#REF!)*('Arkusz1 (4)'!B76-'Arkusz1 (4)'!B75)/366)</f>
        <v>#REF!</v>
      </c>
      <c r="E76" s="15" t="e">
        <f t="shared" si="9"/>
        <v>#REF!</v>
      </c>
      <c r="F76" s="15" t="e">
        <f t="shared" si="10"/>
        <v>#REF!</v>
      </c>
      <c r="G76" t="e">
        <f>IF(E76=1,(1+(#REF!)*((('Arkusz1 (4)'!B76-DATE(YEAR(B76),1,1)+1)/365)+((DATE(YEAR(B75),12,31)-'Arkusz1 (4)'!B75)/366))),IF(F76=1,(1+(#REF!)*((('Arkusz1 (4)'!B76-DATE(YEAR(B76),1,1)+1)/366)+((DATE(YEAR(B75),12,31)-'Arkusz1 (4)'!B75)/365))),0))</f>
        <v>#REF!</v>
      </c>
      <c r="H76" t="e">
        <f t="shared" si="11"/>
        <v>#REF!</v>
      </c>
      <c r="I76" t="e">
        <f t="shared" si="12"/>
        <v>#REF!</v>
      </c>
      <c r="J76" t="e">
        <f t="shared" si="13"/>
        <v>#REF!</v>
      </c>
      <c r="K76" t="e">
        <f>PRODUCT($J$3:J76)</f>
        <v>#REF!</v>
      </c>
      <c r="L76" t="e">
        <f t="shared" si="14"/>
        <v>#REF!</v>
      </c>
      <c r="M76" t="e">
        <f>SUM($L$3:L76)</f>
        <v>#REF!</v>
      </c>
      <c r="O76" t="e">
        <f>(Q75*'Arkusz1 (4)'!J76)-Q75</f>
        <v>#REF!</v>
      </c>
      <c r="P76" s="16" t="e">
        <f t="shared" si="15"/>
        <v>#REF!</v>
      </c>
      <c r="Q76" s="17" t="e">
        <f t="shared" si="16"/>
        <v>#REF!</v>
      </c>
    </row>
    <row r="77" spans="1:17" x14ac:dyDescent="0.35">
      <c r="A77">
        <v>75</v>
      </c>
      <c r="B77" s="14" t="e">
        <f t="shared" si="17"/>
        <v>#REF!</v>
      </c>
      <c r="C77" s="15" t="e">
        <f>(1+(#REF!)*('Arkusz1 (4)'!B77-'Arkusz1 (4)'!B76)/365)</f>
        <v>#REF!</v>
      </c>
      <c r="D77" s="15" t="e">
        <f>(1+(#REF!)*('Arkusz1 (4)'!B77-'Arkusz1 (4)'!B76)/366)</f>
        <v>#REF!</v>
      </c>
      <c r="E77" s="15" t="e">
        <f t="shared" si="9"/>
        <v>#REF!</v>
      </c>
      <c r="F77" s="15" t="e">
        <f t="shared" si="10"/>
        <v>#REF!</v>
      </c>
      <c r="G77" t="e">
        <f>IF(E77=1,(1+(#REF!)*((('Arkusz1 (4)'!B77-DATE(YEAR(B77),1,1)+1)/365)+((DATE(YEAR(B76),12,31)-'Arkusz1 (4)'!B76)/366))),IF(F77=1,(1+(#REF!)*((('Arkusz1 (4)'!B77-DATE(YEAR(B77),1,1)+1)/366)+((DATE(YEAR(B76),12,31)-'Arkusz1 (4)'!B76)/365))),0))</f>
        <v>#REF!</v>
      </c>
      <c r="H77" t="e">
        <f t="shared" si="11"/>
        <v>#REF!</v>
      </c>
      <c r="I77" t="e">
        <f t="shared" si="12"/>
        <v>#REF!</v>
      </c>
      <c r="J77" t="e">
        <f t="shared" si="13"/>
        <v>#REF!</v>
      </c>
      <c r="K77" t="e">
        <f>PRODUCT($J$3:J77)</f>
        <v>#REF!</v>
      </c>
      <c r="L77" t="e">
        <f t="shared" si="14"/>
        <v>#REF!</v>
      </c>
      <c r="M77" t="e">
        <f>SUM($L$3:L77)</f>
        <v>#REF!</v>
      </c>
      <c r="O77" t="e">
        <f>(Q76*'Arkusz1 (4)'!J77)-Q76</f>
        <v>#REF!</v>
      </c>
      <c r="P77" s="16" t="e">
        <f t="shared" si="15"/>
        <v>#REF!</v>
      </c>
      <c r="Q77" s="17" t="e">
        <f t="shared" si="16"/>
        <v>#REF!</v>
      </c>
    </row>
    <row r="78" spans="1:17" x14ac:dyDescent="0.35">
      <c r="A78">
        <v>76</v>
      </c>
      <c r="B78" s="14" t="e">
        <f t="shared" si="17"/>
        <v>#REF!</v>
      </c>
      <c r="C78" s="15" t="e">
        <f>(1+(#REF!)*('Arkusz1 (4)'!B78-'Arkusz1 (4)'!B77)/365)</f>
        <v>#REF!</v>
      </c>
      <c r="D78" s="15" t="e">
        <f>(1+(#REF!)*('Arkusz1 (4)'!B78-'Arkusz1 (4)'!B77)/366)</f>
        <v>#REF!</v>
      </c>
      <c r="E78" s="15" t="e">
        <f t="shared" si="9"/>
        <v>#REF!</v>
      </c>
      <c r="F78" s="15" t="e">
        <f t="shared" si="10"/>
        <v>#REF!</v>
      </c>
      <c r="G78" t="e">
        <f>IF(E78=1,(1+(#REF!)*((('Arkusz1 (4)'!B78-DATE(YEAR(B78),1,1)+1)/365)+((DATE(YEAR(B77),12,31)-'Arkusz1 (4)'!B77)/366))),IF(F78=1,(1+(#REF!)*((('Arkusz1 (4)'!B78-DATE(YEAR(B78),1,1)+1)/366)+((DATE(YEAR(B77),12,31)-'Arkusz1 (4)'!B77)/365))),0))</f>
        <v>#REF!</v>
      </c>
      <c r="H78" t="e">
        <f t="shared" si="11"/>
        <v>#REF!</v>
      </c>
      <c r="I78" t="e">
        <f t="shared" si="12"/>
        <v>#REF!</v>
      </c>
      <c r="J78" t="e">
        <f t="shared" si="13"/>
        <v>#REF!</v>
      </c>
      <c r="K78" t="e">
        <f>PRODUCT($J$3:J78)</f>
        <v>#REF!</v>
      </c>
      <c r="L78" t="e">
        <f t="shared" si="14"/>
        <v>#REF!</v>
      </c>
      <c r="M78" t="e">
        <f>SUM($L$3:L78)</f>
        <v>#REF!</v>
      </c>
      <c r="O78" t="e">
        <f>(Q77*'Arkusz1 (4)'!J78)-Q77</f>
        <v>#REF!</v>
      </c>
      <c r="P78" s="16" t="e">
        <f t="shared" si="15"/>
        <v>#REF!</v>
      </c>
      <c r="Q78" s="17" t="e">
        <f t="shared" si="16"/>
        <v>#REF!</v>
      </c>
    </row>
    <row r="79" spans="1:17" x14ac:dyDescent="0.35">
      <c r="A79">
        <v>77</v>
      </c>
      <c r="B79" s="14" t="e">
        <f t="shared" si="17"/>
        <v>#REF!</v>
      </c>
      <c r="C79" s="15" t="e">
        <f>(1+(#REF!)*('Arkusz1 (4)'!B79-'Arkusz1 (4)'!B78)/365)</f>
        <v>#REF!</v>
      </c>
      <c r="D79" s="15" t="e">
        <f>(1+(#REF!)*('Arkusz1 (4)'!B79-'Arkusz1 (4)'!B78)/366)</f>
        <v>#REF!</v>
      </c>
      <c r="E79" s="15" t="e">
        <f t="shared" si="9"/>
        <v>#REF!</v>
      </c>
      <c r="F79" s="15" t="e">
        <f t="shared" si="10"/>
        <v>#REF!</v>
      </c>
      <c r="G79" t="e">
        <f>IF(E79=1,(1+(#REF!)*((('Arkusz1 (4)'!B79-DATE(YEAR(B79),1,1)+1)/365)+((DATE(YEAR(B78),12,31)-'Arkusz1 (4)'!B78)/366))),IF(F79=1,(1+(#REF!)*((('Arkusz1 (4)'!B79-DATE(YEAR(B79),1,1)+1)/366)+((DATE(YEAR(B78),12,31)-'Arkusz1 (4)'!B78)/365))),0))</f>
        <v>#REF!</v>
      </c>
      <c r="H79" t="e">
        <f t="shared" si="11"/>
        <v>#REF!</v>
      </c>
      <c r="I79" t="e">
        <f t="shared" si="12"/>
        <v>#REF!</v>
      </c>
      <c r="J79" t="e">
        <f t="shared" si="13"/>
        <v>#REF!</v>
      </c>
      <c r="K79" t="e">
        <f>PRODUCT($J$3:J79)</f>
        <v>#REF!</v>
      </c>
      <c r="L79" t="e">
        <f t="shared" si="14"/>
        <v>#REF!</v>
      </c>
      <c r="M79" t="e">
        <f>SUM($L$3:L79)</f>
        <v>#REF!</v>
      </c>
      <c r="O79" t="e">
        <f>(Q78*'Arkusz1 (4)'!J79)-Q78</f>
        <v>#REF!</v>
      </c>
      <c r="P79" s="16" t="e">
        <f t="shared" si="15"/>
        <v>#REF!</v>
      </c>
      <c r="Q79" s="17" t="e">
        <f t="shared" si="16"/>
        <v>#REF!</v>
      </c>
    </row>
    <row r="80" spans="1:17" x14ac:dyDescent="0.35">
      <c r="A80">
        <v>78</v>
      </c>
      <c r="B80" s="14" t="e">
        <f t="shared" si="17"/>
        <v>#REF!</v>
      </c>
      <c r="C80" s="15" t="e">
        <f>(1+(#REF!)*('Arkusz1 (4)'!B80-'Arkusz1 (4)'!B79)/365)</f>
        <v>#REF!</v>
      </c>
      <c r="D80" s="15" t="e">
        <f>(1+(#REF!)*('Arkusz1 (4)'!B80-'Arkusz1 (4)'!B79)/366)</f>
        <v>#REF!</v>
      </c>
      <c r="E80" s="15" t="e">
        <f t="shared" si="9"/>
        <v>#REF!</v>
      </c>
      <c r="F80" s="15" t="e">
        <f t="shared" si="10"/>
        <v>#REF!</v>
      </c>
      <c r="G80" t="e">
        <f>IF(E80=1,(1+(#REF!)*((('Arkusz1 (4)'!B80-DATE(YEAR(B80),1,1)+1)/365)+((DATE(YEAR(B79),12,31)-'Arkusz1 (4)'!B79)/366))),IF(F80=1,(1+(#REF!)*((('Arkusz1 (4)'!B80-DATE(YEAR(B80),1,1)+1)/366)+((DATE(YEAR(B79),12,31)-'Arkusz1 (4)'!B79)/365))),0))</f>
        <v>#REF!</v>
      </c>
      <c r="H80" t="e">
        <f t="shared" si="11"/>
        <v>#REF!</v>
      </c>
      <c r="I80" t="e">
        <f t="shared" si="12"/>
        <v>#REF!</v>
      </c>
      <c r="J80" t="e">
        <f t="shared" si="13"/>
        <v>#REF!</v>
      </c>
      <c r="K80" t="e">
        <f>PRODUCT($J$3:J80)</f>
        <v>#REF!</v>
      </c>
      <c r="L80" t="e">
        <f t="shared" si="14"/>
        <v>#REF!</v>
      </c>
      <c r="M80" t="e">
        <f>SUM($L$3:L80)</f>
        <v>#REF!</v>
      </c>
      <c r="O80" t="e">
        <f>(Q79*'Arkusz1 (4)'!J80)-Q79</f>
        <v>#REF!</v>
      </c>
      <c r="P80" s="16" t="e">
        <f t="shared" si="15"/>
        <v>#REF!</v>
      </c>
      <c r="Q80" s="17" t="e">
        <f t="shared" si="16"/>
        <v>#REF!</v>
      </c>
    </row>
    <row r="81" spans="1:17" x14ac:dyDescent="0.35">
      <c r="A81">
        <v>79</v>
      </c>
      <c r="B81" s="14" t="e">
        <f t="shared" si="17"/>
        <v>#REF!</v>
      </c>
      <c r="C81" s="15" t="e">
        <f>(1+(#REF!)*('Arkusz1 (4)'!B81-'Arkusz1 (4)'!B80)/365)</f>
        <v>#REF!</v>
      </c>
      <c r="D81" s="15" t="e">
        <f>(1+(#REF!)*('Arkusz1 (4)'!B81-'Arkusz1 (4)'!B80)/366)</f>
        <v>#REF!</v>
      </c>
      <c r="E81" s="15" t="e">
        <f t="shared" si="9"/>
        <v>#REF!</v>
      </c>
      <c r="F81" s="15" t="e">
        <f t="shared" si="10"/>
        <v>#REF!</v>
      </c>
      <c r="G81" t="e">
        <f>IF(E81=1,(1+(#REF!)*((('Arkusz1 (4)'!B81-DATE(YEAR(B81),1,1)+1)/365)+((DATE(YEAR(B80),12,31)-'Arkusz1 (4)'!B80)/366))),IF(F81=1,(1+(#REF!)*((('Arkusz1 (4)'!B81-DATE(YEAR(B81),1,1)+1)/366)+((DATE(YEAR(B80),12,31)-'Arkusz1 (4)'!B80)/365))),0))</f>
        <v>#REF!</v>
      </c>
      <c r="H81" t="e">
        <f t="shared" si="11"/>
        <v>#REF!</v>
      </c>
      <c r="I81" t="e">
        <f t="shared" si="12"/>
        <v>#REF!</v>
      </c>
      <c r="J81" t="e">
        <f t="shared" si="13"/>
        <v>#REF!</v>
      </c>
      <c r="K81" t="e">
        <f>PRODUCT($J$3:J81)</f>
        <v>#REF!</v>
      </c>
      <c r="L81" t="e">
        <f t="shared" si="14"/>
        <v>#REF!</v>
      </c>
      <c r="M81" t="e">
        <f>SUM($L$3:L81)</f>
        <v>#REF!</v>
      </c>
      <c r="O81" t="e">
        <f>(Q80*'Arkusz1 (4)'!J81)-Q80</f>
        <v>#REF!</v>
      </c>
      <c r="P81" s="16" t="e">
        <f t="shared" si="15"/>
        <v>#REF!</v>
      </c>
      <c r="Q81" s="17" t="e">
        <f t="shared" si="16"/>
        <v>#REF!</v>
      </c>
    </row>
    <row r="82" spans="1:17" x14ac:dyDescent="0.35">
      <c r="A82">
        <v>80</v>
      </c>
      <c r="B82" s="14" t="e">
        <f t="shared" si="17"/>
        <v>#REF!</v>
      </c>
      <c r="C82" s="15" t="e">
        <f>(1+(#REF!)*('Arkusz1 (4)'!B82-'Arkusz1 (4)'!B81)/365)</f>
        <v>#REF!</v>
      </c>
      <c r="D82" s="15" t="e">
        <f>(1+(#REF!)*('Arkusz1 (4)'!B82-'Arkusz1 (4)'!B81)/366)</f>
        <v>#REF!</v>
      </c>
      <c r="E82" s="15" t="e">
        <f t="shared" si="9"/>
        <v>#REF!</v>
      </c>
      <c r="F82" s="15" t="e">
        <f t="shared" si="10"/>
        <v>#REF!</v>
      </c>
      <c r="G82" t="e">
        <f>IF(E82=1,(1+(#REF!)*((('Arkusz1 (4)'!B82-DATE(YEAR(B82),1,1)+1)/365)+((DATE(YEAR(B81),12,31)-'Arkusz1 (4)'!B81)/366))),IF(F82=1,(1+(#REF!)*((('Arkusz1 (4)'!B82-DATE(YEAR(B82),1,1)+1)/366)+((DATE(YEAR(B81),12,31)-'Arkusz1 (4)'!B81)/365))),0))</f>
        <v>#REF!</v>
      </c>
      <c r="H82" t="e">
        <f t="shared" si="11"/>
        <v>#REF!</v>
      </c>
      <c r="I82" t="e">
        <f t="shared" si="12"/>
        <v>#REF!</v>
      </c>
      <c r="J82" t="e">
        <f t="shared" si="13"/>
        <v>#REF!</v>
      </c>
      <c r="K82" t="e">
        <f>PRODUCT($J$3:J82)</f>
        <v>#REF!</v>
      </c>
      <c r="L82" t="e">
        <f t="shared" si="14"/>
        <v>#REF!</v>
      </c>
      <c r="M82" t="e">
        <f>SUM($L$3:L82)</f>
        <v>#REF!</v>
      </c>
      <c r="O82" t="e">
        <f>(Q81*'Arkusz1 (4)'!J82)-Q81</f>
        <v>#REF!</v>
      </c>
      <c r="P82" s="16" t="e">
        <f t="shared" si="15"/>
        <v>#REF!</v>
      </c>
      <c r="Q82" s="17" t="e">
        <f t="shared" si="16"/>
        <v>#REF!</v>
      </c>
    </row>
    <row r="83" spans="1:17" x14ac:dyDescent="0.35">
      <c r="A83">
        <v>81</v>
      </c>
      <c r="B83" s="14" t="e">
        <f t="shared" si="17"/>
        <v>#REF!</v>
      </c>
      <c r="C83" s="15" t="e">
        <f>(1+(#REF!)*('Arkusz1 (4)'!B83-'Arkusz1 (4)'!B82)/365)</f>
        <v>#REF!</v>
      </c>
      <c r="D83" s="15" t="e">
        <f>(1+(#REF!)*('Arkusz1 (4)'!B83-'Arkusz1 (4)'!B82)/366)</f>
        <v>#REF!</v>
      </c>
      <c r="E83" s="15" t="e">
        <f t="shared" si="9"/>
        <v>#REF!</v>
      </c>
      <c r="F83" s="15" t="e">
        <f t="shared" si="10"/>
        <v>#REF!</v>
      </c>
      <c r="G83" t="e">
        <f>IF(E83=1,(1+(#REF!)*((('Arkusz1 (4)'!B83-DATE(YEAR(B83),1,1)+1)/365)+((DATE(YEAR(B82),12,31)-'Arkusz1 (4)'!B82)/366))),IF(F83=1,(1+(#REF!)*((('Arkusz1 (4)'!B83-DATE(YEAR(B83),1,1)+1)/366)+((DATE(YEAR(B82),12,31)-'Arkusz1 (4)'!B82)/365))),0))</f>
        <v>#REF!</v>
      </c>
      <c r="H83" t="e">
        <f t="shared" si="11"/>
        <v>#REF!</v>
      </c>
      <c r="I83" t="e">
        <f t="shared" si="12"/>
        <v>#REF!</v>
      </c>
      <c r="J83" t="e">
        <f t="shared" si="13"/>
        <v>#REF!</v>
      </c>
      <c r="K83" t="e">
        <f>PRODUCT($J$3:J83)</f>
        <v>#REF!</v>
      </c>
      <c r="L83" t="e">
        <f t="shared" si="14"/>
        <v>#REF!</v>
      </c>
      <c r="M83" t="e">
        <f>SUM($L$3:L83)</f>
        <v>#REF!</v>
      </c>
      <c r="O83" t="e">
        <f>(Q82*'Arkusz1 (4)'!J83)-Q82</f>
        <v>#REF!</v>
      </c>
      <c r="P83" s="16" t="e">
        <f t="shared" si="15"/>
        <v>#REF!</v>
      </c>
      <c r="Q83" s="17" t="e">
        <f t="shared" si="16"/>
        <v>#REF!</v>
      </c>
    </row>
    <row r="84" spans="1:17" x14ac:dyDescent="0.35">
      <c r="A84">
        <v>82</v>
      </c>
      <c r="B84" s="14" t="e">
        <f t="shared" si="17"/>
        <v>#REF!</v>
      </c>
      <c r="C84" s="15" t="e">
        <f>(1+(#REF!)*('Arkusz1 (4)'!B84-'Arkusz1 (4)'!B83)/365)</f>
        <v>#REF!</v>
      </c>
      <c r="D84" s="15" t="e">
        <f>(1+(#REF!)*('Arkusz1 (4)'!B84-'Arkusz1 (4)'!B83)/366)</f>
        <v>#REF!</v>
      </c>
      <c r="E84" s="15" t="e">
        <f t="shared" si="9"/>
        <v>#REF!</v>
      </c>
      <c r="F84" s="15" t="e">
        <f t="shared" si="10"/>
        <v>#REF!</v>
      </c>
      <c r="G84" t="e">
        <f>IF(E84=1,(1+(#REF!)*((('Arkusz1 (4)'!B84-DATE(YEAR(B84),1,1)+1)/365)+((DATE(YEAR(B83),12,31)-'Arkusz1 (4)'!B83)/366))),IF(F84=1,(1+(#REF!)*((('Arkusz1 (4)'!B84-DATE(YEAR(B84),1,1)+1)/366)+((DATE(YEAR(B83),12,31)-'Arkusz1 (4)'!B83)/365))),0))</f>
        <v>#REF!</v>
      </c>
      <c r="H84" t="e">
        <f t="shared" si="11"/>
        <v>#REF!</v>
      </c>
      <c r="I84" t="e">
        <f t="shared" si="12"/>
        <v>#REF!</v>
      </c>
      <c r="J84" t="e">
        <f t="shared" si="13"/>
        <v>#REF!</v>
      </c>
      <c r="K84" t="e">
        <f>PRODUCT($J$3:J84)</f>
        <v>#REF!</v>
      </c>
      <c r="L84" t="e">
        <f t="shared" si="14"/>
        <v>#REF!</v>
      </c>
      <c r="M84" t="e">
        <f>SUM($L$3:L84)</f>
        <v>#REF!</v>
      </c>
      <c r="O84" t="e">
        <f>(Q83*'Arkusz1 (4)'!J84)-Q83</f>
        <v>#REF!</v>
      </c>
      <c r="P84" s="16" t="e">
        <f t="shared" si="15"/>
        <v>#REF!</v>
      </c>
      <c r="Q84" s="17" t="e">
        <f t="shared" si="16"/>
        <v>#REF!</v>
      </c>
    </row>
    <row r="85" spans="1:17" x14ac:dyDescent="0.35">
      <c r="A85">
        <v>83</v>
      </c>
      <c r="B85" s="14" t="e">
        <f t="shared" si="17"/>
        <v>#REF!</v>
      </c>
      <c r="C85" s="15" t="e">
        <f>(1+(#REF!)*('Arkusz1 (4)'!B85-'Arkusz1 (4)'!B84)/365)</f>
        <v>#REF!</v>
      </c>
      <c r="D85" s="15" t="e">
        <f>(1+(#REF!)*('Arkusz1 (4)'!B85-'Arkusz1 (4)'!B84)/366)</f>
        <v>#REF!</v>
      </c>
      <c r="E85" s="15" t="e">
        <f t="shared" si="9"/>
        <v>#REF!</v>
      </c>
      <c r="F85" s="15" t="e">
        <f t="shared" si="10"/>
        <v>#REF!</v>
      </c>
      <c r="G85" t="e">
        <f>IF(E85=1,(1+(#REF!)*((('Arkusz1 (4)'!B85-DATE(YEAR(B85),1,1)+1)/365)+((DATE(YEAR(B84),12,31)-'Arkusz1 (4)'!B84)/366))),IF(F85=1,(1+(#REF!)*((('Arkusz1 (4)'!B85-DATE(YEAR(B85),1,1)+1)/366)+((DATE(YEAR(B84),12,31)-'Arkusz1 (4)'!B84)/365))),0))</f>
        <v>#REF!</v>
      </c>
      <c r="H85" t="e">
        <f t="shared" si="11"/>
        <v>#REF!</v>
      </c>
      <c r="I85" t="e">
        <f t="shared" si="12"/>
        <v>#REF!</v>
      </c>
      <c r="J85" t="e">
        <f t="shared" si="13"/>
        <v>#REF!</v>
      </c>
      <c r="K85" t="e">
        <f>PRODUCT($J$3:J85)</f>
        <v>#REF!</v>
      </c>
      <c r="L85" t="e">
        <f t="shared" si="14"/>
        <v>#REF!</v>
      </c>
      <c r="M85" t="e">
        <f>SUM($L$3:L85)</f>
        <v>#REF!</v>
      </c>
      <c r="O85" t="e">
        <f>(Q84*'Arkusz1 (4)'!J85)-Q84</f>
        <v>#REF!</v>
      </c>
      <c r="P85" s="16" t="e">
        <f t="shared" si="15"/>
        <v>#REF!</v>
      </c>
      <c r="Q85" s="17" t="e">
        <f t="shared" si="16"/>
        <v>#REF!</v>
      </c>
    </row>
    <row r="86" spans="1:17" x14ac:dyDescent="0.35">
      <c r="A86">
        <v>84</v>
      </c>
      <c r="B86" s="14" t="e">
        <f t="shared" si="17"/>
        <v>#REF!</v>
      </c>
      <c r="C86" s="15" t="e">
        <f>(1+(#REF!)*('Arkusz1 (4)'!B86-'Arkusz1 (4)'!B85)/365)</f>
        <v>#REF!</v>
      </c>
      <c r="D86" s="15" t="e">
        <f>(1+(#REF!)*('Arkusz1 (4)'!B86-'Arkusz1 (4)'!B85)/366)</f>
        <v>#REF!</v>
      </c>
      <c r="E86" s="15" t="e">
        <f t="shared" si="9"/>
        <v>#REF!</v>
      </c>
      <c r="F86" s="15" t="e">
        <f t="shared" si="10"/>
        <v>#REF!</v>
      </c>
      <c r="G86" t="e">
        <f>IF(E86=1,(1+(#REF!)*((('Arkusz1 (4)'!B86-DATE(YEAR(B86),1,1)+1)/365)+((DATE(YEAR(B85),12,31)-'Arkusz1 (4)'!B85)/366))),IF(F86=1,(1+(#REF!)*((('Arkusz1 (4)'!B86-DATE(YEAR(B86),1,1)+1)/366)+((DATE(YEAR(B85),12,31)-'Arkusz1 (4)'!B85)/365))),0))</f>
        <v>#REF!</v>
      </c>
      <c r="H86" t="e">
        <f t="shared" si="11"/>
        <v>#REF!</v>
      </c>
      <c r="I86" t="e">
        <f t="shared" si="12"/>
        <v>#REF!</v>
      </c>
      <c r="J86" t="e">
        <f t="shared" si="13"/>
        <v>#REF!</v>
      </c>
      <c r="K86" t="e">
        <f>PRODUCT($J$3:J86)</f>
        <v>#REF!</v>
      </c>
      <c r="L86" t="e">
        <f t="shared" si="14"/>
        <v>#REF!</v>
      </c>
      <c r="M86" t="e">
        <f>SUM($L$3:L86)</f>
        <v>#REF!</v>
      </c>
      <c r="O86" t="e">
        <f>(Q85*'Arkusz1 (4)'!J86)-Q85</f>
        <v>#REF!</v>
      </c>
      <c r="P86" s="16" t="e">
        <f t="shared" si="15"/>
        <v>#REF!</v>
      </c>
      <c r="Q86" s="17" t="e">
        <f t="shared" si="16"/>
        <v>#REF!</v>
      </c>
    </row>
    <row r="87" spans="1:17" x14ac:dyDescent="0.35">
      <c r="A87">
        <v>85</v>
      </c>
      <c r="B87" s="14" t="e">
        <f t="shared" si="17"/>
        <v>#REF!</v>
      </c>
      <c r="C87" s="15" t="e">
        <f>(1+(#REF!)*('Arkusz1 (4)'!B87-'Arkusz1 (4)'!B86)/365)</f>
        <v>#REF!</v>
      </c>
      <c r="D87" s="15" t="e">
        <f>(1+(#REF!)*('Arkusz1 (4)'!B87-'Arkusz1 (4)'!B86)/366)</f>
        <v>#REF!</v>
      </c>
      <c r="E87" s="15" t="e">
        <f t="shared" si="9"/>
        <v>#REF!</v>
      </c>
      <c r="F87" s="15" t="e">
        <f t="shared" si="10"/>
        <v>#REF!</v>
      </c>
      <c r="G87" t="e">
        <f>IF(E87=1,(1+(#REF!)*((('Arkusz1 (4)'!B87-DATE(YEAR(B87),1,1)+1)/365)+((DATE(YEAR(B86),12,31)-'Arkusz1 (4)'!B86)/366))),IF(F87=1,(1+(#REF!)*((('Arkusz1 (4)'!B87-DATE(YEAR(B87),1,1)+1)/366)+((DATE(YEAR(B86),12,31)-'Arkusz1 (4)'!B86)/365))),0))</f>
        <v>#REF!</v>
      </c>
      <c r="H87" t="e">
        <f t="shared" si="11"/>
        <v>#REF!</v>
      </c>
      <c r="I87" t="e">
        <f t="shared" si="12"/>
        <v>#REF!</v>
      </c>
      <c r="J87" t="e">
        <f t="shared" si="13"/>
        <v>#REF!</v>
      </c>
      <c r="K87" t="e">
        <f>PRODUCT($J$3:J87)</f>
        <v>#REF!</v>
      </c>
      <c r="L87" t="e">
        <f t="shared" si="14"/>
        <v>#REF!</v>
      </c>
      <c r="M87" t="e">
        <f>SUM($L$3:L87)</f>
        <v>#REF!</v>
      </c>
      <c r="O87" t="e">
        <f>(Q86*'Arkusz1 (4)'!J87)-Q86</f>
        <v>#REF!</v>
      </c>
      <c r="P87" s="16" t="e">
        <f t="shared" si="15"/>
        <v>#REF!</v>
      </c>
      <c r="Q87" s="17" t="e">
        <f t="shared" si="16"/>
        <v>#REF!</v>
      </c>
    </row>
    <row r="88" spans="1:17" x14ac:dyDescent="0.35">
      <c r="A88">
        <v>86</v>
      </c>
      <c r="B88" s="14" t="e">
        <f t="shared" si="17"/>
        <v>#REF!</v>
      </c>
      <c r="C88" s="15" t="e">
        <f>(1+(#REF!)*('Arkusz1 (4)'!B88-'Arkusz1 (4)'!B87)/365)</f>
        <v>#REF!</v>
      </c>
      <c r="D88" s="15" t="e">
        <f>(1+(#REF!)*('Arkusz1 (4)'!B88-'Arkusz1 (4)'!B87)/366)</f>
        <v>#REF!</v>
      </c>
      <c r="E88" s="15" t="e">
        <f t="shared" si="9"/>
        <v>#REF!</v>
      </c>
      <c r="F88" s="15" t="e">
        <f t="shared" si="10"/>
        <v>#REF!</v>
      </c>
      <c r="G88" t="e">
        <f>IF(E88=1,(1+(#REF!)*((('Arkusz1 (4)'!B88-DATE(YEAR(B88),1,1)+1)/365)+((DATE(YEAR(B87),12,31)-'Arkusz1 (4)'!B87)/366))),IF(F88=1,(1+(#REF!)*((('Arkusz1 (4)'!B88-DATE(YEAR(B88),1,1)+1)/366)+((DATE(YEAR(B87),12,31)-'Arkusz1 (4)'!B87)/365))),0))</f>
        <v>#REF!</v>
      </c>
      <c r="H88" t="e">
        <f t="shared" si="11"/>
        <v>#REF!</v>
      </c>
      <c r="I88" t="e">
        <f t="shared" si="12"/>
        <v>#REF!</v>
      </c>
      <c r="J88" t="e">
        <f t="shared" si="13"/>
        <v>#REF!</v>
      </c>
      <c r="K88" t="e">
        <f>PRODUCT($J$3:J88)</f>
        <v>#REF!</v>
      </c>
      <c r="L88" t="e">
        <f t="shared" si="14"/>
        <v>#REF!</v>
      </c>
      <c r="M88" t="e">
        <f>SUM($L$3:L88)</f>
        <v>#REF!</v>
      </c>
      <c r="O88" t="e">
        <f>(Q87*'Arkusz1 (4)'!J88)-Q87</f>
        <v>#REF!</v>
      </c>
      <c r="P88" s="16" t="e">
        <f t="shared" si="15"/>
        <v>#REF!</v>
      </c>
      <c r="Q88" s="17" t="e">
        <f t="shared" si="16"/>
        <v>#REF!</v>
      </c>
    </row>
    <row r="89" spans="1:17" x14ac:dyDescent="0.35">
      <c r="A89">
        <v>87</v>
      </c>
      <c r="B89" s="14" t="e">
        <f t="shared" si="17"/>
        <v>#REF!</v>
      </c>
      <c r="C89" s="15" t="e">
        <f>(1+(#REF!)*('Arkusz1 (4)'!B89-'Arkusz1 (4)'!B88)/365)</f>
        <v>#REF!</v>
      </c>
      <c r="D89" s="15" t="e">
        <f>(1+(#REF!)*('Arkusz1 (4)'!B89-'Arkusz1 (4)'!B88)/366)</f>
        <v>#REF!</v>
      </c>
      <c r="E89" s="15" t="e">
        <f t="shared" si="9"/>
        <v>#REF!</v>
      </c>
      <c r="F89" s="15" t="e">
        <f t="shared" si="10"/>
        <v>#REF!</v>
      </c>
      <c r="G89" t="e">
        <f>IF(E89=1,(1+(#REF!)*((('Arkusz1 (4)'!B89-DATE(YEAR(B89),1,1)+1)/365)+((DATE(YEAR(B88),12,31)-'Arkusz1 (4)'!B88)/366))),IF(F89=1,(1+(#REF!)*((('Arkusz1 (4)'!B89-DATE(YEAR(B89),1,1)+1)/366)+((DATE(YEAR(B88),12,31)-'Arkusz1 (4)'!B88)/365))),0))</f>
        <v>#REF!</v>
      </c>
      <c r="H89" t="e">
        <f t="shared" si="11"/>
        <v>#REF!</v>
      </c>
      <c r="I89" t="e">
        <f t="shared" si="12"/>
        <v>#REF!</v>
      </c>
      <c r="J89" t="e">
        <f t="shared" si="13"/>
        <v>#REF!</v>
      </c>
      <c r="K89" t="e">
        <f>PRODUCT($J$3:J89)</f>
        <v>#REF!</v>
      </c>
      <c r="L89" t="e">
        <f t="shared" si="14"/>
        <v>#REF!</v>
      </c>
      <c r="M89" t="e">
        <f>SUM($L$3:L89)</f>
        <v>#REF!</v>
      </c>
      <c r="O89" t="e">
        <f>(Q88*'Arkusz1 (4)'!J89)-Q88</f>
        <v>#REF!</v>
      </c>
      <c r="P89" s="16" t="e">
        <f t="shared" si="15"/>
        <v>#REF!</v>
      </c>
      <c r="Q89" s="17" t="e">
        <f t="shared" si="16"/>
        <v>#REF!</v>
      </c>
    </row>
    <row r="90" spans="1:17" x14ac:dyDescent="0.35">
      <c r="A90">
        <v>88</v>
      </c>
      <c r="B90" s="14" t="e">
        <f t="shared" si="17"/>
        <v>#REF!</v>
      </c>
      <c r="C90" s="15" t="e">
        <f>(1+(#REF!)*('Arkusz1 (4)'!B90-'Arkusz1 (4)'!B89)/365)</f>
        <v>#REF!</v>
      </c>
      <c r="D90" s="15" t="e">
        <f>(1+(#REF!)*('Arkusz1 (4)'!B90-'Arkusz1 (4)'!B89)/366)</f>
        <v>#REF!</v>
      </c>
      <c r="E90" s="15" t="e">
        <f t="shared" si="9"/>
        <v>#REF!</v>
      </c>
      <c r="F90" s="15" t="e">
        <f t="shared" si="10"/>
        <v>#REF!</v>
      </c>
      <c r="G90" t="e">
        <f>IF(E90=1,(1+(#REF!)*((('Arkusz1 (4)'!B90-DATE(YEAR(B90),1,1)+1)/365)+((DATE(YEAR(B89),12,31)-'Arkusz1 (4)'!B89)/366))),IF(F90=1,(1+(#REF!)*((('Arkusz1 (4)'!B90-DATE(YEAR(B90),1,1)+1)/366)+((DATE(YEAR(B89),12,31)-'Arkusz1 (4)'!B89)/365))),0))</f>
        <v>#REF!</v>
      </c>
      <c r="H90" t="e">
        <f t="shared" si="11"/>
        <v>#REF!</v>
      </c>
      <c r="I90" t="e">
        <f t="shared" si="12"/>
        <v>#REF!</v>
      </c>
      <c r="J90" t="e">
        <f t="shared" si="13"/>
        <v>#REF!</v>
      </c>
      <c r="K90" t="e">
        <f>PRODUCT($J$3:J90)</f>
        <v>#REF!</v>
      </c>
      <c r="L90" t="e">
        <f t="shared" si="14"/>
        <v>#REF!</v>
      </c>
      <c r="M90" t="e">
        <f>SUM($L$3:L90)</f>
        <v>#REF!</v>
      </c>
      <c r="O90" t="e">
        <f>(Q89*'Arkusz1 (4)'!J90)-Q89</f>
        <v>#REF!</v>
      </c>
      <c r="P90" s="16" t="e">
        <f t="shared" si="15"/>
        <v>#REF!</v>
      </c>
      <c r="Q90" s="17" t="e">
        <f t="shared" si="16"/>
        <v>#REF!</v>
      </c>
    </row>
    <row r="91" spans="1:17" x14ac:dyDescent="0.35">
      <c r="A91">
        <v>89</v>
      </c>
      <c r="B91" s="14" t="e">
        <f t="shared" si="17"/>
        <v>#REF!</v>
      </c>
      <c r="C91" s="15" t="e">
        <f>(1+(#REF!)*('Arkusz1 (4)'!B91-'Arkusz1 (4)'!B90)/365)</f>
        <v>#REF!</v>
      </c>
      <c r="D91" s="15" t="e">
        <f>(1+(#REF!)*('Arkusz1 (4)'!B91-'Arkusz1 (4)'!B90)/366)</f>
        <v>#REF!</v>
      </c>
      <c r="E91" s="15" t="e">
        <f t="shared" si="9"/>
        <v>#REF!</v>
      </c>
      <c r="F91" s="15" t="e">
        <f t="shared" si="10"/>
        <v>#REF!</v>
      </c>
      <c r="G91" t="e">
        <f>IF(E91=1,(1+(#REF!)*((('Arkusz1 (4)'!B91-DATE(YEAR(B91),1,1)+1)/365)+((DATE(YEAR(B90),12,31)-'Arkusz1 (4)'!B90)/366))),IF(F91=1,(1+(#REF!)*((('Arkusz1 (4)'!B91-DATE(YEAR(B91),1,1)+1)/366)+((DATE(YEAR(B90),12,31)-'Arkusz1 (4)'!B90)/365))),0))</f>
        <v>#REF!</v>
      </c>
      <c r="H91" t="e">
        <f t="shared" si="11"/>
        <v>#REF!</v>
      </c>
      <c r="I91" t="e">
        <f t="shared" si="12"/>
        <v>#REF!</v>
      </c>
      <c r="J91" t="e">
        <f t="shared" si="13"/>
        <v>#REF!</v>
      </c>
      <c r="K91" t="e">
        <f>PRODUCT($J$3:J91)</f>
        <v>#REF!</v>
      </c>
      <c r="L91" t="e">
        <f t="shared" si="14"/>
        <v>#REF!</v>
      </c>
      <c r="M91" t="e">
        <f>SUM($L$3:L91)</f>
        <v>#REF!</v>
      </c>
      <c r="O91" t="e">
        <f>(Q90*'Arkusz1 (4)'!J91)-Q90</f>
        <v>#REF!</v>
      </c>
      <c r="P91" s="16" t="e">
        <f t="shared" si="15"/>
        <v>#REF!</v>
      </c>
      <c r="Q91" s="17" t="e">
        <f t="shared" si="16"/>
        <v>#REF!</v>
      </c>
    </row>
    <row r="92" spans="1:17" x14ac:dyDescent="0.35">
      <c r="A92">
        <v>90</v>
      </c>
      <c r="B92" s="14" t="e">
        <f t="shared" si="17"/>
        <v>#REF!</v>
      </c>
      <c r="C92" s="15" t="e">
        <f>(1+(#REF!)*('Arkusz1 (4)'!B92-'Arkusz1 (4)'!B91)/365)</f>
        <v>#REF!</v>
      </c>
      <c r="D92" s="15" t="e">
        <f>(1+(#REF!)*('Arkusz1 (4)'!B92-'Arkusz1 (4)'!B91)/366)</f>
        <v>#REF!</v>
      </c>
      <c r="E92" s="15" t="e">
        <f t="shared" si="9"/>
        <v>#REF!</v>
      </c>
      <c r="F92" s="15" t="e">
        <f t="shared" si="10"/>
        <v>#REF!</v>
      </c>
      <c r="G92" t="e">
        <f>IF(E92=1,(1+(#REF!)*((('Arkusz1 (4)'!B92-DATE(YEAR(B92),1,1)+1)/365)+((DATE(YEAR(B91),12,31)-'Arkusz1 (4)'!B91)/366))),IF(F92=1,(1+(#REF!)*((('Arkusz1 (4)'!B92-DATE(YEAR(B92),1,1)+1)/366)+((DATE(YEAR(B91),12,31)-'Arkusz1 (4)'!B91)/365))),0))</f>
        <v>#REF!</v>
      </c>
      <c r="H92" t="e">
        <f t="shared" si="11"/>
        <v>#REF!</v>
      </c>
      <c r="I92" t="e">
        <f t="shared" si="12"/>
        <v>#REF!</v>
      </c>
      <c r="J92" t="e">
        <f t="shared" si="13"/>
        <v>#REF!</v>
      </c>
      <c r="K92" t="e">
        <f>PRODUCT($J$3:J92)</f>
        <v>#REF!</v>
      </c>
      <c r="L92" t="e">
        <f t="shared" si="14"/>
        <v>#REF!</v>
      </c>
      <c r="M92" t="e">
        <f>SUM($L$3:L92)</f>
        <v>#REF!</v>
      </c>
      <c r="O92" t="e">
        <f>(Q91*'Arkusz1 (4)'!J92)-Q91</f>
        <v>#REF!</v>
      </c>
      <c r="P92" s="16" t="e">
        <f t="shared" si="15"/>
        <v>#REF!</v>
      </c>
      <c r="Q92" s="17" t="e">
        <f t="shared" si="16"/>
        <v>#REF!</v>
      </c>
    </row>
    <row r="93" spans="1:17" x14ac:dyDescent="0.35">
      <c r="A93">
        <v>91</v>
      </c>
      <c r="B93" s="14" t="e">
        <f t="shared" si="17"/>
        <v>#REF!</v>
      </c>
      <c r="C93" s="15" t="e">
        <f>(1+(#REF!)*('Arkusz1 (4)'!B93-'Arkusz1 (4)'!B92)/365)</f>
        <v>#REF!</v>
      </c>
      <c r="D93" s="15" t="e">
        <f>(1+(#REF!)*('Arkusz1 (4)'!B93-'Arkusz1 (4)'!B92)/366)</f>
        <v>#REF!</v>
      </c>
      <c r="E93" s="15" t="e">
        <f t="shared" si="9"/>
        <v>#REF!</v>
      </c>
      <c r="F93" s="15" t="e">
        <f t="shared" si="10"/>
        <v>#REF!</v>
      </c>
      <c r="G93" t="e">
        <f>IF(E93=1,(1+(#REF!)*((('Arkusz1 (4)'!B93-DATE(YEAR(B93),1,1)+1)/365)+((DATE(YEAR(B92),12,31)-'Arkusz1 (4)'!B92)/366))),IF(F93=1,(1+(#REF!)*((('Arkusz1 (4)'!B93-DATE(YEAR(B93),1,1)+1)/366)+((DATE(YEAR(B92),12,31)-'Arkusz1 (4)'!B92)/365))),0))</f>
        <v>#REF!</v>
      </c>
      <c r="H93" t="e">
        <f t="shared" si="11"/>
        <v>#REF!</v>
      </c>
      <c r="I93" t="e">
        <f t="shared" si="12"/>
        <v>#REF!</v>
      </c>
      <c r="J93" t="e">
        <f t="shared" si="13"/>
        <v>#REF!</v>
      </c>
      <c r="K93" t="e">
        <f>PRODUCT($J$3:J93)</f>
        <v>#REF!</v>
      </c>
      <c r="L93" t="e">
        <f t="shared" si="14"/>
        <v>#REF!</v>
      </c>
      <c r="M93" t="e">
        <f>SUM($L$3:L93)</f>
        <v>#REF!</v>
      </c>
      <c r="O93" t="e">
        <f>(Q92*'Arkusz1 (4)'!J93)-Q92</f>
        <v>#REF!</v>
      </c>
      <c r="P93" s="16" t="e">
        <f t="shared" si="15"/>
        <v>#REF!</v>
      </c>
      <c r="Q93" s="17" t="e">
        <f t="shared" si="16"/>
        <v>#REF!</v>
      </c>
    </row>
    <row r="94" spans="1:17" x14ac:dyDescent="0.35">
      <c r="A94">
        <v>92</v>
      </c>
      <c r="B94" s="14" t="e">
        <f t="shared" si="17"/>
        <v>#REF!</v>
      </c>
      <c r="C94" s="15" t="e">
        <f>(1+(#REF!)*('Arkusz1 (4)'!B94-'Arkusz1 (4)'!B93)/365)</f>
        <v>#REF!</v>
      </c>
      <c r="D94" s="15" t="e">
        <f>(1+(#REF!)*('Arkusz1 (4)'!B94-'Arkusz1 (4)'!B93)/366)</f>
        <v>#REF!</v>
      </c>
      <c r="E94" s="15" t="e">
        <f t="shared" si="9"/>
        <v>#REF!</v>
      </c>
      <c r="F94" s="15" t="e">
        <f t="shared" si="10"/>
        <v>#REF!</v>
      </c>
      <c r="G94" t="e">
        <f>IF(E94=1,(1+(#REF!)*((('Arkusz1 (4)'!B94-DATE(YEAR(B94),1,1)+1)/365)+((DATE(YEAR(B93),12,31)-'Arkusz1 (4)'!B93)/366))),IF(F94=1,(1+(#REF!)*((('Arkusz1 (4)'!B94-DATE(YEAR(B94),1,1)+1)/366)+((DATE(YEAR(B93),12,31)-'Arkusz1 (4)'!B93)/365))),0))</f>
        <v>#REF!</v>
      </c>
      <c r="H94" t="e">
        <f t="shared" si="11"/>
        <v>#REF!</v>
      </c>
      <c r="I94" t="e">
        <f t="shared" si="12"/>
        <v>#REF!</v>
      </c>
      <c r="J94" t="e">
        <f t="shared" si="13"/>
        <v>#REF!</v>
      </c>
      <c r="K94" t="e">
        <f>PRODUCT($J$3:J94)</f>
        <v>#REF!</v>
      </c>
      <c r="L94" t="e">
        <f t="shared" si="14"/>
        <v>#REF!</v>
      </c>
      <c r="M94" t="e">
        <f>SUM($L$3:L94)</f>
        <v>#REF!</v>
      </c>
      <c r="O94" t="e">
        <f>(Q93*'Arkusz1 (4)'!J94)-Q93</f>
        <v>#REF!</v>
      </c>
      <c r="P94" s="16" t="e">
        <f t="shared" si="15"/>
        <v>#REF!</v>
      </c>
      <c r="Q94" s="17" t="e">
        <f t="shared" si="16"/>
        <v>#REF!</v>
      </c>
    </row>
    <row r="95" spans="1:17" x14ac:dyDescent="0.35">
      <c r="A95">
        <v>93</v>
      </c>
      <c r="B95" s="14" t="e">
        <f t="shared" si="17"/>
        <v>#REF!</v>
      </c>
      <c r="C95" s="15" t="e">
        <f>(1+(#REF!)*('Arkusz1 (4)'!B95-'Arkusz1 (4)'!B94)/365)</f>
        <v>#REF!</v>
      </c>
      <c r="D95" s="15" t="e">
        <f>(1+(#REF!)*('Arkusz1 (4)'!B95-'Arkusz1 (4)'!B94)/366)</f>
        <v>#REF!</v>
      </c>
      <c r="E95" s="15" t="e">
        <f t="shared" si="9"/>
        <v>#REF!</v>
      </c>
      <c r="F95" s="15" t="e">
        <f t="shared" si="10"/>
        <v>#REF!</v>
      </c>
      <c r="G95" t="e">
        <f>IF(E95=1,(1+(#REF!)*((('Arkusz1 (4)'!B95-DATE(YEAR(B95),1,1)+1)/365)+((DATE(YEAR(B94),12,31)-'Arkusz1 (4)'!B94)/366))),IF(F95=1,(1+(#REF!)*((('Arkusz1 (4)'!B95-DATE(YEAR(B95),1,1)+1)/366)+((DATE(YEAR(B94),12,31)-'Arkusz1 (4)'!B94)/365))),0))</f>
        <v>#REF!</v>
      </c>
      <c r="H95" t="e">
        <f t="shared" si="11"/>
        <v>#REF!</v>
      </c>
      <c r="I95" t="e">
        <f t="shared" si="12"/>
        <v>#REF!</v>
      </c>
      <c r="J95" t="e">
        <f t="shared" si="13"/>
        <v>#REF!</v>
      </c>
      <c r="K95" t="e">
        <f>PRODUCT($J$3:J95)</f>
        <v>#REF!</v>
      </c>
      <c r="L95" t="e">
        <f t="shared" si="14"/>
        <v>#REF!</v>
      </c>
      <c r="M95" t="e">
        <f>SUM($L$3:L95)</f>
        <v>#REF!</v>
      </c>
      <c r="O95" t="e">
        <f>(Q94*'Arkusz1 (4)'!J95)-Q94</f>
        <v>#REF!</v>
      </c>
      <c r="P95" s="16" t="e">
        <f t="shared" si="15"/>
        <v>#REF!</v>
      </c>
      <c r="Q95" s="17" t="e">
        <f t="shared" si="16"/>
        <v>#REF!</v>
      </c>
    </row>
    <row r="96" spans="1:17" x14ac:dyDescent="0.35">
      <c r="A96">
        <v>94</v>
      </c>
      <c r="B96" s="14" t="e">
        <f t="shared" si="17"/>
        <v>#REF!</v>
      </c>
      <c r="C96" s="15" t="e">
        <f>(1+(#REF!)*('Arkusz1 (4)'!B96-'Arkusz1 (4)'!B95)/365)</f>
        <v>#REF!</v>
      </c>
      <c r="D96" s="15" t="e">
        <f>(1+(#REF!)*('Arkusz1 (4)'!B96-'Arkusz1 (4)'!B95)/366)</f>
        <v>#REF!</v>
      </c>
      <c r="E96" s="15" t="e">
        <f t="shared" si="9"/>
        <v>#REF!</v>
      </c>
      <c r="F96" s="15" t="e">
        <f t="shared" si="10"/>
        <v>#REF!</v>
      </c>
      <c r="G96" t="e">
        <f>IF(E96=1,(1+(#REF!)*((('Arkusz1 (4)'!B96-DATE(YEAR(B96),1,1)+1)/365)+((DATE(YEAR(B95),12,31)-'Arkusz1 (4)'!B95)/366))),IF(F96=1,(1+(#REF!)*((('Arkusz1 (4)'!B96-DATE(YEAR(B96),1,1)+1)/366)+((DATE(YEAR(B95),12,31)-'Arkusz1 (4)'!B95)/365))),0))</f>
        <v>#REF!</v>
      </c>
      <c r="H96" t="e">
        <f t="shared" si="11"/>
        <v>#REF!</v>
      </c>
      <c r="I96" t="e">
        <f t="shared" si="12"/>
        <v>#REF!</v>
      </c>
      <c r="J96" t="e">
        <f t="shared" si="13"/>
        <v>#REF!</v>
      </c>
      <c r="K96" t="e">
        <f>PRODUCT($J$3:J96)</f>
        <v>#REF!</v>
      </c>
      <c r="L96" t="e">
        <f t="shared" si="14"/>
        <v>#REF!</v>
      </c>
      <c r="M96" t="e">
        <f>SUM($L$3:L96)</f>
        <v>#REF!</v>
      </c>
      <c r="O96" t="e">
        <f>(Q95*'Arkusz1 (4)'!J96)-Q95</f>
        <v>#REF!</v>
      </c>
      <c r="P96" s="16" t="e">
        <f t="shared" si="15"/>
        <v>#REF!</v>
      </c>
      <c r="Q96" s="17" t="e">
        <f t="shared" si="16"/>
        <v>#REF!</v>
      </c>
    </row>
    <row r="97" spans="1:17" x14ac:dyDescent="0.35">
      <c r="A97">
        <v>95</v>
      </c>
      <c r="B97" s="14" t="e">
        <f t="shared" si="17"/>
        <v>#REF!</v>
      </c>
      <c r="C97" s="15" t="e">
        <f>(1+(#REF!)*('Arkusz1 (4)'!B97-'Arkusz1 (4)'!B96)/365)</f>
        <v>#REF!</v>
      </c>
      <c r="D97" s="15" t="e">
        <f>(1+(#REF!)*('Arkusz1 (4)'!B97-'Arkusz1 (4)'!B96)/366)</f>
        <v>#REF!</v>
      </c>
      <c r="E97" s="15" t="e">
        <f t="shared" si="9"/>
        <v>#REF!</v>
      </c>
      <c r="F97" s="15" t="e">
        <f t="shared" si="10"/>
        <v>#REF!</v>
      </c>
      <c r="G97" t="e">
        <f>IF(E97=1,(1+(#REF!)*((('Arkusz1 (4)'!B97-DATE(YEAR(B97),1,1)+1)/365)+((DATE(YEAR(B96),12,31)-'Arkusz1 (4)'!B96)/366))),IF(F97=1,(1+(#REF!)*((('Arkusz1 (4)'!B97-DATE(YEAR(B97),1,1)+1)/366)+((DATE(YEAR(B96),12,31)-'Arkusz1 (4)'!B96)/365))),0))</f>
        <v>#REF!</v>
      </c>
      <c r="H97" t="e">
        <f t="shared" si="11"/>
        <v>#REF!</v>
      </c>
      <c r="I97" t="e">
        <f t="shared" si="12"/>
        <v>#REF!</v>
      </c>
      <c r="J97" t="e">
        <f t="shared" si="13"/>
        <v>#REF!</v>
      </c>
      <c r="K97" t="e">
        <f>PRODUCT($J$3:J97)</f>
        <v>#REF!</v>
      </c>
      <c r="L97" t="e">
        <f t="shared" si="14"/>
        <v>#REF!</v>
      </c>
      <c r="M97" t="e">
        <f>SUM($L$3:L97)</f>
        <v>#REF!</v>
      </c>
      <c r="O97" t="e">
        <f>(Q96*'Arkusz1 (4)'!J97)-Q96</f>
        <v>#REF!</v>
      </c>
      <c r="P97" s="16" t="e">
        <f t="shared" si="15"/>
        <v>#REF!</v>
      </c>
      <c r="Q97" s="17" t="e">
        <f t="shared" si="16"/>
        <v>#REF!</v>
      </c>
    </row>
    <row r="98" spans="1:17" x14ac:dyDescent="0.35">
      <c r="A98">
        <v>96</v>
      </c>
      <c r="B98" s="14" t="e">
        <f t="shared" si="17"/>
        <v>#REF!</v>
      </c>
      <c r="C98" s="15" t="e">
        <f>(1+(#REF!)*('Arkusz1 (4)'!B98-'Arkusz1 (4)'!B97)/365)</f>
        <v>#REF!</v>
      </c>
      <c r="D98" s="15" t="e">
        <f>(1+(#REF!)*('Arkusz1 (4)'!B98-'Arkusz1 (4)'!B97)/366)</f>
        <v>#REF!</v>
      </c>
      <c r="E98" s="15" t="e">
        <f t="shared" si="9"/>
        <v>#REF!</v>
      </c>
      <c r="F98" s="15" t="e">
        <f t="shared" si="10"/>
        <v>#REF!</v>
      </c>
      <c r="G98" t="e">
        <f>IF(E98=1,(1+(#REF!)*((('Arkusz1 (4)'!B98-DATE(YEAR(B98),1,1)+1)/365)+((DATE(YEAR(B97),12,31)-'Arkusz1 (4)'!B97)/366))),IF(F98=1,(1+(#REF!)*((('Arkusz1 (4)'!B98-DATE(YEAR(B98),1,1)+1)/366)+((DATE(YEAR(B97),12,31)-'Arkusz1 (4)'!B97)/365))),0))</f>
        <v>#REF!</v>
      </c>
      <c r="H98" t="e">
        <f t="shared" si="11"/>
        <v>#REF!</v>
      </c>
      <c r="I98" t="e">
        <f t="shared" si="12"/>
        <v>#REF!</v>
      </c>
      <c r="J98" t="e">
        <f t="shared" si="13"/>
        <v>#REF!</v>
      </c>
      <c r="K98" t="e">
        <f>PRODUCT($J$3:J98)</f>
        <v>#REF!</v>
      </c>
      <c r="L98" t="e">
        <f t="shared" si="14"/>
        <v>#REF!</v>
      </c>
      <c r="M98" t="e">
        <f>SUM($L$3:L98)</f>
        <v>#REF!</v>
      </c>
      <c r="O98" t="e">
        <f>(Q97*'Arkusz1 (4)'!J98)-Q97</f>
        <v>#REF!</v>
      </c>
      <c r="P98" s="16" t="e">
        <f t="shared" si="15"/>
        <v>#REF!</v>
      </c>
      <c r="Q98" s="17" t="e">
        <f t="shared" si="16"/>
        <v>#REF!</v>
      </c>
    </row>
    <row r="99" spans="1:17" x14ac:dyDescent="0.35">
      <c r="A99">
        <v>97</v>
      </c>
      <c r="B99" s="14" t="e">
        <f t="shared" si="17"/>
        <v>#REF!</v>
      </c>
      <c r="C99" s="15" t="e">
        <f>(1+(#REF!)*('Arkusz1 (4)'!B99-'Arkusz1 (4)'!B98)/365)</f>
        <v>#REF!</v>
      </c>
      <c r="D99" s="15" t="e">
        <f>(1+(#REF!)*('Arkusz1 (4)'!B99-'Arkusz1 (4)'!B98)/366)</f>
        <v>#REF!</v>
      </c>
      <c r="E99" s="15" t="e">
        <f t="shared" si="9"/>
        <v>#REF!</v>
      </c>
      <c r="F99" s="15" t="e">
        <f t="shared" si="10"/>
        <v>#REF!</v>
      </c>
      <c r="G99" t="e">
        <f>IF(E99=1,(1+(#REF!)*((('Arkusz1 (4)'!B99-DATE(YEAR(B99),1,1)+1)/365)+((DATE(YEAR(B98),12,31)-'Arkusz1 (4)'!B98)/366))),IF(F99=1,(1+(#REF!)*((('Arkusz1 (4)'!B99-DATE(YEAR(B99),1,1)+1)/366)+((DATE(YEAR(B98),12,31)-'Arkusz1 (4)'!B98)/365))),0))</f>
        <v>#REF!</v>
      </c>
      <c r="H99" t="e">
        <f t="shared" si="11"/>
        <v>#REF!</v>
      </c>
      <c r="I99" t="e">
        <f t="shared" si="12"/>
        <v>#REF!</v>
      </c>
      <c r="J99" t="e">
        <f t="shared" si="13"/>
        <v>#REF!</v>
      </c>
      <c r="K99" t="e">
        <f>PRODUCT($J$3:J99)</f>
        <v>#REF!</v>
      </c>
      <c r="L99" t="e">
        <f t="shared" si="14"/>
        <v>#REF!</v>
      </c>
      <c r="M99" t="e">
        <f>SUM($L$3:L99)</f>
        <v>#REF!</v>
      </c>
      <c r="O99" t="e">
        <f>(Q98*'Arkusz1 (4)'!J99)-Q98</f>
        <v>#REF!</v>
      </c>
      <c r="P99" s="16" t="e">
        <f t="shared" si="15"/>
        <v>#REF!</v>
      </c>
      <c r="Q99" s="17" t="e">
        <f t="shared" si="16"/>
        <v>#REF!</v>
      </c>
    </row>
    <row r="100" spans="1:17" x14ac:dyDescent="0.35">
      <c r="A100">
        <v>98</v>
      </c>
      <c r="B100" s="14" t="e">
        <f t="shared" si="17"/>
        <v>#REF!</v>
      </c>
      <c r="C100" s="15" t="e">
        <f>(1+(#REF!)*('Arkusz1 (4)'!B100-'Arkusz1 (4)'!B99)/365)</f>
        <v>#REF!</v>
      </c>
      <c r="D100" s="15" t="e">
        <f>(1+(#REF!)*('Arkusz1 (4)'!B100-'Arkusz1 (4)'!B99)/366)</f>
        <v>#REF!</v>
      </c>
      <c r="E100" s="15" t="e">
        <f t="shared" si="9"/>
        <v>#REF!</v>
      </c>
      <c r="F100" s="15" t="e">
        <f t="shared" si="10"/>
        <v>#REF!</v>
      </c>
      <c r="G100" t="e">
        <f>IF(E100=1,(1+(#REF!)*((('Arkusz1 (4)'!B100-DATE(YEAR(B100),1,1)+1)/365)+((DATE(YEAR(B99),12,31)-'Arkusz1 (4)'!B99)/366))),IF(F100=1,(1+(#REF!)*((('Arkusz1 (4)'!B100-DATE(YEAR(B100),1,1)+1)/366)+((DATE(YEAR(B99),12,31)-'Arkusz1 (4)'!B99)/365))),0))</f>
        <v>#REF!</v>
      </c>
      <c r="H100" t="e">
        <f t="shared" si="11"/>
        <v>#REF!</v>
      </c>
      <c r="I100" t="e">
        <f t="shared" si="12"/>
        <v>#REF!</v>
      </c>
      <c r="J100" t="e">
        <f t="shared" si="13"/>
        <v>#REF!</v>
      </c>
      <c r="K100" t="e">
        <f>PRODUCT($J$3:J100)</f>
        <v>#REF!</v>
      </c>
      <c r="L100" t="e">
        <f t="shared" si="14"/>
        <v>#REF!</v>
      </c>
      <c r="M100" t="e">
        <f>SUM($L$3:L100)</f>
        <v>#REF!</v>
      </c>
      <c r="O100" t="e">
        <f>(Q99*'Arkusz1 (4)'!J100)-Q99</f>
        <v>#REF!</v>
      </c>
      <c r="P100" s="16" t="e">
        <f t="shared" si="15"/>
        <v>#REF!</v>
      </c>
      <c r="Q100" s="17" t="e">
        <f t="shared" si="16"/>
        <v>#REF!</v>
      </c>
    </row>
    <row r="101" spans="1:17" x14ac:dyDescent="0.35">
      <c r="A101">
        <v>99</v>
      </c>
      <c r="B101" s="14" t="e">
        <f t="shared" si="17"/>
        <v>#REF!</v>
      </c>
      <c r="C101" s="15" t="e">
        <f>(1+(#REF!)*('Arkusz1 (4)'!B101-'Arkusz1 (4)'!B100)/365)</f>
        <v>#REF!</v>
      </c>
      <c r="D101" s="15" t="e">
        <f>(1+(#REF!)*('Arkusz1 (4)'!B101-'Arkusz1 (4)'!B100)/366)</f>
        <v>#REF!</v>
      </c>
      <c r="E101" s="15" t="e">
        <f t="shared" si="9"/>
        <v>#REF!</v>
      </c>
      <c r="F101" s="15" t="e">
        <f t="shared" si="10"/>
        <v>#REF!</v>
      </c>
      <c r="G101" t="e">
        <f>IF(E101=1,(1+(#REF!)*((('Arkusz1 (4)'!B101-DATE(YEAR(B101),1,1)+1)/365)+((DATE(YEAR(B100),12,31)-'Arkusz1 (4)'!B100)/366))),IF(F101=1,(1+(#REF!)*((('Arkusz1 (4)'!B101-DATE(YEAR(B101),1,1)+1)/366)+((DATE(YEAR(B100),12,31)-'Arkusz1 (4)'!B100)/365))),0))</f>
        <v>#REF!</v>
      </c>
      <c r="H101" t="e">
        <f t="shared" si="11"/>
        <v>#REF!</v>
      </c>
      <c r="I101" t="e">
        <f t="shared" si="12"/>
        <v>#REF!</v>
      </c>
      <c r="J101" t="e">
        <f t="shared" si="13"/>
        <v>#REF!</v>
      </c>
      <c r="K101" t="e">
        <f>PRODUCT($J$3:J101)</f>
        <v>#REF!</v>
      </c>
      <c r="L101" t="e">
        <f t="shared" si="14"/>
        <v>#REF!</v>
      </c>
      <c r="M101" t="e">
        <f>SUM($L$3:L101)</f>
        <v>#REF!</v>
      </c>
      <c r="O101" t="e">
        <f>(Q100*'Arkusz1 (4)'!J101)-Q100</f>
        <v>#REF!</v>
      </c>
      <c r="P101" s="16" t="e">
        <f t="shared" si="15"/>
        <v>#REF!</v>
      </c>
      <c r="Q101" s="17" t="e">
        <f t="shared" si="16"/>
        <v>#REF!</v>
      </c>
    </row>
    <row r="102" spans="1:17" x14ac:dyDescent="0.35">
      <c r="A102">
        <v>100</v>
      </c>
      <c r="B102" s="14" t="e">
        <f t="shared" si="17"/>
        <v>#REF!</v>
      </c>
      <c r="C102" s="15" t="e">
        <f>(1+(#REF!)*('Arkusz1 (4)'!B102-'Arkusz1 (4)'!B101)/365)</f>
        <v>#REF!</v>
      </c>
      <c r="D102" s="15" t="e">
        <f>(1+(#REF!)*('Arkusz1 (4)'!B102-'Arkusz1 (4)'!B101)/366)</f>
        <v>#REF!</v>
      </c>
      <c r="E102" s="15" t="e">
        <f t="shared" si="9"/>
        <v>#REF!</v>
      </c>
      <c r="F102" s="15" t="e">
        <f t="shared" si="10"/>
        <v>#REF!</v>
      </c>
      <c r="G102" t="e">
        <f>IF(E102=1,(1+(#REF!)*((('Arkusz1 (4)'!B102-DATE(YEAR(B102),1,1)+1)/365)+((DATE(YEAR(B101),12,31)-'Arkusz1 (4)'!B101)/366))),IF(F102=1,(1+(#REF!)*((('Arkusz1 (4)'!B102-DATE(YEAR(B102),1,1)+1)/366)+((DATE(YEAR(B101),12,31)-'Arkusz1 (4)'!B101)/365))),0))</f>
        <v>#REF!</v>
      </c>
      <c r="H102" t="e">
        <f t="shared" si="11"/>
        <v>#REF!</v>
      </c>
      <c r="I102" t="e">
        <f t="shared" si="12"/>
        <v>#REF!</v>
      </c>
      <c r="J102" t="e">
        <f t="shared" si="13"/>
        <v>#REF!</v>
      </c>
      <c r="K102" t="e">
        <f>PRODUCT($J$3:J102)</f>
        <v>#REF!</v>
      </c>
      <c r="L102" t="e">
        <f t="shared" si="14"/>
        <v>#REF!</v>
      </c>
      <c r="M102" t="e">
        <f>SUM($L$3:L102)</f>
        <v>#REF!</v>
      </c>
      <c r="O102" t="e">
        <f>(Q101*'Arkusz1 (4)'!J102)-Q101</f>
        <v>#REF!</v>
      </c>
      <c r="P102" s="16" t="e">
        <f t="shared" si="15"/>
        <v>#REF!</v>
      </c>
      <c r="Q102" s="17" t="e">
        <f t="shared" si="16"/>
        <v>#REF!</v>
      </c>
    </row>
    <row r="103" spans="1:17" x14ac:dyDescent="0.35">
      <c r="A103">
        <v>101</v>
      </c>
      <c r="B103" s="14" t="e">
        <f t="shared" si="17"/>
        <v>#REF!</v>
      </c>
      <c r="C103" s="15" t="e">
        <f>(1+(#REF!)*('Arkusz1 (4)'!B103-'Arkusz1 (4)'!B102)/365)</f>
        <v>#REF!</v>
      </c>
      <c r="D103" s="15" t="e">
        <f>(1+(#REF!)*('Arkusz1 (4)'!B103-'Arkusz1 (4)'!B102)/366)</f>
        <v>#REF!</v>
      </c>
      <c r="E103" s="15" t="e">
        <f t="shared" si="9"/>
        <v>#REF!</v>
      </c>
      <c r="F103" s="15" t="e">
        <f t="shared" si="10"/>
        <v>#REF!</v>
      </c>
      <c r="G103" t="e">
        <f>IF(E103=1,(1+(#REF!)*((('Arkusz1 (4)'!B103-DATE(YEAR(B103),1,1)+1)/365)+((DATE(YEAR(B102),12,31)-'Arkusz1 (4)'!B102)/366))),IF(F103=1,(1+(#REF!)*((('Arkusz1 (4)'!B103-DATE(YEAR(B103),1,1)+1)/366)+((DATE(YEAR(B102),12,31)-'Arkusz1 (4)'!B102)/365))),0))</f>
        <v>#REF!</v>
      </c>
      <c r="H103" t="e">
        <f t="shared" si="11"/>
        <v>#REF!</v>
      </c>
      <c r="I103" t="e">
        <f t="shared" si="12"/>
        <v>#REF!</v>
      </c>
      <c r="J103" t="e">
        <f t="shared" si="13"/>
        <v>#REF!</v>
      </c>
      <c r="K103" t="e">
        <f>PRODUCT($J$3:J103)</f>
        <v>#REF!</v>
      </c>
      <c r="L103" t="e">
        <f t="shared" si="14"/>
        <v>#REF!</v>
      </c>
      <c r="M103" t="e">
        <f>SUM($L$3:L103)</f>
        <v>#REF!</v>
      </c>
      <c r="O103" t="e">
        <f>(Q102*'Arkusz1 (4)'!J103)-Q102</f>
        <v>#REF!</v>
      </c>
      <c r="P103" s="16" t="e">
        <f t="shared" si="15"/>
        <v>#REF!</v>
      </c>
      <c r="Q103" s="17" t="e">
        <f t="shared" si="16"/>
        <v>#REF!</v>
      </c>
    </row>
    <row r="104" spans="1:17" x14ac:dyDescent="0.35">
      <c r="A104">
        <v>102</v>
      </c>
      <c r="B104" s="14" t="e">
        <f t="shared" si="17"/>
        <v>#REF!</v>
      </c>
      <c r="C104" s="15" t="e">
        <f>(1+(#REF!)*('Arkusz1 (4)'!B104-'Arkusz1 (4)'!B103)/365)</f>
        <v>#REF!</v>
      </c>
      <c r="D104" s="15" t="e">
        <f>(1+(#REF!)*('Arkusz1 (4)'!B104-'Arkusz1 (4)'!B103)/366)</f>
        <v>#REF!</v>
      </c>
      <c r="E104" s="15" t="e">
        <f t="shared" si="9"/>
        <v>#REF!</v>
      </c>
      <c r="F104" s="15" t="e">
        <f t="shared" si="10"/>
        <v>#REF!</v>
      </c>
      <c r="G104" t="e">
        <f>IF(E104=1,(1+(#REF!)*((('Arkusz1 (4)'!B104-DATE(YEAR(B104),1,1)+1)/365)+((DATE(YEAR(B103),12,31)-'Arkusz1 (4)'!B103)/366))),IF(F104=1,(1+(#REF!)*((('Arkusz1 (4)'!B104-DATE(YEAR(B104),1,1)+1)/366)+((DATE(YEAR(B103),12,31)-'Arkusz1 (4)'!B103)/365))),0))</f>
        <v>#REF!</v>
      </c>
      <c r="H104" t="e">
        <f t="shared" si="11"/>
        <v>#REF!</v>
      </c>
      <c r="I104" t="e">
        <f t="shared" si="12"/>
        <v>#REF!</v>
      </c>
      <c r="J104" t="e">
        <f t="shared" si="13"/>
        <v>#REF!</v>
      </c>
      <c r="K104" t="e">
        <f>PRODUCT($J$3:J104)</f>
        <v>#REF!</v>
      </c>
      <c r="L104" t="e">
        <f t="shared" si="14"/>
        <v>#REF!</v>
      </c>
      <c r="M104" t="e">
        <f>SUM($L$3:L104)</f>
        <v>#REF!</v>
      </c>
      <c r="O104" t="e">
        <f>(Q103*'Arkusz1 (4)'!J104)-Q103</f>
        <v>#REF!</v>
      </c>
      <c r="P104" s="16" t="e">
        <f t="shared" si="15"/>
        <v>#REF!</v>
      </c>
      <c r="Q104" s="17" t="e">
        <f t="shared" si="16"/>
        <v>#REF!</v>
      </c>
    </row>
    <row r="105" spans="1:17" x14ac:dyDescent="0.35">
      <c r="A105">
        <v>103</v>
      </c>
      <c r="B105" s="14" t="e">
        <f t="shared" si="17"/>
        <v>#REF!</v>
      </c>
      <c r="C105" s="15" t="e">
        <f>(1+(#REF!)*('Arkusz1 (4)'!B105-'Arkusz1 (4)'!B104)/365)</f>
        <v>#REF!</v>
      </c>
      <c r="D105" s="15" t="e">
        <f>(1+(#REF!)*('Arkusz1 (4)'!B105-'Arkusz1 (4)'!B104)/366)</f>
        <v>#REF!</v>
      </c>
      <c r="E105" s="15" t="e">
        <f t="shared" si="9"/>
        <v>#REF!</v>
      </c>
      <c r="F105" s="15" t="e">
        <f t="shared" si="10"/>
        <v>#REF!</v>
      </c>
      <c r="G105" t="e">
        <f>IF(E105=1,(1+(#REF!)*((('Arkusz1 (4)'!B105-DATE(YEAR(B105),1,1)+1)/365)+((DATE(YEAR(B104),12,31)-'Arkusz1 (4)'!B104)/366))),IF(F105=1,(1+(#REF!)*((('Arkusz1 (4)'!B105-DATE(YEAR(B105),1,1)+1)/366)+((DATE(YEAR(B104),12,31)-'Arkusz1 (4)'!B104)/365))),0))</f>
        <v>#REF!</v>
      </c>
      <c r="H105" t="e">
        <f t="shared" si="11"/>
        <v>#REF!</v>
      </c>
      <c r="I105" t="e">
        <f t="shared" si="12"/>
        <v>#REF!</v>
      </c>
      <c r="J105" t="e">
        <f t="shared" si="13"/>
        <v>#REF!</v>
      </c>
      <c r="K105" t="e">
        <f>PRODUCT($J$3:J105)</f>
        <v>#REF!</v>
      </c>
      <c r="L105" t="e">
        <f t="shared" si="14"/>
        <v>#REF!</v>
      </c>
      <c r="M105" t="e">
        <f>SUM($L$3:L105)</f>
        <v>#REF!</v>
      </c>
      <c r="O105" t="e">
        <f>(Q104*'Arkusz1 (4)'!J105)-Q104</f>
        <v>#REF!</v>
      </c>
      <c r="P105" s="16" t="e">
        <f t="shared" si="15"/>
        <v>#REF!</v>
      </c>
      <c r="Q105" s="17" t="e">
        <f t="shared" si="16"/>
        <v>#REF!</v>
      </c>
    </row>
    <row r="106" spans="1:17" x14ac:dyDescent="0.35">
      <c r="A106">
        <v>104</v>
      </c>
      <c r="B106" s="14" t="e">
        <f t="shared" si="17"/>
        <v>#REF!</v>
      </c>
      <c r="C106" s="15" t="e">
        <f>(1+(#REF!)*('Arkusz1 (4)'!B106-'Arkusz1 (4)'!B105)/365)</f>
        <v>#REF!</v>
      </c>
      <c r="D106" s="15" t="e">
        <f>(1+(#REF!)*('Arkusz1 (4)'!B106-'Arkusz1 (4)'!B105)/366)</f>
        <v>#REF!</v>
      </c>
      <c r="E106" s="15" t="e">
        <f t="shared" si="9"/>
        <v>#REF!</v>
      </c>
      <c r="F106" s="15" t="e">
        <f t="shared" si="10"/>
        <v>#REF!</v>
      </c>
      <c r="G106" t="e">
        <f>IF(E106=1,(1+(#REF!)*((('Arkusz1 (4)'!B106-DATE(YEAR(B106),1,1)+1)/365)+((DATE(YEAR(B105),12,31)-'Arkusz1 (4)'!B105)/366))),IF(F106=1,(1+(#REF!)*((('Arkusz1 (4)'!B106-DATE(YEAR(B106),1,1)+1)/366)+((DATE(YEAR(B105),12,31)-'Arkusz1 (4)'!B105)/365))),0))</f>
        <v>#REF!</v>
      </c>
      <c r="H106" t="e">
        <f t="shared" si="11"/>
        <v>#REF!</v>
      </c>
      <c r="I106" t="e">
        <f t="shared" si="12"/>
        <v>#REF!</v>
      </c>
      <c r="J106" t="e">
        <f t="shared" si="13"/>
        <v>#REF!</v>
      </c>
      <c r="K106" t="e">
        <f>PRODUCT($J$3:J106)</f>
        <v>#REF!</v>
      </c>
      <c r="L106" t="e">
        <f t="shared" si="14"/>
        <v>#REF!</v>
      </c>
      <c r="M106" t="e">
        <f>SUM($L$3:L106)</f>
        <v>#REF!</v>
      </c>
      <c r="O106" t="e">
        <f>(Q105*'Arkusz1 (4)'!J106)-Q105</f>
        <v>#REF!</v>
      </c>
      <c r="P106" s="16" t="e">
        <f t="shared" si="15"/>
        <v>#REF!</v>
      </c>
      <c r="Q106" s="17" t="e">
        <f t="shared" si="16"/>
        <v>#REF!</v>
      </c>
    </row>
    <row r="107" spans="1:17" x14ac:dyDescent="0.35">
      <c r="A107">
        <v>105</v>
      </c>
      <c r="B107" s="14" t="e">
        <f t="shared" si="17"/>
        <v>#REF!</v>
      </c>
      <c r="C107" s="15" t="e">
        <f>(1+(#REF!)*('Arkusz1 (4)'!B107-'Arkusz1 (4)'!B106)/365)</f>
        <v>#REF!</v>
      </c>
      <c r="D107" s="15" t="e">
        <f>(1+(#REF!)*('Arkusz1 (4)'!B107-'Arkusz1 (4)'!B106)/366)</f>
        <v>#REF!</v>
      </c>
      <c r="E107" s="15" t="e">
        <f t="shared" si="9"/>
        <v>#REF!</v>
      </c>
      <c r="F107" s="15" t="e">
        <f t="shared" si="10"/>
        <v>#REF!</v>
      </c>
      <c r="G107" t="e">
        <f>IF(E107=1,(1+(#REF!)*((('Arkusz1 (4)'!B107-DATE(YEAR(B107),1,1)+1)/365)+((DATE(YEAR(B106),12,31)-'Arkusz1 (4)'!B106)/366))),IF(F107=1,(1+(#REF!)*((('Arkusz1 (4)'!B107-DATE(YEAR(B107),1,1)+1)/366)+((DATE(YEAR(B106),12,31)-'Arkusz1 (4)'!B106)/365))),0))</f>
        <v>#REF!</v>
      </c>
      <c r="H107" t="e">
        <f t="shared" si="11"/>
        <v>#REF!</v>
      </c>
      <c r="I107" t="e">
        <f t="shared" si="12"/>
        <v>#REF!</v>
      </c>
      <c r="J107" t="e">
        <f t="shared" si="13"/>
        <v>#REF!</v>
      </c>
      <c r="K107" t="e">
        <f>PRODUCT($J$3:J107)</f>
        <v>#REF!</v>
      </c>
      <c r="L107" t="e">
        <f t="shared" si="14"/>
        <v>#REF!</v>
      </c>
      <c r="M107" t="e">
        <f>SUM($L$3:L107)</f>
        <v>#REF!</v>
      </c>
      <c r="O107" t="e">
        <f>(Q106*'Arkusz1 (4)'!J107)-Q106</f>
        <v>#REF!</v>
      </c>
      <c r="P107" s="16" t="e">
        <f t="shared" si="15"/>
        <v>#REF!</v>
      </c>
      <c r="Q107" s="17" t="e">
        <f t="shared" si="16"/>
        <v>#REF!</v>
      </c>
    </row>
    <row r="108" spans="1:17" x14ac:dyDescent="0.35">
      <c r="A108">
        <v>106</v>
      </c>
      <c r="B108" s="14" t="e">
        <f t="shared" si="17"/>
        <v>#REF!</v>
      </c>
      <c r="C108" s="15" t="e">
        <f>(1+(#REF!)*('Arkusz1 (4)'!B108-'Arkusz1 (4)'!B107)/365)</f>
        <v>#REF!</v>
      </c>
      <c r="D108" s="15" t="e">
        <f>(1+(#REF!)*('Arkusz1 (4)'!B108-'Arkusz1 (4)'!B107)/366)</f>
        <v>#REF!</v>
      </c>
      <c r="E108" s="15" t="e">
        <f t="shared" si="9"/>
        <v>#REF!</v>
      </c>
      <c r="F108" s="15" t="e">
        <f t="shared" si="10"/>
        <v>#REF!</v>
      </c>
      <c r="G108" t="e">
        <f>IF(E108=1,(1+(#REF!)*((('Arkusz1 (4)'!B108-DATE(YEAR(B108),1,1)+1)/365)+((DATE(YEAR(B107),12,31)-'Arkusz1 (4)'!B107)/366))),IF(F108=1,(1+(#REF!)*((('Arkusz1 (4)'!B108-DATE(YEAR(B108),1,1)+1)/366)+((DATE(YEAR(B107),12,31)-'Arkusz1 (4)'!B107)/365))),0))</f>
        <v>#REF!</v>
      </c>
      <c r="H108" t="e">
        <f t="shared" si="11"/>
        <v>#REF!</v>
      </c>
      <c r="I108" t="e">
        <f t="shared" si="12"/>
        <v>#REF!</v>
      </c>
      <c r="J108" t="e">
        <f t="shared" si="13"/>
        <v>#REF!</v>
      </c>
      <c r="K108" t="e">
        <f>PRODUCT($J$3:J108)</f>
        <v>#REF!</v>
      </c>
      <c r="L108" t="e">
        <f t="shared" si="14"/>
        <v>#REF!</v>
      </c>
      <c r="M108" t="e">
        <f>SUM($L$3:L108)</f>
        <v>#REF!</v>
      </c>
      <c r="O108" t="e">
        <f>(Q107*'Arkusz1 (4)'!J108)-Q107</f>
        <v>#REF!</v>
      </c>
      <c r="P108" s="16" t="e">
        <f t="shared" si="15"/>
        <v>#REF!</v>
      </c>
      <c r="Q108" s="17" t="e">
        <f t="shared" si="16"/>
        <v>#REF!</v>
      </c>
    </row>
    <row r="109" spans="1:17" x14ac:dyDescent="0.35">
      <c r="A109">
        <v>107</v>
      </c>
      <c r="B109" s="14" t="e">
        <f t="shared" si="17"/>
        <v>#REF!</v>
      </c>
      <c r="C109" s="15" t="e">
        <f>(1+(#REF!)*('Arkusz1 (4)'!B109-'Arkusz1 (4)'!B108)/365)</f>
        <v>#REF!</v>
      </c>
      <c r="D109" s="15" t="e">
        <f>(1+(#REF!)*('Arkusz1 (4)'!B109-'Arkusz1 (4)'!B108)/366)</f>
        <v>#REF!</v>
      </c>
      <c r="E109" s="15" t="e">
        <f t="shared" si="9"/>
        <v>#REF!</v>
      </c>
      <c r="F109" s="15" t="e">
        <f t="shared" si="10"/>
        <v>#REF!</v>
      </c>
      <c r="G109" t="e">
        <f>IF(E109=1,(1+(#REF!)*((('Arkusz1 (4)'!B109-DATE(YEAR(B109),1,1)+1)/365)+((DATE(YEAR(B108),12,31)-'Arkusz1 (4)'!B108)/366))),IF(F109=1,(1+(#REF!)*((('Arkusz1 (4)'!B109-DATE(YEAR(B109),1,1)+1)/366)+((DATE(YEAR(B108),12,31)-'Arkusz1 (4)'!B108)/365))),0))</f>
        <v>#REF!</v>
      </c>
      <c r="H109" t="e">
        <f t="shared" si="11"/>
        <v>#REF!</v>
      </c>
      <c r="I109" t="e">
        <f t="shared" si="12"/>
        <v>#REF!</v>
      </c>
      <c r="J109" t="e">
        <f t="shared" si="13"/>
        <v>#REF!</v>
      </c>
      <c r="K109" t="e">
        <f>PRODUCT($J$3:J109)</f>
        <v>#REF!</v>
      </c>
      <c r="L109" t="e">
        <f t="shared" si="14"/>
        <v>#REF!</v>
      </c>
      <c r="M109" t="e">
        <f>SUM($L$3:L109)</f>
        <v>#REF!</v>
      </c>
      <c r="O109" t="e">
        <f>(Q108*'Arkusz1 (4)'!J109)-Q108</f>
        <v>#REF!</v>
      </c>
      <c r="P109" s="16" t="e">
        <f t="shared" si="15"/>
        <v>#REF!</v>
      </c>
      <c r="Q109" s="17" t="e">
        <f t="shared" si="16"/>
        <v>#REF!</v>
      </c>
    </row>
    <row r="110" spans="1:17" x14ac:dyDescent="0.35">
      <c r="A110">
        <v>108</v>
      </c>
      <c r="B110" s="14" t="e">
        <f t="shared" si="17"/>
        <v>#REF!</v>
      </c>
      <c r="C110" s="15" t="e">
        <f>(1+(#REF!)*('Arkusz1 (4)'!B110-'Arkusz1 (4)'!B109)/365)</f>
        <v>#REF!</v>
      </c>
      <c r="D110" s="15" t="e">
        <f>(1+(#REF!)*('Arkusz1 (4)'!B110-'Arkusz1 (4)'!B109)/366)</f>
        <v>#REF!</v>
      </c>
      <c r="E110" s="15" t="e">
        <f t="shared" si="9"/>
        <v>#REF!</v>
      </c>
      <c r="F110" s="15" t="e">
        <f t="shared" si="10"/>
        <v>#REF!</v>
      </c>
      <c r="G110" t="e">
        <f>IF(E110=1,(1+(#REF!)*((('Arkusz1 (4)'!B110-DATE(YEAR(B110),1,1)+1)/365)+((DATE(YEAR(B109),12,31)-'Arkusz1 (4)'!B109)/366))),IF(F110=1,(1+(#REF!)*((('Arkusz1 (4)'!B110-DATE(YEAR(B110),1,1)+1)/366)+((DATE(YEAR(B109),12,31)-'Arkusz1 (4)'!B109)/365))),0))</f>
        <v>#REF!</v>
      </c>
      <c r="H110" t="e">
        <f t="shared" si="11"/>
        <v>#REF!</v>
      </c>
      <c r="I110" t="e">
        <f t="shared" si="12"/>
        <v>#REF!</v>
      </c>
      <c r="J110" t="e">
        <f t="shared" si="13"/>
        <v>#REF!</v>
      </c>
      <c r="K110" t="e">
        <f>PRODUCT($J$3:J110)</f>
        <v>#REF!</v>
      </c>
      <c r="L110" t="e">
        <f t="shared" si="14"/>
        <v>#REF!</v>
      </c>
      <c r="M110" t="e">
        <f>SUM($L$3:L110)</f>
        <v>#REF!</v>
      </c>
      <c r="O110" t="e">
        <f>(Q109*'Arkusz1 (4)'!J110)-Q109</f>
        <v>#REF!</v>
      </c>
      <c r="P110" s="16" t="e">
        <f t="shared" si="15"/>
        <v>#REF!</v>
      </c>
      <c r="Q110" s="17" t="e">
        <f t="shared" si="16"/>
        <v>#REF!</v>
      </c>
    </row>
    <row r="111" spans="1:17" x14ac:dyDescent="0.35">
      <c r="A111">
        <v>109</v>
      </c>
      <c r="B111" s="14" t="e">
        <f t="shared" si="17"/>
        <v>#REF!</v>
      </c>
      <c r="C111" s="15" t="e">
        <f>(1+(#REF!)*('Arkusz1 (4)'!B111-'Arkusz1 (4)'!B110)/365)</f>
        <v>#REF!</v>
      </c>
      <c r="D111" s="15" t="e">
        <f>(1+(#REF!)*('Arkusz1 (4)'!B111-'Arkusz1 (4)'!B110)/366)</f>
        <v>#REF!</v>
      </c>
      <c r="E111" s="15" t="e">
        <f t="shared" si="9"/>
        <v>#REF!</v>
      </c>
      <c r="F111" s="15" t="e">
        <f t="shared" si="10"/>
        <v>#REF!</v>
      </c>
      <c r="G111" t="e">
        <f>IF(E111=1,(1+(#REF!)*((('Arkusz1 (4)'!B111-DATE(YEAR(B111),1,1)+1)/365)+((DATE(YEAR(B110),12,31)-'Arkusz1 (4)'!B110)/366))),IF(F111=1,(1+(#REF!)*((('Arkusz1 (4)'!B111-DATE(YEAR(B111),1,1)+1)/366)+((DATE(YEAR(B110),12,31)-'Arkusz1 (4)'!B110)/365))),0))</f>
        <v>#REF!</v>
      </c>
      <c r="H111" t="e">
        <f t="shared" si="11"/>
        <v>#REF!</v>
      </c>
      <c r="I111" t="e">
        <f t="shared" si="12"/>
        <v>#REF!</v>
      </c>
      <c r="J111" t="e">
        <f t="shared" si="13"/>
        <v>#REF!</v>
      </c>
      <c r="K111" t="e">
        <f>PRODUCT($J$3:J111)</f>
        <v>#REF!</v>
      </c>
      <c r="L111" t="e">
        <f t="shared" si="14"/>
        <v>#REF!</v>
      </c>
      <c r="M111" t="e">
        <f>SUM($L$3:L111)</f>
        <v>#REF!</v>
      </c>
      <c r="O111" t="e">
        <f>(Q110*'Arkusz1 (4)'!J111)-Q110</f>
        <v>#REF!</v>
      </c>
      <c r="P111" s="16" t="e">
        <f t="shared" si="15"/>
        <v>#REF!</v>
      </c>
      <c r="Q111" s="17" t="e">
        <f t="shared" si="16"/>
        <v>#REF!</v>
      </c>
    </row>
    <row r="112" spans="1:17" x14ac:dyDescent="0.35">
      <c r="A112">
        <v>110</v>
      </c>
      <c r="B112" s="14" t="e">
        <f t="shared" si="17"/>
        <v>#REF!</v>
      </c>
      <c r="C112" s="15" t="e">
        <f>(1+(#REF!)*('Arkusz1 (4)'!B112-'Arkusz1 (4)'!B111)/365)</f>
        <v>#REF!</v>
      </c>
      <c r="D112" s="15" t="e">
        <f>(1+(#REF!)*('Arkusz1 (4)'!B112-'Arkusz1 (4)'!B111)/366)</f>
        <v>#REF!</v>
      </c>
      <c r="E112" s="15" t="e">
        <f t="shared" si="9"/>
        <v>#REF!</v>
      </c>
      <c r="F112" s="15" t="e">
        <f t="shared" si="10"/>
        <v>#REF!</v>
      </c>
      <c r="G112" t="e">
        <f>IF(E112=1,(1+(#REF!)*((('Arkusz1 (4)'!B112-DATE(YEAR(B112),1,1)+1)/365)+((DATE(YEAR(B111),12,31)-'Arkusz1 (4)'!B111)/366))),IF(F112=1,(1+(#REF!)*((('Arkusz1 (4)'!B112-DATE(YEAR(B112),1,1)+1)/366)+((DATE(YEAR(B111),12,31)-'Arkusz1 (4)'!B111)/365))),0))</f>
        <v>#REF!</v>
      </c>
      <c r="H112" t="e">
        <f t="shared" si="11"/>
        <v>#REF!</v>
      </c>
      <c r="I112" t="e">
        <f t="shared" si="12"/>
        <v>#REF!</v>
      </c>
      <c r="J112" t="e">
        <f t="shared" si="13"/>
        <v>#REF!</v>
      </c>
      <c r="K112" t="e">
        <f>PRODUCT($J$3:J112)</f>
        <v>#REF!</v>
      </c>
      <c r="L112" t="e">
        <f t="shared" si="14"/>
        <v>#REF!</v>
      </c>
      <c r="M112" t="e">
        <f>SUM($L$3:L112)</f>
        <v>#REF!</v>
      </c>
      <c r="O112" t="e">
        <f>(Q111*'Arkusz1 (4)'!J112)-Q111</f>
        <v>#REF!</v>
      </c>
      <c r="P112" s="16" t="e">
        <f t="shared" si="15"/>
        <v>#REF!</v>
      </c>
      <c r="Q112" s="17" t="e">
        <f t="shared" si="16"/>
        <v>#REF!</v>
      </c>
    </row>
    <row r="113" spans="1:17" x14ac:dyDescent="0.35">
      <c r="A113">
        <v>111</v>
      </c>
      <c r="B113" s="14" t="e">
        <f t="shared" si="17"/>
        <v>#REF!</v>
      </c>
      <c r="C113" s="15" t="e">
        <f>(1+(#REF!)*('Arkusz1 (4)'!B113-'Arkusz1 (4)'!B112)/365)</f>
        <v>#REF!</v>
      </c>
      <c r="D113" s="15" t="e">
        <f>(1+(#REF!)*('Arkusz1 (4)'!B113-'Arkusz1 (4)'!B112)/366)</f>
        <v>#REF!</v>
      </c>
      <c r="E113" s="15" t="e">
        <f t="shared" si="9"/>
        <v>#REF!</v>
      </c>
      <c r="F113" s="15" t="e">
        <f t="shared" si="10"/>
        <v>#REF!</v>
      </c>
      <c r="G113" t="e">
        <f>IF(E113=1,(1+(#REF!)*((('Arkusz1 (4)'!B113-DATE(YEAR(B113),1,1)+1)/365)+((DATE(YEAR(B112),12,31)-'Arkusz1 (4)'!B112)/366))),IF(F113=1,(1+(#REF!)*((('Arkusz1 (4)'!B113-DATE(YEAR(B113),1,1)+1)/366)+((DATE(YEAR(B112),12,31)-'Arkusz1 (4)'!B112)/365))),0))</f>
        <v>#REF!</v>
      </c>
      <c r="H113" t="e">
        <f t="shared" si="11"/>
        <v>#REF!</v>
      </c>
      <c r="I113" t="e">
        <f t="shared" si="12"/>
        <v>#REF!</v>
      </c>
      <c r="J113" t="e">
        <f t="shared" si="13"/>
        <v>#REF!</v>
      </c>
      <c r="K113" t="e">
        <f>PRODUCT($J$3:J113)</f>
        <v>#REF!</v>
      </c>
      <c r="L113" t="e">
        <f t="shared" si="14"/>
        <v>#REF!</v>
      </c>
      <c r="M113" t="e">
        <f>SUM($L$3:L113)</f>
        <v>#REF!</v>
      </c>
      <c r="O113" t="e">
        <f>(Q112*'Arkusz1 (4)'!J113)-Q112</f>
        <v>#REF!</v>
      </c>
      <c r="P113" s="16" t="e">
        <f t="shared" si="15"/>
        <v>#REF!</v>
      </c>
      <c r="Q113" s="17" t="e">
        <f t="shared" si="16"/>
        <v>#REF!</v>
      </c>
    </row>
    <row r="114" spans="1:17" x14ac:dyDescent="0.35">
      <c r="A114">
        <v>112</v>
      </c>
      <c r="B114" s="14" t="e">
        <f t="shared" si="17"/>
        <v>#REF!</v>
      </c>
      <c r="C114" s="15" t="e">
        <f>(1+(#REF!)*('Arkusz1 (4)'!B114-'Arkusz1 (4)'!B113)/365)</f>
        <v>#REF!</v>
      </c>
      <c r="D114" s="15" t="e">
        <f>(1+(#REF!)*('Arkusz1 (4)'!B114-'Arkusz1 (4)'!B113)/366)</f>
        <v>#REF!</v>
      </c>
      <c r="E114" s="15" t="e">
        <f t="shared" si="9"/>
        <v>#REF!</v>
      </c>
      <c r="F114" s="15" t="e">
        <f t="shared" si="10"/>
        <v>#REF!</v>
      </c>
      <c r="G114" t="e">
        <f>IF(E114=1,(1+(#REF!)*((('Arkusz1 (4)'!B114-DATE(YEAR(B114),1,1)+1)/365)+((DATE(YEAR(B113),12,31)-'Arkusz1 (4)'!B113)/366))),IF(F114=1,(1+(#REF!)*((('Arkusz1 (4)'!B114-DATE(YEAR(B114),1,1)+1)/366)+((DATE(YEAR(B113),12,31)-'Arkusz1 (4)'!B113)/365))),0))</f>
        <v>#REF!</v>
      </c>
      <c r="H114" t="e">
        <f t="shared" si="11"/>
        <v>#REF!</v>
      </c>
      <c r="I114" t="e">
        <f t="shared" si="12"/>
        <v>#REF!</v>
      </c>
      <c r="J114" t="e">
        <f t="shared" si="13"/>
        <v>#REF!</v>
      </c>
      <c r="K114" t="e">
        <f>PRODUCT($J$3:J114)</f>
        <v>#REF!</v>
      </c>
      <c r="L114" t="e">
        <f t="shared" si="14"/>
        <v>#REF!</v>
      </c>
      <c r="M114" t="e">
        <f>SUM($L$3:L114)</f>
        <v>#REF!</v>
      </c>
      <c r="O114" t="e">
        <f>(Q113*'Arkusz1 (4)'!J114)-Q113</f>
        <v>#REF!</v>
      </c>
      <c r="P114" s="16" t="e">
        <f t="shared" si="15"/>
        <v>#REF!</v>
      </c>
      <c r="Q114" s="17" t="e">
        <f t="shared" si="16"/>
        <v>#REF!</v>
      </c>
    </row>
    <row r="115" spans="1:17" x14ac:dyDescent="0.35">
      <c r="A115">
        <v>113</v>
      </c>
      <c r="B115" s="14" t="e">
        <f t="shared" si="17"/>
        <v>#REF!</v>
      </c>
      <c r="C115" s="15" t="e">
        <f>(1+(#REF!)*('Arkusz1 (4)'!B115-'Arkusz1 (4)'!B114)/365)</f>
        <v>#REF!</v>
      </c>
      <c r="D115" s="15" t="e">
        <f>(1+(#REF!)*('Arkusz1 (4)'!B115-'Arkusz1 (4)'!B114)/366)</f>
        <v>#REF!</v>
      </c>
      <c r="E115" s="15" t="e">
        <f t="shared" si="9"/>
        <v>#REF!</v>
      </c>
      <c r="F115" s="15" t="e">
        <f t="shared" si="10"/>
        <v>#REF!</v>
      </c>
      <c r="G115" t="e">
        <f>IF(E115=1,(1+(#REF!)*((('Arkusz1 (4)'!B115-DATE(YEAR(B115),1,1)+1)/365)+((DATE(YEAR(B114),12,31)-'Arkusz1 (4)'!B114)/366))),IF(F115=1,(1+(#REF!)*((('Arkusz1 (4)'!B115-DATE(YEAR(B115),1,1)+1)/366)+((DATE(YEAR(B114),12,31)-'Arkusz1 (4)'!B114)/365))),0))</f>
        <v>#REF!</v>
      </c>
      <c r="H115" t="e">
        <f t="shared" si="11"/>
        <v>#REF!</v>
      </c>
      <c r="I115" t="e">
        <f t="shared" si="12"/>
        <v>#REF!</v>
      </c>
      <c r="J115" t="e">
        <f t="shared" si="13"/>
        <v>#REF!</v>
      </c>
      <c r="K115" t="e">
        <f>PRODUCT($J$3:J115)</f>
        <v>#REF!</v>
      </c>
      <c r="L115" t="e">
        <f t="shared" si="14"/>
        <v>#REF!</v>
      </c>
      <c r="M115" t="e">
        <f>SUM($L$3:L115)</f>
        <v>#REF!</v>
      </c>
      <c r="O115" t="e">
        <f>(Q114*'Arkusz1 (4)'!J115)-Q114</f>
        <v>#REF!</v>
      </c>
      <c r="P115" s="16" t="e">
        <f t="shared" si="15"/>
        <v>#REF!</v>
      </c>
      <c r="Q115" s="17" t="e">
        <f t="shared" si="16"/>
        <v>#REF!</v>
      </c>
    </row>
    <row r="116" spans="1:17" x14ac:dyDescent="0.35">
      <c r="A116">
        <v>114</v>
      </c>
      <c r="B116" s="14" t="e">
        <f t="shared" si="17"/>
        <v>#REF!</v>
      </c>
      <c r="C116" s="15" t="e">
        <f>(1+(#REF!)*('Arkusz1 (4)'!B116-'Arkusz1 (4)'!B115)/365)</f>
        <v>#REF!</v>
      </c>
      <c r="D116" s="15" t="e">
        <f>(1+(#REF!)*('Arkusz1 (4)'!B116-'Arkusz1 (4)'!B115)/366)</f>
        <v>#REF!</v>
      </c>
      <c r="E116" s="15" t="e">
        <f t="shared" si="9"/>
        <v>#REF!</v>
      </c>
      <c r="F116" s="15" t="e">
        <f t="shared" si="10"/>
        <v>#REF!</v>
      </c>
      <c r="G116" t="e">
        <f>IF(E116=1,(1+(#REF!)*((('Arkusz1 (4)'!B116-DATE(YEAR(B116),1,1)+1)/365)+((DATE(YEAR(B115),12,31)-'Arkusz1 (4)'!B115)/366))),IF(F116=1,(1+(#REF!)*((('Arkusz1 (4)'!B116-DATE(YEAR(B116),1,1)+1)/366)+((DATE(YEAR(B115),12,31)-'Arkusz1 (4)'!B115)/365))),0))</f>
        <v>#REF!</v>
      </c>
      <c r="H116" t="e">
        <f t="shared" si="11"/>
        <v>#REF!</v>
      </c>
      <c r="I116" t="e">
        <f t="shared" si="12"/>
        <v>#REF!</v>
      </c>
      <c r="J116" t="e">
        <f t="shared" si="13"/>
        <v>#REF!</v>
      </c>
      <c r="K116" t="e">
        <f>PRODUCT($J$3:J116)</f>
        <v>#REF!</v>
      </c>
      <c r="L116" t="e">
        <f t="shared" si="14"/>
        <v>#REF!</v>
      </c>
      <c r="M116" t="e">
        <f>SUM($L$3:L116)</f>
        <v>#REF!</v>
      </c>
      <c r="O116" t="e">
        <f>(Q115*'Arkusz1 (4)'!J116)-Q115</f>
        <v>#REF!</v>
      </c>
      <c r="P116" s="16" t="e">
        <f t="shared" si="15"/>
        <v>#REF!</v>
      </c>
      <c r="Q116" s="17" t="e">
        <f t="shared" si="16"/>
        <v>#REF!</v>
      </c>
    </row>
    <row r="117" spans="1:17" x14ac:dyDescent="0.35">
      <c r="A117">
        <v>115</v>
      </c>
      <c r="B117" s="14" t="e">
        <f t="shared" si="17"/>
        <v>#REF!</v>
      </c>
      <c r="C117" s="15" t="e">
        <f>(1+(#REF!)*('Arkusz1 (4)'!B117-'Arkusz1 (4)'!B116)/365)</f>
        <v>#REF!</v>
      </c>
      <c r="D117" s="15" t="e">
        <f>(1+(#REF!)*('Arkusz1 (4)'!B117-'Arkusz1 (4)'!B116)/366)</f>
        <v>#REF!</v>
      </c>
      <c r="E117" s="15" t="e">
        <f t="shared" si="9"/>
        <v>#REF!</v>
      </c>
      <c r="F117" s="15" t="e">
        <f t="shared" si="10"/>
        <v>#REF!</v>
      </c>
      <c r="G117" t="e">
        <f>IF(E117=1,(1+(#REF!)*((('Arkusz1 (4)'!B117-DATE(YEAR(B117),1,1)+1)/365)+((DATE(YEAR(B116),12,31)-'Arkusz1 (4)'!B116)/366))),IF(F117=1,(1+(#REF!)*((('Arkusz1 (4)'!B117-DATE(YEAR(B117),1,1)+1)/366)+((DATE(YEAR(B116),12,31)-'Arkusz1 (4)'!B116)/365))),0))</f>
        <v>#REF!</v>
      </c>
      <c r="H117" t="e">
        <f t="shared" si="11"/>
        <v>#REF!</v>
      </c>
      <c r="I117" t="e">
        <f t="shared" si="12"/>
        <v>#REF!</v>
      </c>
      <c r="J117" t="e">
        <f t="shared" si="13"/>
        <v>#REF!</v>
      </c>
      <c r="K117" t="e">
        <f>PRODUCT($J$3:J117)</f>
        <v>#REF!</v>
      </c>
      <c r="L117" t="e">
        <f t="shared" si="14"/>
        <v>#REF!</v>
      </c>
      <c r="M117" t="e">
        <f>SUM($L$3:L117)</f>
        <v>#REF!</v>
      </c>
      <c r="O117" t="e">
        <f>(Q116*'Arkusz1 (4)'!J117)-Q116</f>
        <v>#REF!</v>
      </c>
      <c r="P117" s="16" t="e">
        <f t="shared" si="15"/>
        <v>#REF!</v>
      </c>
      <c r="Q117" s="17" t="e">
        <f t="shared" si="16"/>
        <v>#REF!</v>
      </c>
    </row>
    <row r="118" spans="1:17" x14ac:dyDescent="0.35">
      <c r="A118">
        <v>116</v>
      </c>
      <c r="B118" s="14" t="e">
        <f t="shared" si="17"/>
        <v>#REF!</v>
      </c>
      <c r="C118" s="15" t="e">
        <f>(1+(#REF!)*('Arkusz1 (4)'!B118-'Arkusz1 (4)'!B117)/365)</f>
        <v>#REF!</v>
      </c>
      <c r="D118" s="15" t="e">
        <f>(1+(#REF!)*('Arkusz1 (4)'!B118-'Arkusz1 (4)'!B117)/366)</f>
        <v>#REF!</v>
      </c>
      <c r="E118" s="15" t="e">
        <f t="shared" si="9"/>
        <v>#REF!</v>
      </c>
      <c r="F118" s="15" t="e">
        <f t="shared" si="10"/>
        <v>#REF!</v>
      </c>
      <c r="G118" t="e">
        <f>IF(E118=1,(1+(#REF!)*((('Arkusz1 (4)'!B118-DATE(YEAR(B118),1,1)+1)/365)+((DATE(YEAR(B117),12,31)-'Arkusz1 (4)'!B117)/366))),IF(F118=1,(1+(#REF!)*((('Arkusz1 (4)'!B118-DATE(YEAR(B118),1,1)+1)/366)+((DATE(YEAR(B117),12,31)-'Arkusz1 (4)'!B117)/365))),0))</f>
        <v>#REF!</v>
      </c>
      <c r="H118" t="e">
        <f t="shared" si="11"/>
        <v>#REF!</v>
      </c>
      <c r="I118" t="e">
        <f t="shared" si="12"/>
        <v>#REF!</v>
      </c>
      <c r="J118" t="e">
        <f t="shared" si="13"/>
        <v>#REF!</v>
      </c>
      <c r="K118" t="e">
        <f>PRODUCT($J$3:J118)</f>
        <v>#REF!</v>
      </c>
      <c r="L118" t="e">
        <f t="shared" si="14"/>
        <v>#REF!</v>
      </c>
      <c r="M118" t="e">
        <f>SUM($L$3:L118)</f>
        <v>#REF!</v>
      </c>
      <c r="O118" t="e">
        <f>(Q117*'Arkusz1 (4)'!J118)-Q117</f>
        <v>#REF!</v>
      </c>
      <c r="P118" s="16" t="e">
        <f t="shared" si="15"/>
        <v>#REF!</v>
      </c>
      <c r="Q118" s="17" t="e">
        <f t="shared" si="16"/>
        <v>#REF!</v>
      </c>
    </row>
    <row r="119" spans="1:17" x14ac:dyDescent="0.35">
      <c r="A119">
        <v>117</v>
      </c>
      <c r="B119" s="14" t="e">
        <f t="shared" si="17"/>
        <v>#REF!</v>
      </c>
      <c r="C119" s="15" t="e">
        <f>(1+(#REF!)*('Arkusz1 (4)'!B119-'Arkusz1 (4)'!B118)/365)</f>
        <v>#REF!</v>
      </c>
      <c r="D119" s="15" t="e">
        <f>(1+(#REF!)*('Arkusz1 (4)'!B119-'Arkusz1 (4)'!B118)/366)</f>
        <v>#REF!</v>
      </c>
      <c r="E119" s="15" t="e">
        <f t="shared" si="9"/>
        <v>#REF!</v>
      </c>
      <c r="F119" s="15" t="e">
        <f t="shared" si="10"/>
        <v>#REF!</v>
      </c>
      <c r="G119" t="e">
        <f>IF(E119=1,(1+(#REF!)*((('Arkusz1 (4)'!B119-DATE(YEAR(B119),1,1)+1)/365)+((DATE(YEAR(B118),12,31)-'Arkusz1 (4)'!B118)/366))),IF(F119=1,(1+(#REF!)*((('Arkusz1 (4)'!B119-DATE(YEAR(B119),1,1)+1)/366)+((DATE(YEAR(B118),12,31)-'Arkusz1 (4)'!B118)/365))),0))</f>
        <v>#REF!</v>
      </c>
      <c r="H119" t="e">
        <f t="shared" si="11"/>
        <v>#REF!</v>
      </c>
      <c r="I119" t="e">
        <f t="shared" si="12"/>
        <v>#REF!</v>
      </c>
      <c r="J119" t="e">
        <f t="shared" si="13"/>
        <v>#REF!</v>
      </c>
      <c r="K119" t="e">
        <f>PRODUCT($J$3:J119)</f>
        <v>#REF!</v>
      </c>
      <c r="L119" t="e">
        <f t="shared" si="14"/>
        <v>#REF!</v>
      </c>
      <c r="M119" t="e">
        <f>SUM($L$3:L119)</f>
        <v>#REF!</v>
      </c>
      <c r="O119" t="e">
        <f>(Q118*'Arkusz1 (4)'!J119)-Q118</f>
        <v>#REF!</v>
      </c>
      <c r="P119" s="16" t="e">
        <f t="shared" si="15"/>
        <v>#REF!</v>
      </c>
      <c r="Q119" s="17" t="e">
        <f t="shared" si="16"/>
        <v>#REF!</v>
      </c>
    </row>
    <row r="120" spans="1:17" x14ac:dyDescent="0.35">
      <c r="A120">
        <v>118</v>
      </c>
      <c r="B120" s="14" t="e">
        <f t="shared" si="17"/>
        <v>#REF!</v>
      </c>
      <c r="C120" s="15" t="e">
        <f>(1+(#REF!)*('Arkusz1 (4)'!B120-'Arkusz1 (4)'!B119)/365)</f>
        <v>#REF!</v>
      </c>
      <c r="D120" s="15" t="e">
        <f>(1+(#REF!)*('Arkusz1 (4)'!B120-'Arkusz1 (4)'!B119)/366)</f>
        <v>#REF!</v>
      </c>
      <c r="E120" s="15" t="e">
        <f t="shared" si="9"/>
        <v>#REF!</v>
      </c>
      <c r="F120" s="15" t="e">
        <f t="shared" si="10"/>
        <v>#REF!</v>
      </c>
      <c r="G120" t="e">
        <f>IF(E120=1,(1+(#REF!)*((('Arkusz1 (4)'!B120-DATE(YEAR(B120),1,1)+1)/365)+((DATE(YEAR(B119),12,31)-'Arkusz1 (4)'!B119)/366))),IF(F120=1,(1+(#REF!)*((('Arkusz1 (4)'!B120-DATE(YEAR(B120),1,1)+1)/366)+((DATE(YEAR(B119),12,31)-'Arkusz1 (4)'!B119)/365))),0))</f>
        <v>#REF!</v>
      </c>
      <c r="H120" t="e">
        <f t="shared" si="11"/>
        <v>#REF!</v>
      </c>
      <c r="I120" t="e">
        <f t="shared" si="12"/>
        <v>#REF!</v>
      </c>
      <c r="J120" t="e">
        <f t="shared" si="13"/>
        <v>#REF!</v>
      </c>
      <c r="K120" t="e">
        <f>PRODUCT($J$3:J120)</f>
        <v>#REF!</v>
      </c>
      <c r="L120" t="e">
        <f t="shared" si="14"/>
        <v>#REF!</v>
      </c>
      <c r="M120" t="e">
        <f>SUM($L$3:L120)</f>
        <v>#REF!</v>
      </c>
      <c r="O120" t="e">
        <f>(Q119*'Arkusz1 (4)'!J120)-Q119</f>
        <v>#REF!</v>
      </c>
      <c r="P120" s="16" t="e">
        <f t="shared" si="15"/>
        <v>#REF!</v>
      </c>
      <c r="Q120" s="17" t="e">
        <f t="shared" si="16"/>
        <v>#REF!</v>
      </c>
    </row>
    <row r="121" spans="1:17" x14ac:dyDescent="0.35">
      <c r="A121">
        <v>119</v>
      </c>
      <c r="B121" s="14" t="e">
        <f t="shared" si="17"/>
        <v>#REF!</v>
      </c>
      <c r="C121" s="15" t="e">
        <f>(1+(#REF!)*('Arkusz1 (4)'!B121-'Arkusz1 (4)'!B120)/365)</f>
        <v>#REF!</v>
      </c>
      <c r="D121" s="15" t="e">
        <f>(1+(#REF!)*('Arkusz1 (4)'!B121-'Arkusz1 (4)'!B120)/366)</f>
        <v>#REF!</v>
      </c>
      <c r="E121" s="15" t="e">
        <f t="shared" si="9"/>
        <v>#REF!</v>
      </c>
      <c r="F121" s="15" t="e">
        <f t="shared" si="10"/>
        <v>#REF!</v>
      </c>
      <c r="G121" t="e">
        <f>IF(E121=1,(1+(#REF!)*((('Arkusz1 (4)'!B121-DATE(YEAR(B121),1,1)+1)/365)+((DATE(YEAR(B120),12,31)-'Arkusz1 (4)'!B120)/366))),IF(F121=1,(1+(#REF!)*((('Arkusz1 (4)'!B121-DATE(YEAR(B121),1,1)+1)/366)+((DATE(YEAR(B120),12,31)-'Arkusz1 (4)'!B120)/365))),0))</f>
        <v>#REF!</v>
      </c>
      <c r="H121" t="e">
        <f t="shared" si="11"/>
        <v>#REF!</v>
      </c>
      <c r="I121" t="e">
        <f t="shared" si="12"/>
        <v>#REF!</v>
      </c>
      <c r="J121" t="e">
        <f t="shared" si="13"/>
        <v>#REF!</v>
      </c>
      <c r="K121" t="e">
        <f>PRODUCT($J$3:J121)</f>
        <v>#REF!</v>
      </c>
      <c r="L121" t="e">
        <f t="shared" si="14"/>
        <v>#REF!</v>
      </c>
      <c r="M121" t="e">
        <f>SUM($L$3:L121)</f>
        <v>#REF!</v>
      </c>
      <c r="O121" t="e">
        <f>(Q120*'Arkusz1 (4)'!J121)-Q120</f>
        <v>#REF!</v>
      </c>
      <c r="P121" s="16" t="e">
        <f t="shared" si="15"/>
        <v>#REF!</v>
      </c>
      <c r="Q121" s="17" t="e">
        <f t="shared" si="16"/>
        <v>#REF!</v>
      </c>
    </row>
    <row r="122" spans="1:17" x14ac:dyDescent="0.35">
      <c r="A122">
        <v>120</v>
      </c>
      <c r="B122" s="14" t="e">
        <f t="shared" si="17"/>
        <v>#REF!</v>
      </c>
      <c r="C122" s="15" t="e">
        <f>(1+(#REF!)*('Arkusz1 (4)'!B122-'Arkusz1 (4)'!B121)/365)</f>
        <v>#REF!</v>
      </c>
      <c r="D122" s="15" t="e">
        <f>(1+(#REF!)*('Arkusz1 (4)'!B122-'Arkusz1 (4)'!B121)/366)</f>
        <v>#REF!</v>
      </c>
      <c r="E122" s="15" t="e">
        <f t="shared" si="9"/>
        <v>#REF!</v>
      </c>
      <c r="F122" s="15" t="e">
        <f t="shared" si="10"/>
        <v>#REF!</v>
      </c>
      <c r="G122" t="e">
        <f>IF(E122=1,(1+(#REF!)*((('Arkusz1 (4)'!B122-DATE(YEAR(B122),1,1)+1)/365)+((DATE(YEAR(B121),12,31)-'Arkusz1 (4)'!B121)/366))),IF(F122=1,(1+(#REF!)*((('Arkusz1 (4)'!B122-DATE(YEAR(B122),1,1)+1)/366)+((DATE(YEAR(B121),12,31)-'Arkusz1 (4)'!B121)/365))),0))</f>
        <v>#REF!</v>
      </c>
      <c r="H122" t="e">
        <f t="shared" si="11"/>
        <v>#REF!</v>
      </c>
      <c r="I122" t="e">
        <f t="shared" si="12"/>
        <v>#REF!</v>
      </c>
      <c r="J122" t="e">
        <f t="shared" si="13"/>
        <v>#REF!</v>
      </c>
      <c r="K122" t="e">
        <f>PRODUCT($J$3:J122)</f>
        <v>#REF!</v>
      </c>
      <c r="L122" t="e">
        <f t="shared" si="14"/>
        <v>#REF!</v>
      </c>
      <c r="M122" t="e">
        <f>SUM($L$3:L122)</f>
        <v>#REF!</v>
      </c>
      <c r="O122" t="e">
        <f>(Q121*'Arkusz1 (4)'!J122)-Q121</f>
        <v>#REF!</v>
      </c>
      <c r="P122" s="16" t="e">
        <f t="shared" si="15"/>
        <v>#REF!</v>
      </c>
      <c r="Q122" s="17" t="e">
        <f t="shared" si="16"/>
        <v>#REF!</v>
      </c>
    </row>
    <row r="123" spans="1:17" x14ac:dyDescent="0.35">
      <c r="A123">
        <v>121</v>
      </c>
      <c r="B123" s="14" t="e">
        <f t="shared" si="17"/>
        <v>#REF!</v>
      </c>
      <c r="C123" s="15" t="e">
        <f>(1+(#REF!)*('Arkusz1 (4)'!B123-'Arkusz1 (4)'!B122)/365)</f>
        <v>#REF!</v>
      </c>
      <c r="D123" s="15" t="e">
        <f>(1+(#REF!)*('Arkusz1 (4)'!B123-'Arkusz1 (4)'!B122)/366)</f>
        <v>#REF!</v>
      </c>
      <c r="E123" s="15" t="e">
        <f t="shared" si="9"/>
        <v>#REF!</v>
      </c>
      <c r="F123" s="15" t="e">
        <f t="shared" si="10"/>
        <v>#REF!</v>
      </c>
      <c r="G123" t="e">
        <f>IF(E123=1,(1+(#REF!)*((('Arkusz1 (4)'!B123-DATE(YEAR(B123),1,1)+1)/365)+((DATE(YEAR(B122),12,31)-'Arkusz1 (4)'!B122)/366))),IF(F123=1,(1+(#REF!)*((('Arkusz1 (4)'!B123-DATE(YEAR(B123),1,1)+1)/366)+((DATE(YEAR(B122),12,31)-'Arkusz1 (4)'!B122)/365))),0))</f>
        <v>#REF!</v>
      </c>
      <c r="H123" t="e">
        <f t="shared" si="11"/>
        <v>#REF!</v>
      </c>
      <c r="I123" t="e">
        <f t="shared" si="12"/>
        <v>#REF!</v>
      </c>
      <c r="J123" t="e">
        <f t="shared" si="13"/>
        <v>#REF!</v>
      </c>
      <c r="K123" t="e">
        <f>PRODUCT($J$3:J123)</f>
        <v>#REF!</v>
      </c>
      <c r="L123" t="e">
        <f t="shared" si="14"/>
        <v>#REF!</v>
      </c>
      <c r="M123" t="e">
        <f>SUM($L$3:L123)</f>
        <v>#REF!</v>
      </c>
      <c r="O123" t="e">
        <f>(Q122*'Arkusz1 (4)'!J123)-Q122</f>
        <v>#REF!</v>
      </c>
      <c r="P123" s="16" t="e">
        <f t="shared" si="15"/>
        <v>#REF!</v>
      </c>
      <c r="Q123" s="17" t="e">
        <f t="shared" si="16"/>
        <v>#REF!</v>
      </c>
    </row>
    <row r="124" spans="1:17" x14ac:dyDescent="0.35">
      <c r="A124">
        <v>122</v>
      </c>
      <c r="B124" s="14" t="e">
        <f t="shared" si="17"/>
        <v>#REF!</v>
      </c>
      <c r="C124" s="15" t="e">
        <f>(1+(#REF!)*('Arkusz1 (4)'!B124-'Arkusz1 (4)'!B123)/365)</f>
        <v>#REF!</v>
      </c>
      <c r="D124" s="15" t="e">
        <f>(1+(#REF!)*('Arkusz1 (4)'!B124-'Arkusz1 (4)'!B123)/366)</f>
        <v>#REF!</v>
      </c>
      <c r="E124" s="15" t="e">
        <f t="shared" si="9"/>
        <v>#REF!</v>
      </c>
      <c r="F124" s="15" t="e">
        <f t="shared" si="10"/>
        <v>#REF!</v>
      </c>
      <c r="G124" t="e">
        <f>IF(E124=1,(1+(#REF!)*((('Arkusz1 (4)'!B124-DATE(YEAR(B124),1,1)+1)/365)+((DATE(YEAR(B123),12,31)-'Arkusz1 (4)'!B123)/366))),IF(F124=1,(1+(#REF!)*((('Arkusz1 (4)'!B124-DATE(YEAR(B124),1,1)+1)/366)+((DATE(YEAR(B123),12,31)-'Arkusz1 (4)'!B123)/365))),0))</f>
        <v>#REF!</v>
      </c>
      <c r="H124" t="e">
        <f t="shared" si="11"/>
        <v>#REF!</v>
      </c>
      <c r="I124" t="e">
        <f t="shared" si="12"/>
        <v>#REF!</v>
      </c>
      <c r="J124" t="e">
        <f t="shared" si="13"/>
        <v>#REF!</v>
      </c>
      <c r="K124" t="e">
        <f>PRODUCT($J$3:J124)</f>
        <v>#REF!</v>
      </c>
      <c r="L124" t="e">
        <f t="shared" si="14"/>
        <v>#REF!</v>
      </c>
      <c r="M124" t="e">
        <f>SUM($L$3:L124)</f>
        <v>#REF!</v>
      </c>
      <c r="O124" t="e">
        <f>(Q123*'Arkusz1 (4)'!J124)-Q123</f>
        <v>#REF!</v>
      </c>
      <c r="P124" s="16" t="e">
        <f t="shared" si="15"/>
        <v>#REF!</v>
      </c>
      <c r="Q124" s="17" t="e">
        <f t="shared" si="16"/>
        <v>#REF!</v>
      </c>
    </row>
    <row r="125" spans="1:17" x14ac:dyDescent="0.35">
      <c r="A125">
        <v>123</v>
      </c>
      <c r="B125" s="14" t="e">
        <f t="shared" si="17"/>
        <v>#REF!</v>
      </c>
      <c r="C125" s="15" t="e">
        <f>(1+(#REF!)*('Arkusz1 (4)'!B125-'Arkusz1 (4)'!B124)/365)</f>
        <v>#REF!</v>
      </c>
      <c r="D125" s="15" t="e">
        <f>(1+(#REF!)*('Arkusz1 (4)'!B125-'Arkusz1 (4)'!B124)/366)</f>
        <v>#REF!</v>
      </c>
      <c r="E125" s="15" t="e">
        <f t="shared" si="9"/>
        <v>#REF!</v>
      </c>
      <c r="F125" s="15" t="e">
        <f t="shared" si="10"/>
        <v>#REF!</v>
      </c>
      <c r="G125" t="e">
        <f>IF(E125=1,(1+(#REF!)*((('Arkusz1 (4)'!B125-DATE(YEAR(B125),1,1)+1)/365)+((DATE(YEAR(B124),12,31)-'Arkusz1 (4)'!B124)/366))),IF(F125=1,(1+(#REF!)*((('Arkusz1 (4)'!B125-DATE(YEAR(B125),1,1)+1)/366)+((DATE(YEAR(B124),12,31)-'Arkusz1 (4)'!B124)/365))),0))</f>
        <v>#REF!</v>
      </c>
      <c r="H125" t="e">
        <f t="shared" si="11"/>
        <v>#REF!</v>
      </c>
      <c r="I125" t="e">
        <f t="shared" si="12"/>
        <v>#REF!</v>
      </c>
      <c r="J125" t="e">
        <f t="shared" si="13"/>
        <v>#REF!</v>
      </c>
      <c r="K125" t="e">
        <f>PRODUCT($J$3:J125)</f>
        <v>#REF!</v>
      </c>
      <c r="L125" t="e">
        <f t="shared" si="14"/>
        <v>#REF!</v>
      </c>
      <c r="M125" t="e">
        <f>SUM($L$3:L125)</f>
        <v>#REF!</v>
      </c>
      <c r="O125" t="e">
        <f>(Q124*'Arkusz1 (4)'!J125)-Q124</f>
        <v>#REF!</v>
      </c>
      <c r="P125" s="16" t="e">
        <f t="shared" si="15"/>
        <v>#REF!</v>
      </c>
      <c r="Q125" s="17" t="e">
        <f t="shared" si="16"/>
        <v>#REF!</v>
      </c>
    </row>
    <row r="126" spans="1:17" x14ac:dyDescent="0.35">
      <c r="A126">
        <v>124</v>
      </c>
      <c r="B126" s="14" t="e">
        <f t="shared" si="17"/>
        <v>#REF!</v>
      </c>
      <c r="C126" s="15" t="e">
        <f>(1+(#REF!)*('Arkusz1 (4)'!B126-'Arkusz1 (4)'!B125)/365)</f>
        <v>#REF!</v>
      </c>
      <c r="D126" s="15" t="e">
        <f>(1+(#REF!)*('Arkusz1 (4)'!B126-'Arkusz1 (4)'!B125)/366)</f>
        <v>#REF!</v>
      </c>
      <c r="E126" s="15" t="e">
        <f t="shared" si="9"/>
        <v>#REF!</v>
      </c>
      <c r="F126" s="15" t="e">
        <f t="shared" si="10"/>
        <v>#REF!</v>
      </c>
      <c r="G126" t="e">
        <f>IF(E126=1,(1+(#REF!)*((('Arkusz1 (4)'!B126-DATE(YEAR(B126),1,1)+1)/365)+((DATE(YEAR(B125),12,31)-'Arkusz1 (4)'!B125)/366))),IF(F126=1,(1+(#REF!)*((('Arkusz1 (4)'!B126-DATE(YEAR(B126),1,1)+1)/366)+((DATE(YEAR(B125),12,31)-'Arkusz1 (4)'!B125)/365))),0))</f>
        <v>#REF!</v>
      </c>
      <c r="H126" t="e">
        <f t="shared" si="11"/>
        <v>#REF!</v>
      </c>
      <c r="I126" t="e">
        <f t="shared" si="12"/>
        <v>#REF!</v>
      </c>
      <c r="J126" t="e">
        <f t="shared" si="13"/>
        <v>#REF!</v>
      </c>
      <c r="K126" t="e">
        <f>PRODUCT($J$3:J126)</f>
        <v>#REF!</v>
      </c>
      <c r="L126" t="e">
        <f t="shared" si="14"/>
        <v>#REF!</v>
      </c>
      <c r="M126" t="e">
        <f>SUM($L$3:L126)</f>
        <v>#REF!</v>
      </c>
      <c r="O126" t="e">
        <f>(Q125*'Arkusz1 (4)'!J126)-Q125</f>
        <v>#REF!</v>
      </c>
      <c r="P126" s="16" t="e">
        <f t="shared" si="15"/>
        <v>#REF!</v>
      </c>
      <c r="Q126" s="17" t="e">
        <f t="shared" si="16"/>
        <v>#REF!</v>
      </c>
    </row>
    <row r="127" spans="1:17" x14ac:dyDescent="0.35">
      <c r="A127">
        <v>125</v>
      </c>
      <c r="B127" s="14" t="e">
        <f t="shared" si="17"/>
        <v>#REF!</v>
      </c>
      <c r="C127" s="15" t="e">
        <f>(1+(#REF!)*('Arkusz1 (4)'!B127-'Arkusz1 (4)'!B126)/365)</f>
        <v>#REF!</v>
      </c>
      <c r="D127" s="15" t="e">
        <f>(1+(#REF!)*('Arkusz1 (4)'!B127-'Arkusz1 (4)'!B126)/366)</f>
        <v>#REF!</v>
      </c>
      <c r="E127" s="15" t="e">
        <f t="shared" si="9"/>
        <v>#REF!</v>
      </c>
      <c r="F127" s="15" t="e">
        <f t="shared" si="10"/>
        <v>#REF!</v>
      </c>
      <c r="G127" t="e">
        <f>IF(E127=1,(1+(#REF!)*((('Arkusz1 (4)'!B127-DATE(YEAR(B127),1,1)+1)/365)+((DATE(YEAR(B126),12,31)-'Arkusz1 (4)'!B126)/366))),IF(F127=1,(1+(#REF!)*((('Arkusz1 (4)'!B127-DATE(YEAR(B127),1,1)+1)/366)+((DATE(YEAR(B126),12,31)-'Arkusz1 (4)'!B126)/365))),0))</f>
        <v>#REF!</v>
      </c>
      <c r="H127" t="e">
        <f t="shared" si="11"/>
        <v>#REF!</v>
      </c>
      <c r="I127" t="e">
        <f t="shared" si="12"/>
        <v>#REF!</v>
      </c>
      <c r="J127" t="e">
        <f t="shared" si="13"/>
        <v>#REF!</v>
      </c>
      <c r="K127" t="e">
        <f>PRODUCT($J$3:J127)</f>
        <v>#REF!</v>
      </c>
      <c r="L127" t="e">
        <f t="shared" si="14"/>
        <v>#REF!</v>
      </c>
      <c r="M127" t="e">
        <f>SUM($L$3:L127)</f>
        <v>#REF!</v>
      </c>
      <c r="O127" t="e">
        <f>(Q126*'Arkusz1 (4)'!J127)-Q126</f>
        <v>#REF!</v>
      </c>
      <c r="P127" s="16" t="e">
        <f t="shared" si="15"/>
        <v>#REF!</v>
      </c>
      <c r="Q127" s="17" t="e">
        <f t="shared" si="16"/>
        <v>#REF!</v>
      </c>
    </row>
    <row r="128" spans="1:17" x14ac:dyDescent="0.35">
      <c r="A128">
        <v>126</v>
      </c>
      <c r="B128" s="14" t="e">
        <f t="shared" si="17"/>
        <v>#REF!</v>
      </c>
      <c r="C128" s="15" t="e">
        <f>(1+(#REF!)*('Arkusz1 (4)'!B128-'Arkusz1 (4)'!B127)/365)</f>
        <v>#REF!</v>
      </c>
      <c r="D128" s="15" t="e">
        <f>(1+(#REF!)*('Arkusz1 (4)'!B128-'Arkusz1 (4)'!B127)/366)</f>
        <v>#REF!</v>
      </c>
      <c r="E128" s="15" t="e">
        <f t="shared" si="9"/>
        <v>#REF!</v>
      </c>
      <c r="F128" s="15" t="e">
        <f t="shared" si="10"/>
        <v>#REF!</v>
      </c>
      <c r="G128" t="e">
        <f>IF(E128=1,(1+(#REF!)*((('Arkusz1 (4)'!B128-DATE(YEAR(B128),1,1)+1)/365)+((DATE(YEAR(B127),12,31)-'Arkusz1 (4)'!B127)/366))),IF(F128=1,(1+(#REF!)*((('Arkusz1 (4)'!B128-DATE(YEAR(B128),1,1)+1)/366)+((DATE(YEAR(B127),12,31)-'Arkusz1 (4)'!B127)/365))),0))</f>
        <v>#REF!</v>
      </c>
      <c r="H128" t="e">
        <f t="shared" si="11"/>
        <v>#REF!</v>
      </c>
      <c r="I128" t="e">
        <f t="shared" si="12"/>
        <v>#REF!</v>
      </c>
      <c r="J128" t="e">
        <f t="shared" si="13"/>
        <v>#REF!</v>
      </c>
      <c r="K128" t="e">
        <f>PRODUCT($J$3:J128)</f>
        <v>#REF!</v>
      </c>
      <c r="L128" t="e">
        <f t="shared" si="14"/>
        <v>#REF!</v>
      </c>
      <c r="M128" t="e">
        <f>SUM($L$3:L128)</f>
        <v>#REF!</v>
      </c>
      <c r="O128" t="e">
        <f>(Q127*'Arkusz1 (4)'!J128)-Q127</f>
        <v>#REF!</v>
      </c>
      <c r="P128" s="16" t="e">
        <f t="shared" si="15"/>
        <v>#REF!</v>
      </c>
      <c r="Q128" s="17" t="e">
        <f t="shared" si="16"/>
        <v>#REF!</v>
      </c>
    </row>
    <row r="129" spans="1:17" x14ac:dyDescent="0.35">
      <c r="A129">
        <v>127</v>
      </c>
      <c r="B129" s="14" t="e">
        <f t="shared" si="17"/>
        <v>#REF!</v>
      </c>
      <c r="C129" s="15" t="e">
        <f>(1+(#REF!)*('Arkusz1 (4)'!B129-'Arkusz1 (4)'!B128)/365)</f>
        <v>#REF!</v>
      </c>
      <c r="D129" s="15" t="e">
        <f>(1+(#REF!)*('Arkusz1 (4)'!B129-'Arkusz1 (4)'!B128)/366)</f>
        <v>#REF!</v>
      </c>
      <c r="E129" s="15" t="e">
        <f t="shared" si="9"/>
        <v>#REF!</v>
      </c>
      <c r="F129" s="15" t="e">
        <f t="shared" si="10"/>
        <v>#REF!</v>
      </c>
      <c r="G129" t="e">
        <f>IF(E129=1,(1+(#REF!)*((('Arkusz1 (4)'!B129-DATE(YEAR(B129),1,1)+1)/365)+((DATE(YEAR(B128),12,31)-'Arkusz1 (4)'!B128)/366))),IF(F129=1,(1+(#REF!)*((('Arkusz1 (4)'!B129-DATE(YEAR(B129),1,1)+1)/366)+((DATE(YEAR(B128),12,31)-'Arkusz1 (4)'!B128)/365))),0))</f>
        <v>#REF!</v>
      </c>
      <c r="H129" t="e">
        <f t="shared" si="11"/>
        <v>#REF!</v>
      </c>
      <c r="I129" t="e">
        <f t="shared" si="12"/>
        <v>#REF!</v>
      </c>
      <c r="J129" t="e">
        <f t="shared" si="13"/>
        <v>#REF!</v>
      </c>
      <c r="K129" t="e">
        <f>PRODUCT($J$3:J129)</f>
        <v>#REF!</v>
      </c>
      <c r="L129" t="e">
        <f t="shared" si="14"/>
        <v>#REF!</v>
      </c>
      <c r="M129" t="e">
        <f>SUM($L$3:L129)</f>
        <v>#REF!</v>
      </c>
      <c r="O129" t="e">
        <f>(Q128*'Arkusz1 (4)'!J129)-Q128</f>
        <v>#REF!</v>
      </c>
      <c r="P129" s="16" t="e">
        <f t="shared" si="15"/>
        <v>#REF!</v>
      </c>
      <c r="Q129" s="17" t="e">
        <f t="shared" si="16"/>
        <v>#REF!</v>
      </c>
    </row>
    <row r="130" spans="1:17" x14ac:dyDescent="0.35">
      <c r="A130">
        <v>128</v>
      </c>
      <c r="B130" s="14" t="e">
        <f t="shared" si="17"/>
        <v>#REF!</v>
      </c>
      <c r="C130" s="15" t="e">
        <f>(1+(#REF!)*('Arkusz1 (4)'!B130-'Arkusz1 (4)'!B129)/365)</f>
        <v>#REF!</v>
      </c>
      <c r="D130" s="15" t="e">
        <f>(1+(#REF!)*('Arkusz1 (4)'!B130-'Arkusz1 (4)'!B129)/366)</f>
        <v>#REF!</v>
      </c>
      <c r="E130" s="15" t="e">
        <f t="shared" si="9"/>
        <v>#REF!</v>
      </c>
      <c r="F130" s="15" t="e">
        <f t="shared" si="10"/>
        <v>#REF!</v>
      </c>
      <c r="G130" t="e">
        <f>IF(E130=1,(1+(#REF!)*((('Arkusz1 (4)'!B130-DATE(YEAR(B130),1,1)+1)/365)+((DATE(YEAR(B129),12,31)-'Arkusz1 (4)'!B129)/366))),IF(F130=1,(1+(#REF!)*((('Arkusz1 (4)'!B130-DATE(YEAR(B130),1,1)+1)/366)+((DATE(YEAR(B129),12,31)-'Arkusz1 (4)'!B129)/365))),0))</f>
        <v>#REF!</v>
      </c>
      <c r="H130" t="e">
        <f t="shared" si="11"/>
        <v>#REF!</v>
      </c>
      <c r="I130" t="e">
        <f t="shared" si="12"/>
        <v>#REF!</v>
      </c>
      <c r="J130" t="e">
        <f t="shared" si="13"/>
        <v>#REF!</v>
      </c>
      <c r="K130" t="e">
        <f>PRODUCT($J$3:J130)</f>
        <v>#REF!</v>
      </c>
      <c r="L130" t="e">
        <f t="shared" si="14"/>
        <v>#REF!</v>
      </c>
      <c r="M130" t="e">
        <f>SUM($L$3:L130)</f>
        <v>#REF!</v>
      </c>
      <c r="O130" t="e">
        <f>(Q129*'Arkusz1 (4)'!J130)-Q129</f>
        <v>#REF!</v>
      </c>
      <c r="P130" s="16" t="e">
        <f t="shared" si="15"/>
        <v>#REF!</v>
      </c>
      <c r="Q130" s="17" t="e">
        <f t="shared" si="16"/>
        <v>#REF!</v>
      </c>
    </row>
    <row r="131" spans="1:17" x14ac:dyDescent="0.35">
      <c r="A131">
        <v>129</v>
      </c>
      <c r="B131" s="14" t="e">
        <f t="shared" si="17"/>
        <v>#REF!</v>
      </c>
      <c r="C131" s="15" t="e">
        <f>(1+(#REF!)*('Arkusz1 (4)'!B131-'Arkusz1 (4)'!B130)/365)</f>
        <v>#REF!</v>
      </c>
      <c r="D131" s="15" t="e">
        <f>(1+(#REF!)*('Arkusz1 (4)'!B131-'Arkusz1 (4)'!B130)/366)</f>
        <v>#REF!</v>
      </c>
      <c r="E131" s="15" t="e">
        <f t="shared" si="9"/>
        <v>#REF!</v>
      </c>
      <c r="F131" s="15" t="e">
        <f t="shared" si="10"/>
        <v>#REF!</v>
      </c>
      <c r="G131" t="e">
        <f>IF(E131=1,(1+(#REF!)*((('Arkusz1 (4)'!B131-DATE(YEAR(B131),1,1)+1)/365)+((DATE(YEAR(B130),12,31)-'Arkusz1 (4)'!B130)/366))),IF(F131=1,(1+(#REF!)*((('Arkusz1 (4)'!B131-DATE(YEAR(B131),1,1)+1)/366)+((DATE(YEAR(B130),12,31)-'Arkusz1 (4)'!B130)/365))),0))</f>
        <v>#REF!</v>
      </c>
      <c r="H131" t="e">
        <f t="shared" si="11"/>
        <v>#REF!</v>
      </c>
      <c r="I131" t="e">
        <f t="shared" si="12"/>
        <v>#REF!</v>
      </c>
      <c r="J131" t="e">
        <f t="shared" si="13"/>
        <v>#REF!</v>
      </c>
      <c r="K131" t="e">
        <f>PRODUCT($J$3:J131)</f>
        <v>#REF!</v>
      </c>
      <c r="L131" t="e">
        <f t="shared" si="14"/>
        <v>#REF!</v>
      </c>
      <c r="M131" t="e">
        <f>SUM($L$3:L131)</f>
        <v>#REF!</v>
      </c>
      <c r="O131" t="e">
        <f>(Q130*'Arkusz1 (4)'!J131)-Q130</f>
        <v>#REF!</v>
      </c>
      <c r="P131" s="16" t="e">
        <f t="shared" si="15"/>
        <v>#REF!</v>
      </c>
      <c r="Q131" s="17" t="e">
        <f t="shared" si="16"/>
        <v>#REF!</v>
      </c>
    </row>
    <row r="132" spans="1:17" x14ac:dyDescent="0.35">
      <c r="A132">
        <v>130</v>
      </c>
      <c r="B132" s="14" t="e">
        <f t="shared" si="17"/>
        <v>#REF!</v>
      </c>
      <c r="C132" s="15" t="e">
        <f>(1+(#REF!)*('Arkusz1 (4)'!B132-'Arkusz1 (4)'!B131)/365)</f>
        <v>#REF!</v>
      </c>
      <c r="D132" s="15" t="e">
        <f>(1+(#REF!)*('Arkusz1 (4)'!B132-'Arkusz1 (4)'!B131)/366)</f>
        <v>#REF!</v>
      </c>
      <c r="E132" s="15" t="e">
        <f t="shared" ref="E132:E182" si="18">IF(AND(MOD(YEAR(B131),4)=0,MOD(YEAR(B132),4)&lt;&gt;0),1,0)</f>
        <v>#REF!</v>
      </c>
      <c r="F132" s="15" t="e">
        <f t="shared" ref="F132:F182" si="19">IF(AND(MOD(YEAR(B132),4)=0,MOD(YEAR(B131),4)&lt;&gt;0),1,0)</f>
        <v>#REF!</v>
      </c>
      <c r="G132" t="e">
        <f>IF(E132=1,(1+(#REF!)*((('Arkusz1 (4)'!B132-DATE(YEAR(B132),1,1)+1)/365)+((DATE(YEAR(B131),12,31)-'Arkusz1 (4)'!B131)/366))),IF(F132=1,(1+(#REF!)*((('Arkusz1 (4)'!B132-DATE(YEAR(B132),1,1)+1)/366)+((DATE(YEAR(B131),12,31)-'Arkusz1 (4)'!B131)/365))),0))</f>
        <v>#REF!</v>
      </c>
      <c r="H132" t="e">
        <f t="shared" ref="H132:H182" si="20">IF(MOD(YEAR(B132),4)=0,1,0)</f>
        <v>#REF!</v>
      </c>
      <c r="I132" t="e">
        <f t="shared" ref="I132:I182" si="21">IF(H132=0,C132,IF(H132=1,D132,"blad"))</f>
        <v>#REF!</v>
      </c>
      <c r="J132" t="e">
        <f t="shared" ref="J132:J182" si="22">IF(OR(E132=1,F132=1),G132,I132)</f>
        <v>#REF!</v>
      </c>
      <c r="K132" t="e">
        <f>PRODUCT($J$3:J132)</f>
        <v>#REF!</v>
      </c>
      <c r="L132" t="e">
        <f t="shared" ref="L132:L182" si="23">1/K132</f>
        <v>#REF!</v>
      </c>
      <c r="M132" t="e">
        <f>SUM($L$3:L132)</f>
        <v>#REF!</v>
      </c>
      <c r="O132" t="e">
        <f>(Q131*'Arkusz1 (4)'!J132)-Q131</f>
        <v>#REF!</v>
      </c>
      <c r="P132" s="16" t="e">
        <f t="shared" si="15"/>
        <v>#REF!</v>
      </c>
      <c r="Q132" s="17" t="e">
        <f t="shared" si="16"/>
        <v>#REF!</v>
      </c>
    </row>
    <row r="133" spans="1:17" x14ac:dyDescent="0.35">
      <c r="A133">
        <v>131</v>
      </c>
      <c r="B133" s="14" t="e">
        <f t="shared" si="17"/>
        <v>#REF!</v>
      </c>
      <c r="C133" s="15" t="e">
        <f>(1+(#REF!)*('Arkusz1 (4)'!B133-'Arkusz1 (4)'!B132)/365)</f>
        <v>#REF!</v>
      </c>
      <c r="D133" s="15" t="e">
        <f>(1+(#REF!)*('Arkusz1 (4)'!B133-'Arkusz1 (4)'!B132)/366)</f>
        <v>#REF!</v>
      </c>
      <c r="E133" s="15" t="e">
        <f t="shared" si="18"/>
        <v>#REF!</v>
      </c>
      <c r="F133" s="15" t="e">
        <f t="shared" si="19"/>
        <v>#REF!</v>
      </c>
      <c r="G133" t="e">
        <f>IF(E133=1,(1+(#REF!)*((('Arkusz1 (4)'!B133-DATE(YEAR(B133),1,1)+1)/365)+((DATE(YEAR(B132),12,31)-'Arkusz1 (4)'!B132)/366))),IF(F133=1,(1+(#REF!)*((('Arkusz1 (4)'!B133-DATE(YEAR(B133),1,1)+1)/366)+((DATE(YEAR(B132),12,31)-'Arkusz1 (4)'!B132)/365))),0))</f>
        <v>#REF!</v>
      </c>
      <c r="H133" t="e">
        <f t="shared" si="20"/>
        <v>#REF!</v>
      </c>
      <c r="I133" t="e">
        <f t="shared" si="21"/>
        <v>#REF!</v>
      </c>
      <c r="J133" t="e">
        <f t="shared" si="22"/>
        <v>#REF!</v>
      </c>
      <c r="K133" t="e">
        <f>PRODUCT($J$3:J133)</f>
        <v>#REF!</v>
      </c>
      <c r="L133" t="e">
        <f t="shared" si="23"/>
        <v>#REF!</v>
      </c>
      <c r="M133" t="e">
        <f>SUM($L$3:L133)</f>
        <v>#REF!</v>
      </c>
      <c r="O133" t="e">
        <f>(Q132*'Arkusz1 (4)'!J133)-Q132</f>
        <v>#REF!</v>
      </c>
      <c r="P133" s="16" t="e">
        <f t="shared" ref="P133:P182" si="24">$N$2-O133</f>
        <v>#REF!</v>
      </c>
      <c r="Q133" s="17" t="e">
        <f t="shared" ref="Q133:Q182" si="25">Q132-P133</f>
        <v>#REF!</v>
      </c>
    </row>
    <row r="134" spans="1:17" x14ac:dyDescent="0.35">
      <c r="A134">
        <v>132</v>
      </c>
      <c r="B134" s="14" t="e">
        <f t="shared" ref="B134:B182" si="26">DATE(YEAR((B133)),MONTH((B133))+1,IF(AND(DAY(B133)&gt;28,MONTH((B133))+1=2),IF(MOD(YEAR(B133),4)=0,29,28),IF(AND(OR(DAY(B133)=28,DAY(B133)=29),MONTH((B133))=2),DAY(B132),DAY(B133))))</f>
        <v>#REF!</v>
      </c>
      <c r="C134" s="15" t="e">
        <f>(1+(#REF!)*('Arkusz1 (4)'!B134-'Arkusz1 (4)'!B133)/365)</f>
        <v>#REF!</v>
      </c>
      <c r="D134" s="15" t="e">
        <f>(1+(#REF!)*('Arkusz1 (4)'!B134-'Arkusz1 (4)'!B133)/366)</f>
        <v>#REF!</v>
      </c>
      <c r="E134" s="15" t="e">
        <f t="shared" si="18"/>
        <v>#REF!</v>
      </c>
      <c r="F134" s="15" t="e">
        <f t="shared" si="19"/>
        <v>#REF!</v>
      </c>
      <c r="G134" t="e">
        <f>IF(E134=1,(1+(#REF!)*((('Arkusz1 (4)'!B134-DATE(YEAR(B134),1,1)+1)/365)+((DATE(YEAR(B133),12,31)-'Arkusz1 (4)'!B133)/366))),IF(F134=1,(1+(#REF!)*((('Arkusz1 (4)'!B134-DATE(YEAR(B134),1,1)+1)/366)+((DATE(YEAR(B133),12,31)-'Arkusz1 (4)'!B133)/365))),0))</f>
        <v>#REF!</v>
      </c>
      <c r="H134" t="e">
        <f t="shared" si="20"/>
        <v>#REF!</v>
      </c>
      <c r="I134" t="e">
        <f t="shared" si="21"/>
        <v>#REF!</v>
      </c>
      <c r="J134" t="e">
        <f t="shared" si="22"/>
        <v>#REF!</v>
      </c>
      <c r="K134" t="e">
        <f>PRODUCT($J$3:J134)</f>
        <v>#REF!</v>
      </c>
      <c r="L134" t="e">
        <f t="shared" si="23"/>
        <v>#REF!</v>
      </c>
      <c r="M134" t="e">
        <f>SUM($L$3:L134)</f>
        <v>#REF!</v>
      </c>
      <c r="O134" t="e">
        <f>(Q133*'Arkusz1 (4)'!J134)-Q133</f>
        <v>#REF!</v>
      </c>
      <c r="P134" s="16" t="e">
        <f t="shared" si="24"/>
        <v>#REF!</v>
      </c>
      <c r="Q134" s="17" t="e">
        <f t="shared" si="25"/>
        <v>#REF!</v>
      </c>
    </row>
    <row r="135" spans="1:17" x14ac:dyDescent="0.35">
      <c r="A135">
        <v>133</v>
      </c>
      <c r="B135" s="14" t="e">
        <f t="shared" si="26"/>
        <v>#REF!</v>
      </c>
      <c r="C135" s="15" t="e">
        <f>(1+(#REF!)*('Arkusz1 (4)'!B135-'Arkusz1 (4)'!B134)/365)</f>
        <v>#REF!</v>
      </c>
      <c r="D135" s="15" t="e">
        <f>(1+(#REF!)*('Arkusz1 (4)'!B135-'Arkusz1 (4)'!B134)/366)</f>
        <v>#REF!</v>
      </c>
      <c r="E135" s="15" t="e">
        <f t="shared" si="18"/>
        <v>#REF!</v>
      </c>
      <c r="F135" s="15" t="e">
        <f t="shared" si="19"/>
        <v>#REF!</v>
      </c>
      <c r="G135" t="e">
        <f>IF(E135=1,(1+(#REF!)*((('Arkusz1 (4)'!B135-DATE(YEAR(B135),1,1)+1)/365)+((DATE(YEAR(B134),12,31)-'Arkusz1 (4)'!B134)/366))),IF(F135=1,(1+(#REF!)*((('Arkusz1 (4)'!B135-DATE(YEAR(B135),1,1)+1)/366)+((DATE(YEAR(B134),12,31)-'Arkusz1 (4)'!B134)/365))),0))</f>
        <v>#REF!</v>
      </c>
      <c r="H135" t="e">
        <f t="shared" si="20"/>
        <v>#REF!</v>
      </c>
      <c r="I135" t="e">
        <f t="shared" si="21"/>
        <v>#REF!</v>
      </c>
      <c r="J135" t="e">
        <f t="shared" si="22"/>
        <v>#REF!</v>
      </c>
      <c r="K135" t="e">
        <f>PRODUCT($J$3:J135)</f>
        <v>#REF!</v>
      </c>
      <c r="L135" t="e">
        <f t="shared" si="23"/>
        <v>#REF!</v>
      </c>
      <c r="M135" t="e">
        <f>SUM($L$3:L135)</f>
        <v>#REF!</v>
      </c>
      <c r="O135" t="e">
        <f>(Q134*'Arkusz1 (4)'!J135)-Q134</f>
        <v>#REF!</v>
      </c>
      <c r="P135" s="16" t="e">
        <f t="shared" si="24"/>
        <v>#REF!</v>
      </c>
      <c r="Q135" s="17" t="e">
        <f t="shared" si="25"/>
        <v>#REF!</v>
      </c>
    </row>
    <row r="136" spans="1:17" x14ac:dyDescent="0.35">
      <c r="A136">
        <v>134</v>
      </c>
      <c r="B136" s="14" t="e">
        <f t="shared" si="26"/>
        <v>#REF!</v>
      </c>
      <c r="C136" s="15" t="e">
        <f>(1+(#REF!)*('Arkusz1 (4)'!B136-'Arkusz1 (4)'!B135)/365)</f>
        <v>#REF!</v>
      </c>
      <c r="D136" s="15" t="e">
        <f>(1+(#REF!)*('Arkusz1 (4)'!B136-'Arkusz1 (4)'!B135)/366)</f>
        <v>#REF!</v>
      </c>
      <c r="E136" s="15" t="e">
        <f t="shared" si="18"/>
        <v>#REF!</v>
      </c>
      <c r="F136" s="15" t="e">
        <f t="shared" si="19"/>
        <v>#REF!</v>
      </c>
      <c r="G136" t="e">
        <f>IF(E136=1,(1+(#REF!)*((('Arkusz1 (4)'!B136-DATE(YEAR(B136),1,1)+1)/365)+((DATE(YEAR(B135),12,31)-'Arkusz1 (4)'!B135)/366))),IF(F136=1,(1+(#REF!)*((('Arkusz1 (4)'!B136-DATE(YEAR(B136),1,1)+1)/366)+((DATE(YEAR(B135),12,31)-'Arkusz1 (4)'!B135)/365))),0))</f>
        <v>#REF!</v>
      </c>
      <c r="H136" t="e">
        <f t="shared" si="20"/>
        <v>#REF!</v>
      </c>
      <c r="I136" t="e">
        <f t="shared" si="21"/>
        <v>#REF!</v>
      </c>
      <c r="J136" t="e">
        <f t="shared" si="22"/>
        <v>#REF!</v>
      </c>
      <c r="K136" t="e">
        <f>PRODUCT($J$3:J136)</f>
        <v>#REF!</v>
      </c>
      <c r="L136" t="e">
        <f t="shared" si="23"/>
        <v>#REF!</v>
      </c>
      <c r="M136" t="e">
        <f>SUM($L$3:L136)</f>
        <v>#REF!</v>
      </c>
      <c r="O136" t="e">
        <f>(Q135*'Arkusz1 (4)'!J136)-Q135</f>
        <v>#REF!</v>
      </c>
      <c r="P136" s="16" t="e">
        <f t="shared" si="24"/>
        <v>#REF!</v>
      </c>
      <c r="Q136" s="17" t="e">
        <f t="shared" si="25"/>
        <v>#REF!</v>
      </c>
    </row>
    <row r="137" spans="1:17" x14ac:dyDescent="0.35">
      <c r="A137">
        <v>135</v>
      </c>
      <c r="B137" s="14" t="e">
        <f t="shared" si="26"/>
        <v>#REF!</v>
      </c>
      <c r="C137" s="15" t="e">
        <f>(1+(#REF!)*('Arkusz1 (4)'!B137-'Arkusz1 (4)'!B136)/365)</f>
        <v>#REF!</v>
      </c>
      <c r="D137" s="15" t="e">
        <f>(1+(#REF!)*('Arkusz1 (4)'!B137-'Arkusz1 (4)'!B136)/366)</f>
        <v>#REF!</v>
      </c>
      <c r="E137" s="15" t="e">
        <f t="shared" si="18"/>
        <v>#REF!</v>
      </c>
      <c r="F137" s="15" t="e">
        <f t="shared" si="19"/>
        <v>#REF!</v>
      </c>
      <c r="G137" t="e">
        <f>IF(E137=1,(1+(#REF!)*((('Arkusz1 (4)'!B137-DATE(YEAR(B137),1,1)+1)/365)+((DATE(YEAR(B136),12,31)-'Arkusz1 (4)'!B136)/366))),IF(F137=1,(1+(#REF!)*((('Arkusz1 (4)'!B137-DATE(YEAR(B137),1,1)+1)/366)+((DATE(YEAR(B136),12,31)-'Arkusz1 (4)'!B136)/365))),0))</f>
        <v>#REF!</v>
      </c>
      <c r="H137" t="e">
        <f t="shared" si="20"/>
        <v>#REF!</v>
      </c>
      <c r="I137" t="e">
        <f t="shared" si="21"/>
        <v>#REF!</v>
      </c>
      <c r="J137" t="e">
        <f t="shared" si="22"/>
        <v>#REF!</v>
      </c>
      <c r="K137" t="e">
        <f>PRODUCT($J$3:J137)</f>
        <v>#REF!</v>
      </c>
      <c r="L137" t="e">
        <f t="shared" si="23"/>
        <v>#REF!</v>
      </c>
      <c r="M137" t="e">
        <f>SUM($L$3:L137)</f>
        <v>#REF!</v>
      </c>
      <c r="O137" t="e">
        <f>(Q136*'Arkusz1 (4)'!J137)-Q136</f>
        <v>#REF!</v>
      </c>
      <c r="P137" s="16" t="e">
        <f t="shared" si="24"/>
        <v>#REF!</v>
      </c>
      <c r="Q137" s="17" t="e">
        <f t="shared" si="25"/>
        <v>#REF!</v>
      </c>
    </row>
    <row r="138" spans="1:17" x14ac:dyDescent="0.35">
      <c r="A138">
        <v>136</v>
      </c>
      <c r="B138" s="14" t="e">
        <f t="shared" si="26"/>
        <v>#REF!</v>
      </c>
      <c r="C138" s="15" t="e">
        <f>(1+(#REF!)*('Arkusz1 (4)'!B138-'Arkusz1 (4)'!B137)/365)</f>
        <v>#REF!</v>
      </c>
      <c r="D138" s="15" t="e">
        <f>(1+(#REF!)*('Arkusz1 (4)'!B138-'Arkusz1 (4)'!B137)/366)</f>
        <v>#REF!</v>
      </c>
      <c r="E138" s="15" t="e">
        <f t="shared" si="18"/>
        <v>#REF!</v>
      </c>
      <c r="F138" s="15" t="e">
        <f t="shared" si="19"/>
        <v>#REF!</v>
      </c>
      <c r="G138" t="e">
        <f>IF(E138=1,(1+(#REF!)*((('Arkusz1 (4)'!B138-DATE(YEAR(B138),1,1)+1)/365)+((DATE(YEAR(B137),12,31)-'Arkusz1 (4)'!B137)/366))),IF(F138=1,(1+(#REF!)*((('Arkusz1 (4)'!B138-DATE(YEAR(B138),1,1)+1)/366)+((DATE(YEAR(B137),12,31)-'Arkusz1 (4)'!B137)/365))),0))</f>
        <v>#REF!</v>
      </c>
      <c r="H138" t="e">
        <f t="shared" si="20"/>
        <v>#REF!</v>
      </c>
      <c r="I138" t="e">
        <f t="shared" si="21"/>
        <v>#REF!</v>
      </c>
      <c r="J138" t="e">
        <f t="shared" si="22"/>
        <v>#REF!</v>
      </c>
      <c r="K138" t="e">
        <f>PRODUCT($J$3:J138)</f>
        <v>#REF!</v>
      </c>
      <c r="L138" t="e">
        <f t="shared" si="23"/>
        <v>#REF!</v>
      </c>
      <c r="M138" t="e">
        <f>SUM($L$3:L138)</f>
        <v>#REF!</v>
      </c>
      <c r="O138" t="e">
        <f>(Q137*'Arkusz1 (4)'!J138)-Q137</f>
        <v>#REF!</v>
      </c>
      <c r="P138" s="16" t="e">
        <f t="shared" si="24"/>
        <v>#REF!</v>
      </c>
      <c r="Q138" s="17" t="e">
        <f t="shared" si="25"/>
        <v>#REF!</v>
      </c>
    </row>
    <row r="139" spans="1:17" x14ac:dyDescent="0.35">
      <c r="A139">
        <v>137</v>
      </c>
      <c r="B139" s="14" t="e">
        <f t="shared" si="26"/>
        <v>#REF!</v>
      </c>
      <c r="C139" s="15" t="e">
        <f>(1+(#REF!)*('Arkusz1 (4)'!B139-'Arkusz1 (4)'!B138)/365)</f>
        <v>#REF!</v>
      </c>
      <c r="D139" s="15" t="e">
        <f>(1+(#REF!)*('Arkusz1 (4)'!B139-'Arkusz1 (4)'!B138)/366)</f>
        <v>#REF!</v>
      </c>
      <c r="E139" s="15" t="e">
        <f t="shared" si="18"/>
        <v>#REF!</v>
      </c>
      <c r="F139" s="15" t="e">
        <f t="shared" si="19"/>
        <v>#REF!</v>
      </c>
      <c r="G139" t="e">
        <f>IF(E139=1,(1+(#REF!)*((('Arkusz1 (4)'!B139-DATE(YEAR(B139),1,1)+1)/365)+((DATE(YEAR(B138),12,31)-'Arkusz1 (4)'!B138)/366))),IF(F139=1,(1+(#REF!)*((('Arkusz1 (4)'!B139-DATE(YEAR(B139),1,1)+1)/366)+((DATE(YEAR(B138),12,31)-'Arkusz1 (4)'!B138)/365))),0))</f>
        <v>#REF!</v>
      </c>
      <c r="H139" t="e">
        <f t="shared" si="20"/>
        <v>#REF!</v>
      </c>
      <c r="I139" t="e">
        <f t="shared" si="21"/>
        <v>#REF!</v>
      </c>
      <c r="J139" t="e">
        <f t="shared" si="22"/>
        <v>#REF!</v>
      </c>
      <c r="K139" t="e">
        <f>PRODUCT($J$3:J139)</f>
        <v>#REF!</v>
      </c>
      <c r="L139" t="e">
        <f t="shared" si="23"/>
        <v>#REF!</v>
      </c>
      <c r="M139" t="e">
        <f>SUM($L$3:L139)</f>
        <v>#REF!</v>
      </c>
      <c r="O139" t="e">
        <f>(Q138*'Arkusz1 (4)'!J139)-Q138</f>
        <v>#REF!</v>
      </c>
      <c r="P139" s="16" t="e">
        <f t="shared" si="24"/>
        <v>#REF!</v>
      </c>
      <c r="Q139" s="17" t="e">
        <f t="shared" si="25"/>
        <v>#REF!</v>
      </c>
    </row>
    <row r="140" spans="1:17" x14ac:dyDescent="0.35">
      <c r="A140">
        <v>138</v>
      </c>
      <c r="B140" s="14" t="e">
        <f t="shared" si="26"/>
        <v>#REF!</v>
      </c>
      <c r="C140" s="15" t="e">
        <f>(1+(#REF!)*('Arkusz1 (4)'!B140-'Arkusz1 (4)'!B139)/365)</f>
        <v>#REF!</v>
      </c>
      <c r="D140" s="15" t="e">
        <f>(1+(#REF!)*('Arkusz1 (4)'!B140-'Arkusz1 (4)'!B139)/366)</f>
        <v>#REF!</v>
      </c>
      <c r="E140" s="15" t="e">
        <f t="shared" si="18"/>
        <v>#REF!</v>
      </c>
      <c r="F140" s="15" t="e">
        <f t="shared" si="19"/>
        <v>#REF!</v>
      </c>
      <c r="G140" t="e">
        <f>IF(E140=1,(1+(#REF!)*((('Arkusz1 (4)'!B140-DATE(YEAR(B140),1,1)+1)/365)+((DATE(YEAR(B139),12,31)-'Arkusz1 (4)'!B139)/366))),IF(F140=1,(1+(#REF!)*((('Arkusz1 (4)'!B140-DATE(YEAR(B140),1,1)+1)/366)+((DATE(YEAR(B139),12,31)-'Arkusz1 (4)'!B139)/365))),0))</f>
        <v>#REF!</v>
      </c>
      <c r="H140" t="e">
        <f t="shared" si="20"/>
        <v>#REF!</v>
      </c>
      <c r="I140" t="e">
        <f t="shared" si="21"/>
        <v>#REF!</v>
      </c>
      <c r="J140" t="e">
        <f t="shared" si="22"/>
        <v>#REF!</v>
      </c>
      <c r="K140" t="e">
        <f>PRODUCT($J$3:J140)</f>
        <v>#REF!</v>
      </c>
      <c r="L140" t="e">
        <f t="shared" si="23"/>
        <v>#REF!</v>
      </c>
      <c r="M140" t="e">
        <f>SUM($L$3:L140)</f>
        <v>#REF!</v>
      </c>
      <c r="O140" t="e">
        <f>(Q139*'Arkusz1 (4)'!J140)-Q139</f>
        <v>#REF!</v>
      </c>
      <c r="P140" s="16" t="e">
        <f t="shared" si="24"/>
        <v>#REF!</v>
      </c>
      <c r="Q140" s="17" t="e">
        <f t="shared" si="25"/>
        <v>#REF!</v>
      </c>
    </row>
    <row r="141" spans="1:17" x14ac:dyDescent="0.35">
      <c r="A141">
        <v>139</v>
      </c>
      <c r="B141" s="14" t="e">
        <f t="shared" si="26"/>
        <v>#REF!</v>
      </c>
      <c r="C141" s="15" t="e">
        <f>(1+(#REF!)*('Arkusz1 (4)'!B141-'Arkusz1 (4)'!B140)/365)</f>
        <v>#REF!</v>
      </c>
      <c r="D141" s="15" t="e">
        <f>(1+(#REF!)*('Arkusz1 (4)'!B141-'Arkusz1 (4)'!B140)/366)</f>
        <v>#REF!</v>
      </c>
      <c r="E141" s="15" t="e">
        <f t="shared" si="18"/>
        <v>#REF!</v>
      </c>
      <c r="F141" s="15" t="e">
        <f t="shared" si="19"/>
        <v>#REF!</v>
      </c>
      <c r="G141" t="e">
        <f>IF(E141=1,(1+(#REF!)*((('Arkusz1 (4)'!B141-DATE(YEAR(B141),1,1)+1)/365)+((DATE(YEAR(B140),12,31)-'Arkusz1 (4)'!B140)/366))),IF(F141=1,(1+(#REF!)*((('Arkusz1 (4)'!B141-DATE(YEAR(B141),1,1)+1)/366)+((DATE(YEAR(B140),12,31)-'Arkusz1 (4)'!B140)/365))),0))</f>
        <v>#REF!</v>
      </c>
      <c r="H141" t="e">
        <f t="shared" si="20"/>
        <v>#REF!</v>
      </c>
      <c r="I141" t="e">
        <f t="shared" si="21"/>
        <v>#REF!</v>
      </c>
      <c r="J141" t="e">
        <f t="shared" si="22"/>
        <v>#REF!</v>
      </c>
      <c r="K141" t="e">
        <f>PRODUCT($J$3:J141)</f>
        <v>#REF!</v>
      </c>
      <c r="L141" t="e">
        <f t="shared" si="23"/>
        <v>#REF!</v>
      </c>
      <c r="M141" t="e">
        <f>SUM($L$3:L141)</f>
        <v>#REF!</v>
      </c>
      <c r="O141" t="e">
        <f>(Q140*'Arkusz1 (4)'!J141)-Q140</f>
        <v>#REF!</v>
      </c>
      <c r="P141" s="16" t="e">
        <f t="shared" si="24"/>
        <v>#REF!</v>
      </c>
      <c r="Q141" s="17" t="e">
        <f t="shared" si="25"/>
        <v>#REF!</v>
      </c>
    </row>
    <row r="142" spans="1:17" x14ac:dyDescent="0.35">
      <c r="A142">
        <v>140</v>
      </c>
      <c r="B142" s="14" t="e">
        <f t="shared" si="26"/>
        <v>#REF!</v>
      </c>
      <c r="C142" s="15" t="e">
        <f>(1+(#REF!)*('Arkusz1 (4)'!B142-'Arkusz1 (4)'!B141)/365)</f>
        <v>#REF!</v>
      </c>
      <c r="D142" s="15" t="e">
        <f>(1+(#REF!)*('Arkusz1 (4)'!B142-'Arkusz1 (4)'!B141)/366)</f>
        <v>#REF!</v>
      </c>
      <c r="E142" s="15" t="e">
        <f t="shared" si="18"/>
        <v>#REF!</v>
      </c>
      <c r="F142" s="15" t="e">
        <f t="shared" si="19"/>
        <v>#REF!</v>
      </c>
      <c r="G142" t="e">
        <f>IF(E142=1,(1+(#REF!)*((('Arkusz1 (4)'!B142-DATE(YEAR(B142),1,1)+1)/365)+((DATE(YEAR(B141),12,31)-'Arkusz1 (4)'!B141)/366))),IF(F142=1,(1+(#REF!)*((('Arkusz1 (4)'!B142-DATE(YEAR(B142),1,1)+1)/366)+((DATE(YEAR(B141),12,31)-'Arkusz1 (4)'!B141)/365))),0))</f>
        <v>#REF!</v>
      </c>
      <c r="H142" t="e">
        <f t="shared" si="20"/>
        <v>#REF!</v>
      </c>
      <c r="I142" t="e">
        <f t="shared" si="21"/>
        <v>#REF!</v>
      </c>
      <c r="J142" t="e">
        <f t="shared" si="22"/>
        <v>#REF!</v>
      </c>
      <c r="K142" t="e">
        <f>PRODUCT($J$3:J142)</f>
        <v>#REF!</v>
      </c>
      <c r="L142" t="e">
        <f t="shared" si="23"/>
        <v>#REF!</v>
      </c>
      <c r="M142" t="e">
        <f>SUM($L$3:L142)</f>
        <v>#REF!</v>
      </c>
      <c r="O142" t="e">
        <f>(Q141*'Arkusz1 (4)'!J142)-Q141</f>
        <v>#REF!</v>
      </c>
      <c r="P142" s="16" t="e">
        <f t="shared" si="24"/>
        <v>#REF!</v>
      </c>
      <c r="Q142" s="17" t="e">
        <f t="shared" si="25"/>
        <v>#REF!</v>
      </c>
    </row>
    <row r="143" spans="1:17" x14ac:dyDescent="0.35">
      <c r="A143">
        <v>141</v>
      </c>
      <c r="B143" s="14" t="e">
        <f t="shared" si="26"/>
        <v>#REF!</v>
      </c>
      <c r="C143" s="15" t="e">
        <f>(1+(#REF!)*('Arkusz1 (4)'!B143-'Arkusz1 (4)'!B142)/365)</f>
        <v>#REF!</v>
      </c>
      <c r="D143" s="15" t="e">
        <f>(1+(#REF!)*('Arkusz1 (4)'!B143-'Arkusz1 (4)'!B142)/366)</f>
        <v>#REF!</v>
      </c>
      <c r="E143" s="15" t="e">
        <f t="shared" si="18"/>
        <v>#REF!</v>
      </c>
      <c r="F143" s="15" t="e">
        <f t="shared" si="19"/>
        <v>#REF!</v>
      </c>
      <c r="G143" t="e">
        <f>IF(E143=1,(1+(#REF!)*((('Arkusz1 (4)'!B143-DATE(YEAR(B143),1,1)+1)/365)+((DATE(YEAR(B142),12,31)-'Arkusz1 (4)'!B142)/366))),IF(F143=1,(1+(#REF!)*((('Arkusz1 (4)'!B143-DATE(YEAR(B143),1,1)+1)/366)+((DATE(YEAR(B142),12,31)-'Arkusz1 (4)'!B142)/365))),0))</f>
        <v>#REF!</v>
      </c>
      <c r="H143" t="e">
        <f t="shared" si="20"/>
        <v>#REF!</v>
      </c>
      <c r="I143" t="e">
        <f t="shared" si="21"/>
        <v>#REF!</v>
      </c>
      <c r="J143" t="e">
        <f t="shared" si="22"/>
        <v>#REF!</v>
      </c>
      <c r="K143" t="e">
        <f>PRODUCT($J$3:J143)</f>
        <v>#REF!</v>
      </c>
      <c r="L143" t="e">
        <f t="shared" si="23"/>
        <v>#REF!</v>
      </c>
      <c r="M143" t="e">
        <f>SUM($L$3:L143)</f>
        <v>#REF!</v>
      </c>
      <c r="O143" t="e">
        <f>(Q142*'Arkusz1 (4)'!J143)-Q142</f>
        <v>#REF!</v>
      </c>
      <c r="P143" s="16" t="e">
        <f t="shared" si="24"/>
        <v>#REF!</v>
      </c>
      <c r="Q143" s="17" t="e">
        <f t="shared" si="25"/>
        <v>#REF!</v>
      </c>
    </row>
    <row r="144" spans="1:17" x14ac:dyDescent="0.35">
      <c r="A144">
        <v>142</v>
      </c>
      <c r="B144" s="14" t="e">
        <f t="shared" si="26"/>
        <v>#REF!</v>
      </c>
      <c r="C144" s="15" t="e">
        <f>(1+(#REF!)*('Arkusz1 (4)'!B144-'Arkusz1 (4)'!B143)/365)</f>
        <v>#REF!</v>
      </c>
      <c r="D144" s="15" t="e">
        <f>(1+(#REF!)*('Arkusz1 (4)'!B144-'Arkusz1 (4)'!B143)/366)</f>
        <v>#REF!</v>
      </c>
      <c r="E144" s="15" t="e">
        <f t="shared" si="18"/>
        <v>#REF!</v>
      </c>
      <c r="F144" s="15" t="e">
        <f t="shared" si="19"/>
        <v>#REF!</v>
      </c>
      <c r="G144" t="e">
        <f>IF(E144=1,(1+(#REF!)*((('Arkusz1 (4)'!B144-DATE(YEAR(B144),1,1)+1)/365)+((DATE(YEAR(B143),12,31)-'Arkusz1 (4)'!B143)/366))),IF(F144=1,(1+(#REF!)*((('Arkusz1 (4)'!B144-DATE(YEAR(B144),1,1)+1)/366)+((DATE(YEAR(B143),12,31)-'Arkusz1 (4)'!B143)/365))),0))</f>
        <v>#REF!</v>
      </c>
      <c r="H144" t="e">
        <f t="shared" si="20"/>
        <v>#REF!</v>
      </c>
      <c r="I144" t="e">
        <f t="shared" si="21"/>
        <v>#REF!</v>
      </c>
      <c r="J144" t="e">
        <f t="shared" si="22"/>
        <v>#REF!</v>
      </c>
      <c r="K144" t="e">
        <f>PRODUCT($J$3:J144)</f>
        <v>#REF!</v>
      </c>
      <c r="L144" t="e">
        <f t="shared" si="23"/>
        <v>#REF!</v>
      </c>
      <c r="M144" t="e">
        <f>SUM($L$3:L144)</f>
        <v>#REF!</v>
      </c>
      <c r="O144" t="e">
        <f>(Q143*'Arkusz1 (4)'!J144)-Q143</f>
        <v>#REF!</v>
      </c>
      <c r="P144" s="16" t="e">
        <f t="shared" si="24"/>
        <v>#REF!</v>
      </c>
      <c r="Q144" s="17" t="e">
        <f t="shared" si="25"/>
        <v>#REF!</v>
      </c>
    </row>
    <row r="145" spans="1:17" x14ac:dyDescent="0.35">
      <c r="A145">
        <v>143</v>
      </c>
      <c r="B145" s="14" t="e">
        <f t="shared" si="26"/>
        <v>#REF!</v>
      </c>
      <c r="C145" s="15" t="e">
        <f>(1+(#REF!)*('Arkusz1 (4)'!B145-'Arkusz1 (4)'!B144)/365)</f>
        <v>#REF!</v>
      </c>
      <c r="D145" s="15" t="e">
        <f>(1+(#REF!)*('Arkusz1 (4)'!B145-'Arkusz1 (4)'!B144)/366)</f>
        <v>#REF!</v>
      </c>
      <c r="E145" s="15" t="e">
        <f t="shared" si="18"/>
        <v>#REF!</v>
      </c>
      <c r="F145" s="15" t="e">
        <f t="shared" si="19"/>
        <v>#REF!</v>
      </c>
      <c r="G145" t="e">
        <f>IF(E145=1,(1+(#REF!)*((('Arkusz1 (4)'!B145-DATE(YEAR(B145),1,1)+1)/365)+((DATE(YEAR(B144),12,31)-'Arkusz1 (4)'!B144)/366))),IF(F145=1,(1+(#REF!)*((('Arkusz1 (4)'!B145-DATE(YEAR(B145),1,1)+1)/366)+((DATE(YEAR(B144),12,31)-'Arkusz1 (4)'!B144)/365))),0))</f>
        <v>#REF!</v>
      </c>
      <c r="H145" t="e">
        <f t="shared" si="20"/>
        <v>#REF!</v>
      </c>
      <c r="I145" t="e">
        <f t="shared" si="21"/>
        <v>#REF!</v>
      </c>
      <c r="J145" t="e">
        <f t="shared" si="22"/>
        <v>#REF!</v>
      </c>
      <c r="K145" t="e">
        <f>PRODUCT($J$3:J145)</f>
        <v>#REF!</v>
      </c>
      <c r="L145" t="e">
        <f t="shared" si="23"/>
        <v>#REF!</v>
      </c>
      <c r="M145" t="e">
        <f>SUM($L$3:L145)</f>
        <v>#REF!</v>
      </c>
      <c r="O145" t="e">
        <f>(Q144*'Arkusz1 (4)'!J145)-Q144</f>
        <v>#REF!</v>
      </c>
      <c r="P145" s="16" t="e">
        <f t="shared" si="24"/>
        <v>#REF!</v>
      </c>
      <c r="Q145" s="17" t="e">
        <f t="shared" si="25"/>
        <v>#REF!</v>
      </c>
    </row>
    <row r="146" spans="1:17" x14ac:dyDescent="0.35">
      <c r="A146">
        <v>144</v>
      </c>
      <c r="B146" s="14" t="e">
        <f t="shared" si="26"/>
        <v>#REF!</v>
      </c>
      <c r="C146" s="15" t="e">
        <f>(1+(#REF!)*('Arkusz1 (4)'!B146-'Arkusz1 (4)'!B145)/365)</f>
        <v>#REF!</v>
      </c>
      <c r="D146" s="15" t="e">
        <f>(1+(#REF!)*('Arkusz1 (4)'!B146-'Arkusz1 (4)'!B145)/366)</f>
        <v>#REF!</v>
      </c>
      <c r="E146" s="15" t="e">
        <f t="shared" si="18"/>
        <v>#REF!</v>
      </c>
      <c r="F146" s="15" t="e">
        <f t="shared" si="19"/>
        <v>#REF!</v>
      </c>
      <c r="G146" t="e">
        <f>IF(E146=1,(1+(#REF!)*((('Arkusz1 (4)'!B146-DATE(YEAR(B146),1,1)+1)/365)+((DATE(YEAR(B145),12,31)-'Arkusz1 (4)'!B145)/366))),IF(F146=1,(1+(#REF!)*((('Arkusz1 (4)'!B146-DATE(YEAR(B146),1,1)+1)/366)+((DATE(YEAR(B145),12,31)-'Arkusz1 (4)'!B145)/365))),0))</f>
        <v>#REF!</v>
      </c>
      <c r="H146" t="e">
        <f t="shared" si="20"/>
        <v>#REF!</v>
      </c>
      <c r="I146" t="e">
        <f t="shared" si="21"/>
        <v>#REF!</v>
      </c>
      <c r="J146" t="e">
        <f t="shared" si="22"/>
        <v>#REF!</v>
      </c>
      <c r="K146" t="e">
        <f>PRODUCT($J$3:J146)</f>
        <v>#REF!</v>
      </c>
      <c r="L146" t="e">
        <f t="shared" si="23"/>
        <v>#REF!</v>
      </c>
      <c r="M146" t="e">
        <f>SUM($L$3:L146)</f>
        <v>#REF!</v>
      </c>
      <c r="O146" t="e">
        <f>(Q145*'Arkusz1 (4)'!J146)-Q145</f>
        <v>#REF!</v>
      </c>
      <c r="P146" s="16" t="e">
        <f t="shared" si="24"/>
        <v>#REF!</v>
      </c>
      <c r="Q146" s="17" t="e">
        <f t="shared" si="25"/>
        <v>#REF!</v>
      </c>
    </row>
    <row r="147" spans="1:17" x14ac:dyDescent="0.35">
      <c r="A147">
        <v>145</v>
      </c>
      <c r="B147" s="14" t="e">
        <f t="shared" si="26"/>
        <v>#REF!</v>
      </c>
      <c r="C147" s="15" t="e">
        <f>(1+(#REF!)*('Arkusz1 (4)'!B147-'Arkusz1 (4)'!B146)/365)</f>
        <v>#REF!</v>
      </c>
      <c r="D147" s="15" t="e">
        <f>(1+(#REF!)*('Arkusz1 (4)'!B147-'Arkusz1 (4)'!B146)/366)</f>
        <v>#REF!</v>
      </c>
      <c r="E147" s="15" t="e">
        <f t="shared" si="18"/>
        <v>#REF!</v>
      </c>
      <c r="F147" s="15" t="e">
        <f t="shared" si="19"/>
        <v>#REF!</v>
      </c>
      <c r="G147" t="e">
        <f>IF(E147=1,(1+(#REF!)*((('Arkusz1 (4)'!B147-DATE(YEAR(B147),1,1)+1)/365)+((DATE(YEAR(B146),12,31)-'Arkusz1 (4)'!B146)/366))),IF(F147=1,(1+(#REF!)*((('Arkusz1 (4)'!B147-DATE(YEAR(B147),1,1)+1)/366)+((DATE(YEAR(B146),12,31)-'Arkusz1 (4)'!B146)/365))),0))</f>
        <v>#REF!</v>
      </c>
      <c r="H147" t="e">
        <f t="shared" si="20"/>
        <v>#REF!</v>
      </c>
      <c r="I147" t="e">
        <f t="shared" si="21"/>
        <v>#REF!</v>
      </c>
      <c r="J147" t="e">
        <f t="shared" si="22"/>
        <v>#REF!</v>
      </c>
      <c r="K147" t="e">
        <f>PRODUCT($J$3:J147)</f>
        <v>#REF!</v>
      </c>
      <c r="L147" t="e">
        <f t="shared" si="23"/>
        <v>#REF!</v>
      </c>
      <c r="M147" t="e">
        <f>SUM($L$3:L147)</f>
        <v>#REF!</v>
      </c>
      <c r="O147" t="e">
        <f>(Q146*'Arkusz1 (4)'!J147)-Q146</f>
        <v>#REF!</v>
      </c>
      <c r="P147" s="16" t="e">
        <f t="shared" si="24"/>
        <v>#REF!</v>
      </c>
      <c r="Q147" s="17" t="e">
        <f t="shared" si="25"/>
        <v>#REF!</v>
      </c>
    </row>
    <row r="148" spans="1:17" x14ac:dyDescent="0.35">
      <c r="A148">
        <v>146</v>
      </c>
      <c r="B148" s="14" t="e">
        <f t="shared" si="26"/>
        <v>#REF!</v>
      </c>
      <c r="C148" s="15" t="e">
        <f>(1+(#REF!)*('Arkusz1 (4)'!B148-'Arkusz1 (4)'!B147)/365)</f>
        <v>#REF!</v>
      </c>
      <c r="D148" s="15" t="e">
        <f>(1+(#REF!)*('Arkusz1 (4)'!B148-'Arkusz1 (4)'!B147)/366)</f>
        <v>#REF!</v>
      </c>
      <c r="E148" s="15" t="e">
        <f t="shared" si="18"/>
        <v>#REF!</v>
      </c>
      <c r="F148" s="15" t="e">
        <f t="shared" si="19"/>
        <v>#REF!</v>
      </c>
      <c r="G148" t="e">
        <f>IF(E148=1,(1+(#REF!)*((('Arkusz1 (4)'!B148-DATE(YEAR(B148),1,1)+1)/365)+((DATE(YEAR(B147),12,31)-'Arkusz1 (4)'!B147)/366))),IF(F148=1,(1+(#REF!)*((('Arkusz1 (4)'!B148-DATE(YEAR(B148),1,1)+1)/366)+((DATE(YEAR(B147),12,31)-'Arkusz1 (4)'!B147)/365))),0))</f>
        <v>#REF!</v>
      </c>
      <c r="H148" t="e">
        <f t="shared" si="20"/>
        <v>#REF!</v>
      </c>
      <c r="I148" t="e">
        <f t="shared" si="21"/>
        <v>#REF!</v>
      </c>
      <c r="J148" t="e">
        <f t="shared" si="22"/>
        <v>#REF!</v>
      </c>
      <c r="K148" t="e">
        <f>PRODUCT($J$3:J148)</f>
        <v>#REF!</v>
      </c>
      <c r="L148" t="e">
        <f t="shared" si="23"/>
        <v>#REF!</v>
      </c>
      <c r="M148" t="e">
        <f>SUM($L$3:L148)</f>
        <v>#REF!</v>
      </c>
      <c r="O148" t="e">
        <f>(Q147*'Arkusz1 (4)'!J148)-Q147</f>
        <v>#REF!</v>
      </c>
      <c r="P148" s="16" t="e">
        <f t="shared" si="24"/>
        <v>#REF!</v>
      </c>
      <c r="Q148" s="17" t="e">
        <f t="shared" si="25"/>
        <v>#REF!</v>
      </c>
    </row>
    <row r="149" spans="1:17" x14ac:dyDescent="0.35">
      <c r="A149">
        <v>147</v>
      </c>
      <c r="B149" s="14" t="e">
        <f t="shared" si="26"/>
        <v>#REF!</v>
      </c>
      <c r="C149" s="15" t="e">
        <f>(1+(#REF!)*('Arkusz1 (4)'!B149-'Arkusz1 (4)'!B148)/365)</f>
        <v>#REF!</v>
      </c>
      <c r="D149" s="15" t="e">
        <f>(1+(#REF!)*('Arkusz1 (4)'!B149-'Arkusz1 (4)'!B148)/366)</f>
        <v>#REF!</v>
      </c>
      <c r="E149" s="15" t="e">
        <f t="shared" si="18"/>
        <v>#REF!</v>
      </c>
      <c r="F149" s="15" t="e">
        <f t="shared" si="19"/>
        <v>#REF!</v>
      </c>
      <c r="G149" t="e">
        <f>IF(E149=1,(1+(#REF!)*((('Arkusz1 (4)'!B149-DATE(YEAR(B149),1,1)+1)/365)+((DATE(YEAR(B148),12,31)-'Arkusz1 (4)'!B148)/366))),IF(F149=1,(1+(#REF!)*((('Arkusz1 (4)'!B149-DATE(YEAR(B149),1,1)+1)/366)+((DATE(YEAR(B148),12,31)-'Arkusz1 (4)'!B148)/365))),0))</f>
        <v>#REF!</v>
      </c>
      <c r="H149" t="e">
        <f t="shared" si="20"/>
        <v>#REF!</v>
      </c>
      <c r="I149" t="e">
        <f t="shared" si="21"/>
        <v>#REF!</v>
      </c>
      <c r="J149" t="e">
        <f t="shared" si="22"/>
        <v>#REF!</v>
      </c>
      <c r="K149" t="e">
        <f>PRODUCT($J$3:J149)</f>
        <v>#REF!</v>
      </c>
      <c r="L149" t="e">
        <f t="shared" si="23"/>
        <v>#REF!</v>
      </c>
      <c r="M149" t="e">
        <f>SUM($L$3:L149)</f>
        <v>#REF!</v>
      </c>
      <c r="O149" t="e">
        <f>(Q148*'Arkusz1 (4)'!J149)-Q148</f>
        <v>#REF!</v>
      </c>
      <c r="P149" s="16" t="e">
        <f t="shared" si="24"/>
        <v>#REF!</v>
      </c>
      <c r="Q149" s="17" t="e">
        <f t="shared" si="25"/>
        <v>#REF!</v>
      </c>
    </row>
    <row r="150" spans="1:17" x14ac:dyDescent="0.35">
      <c r="A150">
        <v>148</v>
      </c>
      <c r="B150" s="14" t="e">
        <f t="shared" si="26"/>
        <v>#REF!</v>
      </c>
      <c r="C150" s="15" t="e">
        <f>(1+(#REF!)*('Arkusz1 (4)'!B150-'Arkusz1 (4)'!B149)/365)</f>
        <v>#REF!</v>
      </c>
      <c r="D150" s="15" t="e">
        <f>(1+(#REF!)*('Arkusz1 (4)'!B150-'Arkusz1 (4)'!B149)/366)</f>
        <v>#REF!</v>
      </c>
      <c r="E150" s="15" t="e">
        <f t="shared" si="18"/>
        <v>#REF!</v>
      </c>
      <c r="F150" s="15" t="e">
        <f t="shared" si="19"/>
        <v>#REF!</v>
      </c>
      <c r="G150" t="e">
        <f>IF(E150=1,(1+(#REF!)*((('Arkusz1 (4)'!B150-DATE(YEAR(B150),1,1)+1)/365)+((DATE(YEAR(B149),12,31)-'Arkusz1 (4)'!B149)/366))),IF(F150=1,(1+(#REF!)*((('Arkusz1 (4)'!B150-DATE(YEAR(B150),1,1)+1)/366)+((DATE(YEAR(B149),12,31)-'Arkusz1 (4)'!B149)/365))),0))</f>
        <v>#REF!</v>
      </c>
      <c r="H150" t="e">
        <f t="shared" si="20"/>
        <v>#REF!</v>
      </c>
      <c r="I150" t="e">
        <f t="shared" si="21"/>
        <v>#REF!</v>
      </c>
      <c r="J150" t="e">
        <f t="shared" si="22"/>
        <v>#REF!</v>
      </c>
      <c r="K150" t="e">
        <f>PRODUCT($J$3:J150)</f>
        <v>#REF!</v>
      </c>
      <c r="L150" t="e">
        <f t="shared" si="23"/>
        <v>#REF!</v>
      </c>
      <c r="M150" t="e">
        <f>SUM($L$3:L150)</f>
        <v>#REF!</v>
      </c>
      <c r="O150" t="e">
        <f>(Q149*'Arkusz1 (4)'!J150)-Q149</f>
        <v>#REF!</v>
      </c>
      <c r="P150" s="16" t="e">
        <f t="shared" si="24"/>
        <v>#REF!</v>
      </c>
      <c r="Q150" s="17" t="e">
        <f t="shared" si="25"/>
        <v>#REF!</v>
      </c>
    </row>
    <row r="151" spans="1:17" x14ac:dyDescent="0.35">
      <c r="A151">
        <v>149</v>
      </c>
      <c r="B151" s="14" t="e">
        <f t="shared" si="26"/>
        <v>#REF!</v>
      </c>
      <c r="C151" s="15" t="e">
        <f>(1+(#REF!)*('Arkusz1 (4)'!B151-'Arkusz1 (4)'!B150)/365)</f>
        <v>#REF!</v>
      </c>
      <c r="D151" s="15" t="e">
        <f>(1+(#REF!)*('Arkusz1 (4)'!B151-'Arkusz1 (4)'!B150)/366)</f>
        <v>#REF!</v>
      </c>
      <c r="E151" s="15" t="e">
        <f t="shared" si="18"/>
        <v>#REF!</v>
      </c>
      <c r="F151" s="15" t="e">
        <f t="shared" si="19"/>
        <v>#REF!</v>
      </c>
      <c r="G151" t="e">
        <f>IF(E151=1,(1+(#REF!)*((('Arkusz1 (4)'!B151-DATE(YEAR(B151),1,1)+1)/365)+((DATE(YEAR(B150),12,31)-'Arkusz1 (4)'!B150)/366))),IF(F151=1,(1+(#REF!)*((('Arkusz1 (4)'!B151-DATE(YEAR(B151),1,1)+1)/366)+((DATE(YEAR(B150),12,31)-'Arkusz1 (4)'!B150)/365))),0))</f>
        <v>#REF!</v>
      </c>
      <c r="H151" t="e">
        <f t="shared" si="20"/>
        <v>#REF!</v>
      </c>
      <c r="I151" t="e">
        <f t="shared" si="21"/>
        <v>#REF!</v>
      </c>
      <c r="J151" t="e">
        <f t="shared" si="22"/>
        <v>#REF!</v>
      </c>
      <c r="K151" t="e">
        <f>PRODUCT($J$3:J151)</f>
        <v>#REF!</v>
      </c>
      <c r="L151" t="e">
        <f t="shared" si="23"/>
        <v>#REF!</v>
      </c>
      <c r="M151" t="e">
        <f>SUM($L$3:L151)</f>
        <v>#REF!</v>
      </c>
      <c r="O151" t="e">
        <f>(Q150*'Arkusz1 (4)'!J151)-Q150</f>
        <v>#REF!</v>
      </c>
      <c r="P151" s="16" t="e">
        <f t="shared" si="24"/>
        <v>#REF!</v>
      </c>
      <c r="Q151" s="17" t="e">
        <f t="shared" si="25"/>
        <v>#REF!</v>
      </c>
    </row>
    <row r="152" spans="1:17" x14ac:dyDescent="0.35">
      <c r="A152">
        <v>150</v>
      </c>
      <c r="B152" s="14" t="e">
        <f t="shared" si="26"/>
        <v>#REF!</v>
      </c>
      <c r="C152" s="15" t="e">
        <f>(1+(#REF!)*('Arkusz1 (4)'!B152-'Arkusz1 (4)'!B151)/365)</f>
        <v>#REF!</v>
      </c>
      <c r="D152" s="15" t="e">
        <f>(1+(#REF!)*('Arkusz1 (4)'!B152-'Arkusz1 (4)'!B151)/366)</f>
        <v>#REF!</v>
      </c>
      <c r="E152" s="15" t="e">
        <f t="shared" si="18"/>
        <v>#REF!</v>
      </c>
      <c r="F152" s="15" t="e">
        <f t="shared" si="19"/>
        <v>#REF!</v>
      </c>
      <c r="G152" t="e">
        <f>IF(E152=1,(1+(#REF!)*((('Arkusz1 (4)'!B152-DATE(YEAR(B152),1,1)+1)/365)+((DATE(YEAR(B151),12,31)-'Arkusz1 (4)'!B151)/366))),IF(F152=1,(1+(#REF!)*((('Arkusz1 (4)'!B152-DATE(YEAR(B152),1,1)+1)/366)+((DATE(YEAR(B151),12,31)-'Arkusz1 (4)'!B151)/365))),0))</f>
        <v>#REF!</v>
      </c>
      <c r="H152" t="e">
        <f t="shared" si="20"/>
        <v>#REF!</v>
      </c>
      <c r="I152" t="e">
        <f t="shared" si="21"/>
        <v>#REF!</v>
      </c>
      <c r="J152" t="e">
        <f t="shared" si="22"/>
        <v>#REF!</v>
      </c>
      <c r="K152" t="e">
        <f>PRODUCT($J$3:J152)</f>
        <v>#REF!</v>
      </c>
      <c r="L152" t="e">
        <f t="shared" si="23"/>
        <v>#REF!</v>
      </c>
      <c r="M152" t="e">
        <f>SUM($L$3:L152)</f>
        <v>#REF!</v>
      </c>
      <c r="O152" t="e">
        <f>(Q151*'Arkusz1 (4)'!J152)-Q151</f>
        <v>#REF!</v>
      </c>
      <c r="P152" s="16" t="e">
        <f t="shared" si="24"/>
        <v>#REF!</v>
      </c>
      <c r="Q152" s="17" t="e">
        <f t="shared" si="25"/>
        <v>#REF!</v>
      </c>
    </row>
    <row r="153" spans="1:17" x14ac:dyDescent="0.35">
      <c r="A153">
        <v>151</v>
      </c>
      <c r="B153" s="14" t="e">
        <f t="shared" si="26"/>
        <v>#REF!</v>
      </c>
      <c r="C153" s="15" t="e">
        <f>(1+(#REF!)*('Arkusz1 (4)'!B153-'Arkusz1 (4)'!B152)/365)</f>
        <v>#REF!</v>
      </c>
      <c r="D153" s="15" t="e">
        <f>(1+(#REF!)*('Arkusz1 (4)'!B153-'Arkusz1 (4)'!B152)/366)</f>
        <v>#REF!</v>
      </c>
      <c r="E153" s="15" t="e">
        <f t="shared" si="18"/>
        <v>#REF!</v>
      </c>
      <c r="F153" s="15" t="e">
        <f t="shared" si="19"/>
        <v>#REF!</v>
      </c>
      <c r="G153" t="e">
        <f>IF(E153=1,(1+(#REF!)*((('Arkusz1 (4)'!B153-DATE(YEAR(B153),1,1)+1)/365)+((DATE(YEAR(B152),12,31)-'Arkusz1 (4)'!B152)/366))),IF(F153=1,(1+(#REF!)*((('Arkusz1 (4)'!B153-DATE(YEAR(B153),1,1)+1)/366)+((DATE(YEAR(B152),12,31)-'Arkusz1 (4)'!B152)/365))),0))</f>
        <v>#REF!</v>
      </c>
      <c r="H153" t="e">
        <f t="shared" si="20"/>
        <v>#REF!</v>
      </c>
      <c r="I153" t="e">
        <f t="shared" si="21"/>
        <v>#REF!</v>
      </c>
      <c r="J153" t="e">
        <f t="shared" si="22"/>
        <v>#REF!</v>
      </c>
      <c r="K153" t="e">
        <f>PRODUCT($J$3:J153)</f>
        <v>#REF!</v>
      </c>
      <c r="L153" t="e">
        <f t="shared" si="23"/>
        <v>#REF!</v>
      </c>
      <c r="M153" t="e">
        <f>SUM($L$3:L153)</f>
        <v>#REF!</v>
      </c>
      <c r="O153" t="e">
        <f>(Q152*'Arkusz1 (4)'!J153)-Q152</f>
        <v>#REF!</v>
      </c>
      <c r="P153" s="16" t="e">
        <f t="shared" si="24"/>
        <v>#REF!</v>
      </c>
      <c r="Q153" s="17" t="e">
        <f t="shared" si="25"/>
        <v>#REF!</v>
      </c>
    </row>
    <row r="154" spans="1:17" x14ac:dyDescent="0.35">
      <c r="A154">
        <v>152</v>
      </c>
      <c r="B154" s="14" t="e">
        <f t="shared" si="26"/>
        <v>#REF!</v>
      </c>
      <c r="C154" s="15" t="e">
        <f>(1+(#REF!)*('Arkusz1 (4)'!B154-'Arkusz1 (4)'!B153)/365)</f>
        <v>#REF!</v>
      </c>
      <c r="D154" s="15" t="e">
        <f>(1+(#REF!)*('Arkusz1 (4)'!B154-'Arkusz1 (4)'!B153)/366)</f>
        <v>#REF!</v>
      </c>
      <c r="E154" s="15" t="e">
        <f t="shared" si="18"/>
        <v>#REF!</v>
      </c>
      <c r="F154" s="15" t="e">
        <f t="shared" si="19"/>
        <v>#REF!</v>
      </c>
      <c r="G154" t="e">
        <f>IF(E154=1,(1+(#REF!)*((('Arkusz1 (4)'!B154-DATE(YEAR(B154),1,1)+1)/365)+((DATE(YEAR(B153),12,31)-'Arkusz1 (4)'!B153)/366))),IF(F154=1,(1+(#REF!)*((('Arkusz1 (4)'!B154-DATE(YEAR(B154),1,1)+1)/366)+((DATE(YEAR(B153),12,31)-'Arkusz1 (4)'!B153)/365))),0))</f>
        <v>#REF!</v>
      </c>
      <c r="H154" t="e">
        <f t="shared" si="20"/>
        <v>#REF!</v>
      </c>
      <c r="I154" t="e">
        <f t="shared" si="21"/>
        <v>#REF!</v>
      </c>
      <c r="J154" t="e">
        <f t="shared" si="22"/>
        <v>#REF!</v>
      </c>
      <c r="K154" t="e">
        <f>PRODUCT($J$3:J154)</f>
        <v>#REF!</v>
      </c>
      <c r="L154" t="e">
        <f t="shared" si="23"/>
        <v>#REF!</v>
      </c>
      <c r="M154" t="e">
        <f>SUM($L$3:L154)</f>
        <v>#REF!</v>
      </c>
      <c r="O154" t="e">
        <f>(Q153*'Arkusz1 (4)'!J154)-Q153</f>
        <v>#REF!</v>
      </c>
      <c r="P154" s="16" t="e">
        <f t="shared" si="24"/>
        <v>#REF!</v>
      </c>
      <c r="Q154" s="17" t="e">
        <f t="shared" si="25"/>
        <v>#REF!</v>
      </c>
    </row>
    <row r="155" spans="1:17" x14ac:dyDescent="0.35">
      <c r="A155">
        <v>153</v>
      </c>
      <c r="B155" s="14" t="e">
        <f t="shared" si="26"/>
        <v>#REF!</v>
      </c>
      <c r="C155" s="15" t="e">
        <f>(1+(#REF!)*('Arkusz1 (4)'!B155-'Arkusz1 (4)'!B154)/365)</f>
        <v>#REF!</v>
      </c>
      <c r="D155" s="15" t="e">
        <f>(1+(#REF!)*('Arkusz1 (4)'!B155-'Arkusz1 (4)'!B154)/366)</f>
        <v>#REF!</v>
      </c>
      <c r="E155" s="15" t="e">
        <f t="shared" si="18"/>
        <v>#REF!</v>
      </c>
      <c r="F155" s="15" t="e">
        <f t="shared" si="19"/>
        <v>#REF!</v>
      </c>
      <c r="G155" t="e">
        <f>IF(E155=1,(1+(#REF!)*((('Arkusz1 (4)'!B155-DATE(YEAR(B155),1,1)+1)/365)+((DATE(YEAR(B154),12,31)-'Arkusz1 (4)'!B154)/366))),IF(F155=1,(1+(#REF!)*((('Arkusz1 (4)'!B155-DATE(YEAR(B155),1,1)+1)/366)+((DATE(YEAR(B154),12,31)-'Arkusz1 (4)'!B154)/365))),0))</f>
        <v>#REF!</v>
      </c>
      <c r="H155" t="e">
        <f t="shared" si="20"/>
        <v>#REF!</v>
      </c>
      <c r="I155" t="e">
        <f t="shared" si="21"/>
        <v>#REF!</v>
      </c>
      <c r="J155" t="e">
        <f t="shared" si="22"/>
        <v>#REF!</v>
      </c>
      <c r="K155" t="e">
        <f>PRODUCT($J$3:J155)</f>
        <v>#REF!</v>
      </c>
      <c r="L155" t="e">
        <f t="shared" si="23"/>
        <v>#REF!</v>
      </c>
      <c r="M155" t="e">
        <f>SUM($L$3:L155)</f>
        <v>#REF!</v>
      </c>
      <c r="O155" t="e">
        <f>(Q154*'Arkusz1 (4)'!J155)-Q154</f>
        <v>#REF!</v>
      </c>
      <c r="P155" s="16" t="e">
        <f t="shared" si="24"/>
        <v>#REF!</v>
      </c>
      <c r="Q155" s="17" t="e">
        <f t="shared" si="25"/>
        <v>#REF!</v>
      </c>
    </row>
    <row r="156" spans="1:17" x14ac:dyDescent="0.35">
      <c r="A156">
        <v>154</v>
      </c>
      <c r="B156" s="14" t="e">
        <f t="shared" si="26"/>
        <v>#REF!</v>
      </c>
      <c r="C156" s="15" t="e">
        <f>(1+(#REF!)*('Arkusz1 (4)'!B156-'Arkusz1 (4)'!B155)/365)</f>
        <v>#REF!</v>
      </c>
      <c r="D156" s="15" t="e">
        <f>(1+(#REF!)*('Arkusz1 (4)'!B156-'Arkusz1 (4)'!B155)/366)</f>
        <v>#REF!</v>
      </c>
      <c r="E156" s="15" t="e">
        <f t="shared" si="18"/>
        <v>#REF!</v>
      </c>
      <c r="F156" s="15" t="e">
        <f t="shared" si="19"/>
        <v>#REF!</v>
      </c>
      <c r="G156" t="e">
        <f>IF(E156=1,(1+(#REF!)*((('Arkusz1 (4)'!B156-DATE(YEAR(B156),1,1)+1)/365)+((DATE(YEAR(B155),12,31)-'Arkusz1 (4)'!B155)/366))),IF(F156=1,(1+(#REF!)*((('Arkusz1 (4)'!B156-DATE(YEAR(B156),1,1)+1)/366)+((DATE(YEAR(B155),12,31)-'Arkusz1 (4)'!B155)/365))),0))</f>
        <v>#REF!</v>
      </c>
      <c r="H156" t="e">
        <f t="shared" si="20"/>
        <v>#REF!</v>
      </c>
      <c r="I156" t="e">
        <f t="shared" si="21"/>
        <v>#REF!</v>
      </c>
      <c r="J156" t="e">
        <f t="shared" si="22"/>
        <v>#REF!</v>
      </c>
      <c r="K156" t="e">
        <f>PRODUCT($J$3:J156)</f>
        <v>#REF!</v>
      </c>
      <c r="L156" t="e">
        <f t="shared" si="23"/>
        <v>#REF!</v>
      </c>
      <c r="M156" t="e">
        <f>SUM($L$3:L156)</f>
        <v>#REF!</v>
      </c>
      <c r="O156" t="e">
        <f>(Q155*'Arkusz1 (4)'!J156)-Q155</f>
        <v>#REF!</v>
      </c>
      <c r="P156" s="16" t="e">
        <f t="shared" si="24"/>
        <v>#REF!</v>
      </c>
      <c r="Q156" s="17" t="e">
        <f t="shared" si="25"/>
        <v>#REF!</v>
      </c>
    </row>
    <row r="157" spans="1:17" x14ac:dyDescent="0.35">
      <c r="A157">
        <v>155</v>
      </c>
      <c r="B157" s="14" t="e">
        <f t="shared" si="26"/>
        <v>#REF!</v>
      </c>
      <c r="C157" s="15" t="e">
        <f>(1+(#REF!)*('Arkusz1 (4)'!B157-'Arkusz1 (4)'!B156)/365)</f>
        <v>#REF!</v>
      </c>
      <c r="D157" s="15" t="e">
        <f>(1+(#REF!)*('Arkusz1 (4)'!B157-'Arkusz1 (4)'!B156)/366)</f>
        <v>#REF!</v>
      </c>
      <c r="E157" s="15" t="e">
        <f t="shared" si="18"/>
        <v>#REF!</v>
      </c>
      <c r="F157" s="15" t="e">
        <f t="shared" si="19"/>
        <v>#REF!</v>
      </c>
      <c r="G157" t="e">
        <f>IF(E157=1,(1+(#REF!)*((('Arkusz1 (4)'!B157-DATE(YEAR(B157),1,1)+1)/365)+((DATE(YEAR(B156),12,31)-'Arkusz1 (4)'!B156)/366))),IF(F157=1,(1+(#REF!)*((('Arkusz1 (4)'!B157-DATE(YEAR(B157),1,1)+1)/366)+((DATE(YEAR(B156),12,31)-'Arkusz1 (4)'!B156)/365))),0))</f>
        <v>#REF!</v>
      </c>
      <c r="H157" t="e">
        <f t="shared" si="20"/>
        <v>#REF!</v>
      </c>
      <c r="I157" t="e">
        <f t="shared" si="21"/>
        <v>#REF!</v>
      </c>
      <c r="J157" t="e">
        <f t="shared" si="22"/>
        <v>#REF!</v>
      </c>
      <c r="K157" t="e">
        <f>PRODUCT($J$3:J157)</f>
        <v>#REF!</v>
      </c>
      <c r="L157" t="e">
        <f t="shared" si="23"/>
        <v>#REF!</v>
      </c>
      <c r="M157" t="e">
        <f>SUM($L$3:L157)</f>
        <v>#REF!</v>
      </c>
      <c r="O157" t="e">
        <f>(Q156*'Arkusz1 (4)'!J157)-Q156</f>
        <v>#REF!</v>
      </c>
      <c r="P157" s="16" t="e">
        <f t="shared" si="24"/>
        <v>#REF!</v>
      </c>
      <c r="Q157" s="17" t="e">
        <f t="shared" si="25"/>
        <v>#REF!</v>
      </c>
    </row>
    <row r="158" spans="1:17" x14ac:dyDescent="0.35">
      <c r="A158">
        <v>156</v>
      </c>
      <c r="B158" s="14" t="e">
        <f t="shared" si="26"/>
        <v>#REF!</v>
      </c>
      <c r="C158" s="15" t="e">
        <f>(1+(#REF!)*('Arkusz1 (4)'!B158-'Arkusz1 (4)'!B157)/365)</f>
        <v>#REF!</v>
      </c>
      <c r="D158" s="15" t="e">
        <f>(1+(#REF!)*('Arkusz1 (4)'!B158-'Arkusz1 (4)'!B157)/366)</f>
        <v>#REF!</v>
      </c>
      <c r="E158" s="15" t="e">
        <f t="shared" si="18"/>
        <v>#REF!</v>
      </c>
      <c r="F158" s="15" t="e">
        <f t="shared" si="19"/>
        <v>#REF!</v>
      </c>
      <c r="G158" t="e">
        <f>IF(E158=1,(1+(#REF!)*((('Arkusz1 (4)'!B158-DATE(YEAR(B158),1,1)+1)/365)+((DATE(YEAR(B157),12,31)-'Arkusz1 (4)'!B157)/366))),IF(F158=1,(1+(#REF!)*((('Arkusz1 (4)'!B158-DATE(YEAR(B158),1,1)+1)/366)+((DATE(YEAR(B157),12,31)-'Arkusz1 (4)'!B157)/365))),0))</f>
        <v>#REF!</v>
      </c>
      <c r="H158" t="e">
        <f t="shared" si="20"/>
        <v>#REF!</v>
      </c>
      <c r="I158" t="e">
        <f t="shared" si="21"/>
        <v>#REF!</v>
      </c>
      <c r="J158" t="e">
        <f t="shared" si="22"/>
        <v>#REF!</v>
      </c>
      <c r="K158" t="e">
        <f>PRODUCT($J$3:J158)</f>
        <v>#REF!</v>
      </c>
      <c r="L158" t="e">
        <f t="shared" si="23"/>
        <v>#REF!</v>
      </c>
      <c r="M158" t="e">
        <f>SUM($L$3:L158)</f>
        <v>#REF!</v>
      </c>
      <c r="O158" t="e">
        <f>(Q157*'Arkusz1 (4)'!J158)-Q157</f>
        <v>#REF!</v>
      </c>
      <c r="P158" s="16" t="e">
        <f t="shared" si="24"/>
        <v>#REF!</v>
      </c>
      <c r="Q158" s="17" t="e">
        <f t="shared" si="25"/>
        <v>#REF!</v>
      </c>
    </row>
    <row r="159" spans="1:17" x14ac:dyDescent="0.35">
      <c r="A159">
        <v>157</v>
      </c>
      <c r="B159" s="14" t="e">
        <f t="shared" si="26"/>
        <v>#REF!</v>
      </c>
      <c r="C159" s="15" t="e">
        <f>(1+(#REF!)*('Arkusz1 (4)'!B159-'Arkusz1 (4)'!B158)/365)</f>
        <v>#REF!</v>
      </c>
      <c r="D159" s="15" t="e">
        <f>(1+(#REF!)*('Arkusz1 (4)'!B159-'Arkusz1 (4)'!B158)/366)</f>
        <v>#REF!</v>
      </c>
      <c r="E159" s="15" t="e">
        <f t="shared" si="18"/>
        <v>#REF!</v>
      </c>
      <c r="F159" s="15" t="e">
        <f t="shared" si="19"/>
        <v>#REF!</v>
      </c>
      <c r="G159" t="e">
        <f>IF(E159=1,(1+(#REF!)*((('Arkusz1 (4)'!B159-DATE(YEAR(B159),1,1)+1)/365)+((DATE(YEAR(B158),12,31)-'Arkusz1 (4)'!B158)/366))),IF(F159=1,(1+(#REF!)*((('Arkusz1 (4)'!B159-DATE(YEAR(B159),1,1)+1)/366)+((DATE(YEAR(B158),12,31)-'Arkusz1 (4)'!B158)/365))),0))</f>
        <v>#REF!</v>
      </c>
      <c r="H159" t="e">
        <f t="shared" si="20"/>
        <v>#REF!</v>
      </c>
      <c r="I159" t="e">
        <f t="shared" si="21"/>
        <v>#REF!</v>
      </c>
      <c r="J159" t="e">
        <f t="shared" si="22"/>
        <v>#REF!</v>
      </c>
      <c r="K159" t="e">
        <f>PRODUCT($J$3:J159)</f>
        <v>#REF!</v>
      </c>
      <c r="L159" t="e">
        <f t="shared" si="23"/>
        <v>#REF!</v>
      </c>
      <c r="M159" t="e">
        <f>SUM($L$3:L159)</f>
        <v>#REF!</v>
      </c>
      <c r="O159" t="e">
        <f>(Q158*'Arkusz1 (4)'!J159)-Q158</f>
        <v>#REF!</v>
      </c>
      <c r="P159" s="16" t="e">
        <f t="shared" si="24"/>
        <v>#REF!</v>
      </c>
      <c r="Q159" s="17" t="e">
        <f t="shared" si="25"/>
        <v>#REF!</v>
      </c>
    </row>
    <row r="160" spans="1:17" x14ac:dyDescent="0.35">
      <c r="A160">
        <v>158</v>
      </c>
      <c r="B160" s="14" t="e">
        <f t="shared" si="26"/>
        <v>#REF!</v>
      </c>
      <c r="C160" s="15" t="e">
        <f>(1+(#REF!)*('Arkusz1 (4)'!B160-'Arkusz1 (4)'!B159)/365)</f>
        <v>#REF!</v>
      </c>
      <c r="D160" s="15" t="e">
        <f>(1+(#REF!)*('Arkusz1 (4)'!B160-'Arkusz1 (4)'!B159)/366)</f>
        <v>#REF!</v>
      </c>
      <c r="E160" s="15" t="e">
        <f t="shared" si="18"/>
        <v>#REF!</v>
      </c>
      <c r="F160" s="15" t="e">
        <f t="shared" si="19"/>
        <v>#REF!</v>
      </c>
      <c r="G160" t="e">
        <f>IF(E160=1,(1+(#REF!)*((('Arkusz1 (4)'!B160-DATE(YEAR(B160),1,1)+1)/365)+((DATE(YEAR(B159),12,31)-'Arkusz1 (4)'!B159)/366))),IF(F160=1,(1+(#REF!)*((('Arkusz1 (4)'!B160-DATE(YEAR(B160),1,1)+1)/366)+((DATE(YEAR(B159),12,31)-'Arkusz1 (4)'!B159)/365))),0))</f>
        <v>#REF!</v>
      </c>
      <c r="H160" t="e">
        <f t="shared" si="20"/>
        <v>#REF!</v>
      </c>
      <c r="I160" t="e">
        <f t="shared" si="21"/>
        <v>#REF!</v>
      </c>
      <c r="J160" t="e">
        <f t="shared" si="22"/>
        <v>#REF!</v>
      </c>
      <c r="K160" t="e">
        <f>PRODUCT($J$3:J160)</f>
        <v>#REF!</v>
      </c>
      <c r="L160" t="e">
        <f t="shared" si="23"/>
        <v>#REF!</v>
      </c>
      <c r="M160" t="e">
        <f>SUM($L$3:L160)</f>
        <v>#REF!</v>
      </c>
      <c r="O160" t="e">
        <f>(Q159*'Arkusz1 (4)'!J160)-Q159</f>
        <v>#REF!</v>
      </c>
      <c r="P160" s="16" t="e">
        <f t="shared" si="24"/>
        <v>#REF!</v>
      </c>
      <c r="Q160" s="17" t="e">
        <f t="shared" si="25"/>
        <v>#REF!</v>
      </c>
    </row>
    <row r="161" spans="1:17" x14ac:dyDescent="0.35">
      <c r="A161">
        <v>159</v>
      </c>
      <c r="B161" s="14" t="e">
        <f t="shared" si="26"/>
        <v>#REF!</v>
      </c>
      <c r="C161" s="15" t="e">
        <f>(1+(#REF!)*('Arkusz1 (4)'!B161-'Arkusz1 (4)'!B160)/365)</f>
        <v>#REF!</v>
      </c>
      <c r="D161" s="15" t="e">
        <f>(1+(#REF!)*('Arkusz1 (4)'!B161-'Arkusz1 (4)'!B160)/366)</f>
        <v>#REF!</v>
      </c>
      <c r="E161" s="15" t="e">
        <f t="shared" si="18"/>
        <v>#REF!</v>
      </c>
      <c r="F161" s="15" t="e">
        <f t="shared" si="19"/>
        <v>#REF!</v>
      </c>
      <c r="G161" t="e">
        <f>IF(E161=1,(1+(#REF!)*((('Arkusz1 (4)'!B161-DATE(YEAR(B161),1,1)+1)/365)+((DATE(YEAR(B160),12,31)-'Arkusz1 (4)'!B160)/366))),IF(F161=1,(1+(#REF!)*((('Arkusz1 (4)'!B161-DATE(YEAR(B161),1,1)+1)/366)+((DATE(YEAR(B160),12,31)-'Arkusz1 (4)'!B160)/365))),0))</f>
        <v>#REF!</v>
      </c>
      <c r="H161" t="e">
        <f t="shared" si="20"/>
        <v>#REF!</v>
      </c>
      <c r="I161" t="e">
        <f t="shared" si="21"/>
        <v>#REF!</v>
      </c>
      <c r="J161" t="e">
        <f t="shared" si="22"/>
        <v>#REF!</v>
      </c>
      <c r="K161" t="e">
        <f>PRODUCT($J$3:J161)</f>
        <v>#REF!</v>
      </c>
      <c r="L161" t="e">
        <f t="shared" si="23"/>
        <v>#REF!</v>
      </c>
      <c r="M161" t="e">
        <f>SUM($L$3:L161)</f>
        <v>#REF!</v>
      </c>
      <c r="O161" t="e">
        <f>(Q160*'Arkusz1 (4)'!J161)-Q160</f>
        <v>#REF!</v>
      </c>
      <c r="P161" s="16" t="e">
        <f t="shared" si="24"/>
        <v>#REF!</v>
      </c>
      <c r="Q161" s="17" t="e">
        <f t="shared" si="25"/>
        <v>#REF!</v>
      </c>
    </row>
    <row r="162" spans="1:17" x14ac:dyDescent="0.35">
      <c r="A162">
        <v>160</v>
      </c>
      <c r="B162" s="14" t="e">
        <f t="shared" si="26"/>
        <v>#REF!</v>
      </c>
      <c r="C162" s="15" t="e">
        <f>(1+(#REF!)*('Arkusz1 (4)'!B162-'Arkusz1 (4)'!B161)/365)</f>
        <v>#REF!</v>
      </c>
      <c r="D162" s="15" t="e">
        <f>(1+(#REF!)*('Arkusz1 (4)'!B162-'Arkusz1 (4)'!B161)/366)</f>
        <v>#REF!</v>
      </c>
      <c r="E162" s="15" t="e">
        <f t="shared" si="18"/>
        <v>#REF!</v>
      </c>
      <c r="F162" s="15" t="e">
        <f t="shared" si="19"/>
        <v>#REF!</v>
      </c>
      <c r="G162" t="e">
        <f>IF(E162=1,(1+(#REF!)*((('Arkusz1 (4)'!B162-DATE(YEAR(B162),1,1)+1)/365)+((DATE(YEAR(B161),12,31)-'Arkusz1 (4)'!B161)/366))),IF(F162=1,(1+(#REF!)*((('Arkusz1 (4)'!B162-DATE(YEAR(B162),1,1)+1)/366)+((DATE(YEAR(B161),12,31)-'Arkusz1 (4)'!B161)/365))),0))</f>
        <v>#REF!</v>
      </c>
      <c r="H162" t="e">
        <f t="shared" si="20"/>
        <v>#REF!</v>
      </c>
      <c r="I162" t="e">
        <f t="shared" si="21"/>
        <v>#REF!</v>
      </c>
      <c r="J162" t="e">
        <f t="shared" si="22"/>
        <v>#REF!</v>
      </c>
      <c r="K162" t="e">
        <f>PRODUCT($J$3:J162)</f>
        <v>#REF!</v>
      </c>
      <c r="L162" t="e">
        <f t="shared" si="23"/>
        <v>#REF!</v>
      </c>
      <c r="M162" t="e">
        <f>SUM($L$3:L162)</f>
        <v>#REF!</v>
      </c>
      <c r="O162" t="e">
        <f>(Q161*'Arkusz1 (4)'!J162)-Q161</f>
        <v>#REF!</v>
      </c>
      <c r="P162" s="16" t="e">
        <f t="shared" si="24"/>
        <v>#REF!</v>
      </c>
      <c r="Q162" s="17" t="e">
        <f t="shared" si="25"/>
        <v>#REF!</v>
      </c>
    </row>
    <row r="163" spans="1:17" x14ac:dyDescent="0.35">
      <c r="A163">
        <v>161</v>
      </c>
      <c r="B163" s="14" t="e">
        <f t="shared" si="26"/>
        <v>#REF!</v>
      </c>
      <c r="C163" s="15" t="e">
        <f>(1+(#REF!)*('Arkusz1 (4)'!B163-'Arkusz1 (4)'!B162)/365)</f>
        <v>#REF!</v>
      </c>
      <c r="D163" s="15" t="e">
        <f>(1+(#REF!)*('Arkusz1 (4)'!B163-'Arkusz1 (4)'!B162)/366)</f>
        <v>#REF!</v>
      </c>
      <c r="E163" s="15" t="e">
        <f t="shared" si="18"/>
        <v>#REF!</v>
      </c>
      <c r="F163" s="15" t="e">
        <f t="shared" si="19"/>
        <v>#REF!</v>
      </c>
      <c r="G163" t="e">
        <f>IF(E163=1,(1+(#REF!)*((('Arkusz1 (4)'!B163-DATE(YEAR(B163),1,1)+1)/365)+((DATE(YEAR(B162),12,31)-'Arkusz1 (4)'!B162)/366))),IF(F163=1,(1+(#REF!)*((('Arkusz1 (4)'!B163-DATE(YEAR(B163),1,1)+1)/366)+((DATE(YEAR(B162),12,31)-'Arkusz1 (4)'!B162)/365))),0))</f>
        <v>#REF!</v>
      </c>
      <c r="H163" t="e">
        <f t="shared" si="20"/>
        <v>#REF!</v>
      </c>
      <c r="I163" t="e">
        <f t="shared" si="21"/>
        <v>#REF!</v>
      </c>
      <c r="J163" t="e">
        <f t="shared" si="22"/>
        <v>#REF!</v>
      </c>
      <c r="K163" t="e">
        <f>PRODUCT($J$3:J163)</f>
        <v>#REF!</v>
      </c>
      <c r="L163" t="e">
        <f t="shared" si="23"/>
        <v>#REF!</v>
      </c>
      <c r="M163" t="e">
        <f>SUM($L$3:L163)</f>
        <v>#REF!</v>
      </c>
      <c r="O163" t="e">
        <f>(Q162*'Arkusz1 (4)'!J163)-Q162</f>
        <v>#REF!</v>
      </c>
      <c r="P163" s="16" t="e">
        <f t="shared" si="24"/>
        <v>#REF!</v>
      </c>
      <c r="Q163" s="17" t="e">
        <f t="shared" si="25"/>
        <v>#REF!</v>
      </c>
    </row>
    <row r="164" spans="1:17" x14ac:dyDescent="0.35">
      <c r="A164">
        <v>162</v>
      </c>
      <c r="B164" s="14" t="e">
        <f t="shared" si="26"/>
        <v>#REF!</v>
      </c>
      <c r="C164" s="15" t="e">
        <f>(1+(#REF!)*('Arkusz1 (4)'!B164-'Arkusz1 (4)'!B163)/365)</f>
        <v>#REF!</v>
      </c>
      <c r="D164" s="15" t="e">
        <f>(1+(#REF!)*('Arkusz1 (4)'!B164-'Arkusz1 (4)'!B163)/366)</f>
        <v>#REF!</v>
      </c>
      <c r="E164" s="15" t="e">
        <f t="shared" si="18"/>
        <v>#REF!</v>
      </c>
      <c r="F164" s="15" t="e">
        <f t="shared" si="19"/>
        <v>#REF!</v>
      </c>
      <c r="G164" t="e">
        <f>IF(E164=1,(1+(#REF!)*((('Arkusz1 (4)'!B164-DATE(YEAR(B164),1,1)+1)/365)+((DATE(YEAR(B163),12,31)-'Arkusz1 (4)'!B163)/366))),IF(F164=1,(1+(#REF!)*((('Arkusz1 (4)'!B164-DATE(YEAR(B164),1,1)+1)/366)+((DATE(YEAR(B163),12,31)-'Arkusz1 (4)'!B163)/365))),0))</f>
        <v>#REF!</v>
      </c>
      <c r="H164" t="e">
        <f t="shared" si="20"/>
        <v>#REF!</v>
      </c>
      <c r="I164" t="e">
        <f t="shared" si="21"/>
        <v>#REF!</v>
      </c>
      <c r="J164" t="e">
        <f t="shared" si="22"/>
        <v>#REF!</v>
      </c>
      <c r="K164" t="e">
        <f>PRODUCT($J$3:J164)</f>
        <v>#REF!</v>
      </c>
      <c r="L164" t="e">
        <f t="shared" si="23"/>
        <v>#REF!</v>
      </c>
      <c r="M164" t="e">
        <f>SUM($L$3:L164)</f>
        <v>#REF!</v>
      </c>
      <c r="O164" t="e">
        <f>(Q163*'Arkusz1 (4)'!J164)-Q163</f>
        <v>#REF!</v>
      </c>
      <c r="P164" s="16" t="e">
        <f t="shared" si="24"/>
        <v>#REF!</v>
      </c>
      <c r="Q164" s="17" t="e">
        <f t="shared" si="25"/>
        <v>#REF!</v>
      </c>
    </row>
    <row r="165" spans="1:17" x14ac:dyDescent="0.35">
      <c r="A165">
        <v>163</v>
      </c>
      <c r="B165" s="14" t="e">
        <f t="shared" si="26"/>
        <v>#REF!</v>
      </c>
      <c r="C165" s="15" t="e">
        <f>(1+(#REF!)*('Arkusz1 (4)'!B165-'Arkusz1 (4)'!B164)/365)</f>
        <v>#REF!</v>
      </c>
      <c r="D165" s="15" t="e">
        <f>(1+(#REF!)*('Arkusz1 (4)'!B165-'Arkusz1 (4)'!B164)/366)</f>
        <v>#REF!</v>
      </c>
      <c r="E165" s="15" t="e">
        <f t="shared" si="18"/>
        <v>#REF!</v>
      </c>
      <c r="F165" s="15" t="e">
        <f t="shared" si="19"/>
        <v>#REF!</v>
      </c>
      <c r="G165" t="e">
        <f>IF(E165=1,(1+(#REF!)*((('Arkusz1 (4)'!B165-DATE(YEAR(B165),1,1)+1)/365)+((DATE(YEAR(B164),12,31)-'Arkusz1 (4)'!B164)/366))),IF(F165=1,(1+(#REF!)*((('Arkusz1 (4)'!B165-DATE(YEAR(B165),1,1)+1)/366)+((DATE(YEAR(B164),12,31)-'Arkusz1 (4)'!B164)/365))),0))</f>
        <v>#REF!</v>
      </c>
      <c r="H165" t="e">
        <f t="shared" si="20"/>
        <v>#REF!</v>
      </c>
      <c r="I165" t="e">
        <f t="shared" si="21"/>
        <v>#REF!</v>
      </c>
      <c r="J165" t="e">
        <f t="shared" si="22"/>
        <v>#REF!</v>
      </c>
      <c r="K165" t="e">
        <f>PRODUCT($J$3:J165)</f>
        <v>#REF!</v>
      </c>
      <c r="L165" t="e">
        <f t="shared" si="23"/>
        <v>#REF!</v>
      </c>
      <c r="M165" t="e">
        <f>SUM($L$3:L165)</f>
        <v>#REF!</v>
      </c>
      <c r="O165" t="e">
        <f>(Q164*'Arkusz1 (4)'!J165)-Q164</f>
        <v>#REF!</v>
      </c>
      <c r="P165" s="16" t="e">
        <f t="shared" si="24"/>
        <v>#REF!</v>
      </c>
      <c r="Q165" s="17" t="e">
        <f t="shared" si="25"/>
        <v>#REF!</v>
      </c>
    </row>
    <row r="166" spans="1:17" x14ac:dyDescent="0.35">
      <c r="A166">
        <v>164</v>
      </c>
      <c r="B166" s="14" t="e">
        <f t="shared" si="26"/>
        <v>#REF!</v>
      </c>
      <c r="C166" s="15" t="e">
        <f>(1+(#REF!)*('Arkusz1 (4)'!B166-'Arkusz1 (4)'!B165)/365)</f>
        <v>#REF!</v>
      </c>
      <c r="D166" s="15" t="e">
        <f>(1+(#REF!)*('Arkusz1 (4)'!B166-'Arkusz1 (4)'!B165)/366)</f>
        <v>#REF!</v>
      </c>
      <c r="E166" s="15" t="e">
        <f t="shared" si="18"/>
        <v>#REF!</v>
      </c>
      <c r="F166" s="15" t="e">
        <f t="shared" si="19"/>
        <v>#REF!</v>
      </c>
      <c r="G166" t="e">
        <f>IF(E166=1,(1+(#REF!)*((('Arkusz1 (4)'!B166-DATE(YEAR(B166),1,1)+1)/365)+((DATE(YEAR(B165),12,31)-'Arkusz1 (4)'!B165)/366))),IF(F166=1,(1+(#REF!)*((('Arkusz1 (4)'!B166-DATE(YEAR(B166),1,1)+1)/366)+((DATE(YEAR(B165),12,31)-'Arkusz1 (4)'!B165)/365))),0))</f>
        <v>#REF!</v>
      </c>
      <c r="H166" t="e">
        <f t="shared" si="20"/>
        <v>#REF!</v>
      </c>
      <c r="I166" t="e">
        <f t="shared" si="21"/>
        <v>#REF!</v>
      </c>
      <c r="J166" t="e">
        <f t="shared" si="22"/>
        <v>#REF!</v>
      </c>
      <c r="K166" t="e">
        <f>PRODUCT($J$3:J166)</f>
        <v>#REF!</v>
      </c>
      <c r="L166" t="e">
        <f t="shared" si="23"/>
        <v>#REF!</v>
      </c>
      <c r="M166" t="e">
        <f>SUM($L$3:L166)</f>
        <v>#REF!</v>
      </c>
      <c r="O166" t="e">
        <f>(Q165*'Arkusz1 (4)'!J166)-Q165</f>
        <v>#REF!</v>
      </c>
      <c r="P166" s="16" t="e">
        <f t="shared" si="24"/>
        <v>#REF!</v>
      </c>
      <c r="Q166" s="17" t="e">
        <f t="shared" si="25"/>
        <v>#REF!</v>
      </c>
    </row>
    <row r="167" spans="1:17" x14ac:dyDescent="0.35">
      <c r="A167">
        <v>165</v>
      </c>
      <c r="B167" s="14" t="e">
        <f t="shared" si="26"/>
        <v>#REF!</v>
      </c>
      <c r="C167" s="15" t="e">
        <f>(1+(#REF!)*('Arkusz1 (4)'!B167-'Arkusz1 (4)'!B166)/365)</f>
        <v>#REF!</v>
      </c>
      <c r="D167" s="15" t="e">
        <f>(1+(#REF!)*('Arkusz1 (4)'!B167-'Arkusz1 (4)'!B166)/366)</f>
        <v>#REF!</v>
      </c>
      <c r="E167" s="15" t="e">
        <f t="shared" si="18"/>
        <v>#REF!</v>
      </c>
      <c r="F167" s="15" t="e">
        <f t="shared" si="19"/>
        <v>#REF!</v>
      </c>
      <c r="G167" t="e">
        <f>IF(E167=1,(1+(#REF!)*((('Arkusz1 (4)'!B167-DATE(YEAR(B167),1,1)+1)/365)+((DATE(YEAR(B166),12,31)-'Arkusz1 (4)'!B166)/366))),IF(F167=1,(1+(#REF!)*((('Arkusz1 (4)'!B167-DATE(YEAR(B167),1,1)+1)/366)+((DATE(YEAR(B166),12,31)-'Arkusz1 (4)'!B166)/365))),0))</f>
        <v>#REF!</v>
      </c>
      <c r="H167" t="e">
        <f t="shared" si="20"/>
        <v>#REF!</v>
      </c>
      <c r="I167" t="e">
        <f t="shared" si="21"/>
        <v>#REF!</v>
      </c>
      <c r="J167" t="e">
        <f t="shared" si="22"/>
        <v>#REF!</v>
      </c>
      <c r="K167" t="e">
        <f>PRODUCT($J$3:J167)</f>
        <v>#REF!</v>
      </c>
      <c r="L167" t="e">
        <f t="shared" si="23"/>
        <v>#REF!</v>
      </c>
      <c r="M167" t="e">
        <f>SUM($L$3:L167)</f>
        <v>#REF!</v>
      </c>
      <c r="O167" t="e">
        <f>(Q166*'Arkusz1 (4)'!J167)-Q166</f>
        <v>#REF!</v>
      </c>
      <c r="P167" s="16" t="e">
        <f t="shared" si="24"/>
        <v>#REF!</v>
      </c>
      <c r="Q167" s="17" t="e">
        <f t="shared" si="25"/>
        <v>#REF!</v>
      </c>
    </row>
    <row r="168" spans="1:17" x14ac:dyDescent="0.35">
      <c r="A168">
        <v>166</v>
      </c>
      <c r="B168" s="14" t="e">
        <f t="shared" si="26"/>
        <v>#REF!</v>
      </c>
      <c r="C168" s="15" t="e">
        <f>(1+(#REF!)*('Arkusz1 (4)'!B168-'Arkusz1 (4)'!B167)/365)</f>
        <v>#REF!</v>
      </c>
      <c r="D168" s="15" t="e">
        <f>(1+(#REF!)*('Arkusz1 (4)'!B168-'Arkusz1 (4)'!B167)/366)</f>
        <v>#REF!</v>
      </c>
      <c r="E168" s="15" t="e">
        <f t="shared" si="18"/>
        <v>#REF!</v>
      </c>
      <c r="F168" s="15" t="e">
        <f t="shared" si="19"/>
        <v>#REF!</v>
      </c>
      <c r="G168" t="e">
        <f>IF(E168=1,(1+(#REF!)*((('Arkusz1 (4)'!B168-DATE(YEAR(B168),1,1)+1)/365)+((DATE(YEAR(B167),12,31)-'Arkusz1 (4)'!B167)/366))),IF(F168=1,(1+(#REF!)*((('Arkusz1 (4)'!B168-DATE(YEAR(B168),1,1)+1)/366)+((DATE(YEAR(B167),12,31)-'Arkusz1 (4)'!B167)/365))),0))</f>
        <v>#REF!</v>
      </c>
      <c r="H168" t="e">
        <f t="shared" si="20"/>
        <v>#REF!</v>
      </c>
      <c r="I168" t="e">
        <f t="shared" si="21"/>
        <v>#REF!</v>
      </c>
      <c r="J168" t="e">
        <f t="shared" si="22"/>
        <v>#REF!</v>
      </c>
      <c r="K168" t="e">
        <f>PRODUCT($J$3:J168)</f>
        <v>#REF!</v>
      </c>
      <c r="L168" t="e">
        <f t="shared" si="23"/>
        <v>#REF!</v>
      </c>
      <c r="M168" t="e">
        <f>SUM($L$3:L168)</f>
        <v>#REF!</v>
      </c>
      <c r="O168" t="e">
        <f>(Q167*'Arkusz1 (4)'!J168)-Q167</f>
        <v>#REF!</v>
      </c>
      <c r="P168" s="16" t="e">
        <f t="shared" si="24"/>
        <v>#REF!</v>
      </c>
      <c r="Q168" s="17" t="e">
        <f t="shared" si="25"/>
        <v>#REF!</v>
      </c>
    </row>
    <row r="169" spans="1:17" x14ac:dyDescent="0.35">
      <c r="A169">
        <v>167</v>
      </c>
      <c r="B169" s="14" t="e">
        <f t="shared" si="26"/>
        <v>#REF!</v>
      </c>
      <c r="C169" s="15" t="e">
        <f>(1+(#REF!)*('Arkusz1 (4)'!B169-'Arkusz1 (4)'!B168)/365)</f>
        <v>#REF!</v>
      </c>
      <c r="D169" s="15" t="e">
        <f>(1+(#REF!)*('Arkusz1 (4)'!B169-'Arkusz1 (4)'!B168)/366)</f>
        <v>#REF!</v>
      </c>
      <c r="E169" s="15" t="e">
        <f t="shared" si="18"/>
        <v>#REF!</v>
      </c>
      <c r="F169" s="15" t="e">
        <f t="shared" si="19"/>
        <v>#REF!</v>
      </c>
      <c r="G169" t="e">
        <f>IF(E169=1,(1+(#REF!)*((('Arkusz1 (4)'!B169-DATE(YEAR(B169),1,1)+1)/365)+((DATE(YEAR(B168),12,31)-'Arkusz1 (4)'!B168)/366))),IF(F169=1,(1+(#REF!)*((('Arkusz1 (4)'!B169-DATE(YEAR(B169),1,1)+1)/366)+((DATE(YEAR(B168),12,31)-'Arkusz1 (4)'!B168)/365))),0))</f>
        <v>#REF!</v>
      </c>
      <c r="H169" t="e">
        <f t="shared" si="20"/>
        <v>#REF!</v>
      </c>
      <c r="I169" t="e">
        <f t="shared" si="21"/>
        <v>#REF!</v>
      </c>
      <c r="J169" t="e">
        <f t="shared" si="22"/>
        <v>#REF!</v>
      </c>
      <c r="K169" t="e">
        <f>PRODUCT($J$3:J169)</f>
        <v>#REF!</v>
      </c>
      <c r="L169" t="e">
        <f t="shared" si="23"/>
        <v>#REF!</v>
      </c>
      <c r="M169" t="e">
        <f>SUM($L$3:L169)</f>
        <v>#REF!</v>
      </c>
      <c r="O169" t="e">
        <f>(Q168*'Arkusz1 (4)'!J169)-Q168</f>
        <v>#REF!</v>
      </c>
      <c r="P169" s="16" t="e">
        <f t="shared" si="24"/>
        <v>#REF!</v>
      </c>
      <c r="Q169" s="17" t="e">
        <f t="shared" si="25"/>
        <v>#REF!</v>
      </c>
    </row>
    <row r="170" spans="1:17" x14ac:dyDescent="0.35">
      <c r="A170">
        <v>168</v>
      </c>
      <c r="B170" s="14" t="e">
        <f t="shared" si="26"/>
        <v>#REF!</v>
      </c>
      <c r="C170" s="15" t="e">
        <f>(1+(#REF!)*('Arkusz1 (4)'!B170-'Arkusz1 (4)'!B169)/365)</f>
        <v>#REF!</v>
      </c>
      <c r="D170" s="15" t="e">
        <f>(1+(#REF!)*('Arkusz1 (4)'!B170-'Arkusz1 (4)'!B169)/366)</f>
        <v>#REF!</v>
      </c>
      <c r="E170" s="15" t="e">
        <f t="shared" si="18"/>
        <v>#REF!</v>
      </c>
      <c r="F170" s="15" t="e">
        <f t="shared" si="19"/>
        <v>#REF!</v>
      </c>
      <c r="G170" t="e">
        <f>IF(E170=1,(1+(#REF!)*((('Arkusz1 (4)'!B170-DATE(YEAR(B170),1,1)+1)/365)+((DATE(YEAR(B169),12,31)-'Arkusz1 (4)'!B169)/366))),IF(F170=1,(1+(#REF!)*((('Arkusz1 (4)'!B170-DATE(YEAR(B170),1,1)+1)/366)+((DATE(YEAR(B169),12,31)-'Arkusz1 (4)'!B169)/365))),0))</f>
        <v>#REF!</v>
      </c>
      <c r="H170" t="e">
        <f t="shared" si="20"/>
        <v>#REF!</v>
      </c>
      <c r="I170" t="e">
        <f t="shared" si="21"/>
        <v>#REF!</v>
      </c>
      <c r="J170" t="e">
        <f t="shared" si="22"/>
        <v>#REF!</v>
      </c>
      <c r="K170" t="e">
        <f>PRODUCT($J$3:J170)</f>
        <v>#REF!</v>
      </c>
      <c r="L170" t="e">
        <f t="shared" si="23"/>
        <v>#REF!</v>
      </c>
      <c r="M170" t="e">
        <f>SUM($L$3:L170)</f>
        <v>#REF!</v>
      </c>
      <c r="O170" t="e">
        <f>(Q169*'Arkusz1 (4)'!J170)-Q169</f>
        <v>#REF!</v>
      </c>
      <c r="P170" s="16" t="e">
        <f t="shared" si="24"/>
        <v>#REF!</v>
      </c>
      <c r="Q170" s="17" t="e">
        <f t="shared" si="25"/>
        <v>#REF!</v>
      </c>
    </row>
    <row r="171" spans="1:17" x14ac:dyDescent="0.35">
      <c r="A171">
        <v>169</v>
      </c>
      <c r="B171" s="14" t="e">
        <f t="shared" si="26"/>
        <v>#REF!</v>
      </c>
      <c r="C171" s="15" t="e">
        <f>(1+(#REF!)*('Arkusz1 (4)'!B171-'Arkusz1 (4)'!B170)/365)</f>
        <v>#REF!</v>
      </c>
      <c r="D171" s="15" t="e">
        <f>(1+(#REF!)*('Arkusz1 (4)'!B171-'Arkusz1 (4)'!B170)/366)</f>
        <v>#REF!</v>
      </c>
      <c r="E171" s="15" t="e">
        <f t="shared" si="18"/>
        <v>#REF!</v>
      </c>
      <c r="F171" s="15" t="e">
        <f t="shared" si="19"/>
        <v>#REF!</v>
      </c>
      <c r="G171" t="e">
        <f>IF(E171=1,(1+(#REF!)*((('Arkusz1 (4)'!B171-DATE(YEAR(B171),1,1)+1)/365)+((DATE(YEAR(B170),12,31)-'Arkusz1 (4)'!B170)/366))),IF(F171=1,(1+(#REF!)*((('Arkusz1 (4)'!B171-DATE(YEAR(B171),1,1)+1)/366)+((DATE(YEAR(B170),12,31)-'Arkusz1 (4)'!B170)/365))),0))</f>
        <v>#REF!</v>
      </c>
      <c r="H171" t="e">
        <f t="shared" si="20"/>
        <v>#REF!</v>
      </c>
      <c r="I171" t="e">
        <f t="shared" si="21"/>
        <v>#REF!</v>
      </c>
      <c r="J171" t="e">
        <f t="shared" si="22"/>
        <v>#REF!</v>
      </c>
      <c r="K171" t="e">
        <f>PRODUCT($J$3:J171)</f>
        <v>#REF!</v>
      </c>
      <c r="L171" t="e">
        <f t="shared" si="23"/>
        <v>#REF!</v>
      </c>
      <c r="M171" t="e">
        <f>SUM($L$3:L171)</f>
        <v>#REF!</v>
      </c>
      <c r="O171" t="e">
        <f>(Q170*'Arkusz1 (4)'!J171)-Q170</f>
        <v>#REF!</v>
      </c>
      <c r="P171" s="16" t="e">
        <f t="shared" si="24"/>
        <v>#REF!</v>
      </c>
      <c r="Q171" s="17" t="e">
        <f t="shared" si="25"/>
        <v>#REF!</v>
      </c>
    </row>
    <row r="172" spans="1:17" x14ac:dyDescent="0.35">
      <c r="A172">
        <v>170</v>
      </c>
      <c r="B172" s="14" t="e">
        <f t="shared" si="26"/>
        <v>#REF!</v>
      </c>
      <c r="C172" s="15" t="e">
        <f>(1+(#REF!)*('Arkusz1 (4)'!B172-'Arkusz1 (4)'!B171)/365)</f>
        <v>#REF!</v>
      </c>
      <c r="D172" s="15" t="e">
        <f>(1+(#REF!)*('Arkusz1 (4)'!B172-'Arkusz1 (4)'!B171)/366)</f>
        <v>#REF!</v>
      </c>
      <c r="E172" s="15" t="e">
        <f t="shared" si="18"/>
        <v>#REF!</v>
      </c>
      <c r="F172" s="15" t="e">
        <f t="shared" si="19"/>
        <v>#REF!</v>
      </c>
      <c r="G172" t="e">
        <f>IF(E172=1,(1+(#REF!)*((('Arkusz1 (4)'!B172-DATE(YEAR(B172),1,1)+1)/365)+((DATE(YEAR(B171),12,31)-'Arkusz1 (4)'!B171)/366))),IF(F172=1,(1+(#REF!)*((('Arkusz1 (4)'!B172-DATE(YEAR(B172),1,1)+1)/366)+((DATE(YEAR(B171),12,31)-'Arkusz1 (4)'!B171)/365))),0))</f>
        <v>#REF!</v>
      </c>
      <c r="H172" t="e">
        <f t="shared" si="20"/>
        <v>#REF!</v>
      </c>
      <c r="I172" t="e">
        <f t="shared" si="21"/>
        <v>#REF!</v>
      </c>
      <c r="J172" t="e">
        <f t="shared" si="22"/>
        <v>#REF!</v>
      </c>
      <c r="K172" t="e">
        <f>PRODUCT($J$3:J172)</f>
        <v>#REF!</v>
      </c>
      <c r="L172" t="e">
        <f t="shared" si="23"/>
        <v>#REF!</v>
      </c>
      <c r="M172" t="e">
        <f>SUM($L$3:L172)</f>
        <v>#REF!</v>
      </c>
      <c r="O172" t="e">
        <f>(Q171*'Arkusz1 (4)'!J172)-Q171</f>
        <v>#REF!</v>
      </c>
      <c r="P172" s="16" t="e">
        <f t="shared" si="24"/>
        <v>#REF!</v>
      </c>
      <c r="Q172" s="17" t="e">
        <f t="shared" si="25"/>
        <v>#REF!</v>
      </c>
    </row>
    <row r="173" spans="1:17" x14ac:dyDescent="0.35">
      <c r="A173">
        <v>171</v>
      </c>
      <c r="B173" s="14" t="e">
        <f t="shared" si="26"/>
        <v>#REF!</v>
      </c>
      <c r="C173" s="15" t="e">
        <f>(1+(#REF!)*('Arkusz1 (4)'!B173-'Arkusz1 (4)'!B172)/365)</f>
        <v>#REF!</v>
      </c>
      <c r="D173" s="15" t="e">
        <f>(1+(#REF!)*('Arkusz1 (4)'!B173-'Arkusz1 (4)'!B172)/366)</f>
        <v>#REF!</v>
      </c>
      <c r="E173" s="15" t="e">
        <f t="shared" si="18"/>
        <v>#REF!</v>
      </c>
      <c r="F173" s="15" t="e">
        <f t="shared" si="19"/>
        <v>#REF!</v>
      </c>
      <c r="G173" t="e">
        <f>IF(E173=1,(1+(#REF!)*((('Arkusz1 (4)'!B173-DATE(YEAR(B173),1,1)+1)/365)+((DATE(YEAR(B172),12,31)-'Arkusz1 (4)'!B172)/366))),IF(F173=1,(1+(#REF!)*((('Arkusz1 (4)'!B173-DATE(YEAR(B173),1,1)+1)/366)+((DATE(YEAR(B172),12,31)-'Arkusz1 (4)'!B172)/365))),0))</f>
        <v>#REF!</v>
      </c>
      <c r="H173" t="e">
        <f t="shared" si="20"/>
        <v>#REF!</v>
      </c>
      <c r="I173" t="e">
        <f t="shared" si="21"/>
        <v>#REF!</v>
      </c>
      <c r="J173" t="e">
        <f t="shared" si="22"/>
        <v>#REF!</v>
      </c>
      <c r="K173" t="e">
        <f>PRODUCT($J$3:J173)</f>
        <v>#REF!</v>
      </c>
      <c r="L173" t="e">
        <f t="shared" si="23"/>
        <v>#REF!</v>
      </c>
      <c r="M173" t="e">
        <f>SUM($L$3:L173)</f>
        <v>#REF!</v>
      </c>
      <c r="O173" t="e">
        <f>(Q172*'Arkusz1 (4)'!J173)-Q172</f>
        <v>#REF!</v>
      </c>
      <c r="P173" s="16" t="e">
        <f t="shared" si="24"/>
        <v>#REF!</v>
      </c>
      <c r="Q173" s="17" t="e">
        <f t="shared" si="25"/>
        <v>#REF!</v>
      </c>
    </row>
    <row r="174" spans="1:17" x14ac:dyDescent="0.35">
      <c r="A174">
        <v>172</v>
      </c>
      <c r="B174" s="14" t="e">
        <f t="shared" si="26"/>
        <v>#REF!</v>
      </c>
      <c r="C174" s="15" t="e">
        <f>(1+(#REF!)*('Arkusz1 (4)'!B174-'Arkusz1 (4)'!B173)/365)</f>
        <v>#REF!</v>
      </c>
      <c r="D174" s="15" t="e">
        <f>(1+(#REF!)*('Arkusz1 (4)'!B174-'Arkusz1 (4)'!B173)/366)</f>
        <v>#REF!</v>
      </c>
      <c r="E174" s="15" t="e">
        <f t="shared" si="18"/>
        <v>#REF!</v>
      </c>
      <c r="F174" s="15" t="e">
        <f t="shared" si="19"/>
        <v>#REF!</v>
      </c>
      <c r="G174" t="e">
        <f>IF(E174=1,(1+(#REF!)*((('Arkusz1 (4)'!B174-DATE(YEAR(B174),1,1)+1)/365)+((DATE(YEAR(B173),12,31)-'Arkusz1 (4)'!B173)/366))),IF(F174=1,(1+(#REF!)*((('Arkusz1 (4)'!B174-DATE(YEAR(B174),1,1)+1)/366)+((DATE(YEAR(B173),12,31)-'Arkusz1 (4)'!B173)/365))),0))</f>
        <v>#REF!</v>
      </c>
      <c r="H174" t="e">
        <f t="shared" si="20"/>
        <v>#REF!</v>
      </c>
      <c r="I174" t="e">
        <f t="shared" si="21"/>
        <v>#REF!</v>
      </c>
      <c r="J174" t="e">
        <f t="shared" si="22"/>
        <v>#REF!</v>
      </c>
      <c r="K174" t="e">
        <f>PRODUCT($J$3:J174)</f>
        <v>#REF!</v>
      </c>
      <c r="L174" t="e">
        <f t="shared" si="23"/>
        <v>#REF!</v>
      </c>
      <c r="M174" t="e">
        <f>SUM($L$3:L174)</f>
        <v>#REF!</v>
      </c>
      <c r="O174" t="e">
        <f>(Q173*'Arkusz1 (4)'!J174)-Q173</f>
        <v>#REF!</v>
      </c>
      <c r="P174" s="16" t="e">
        <f t="shared" si="24"/>
        <v>#REF!</v>
      </c>
      <c r="Q174" s="17" t="e">
        <f t="shared" si="25"/>
        <v>#REF!</v>
      </c>
    </row>
    <row r="175" spans="1:17" x14ac:dyDescent="0.35">
      <c r="A175">
        <v>173</v>
      </c>
      <c r="B175" s="14" t="e">
        <f t="shared" si="26"/>
        <v>#REF!</v>
      </c>
      <c r="C175" s="15" t="e">
        <f>(1+(#REF!)*('Arkusz1 (4)'!B175-'Arkusz1 (4)'!B174)/365)</f>
        <v>#REF!</v>
      </c>
      <c r="D175" s="15" t="e">
        <f>(1+(#REF!)*('Arkusz1 (4)'!B175-'Arkusz1 (4)'!B174)/366)</f>
        <v>#REF!</v>
      </c>
      <c r="E175" s="15" t="e">
        <f t="shared" si="18"/>
        <v>#REF!</v>
      </c>
      <c r="F175" s="15" t="e">
        <f t="shared" si="19"/>
        <v>#REF!</v>
      </c>
      <c r="G175" t="e">
        <f>IF(E175=1,(1+(#REF!)*((('Arkusz1 (4)'!B175-DATE(YEAR(B175),1,1)+1)/365)+((DATE(YEAR(B174),12,31)-'Arkusz1 (4)'!B174)/366))),IF(F175=1,(1+(#REF!)*((('Arkusz1 (4)'!B175-DATE(YEAR(B175),1,1)+1)/366)+((DATE(YEAR(B174),12,31)-'Arkusz1 (4)'!B174)/365))),0))</f>
        <v>#REF!</v>
      </c>
      <c r="H175" t="e">
        <f t="shared" si="20"/>
        <v>#REF!</v>
      </c>
      <c r="I175" t="e">
        <f t="shared" si="21"/>
        <v>#REF!</v>
      </c>
      <c r="J175" t="e">
        <f t="shared" si="22"/>
        <v>#REF!</v>
      </c>
      <c r="K175" t="e">
        <f>PRODUCT($J$3:J175)</f>
        <v>#REF!</v>
      </c>
      <c r="L175" t="e">
        <f t="shared" si="23"/>
        <v>#REF!</v>
      </c>
      <c r="M175" t="e">
        <f>SUM($L$3:L175)</f>
        <v>#REF!</v>
      </c>
      <c r="O175" t="e">
        <f>(Q174*'Arkusz1 (4)'!J175)-Q174</f>
        <v>#REF!</v>
      </c>
      <c r="P175" s="16" t="e">
        <f t="shared" si="24"/>
        <v>#REF!</v>
      </c>
      <c r="Q175" s="17" t="e">
        <f t="shared" si="25"/>
        <v>#REF!</v>
      </c>
    </row>
    <row r="176" spans="1:17" x14ac:dyDescent="0.35">
      <c r="A176">
        <v>174</v>
      </c>
      <c r="B176" s="14" t="e">
        <f t="shared" si="26"/>
        <v>#REF!</v>
      </c>
      <c r="C176" s="15" t="e">
        <f>(1+(#REF!)*('Arkusz1 (4)'!B176-'Arkusz1 (4)'!B175)/365)</f>
        <v>#REF!</v>
      </c>
      <c r="D176" s="15" t="e">
        <f>(1+(#REF!)*('Arkusz1 (4)'!B176-'Arkusz1 (4)'!B175)/366)</f>
        <v>#REF!</v>
      </c>
      <c r="E176" s="15" t="e">
        <f t="shared" si="18"/>
        <v>#REF!</v>
      </c>
      <c r="F176" s="15" t="e">
        <f t="shared" si="19"/>
        <v>#REF!</v>
      </c>
      <c r="G176" t="e">
        <f>IF(E176=1,(1+(#REF!)*((('Arkusz1 (4)'!B176-DATE(YEAR(B176),1,1)+1)/365)+((DATE(YEAR(B175),12,31)-'Arkusz1 (4)'!B175)/366))),IF(F176=1,(1+(#REF!)*((('Arkusz1 (4)'!B176-DATE(YEAR(B176),1,1)+1)/366)+((DATE(YEAR(B175),12,31)-'Arkusz1 (4)'!B175)/365))),0))</f>
        <v>#REF!</v>
      </c>
      <c r="H176" t="e">
        <f t="shared" si="20"/>
        <v>#REF!</v>
      </c>
      <c r="I176" t="e">
        <f t="shared" si="21"/>
        <v>#REF!</v>
      </c>
      <c r="J176" t="e">
        <f t="shared" si="22"/>
        <v>#REF!</v>
      </c>
      <c r="K176" t="e">
        <f>PRODUCT($J$3:J176)</f>
        <v>#REF!</v>
      </c>
      <c r="L176" t="e">
        <f t="shared" si="23"/>
        <v>#REF!</v>
      </c>
      <c r="M176" t="e">
        <f>SUM($L$3:L176)</f>
        <v>#REF!</v>
      </c>
      <c r="O176" t="e">
        <f>(Q175*'Arkusz1 (4)'!J176)-Q175</f>
        <v>#REF!</v>
      </c>
      <c r="P176" s="16" t="e">
        <f t="shared" si="24"/>
        <v>#REF!</v>
      </c>
      <c r="Q176" s="17" t="e">
        <f t="shared" si="25"/>
        <v>#REF!</v>
      </c>
    </row>
    <row r="177" spans="1:17" x14ac:dyDescent="0.35">
      <c r="A177">
        <v>175</v>
      </c>
      <c r="B177" s="14" t="e">
        <f t="shared" si="26"/>
        <v>#REF!</v>
      </c>
      <c r="C177" s="15" t="e">
        <f>(1+(#REF!)*('Arkusz1 (4)'!B177-'Arkusz1 (4)'!B176)/365)</f>
        <v>#REF!</v>
      </c>
      <c r="D177" s="15" t="e">
        <f>(1+(#REF!)*('Arkusz1 (4)'!B177-'Arkusz1 (4)'!B176)/366)</f>
        <v>#REF!</v>
      </c>
      <c r="E177" s="15" t="e">
        <f t="shared" si="18"/>
        <v>#REF!</v>
      </c>
      <c r="F177" s="15" t="e">
        <f t="shared" si="19"/>
        <v>#REF!</v>
      </c>
      <c r="G177" t="e">
        <f>IF(E177=1,(1+(#REF!)*((('Arkusz1 (4)'!B177-DATE(YEAR(B177),1,1)+1)/365)+((DATE(YEAR(B176),12,31)-'Arkusz1 (4)'!B176)/366))),IF(F177=1,(1+(#REF!)*((('Arkusz1 (4)'!B177-DATE(YEAR(B177),1,1)+1)/366)+((DATE(YEAR(B176),12,31)-'Arkusz1 (4)'!B176)/365))),0))</f>
        <v>#REF!</v>
      </c>
      <c r="H177" t="e">
        <f t="shared" si="20"/>
        <v>#REF!</v>
      </c>
      <c r="I177" t="e">
        <f t="shared" si="21"/>
        <v>#REF!</v>
      </c>
      <c r="J177" t="e">
        <f t="shared" si="22"/>
        <v>#REF!</v>
      </c>
      <c r="K177" t="e">
        <f>PRODUCT($J$3:J177)</f>
        <v>#REF!</v>
      </c>
      <c r="L177" t="e">
        <f t="shared" si="23"/>
        <v>#REF!</v>
      </c>
      <c r="M177" t="e">
        <f>SUM($L$3:L177)</f>
        <v>#REF!</v>
      </c>
      <c r="O177" t="e">
        <f>(Q176*'Arkusz1 (4)'!J177)-Q176</f>
        <v>#REF!</v>
      </c>
      <c r="P177" s="16" t="e">
        <f t="shared" si="24"/>
        <v>#REF!</v>
      </c>
      <c r="Q177" s="17" t="e">
        <f t="shared" si="25"/>
        <v>#REF!</v>
      </c>
    </row>
    <row r="178" spans="1:17" x14ac:dyDescent="0.35">
      <c r="A178">
        <v>176</v>
      </c>
      <c r="B178" s="14" t="e">
        <f t="shared" si="26"/>
        <v>#REF!</v>
      </c>
      <c r="C178" s="15" t="e">
        <f>(1+(#REF!)*('Arkusz1 (4)'!B178-'Arkusz1 (4)'!B177)/365)</f>
        <v>#REF!</v>
      </c>
      <c r="D178" s="15" t="e">
        <f>(1+(#REF!)*('Arkusz1 (4)'!B178-'Arkusz1 (4)'!B177)/366)</f>
        <v>#REF!</v>
      </c>
      <c r="E178" s="15" t="e">
        <f t="shared" si="18"/>
        <v>#REF!</v>
      </c>
      <c r="F178" s="15" t="e">
        <f t="shared" si="19"/>
        <v>#REF!</v>
      </c>
      <c r="G178" t="e">
        <f>IF(E178=1,(1+(#REF!)*((('Arkusz1 (4)'!B178-DATE(YEAR(B178),1,1)+1)/365)+((DATE(YEAR(B177),12,31)-'Arkusz1 (4)'!B177)/366))),IF(F178=1,(1+(#REF!)*((('Arkusz1 (4)'!B178-DATE(YEAR(B178),1,1)+1)/366)+((DATE(YEAR(B177),12,31)-'Arkusz1 (4)'!B177)/365))),0))</f>
        <v>#REF!</v>
      </c>
      <c r="H178" t="e">
        <f t="shared" si="20"/>
        <v>#REF!</v>
      </c>
      <c r="I178" t="e">
        <f t="shared" si="21"/>
        <v>#REF!</v>
      </c>
      <c r="J178" t="e">
        <f t="shared" si="22"/>
        <v>#REF!</v>
      </c>
      <c r="K178" t="e">
        <f>PRODUCT($J$3:J178)</f>
        <v>#REF!</v>
      </c>
      <c r="L178" t="e">
        <f t="shared" si="23"/>
        <v>#REF!</v>
      </c>
      <c r="M178" t="e">
        <f>SUM($L$3:L178)</f>
        <v>#REF!</v>
      </c>
      <c r="O178" t="e">
        <f>(Q177*'Arkusz1 (4)'!J178)-Q177</f>
        <v>#REF!</v>
      </c>
      <c r="P178" s="16" t="e">
        <f t="shared" si="24"/>
        <v>#REF!</v>
      </c>
      <c r="Q178" s="17" t="e">
        <f t="shared" si="25"/>
        <v>#REF!</v>
      </c>
    </row>
    <row r="179" spans="1:17" x14ac:dyDescent="0.35">
      <c r="A179">
        <v>177</v>
      </c>
      <c r="B179" s="14" t="e">
        <f t="shared" si="26"/>
        <v>#REF!</v>
      </c>
      <c r="C179" s="15" t="e">
        <f>(1+(#REF!)*('Arkusz1 (4)'!B179-'Arkusz1 (4)'!B178)/365)</f>
        <v>#REF!</v>
      </c>
      <c r="D179" s="15" t="e">
        <f>(1+(#REF!)*('Arkusz1 (4)'!B179-'Arkusz1 (4)'!B178)/366)</f>
        <v>#REF!</v>
      </c>
      <c r="E179" s="15" t="e">
        <f t="shared" si="18"/>
        <v>#REF!</v>
      </c>
      <c r="F179" s="15" t="e">
        <f t="shared" si="19"/>
        <v>#REF!</v>
      </c>
      <c r="G179" t="e">
        <f>IF(E179=1,(1+(#REF!)*((('Arkusz1 (4)'!B179-DATE(YEAR(B179),1,1)+1)/365)+((DATE(YEAR(B178),12,31)-'Arkusz1 (4)'!B178)/366))),IF(F179=1,(1+(#REF!)*((('Arkusz1 (4)'!B179-DATE(YEAR(B179),1,1)+1)/366)+((DATE(YEAR(B178),12,31)-'Arkusz1 (4)'!B178)/365))),0))</f>
        <v>#REF!</v>
      </c>
      <c r="H179" t="e">
        <f t="shared" si="20"/>
        <v>#REF!</v>
      </c>
      <c r="I179" t="e">
        <f t="shared" si="21"/>
        <v>#REF!</v>
      </c>
      <c r="J179" t="e">
        <f t="shared" si="22"/>
        <v>#REF!</v>
      </c>
      <c r="K179" t="e">
        <f>PRODUCT($J$3:J179)</f>
        <v>#REF!</v>
      </c>
      <c r="L179" t="e">
        <f t="shared" si="23"/>
        <v>#REF!</v>
      </c>
      <c r="M179" t="e">
        <f>SUM($L$3:L179)</f>
        <v>#REF!</v>
      </c>
      <c r="O179" t="e">
        <f>(Q178*'Arkusz1 (4)'!J179)-Q178</f>
        <v>#REF!</v>
      </c>
      <c r="P179" s="16" t="e">
        <f t="shared" si="24"/>
        <v>#REF!</v>
      </c>
      <c r="Q179" s="17" t="e">
        <f t="shared" si="25"/>
        <v>#REF!</v>
      </c>
    </row>
    <row r="180" spans="1:17" x14ac:dyDescent="0.35">
      <c r="A180">
        <v>178</v>
      </c>
      <c r="B180" s="14" t="e">
        <f t="shared" si="26"/>
        <v>#REF!</v>
      </c>
      <c r="C180" s="15" t="e">
        <f>(1+(#REF!)*('Arkusz1 (4)'!B180-'Arkusz1 (4)'!B179)/365)</f>
        <v>#REF!</v>
      </c>
      <c r="D180" s="15" t="e">
        <f>(1+(#REF!)*('Arkusz1 (4)'!B180-'Arkusz1 (4)'!B179)/366)</f>
        <v>#REF!</v>
      </c>
      <c r="E180" s="15" t="e">
        <f t="shared" si="18"/>
        <v>#REF!</v>
      </c>
      <c r="F180" s="15" t="e">
        <f t="shared" si="19"/>
        <v>#REF!</v>
      </c>
      <c r="G180" t="e">
        <f>IF(E180=1,(1+(#REF!)*((('Arkusz1 (4)'!B180-DATE(YEAR(B180),1,1)+1)/365)+((DATE(YEAR(B179),12,31)-'Arkusz1 (4)'!B179)/366))),IF(F180=1,(1+(#REF!)*((('Arkusz1 (4)'!B180-DATE(YEAR(B180),1,1)+1)/366)+((DATE(YEAR(B179),12,31)-'Arkusz1 (4)'!B179)/365))),0))</f>
        <v>#REF!</v>
      </c>
      <c r="H180" t="e">
        <f t="shared" si="20"/>
        <v>#REF!</v>
      </c>
      <c r="I180" t="e">
        <f t="shared" si="21"/>
        <v>#REF!</v>
      </c>
      <c r="J180" t="e">
        <f t="shared" si="22"/>
        <v>#REF!</v>
      </c>
      <c r="K180" t="e">
        <f>PRODUCT($J$3:J180)</f>
        <v>#REF!</v>
      </c>
      <c r="L180" t="e">
        <f t="shared" si="23"/>
        <v>#REF!</v>
      </c>
      <c r="M180" t="e">
        <f>SUM($L$3:L180)</f>
        <v>#REF!</v>
      </c>
      <c r="O180" t="e">
        <f>(Q179*'Arkusz1 (4)'!J180)-Q179</f>
        <v>#REF!</v>
      </c>
      <c r="P180" s="16" t="e">
        <f t="shared" si="24"/>
        <v>#REF!</v>
      </c>
      <c r="Q180" s="17" t="e">
        <f t="shared" si="25"/>
        <v>#REF!</v>
      </c>
    </row>
    <row r="181" spans="1:17" x14ac:dyDescent="0.35">
      <c r="A181">
        <v>179</v>
      </c>
      <c r="B181" s="14" t="e">
        <f t="shared" si="26"/>
        <v>#REF!</v>
      </c>
      <c r="C181" s="15" t="e">
        <f>(1+(#REF!)*('Arkusz1 (4)'!B181-'Arkusz1 (4)'!B180)/365)</f>
        <v>#REF!</v>
      </c>
      <c r="D181" s="15" t="e">
        <f>(1+(#REF!)*('Arkusz1 (4)'!B181-'Arkusz1 (4)'!B180)/366)</f>
        <v>#REF!</v>
      </c>
      <c r="E181" s="15" t="e">
        <f t="shared" si="18"/>
        <v>#REF!</v>
      </c>
      <c r="F181" s="15" t="e">
        <f t="shared" si="19"/>
        <v>#REF!</v>
      </c>
      <c r="G181" t="e">
        <f>IF(E181=1,(1+(#REF!)*((('Arkusz1 (4)'!B181-DATE(YEAR(B181),1,1)+1)/365)+((DATE(YEAR(B180),12,31)-'Arkusz1 (4)'!B180)/366))),IF(F181=1,(1+(#REF!)*((('Arkusz1 (4)'!B181-DATE(YEAR(B181),1,1)+1)/366)+((DATE(YEAR(B180),12,31)-'Arkusz1 (4)'!B180)/365))),0))</f>
        <v>#REF!</v>
      </c>
      <c r="H181" t="e">
        <f t="shared" si="20"/>
        <v>#REF!</v>
      </c>
      <c r="I181" t="e">
        <f t="shared" si="21"/>
        <v>#REF!</v>
      </c>
      <c r="J181" t="e">
        <f t="shared" si="22"/>
        <v>#REF!</v>
      </c>
      <c r="K181" t="e">
        <f>PRODUCT($J$3:J181)</f>
        <v>#REF!</v>
      </c>
      <c r="L181" t="e">
        <f t="shared" si="23"/>
        <v>#REF!</v>
      </c>
      <c r="M181" t="e">
        <f>SUM($L$3:L181)</f>
        <v>#REF!</v>
      </c>
      <c r="O181" t="e">
        <f>(Q180*'Arkusz1 (4)'!J181)-Q180</f>
        <v>#REF!</v>
      </c>
      <c r="P181" s="16" t="e">
        <f t="shared" si="24"/>
        <v>#REF!</v>
      </c>
      <c r="Q181" s="17" t="e">
        <f t="shared" si="25"/>
        <v>#REF!</v>
      </c>
    </row>
    <row r="182" spans="1:17" x14ac:dyDescent="0.35">
      <c r="A182">
        <v>180</v>
      </c>
      <c r="B182" s="14" t="e">
        <f t="shared" si="26"/>
        <v>#REF!</v>
      </c>
      <c r="C182" s="15" t="e">
        <f>(1+(#REF!)*('Arkusz1 (4)'!B182-'Arkusz1 (4)'!B181)/365)</f>
        <v>#REF!</v>
      </c>
      <c r="D182" s="15" t="e">
        <f>(1+(#REF!)*('Arkusz1 (4)'!B182-'Arkusz1 (4)'!B181)/366)</f>
        <v>#REF!</v>
      </c>
      <c r="E182" s="15" t="e">
        <f t="shared" si="18"/>
        <v>#REF!</v>
      </c>
      <c r="F182" s="15" t="e">
        <f t="shared" si="19"/>
        <v>#REF!</v>
      </c>
      <c r="G182" t="e">
        <f>IF(E182=1,(1+(#REF!)*((('Arkusz1 (4)'!B182-DATE(YEAR(B182),1,1)+1)/365)+((DATE(YEAR(B181),12,31)-'Arkusz1 (4)'!B181)/366))),IF(F182=1,(1+(#REF!)*((('Arkusz1 (4)'!B182-DATE(YEAR(B182),1,1)+1)/366)+((DATE(YEAR(B181),12,31)-'Arkusz1 (4)'!B181)/365))),0))</f>
        <v>#REF!</v>
      </c>
      <c r="H182" t="e">
        <f t="shared" si="20"/>
        <v>#REF!</v>
      </c>
      <c r="I182" t="e">
        <f t="shared" si="21"/>
        <v>#REF!</v>
      </c>
      <c r="J182" t="e">
        <f t="shared" si="22"/>
        <v>#REF!</v>
      </c>
      <c r="K182" t="e">
        <f>PRODUCT($J$3:J182)</f>
        <v>#REF!</v>
      </c>
      <c r="L182" t="e">
        <f t="shared" si="23"/>
        <v>#REF!</v>
      </c>
      <c r="M182" t="e">
        <f>SUM($L$3:L182)</f>
        <v>#REF!</v>
      </c>
      <c r="O182" t="e">
        <f>(Q181*'Arkusz1 (4)'!J182)-Q181</f>
        <v>#REF!</v>
      </c>
      <c r="P182" s="16" t="e">
        <f t="shared" si="24"/>
        <v>#REF!</v>
      </c>
      <c r="Q182" s="17" t="e">
        <f t="shared" si="25"/>
        <v>#REF!</v>
      </c>
    </row>
  </sheetData>
  <pageMargins left="0.7" right="0.7" top="0.75" bottom="0.75" header="0.3" footer="0.3"/>
  <pageSetup paperSize="9" orientation="portrait" horizontalDpi="30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Arkusz29"/>
  <dimension ref="A1:Q182"/>
  <sheetViews>
    <sheetView workbookViewId="0">
      <pane ySplit="1" topLeftCell="A2" activePane="bottomLeft" state="frozen"/>
      <selection pane="bottomLeft"/>
    </sheetView>
  </sheetViews>
  <sheetFormatPr defaultRowHeight="14.5" x14ac:dyDescent="0.35"/>
  <cols>
    <col min="1" max="1" width="4" bestFit="1" customWidth="1"/>
    <col min="2" max="2" width="16.1796875" customWidth="1"/>
    <col min="3" max="3" width="16.1796875" style="15" customWidth="1"/>
    <col min="4" max="11" width="16.1796875" customWidth="1"/>
    <col min="12" max="12" width="17.453125" customWidth="1"/>
    <col min="13" max="13" width="12.1796875" customWidth="1"/>
    <col min="15" max="15" width="15.1796875" customWidth="1"/>
    <col min="16" max="16" width="16.81640625" customWidth="1"/>
    <col min="17" max="17" width="16.1796875" customWidth="1"/>
  </cols>
  <sheetData>
    <row r="1" spans="1:17" x14ac:dyDescent="0.35">
      <c r="A1" s="1" t="s">
        <v>6</v>
      </c>
      <c r="B1" s="2"/>
      <c r="C1" s="3" t="s">
        <v>7</v>
      </c>
      <c r="D1" s="2" t="s">
        <v>8</v>
      </c>
      <c r="E1" s="2" t="s">
        <v>9</v>
      </c>
      <c r="F1" s="2" t="s">
        <v>10</v>
      </c>
      <c r="G1" s="2" t="s">
        <v>11</v>
      </c>
      <c r="H1" s="2" t="s">
        <v>12</v>
      </c>
      <c r="I1" s="2" t="s">
        <v>13</v>
      </c>
      <c r="J1" s="2" t="s">
        <v>14</v>
      </c>
      <c r="K1" s="2" t="s">
        <v>15</v>
      </c>
      <c r="L1" s="4" t="s">
        <v>16</v>
      </c>
      <c r="M1" s="5" t="s">
        <v>17</v>
      </c>
      <c r="N1" s="4" t="s">
        <v>18</v>
      </c>
      <c r="O1" s="6" t="s">
        <v>19</v>
      </c>
      <c r="P1" s="7" t="s">
        <v>20</v>
      </c>
      <c r="Q1" s="7" t="s">
        <v>21</v>
      </c>
    </row>
    <row r="2" spans="1:17" x14ac:dyDescent="0.35">
      <c r="A2" s="8">
        <v>0</v>
      </c>
      <c r="B2" s="9">
        <f ca="1">TODAY()</f>
        <v>46083</v>
      </c>
      <c r="C2" s="10"/>
      <c r="D2" s="9"/>
      <c r="E2" s="9"/>
      <c r="F2" s="9"/>
      <c r="G2" s="11"/>
      <c r="H2" s="11"/>
      <c r="I2" s="11"/>
      <c r="J2" s="11"/>
      <c r="K2" s="11"/>
      <c r="L2" s="7"/>
      <c r="M2" s="12"/>
      <c r="N2" s="13" t="e">
        <f>#REF!/VLOOKUP(#REF!,'Arkusz1 (5)'!$A$1:$O$182,13,1)</f>
        <v>#REF!</v>
      </c>
      <c r="O2" s="7"/>
    </row>
    <row r="3" spans="1:17" x14ac:dyDescent="0.35">
      <c r="A3">
        <v>1</v>
      </c>
      <c r="B3" s="14" t="e">
        <f>#REF!</f>
        <v>#REF!</v>
      </c>
      <c r="C3" s="15" t="e">
        <f ca="1">(1+(#REF!)*('Arkusz1 (5)'!B3-'Arkusz1 (5)'!B2)/365)</f>
        <v>#REF!</v>
      </c>
      <c r="D3" s="15" t="e">
        <f ca="1">(1+(#REF!)*('Arkusz1 (5)'!B3-'Arkusz1 (5)'!B2)/366)</f>
        <v>#REF!</v>
      </c>
      <c r="E3" s="15" t="e">
        <f ca="1">IF(AND(MOD(YEAR(B2),4)=0,MOD(YEAR(B3),4)&lt;&gt;0),1,0)</f>
        <v>#REF!</v>
      </c>
      <c r="F3" s="15" t="e">
        <f ca="1">IF(AND(MOD(YEAR(B3),4)=0,MOD(YEAR(B2),4)&lt;&gt;0),1,0)</f>
        <v>#REF!</v>
      </c>
      <c r="G3" t="e">
        <f ca="1">IF(E3=1,(1+(#REF!)*((('Arkusz1 (5)'!B3-DATE(YEAR(B3),1,1)+1)/365)+((DATE(YEAR(B2),12,31)-'Arkusz1 (5)'!B2)/366))),IF(F3=1,(1+(#REF!)*((('Arkusz1 (5)'!B3-DATE(YEAR(B3),1,1)+1)/366)+((DATE(YEAR(B2),12,31)-'Arkusz1 (5)'!B2)/365))),0))</f>
        <v>#REF!</v>
      </c>
      <c r="H3" t="e">
        <f>IF(MOD(YEAR(B3),4)=0,1,0)</f>
        <v>#REF!</v>
      </c>
      <c r="I3" t="e">
        <f>IF(H3=0,C3,IF(H3=1,D3,"blad"))</f>
        <v>#REF!</v>
      </c>
      <c r="J3" t="e">
        <f ca="1">IF(OR(E3=1,F3=1),G3,I3)</f>
        <v>#REF!</v>
      </c>
      <c r="K3" t="e">
        <f ca="1">J3</f>
        <v>#REF!</v>
      </c>
      <c r="L3" t="e">
        <f ca="1">1/K3</f>
        <v>#REF!</v>
      </c>
      <c r="O3" t="e">
        <f ca="1">(#REF!*'Arkusz1 (5)'!J3)-#REF!</f>
        <v>#REF!</v>
      </c>
      <c r="P3" s="16" t="e">
        <f ca="1">$N$2-O3</f>
        <v>#REF!</v>
      </c>
      <c r="Q3" s="17" t="e">
        <f ca="1">#REF!-P3</f>
        <v>#REF!</v>
      </c>
    </row>
    <row r="4" spans="1:17" x14ac:dyDescent="0.35">
      <c r="A4">
        <v>2</v>
      </c>
      <c r="B4" s="14" t="e">
        <f>DATE(YEAR((B3)),MONTH((B3))+1,IF(AND(DAY(B3)&gt;28,MONTH((B3))+1=2),IF(MOD(YEAR(B3),4)=0,29,28),DAY(B3)))</f>
        <v>#REF!</v>
      </c>
      <c r="C4" s="15" t="e">
        <f>(1+(#REF!)*('Arkusz1 (5)'!B4-'Arkusz1 (5)'!B3)/365)</f>
        <v>#REF!</v>
      </c>
      <c r="D4" s="15" t="e">
        <f>(1+(#REF!)*('Arkusz1 (5)'!B4-'Arkusz1 (5)'!B3)/366)</f>
        <v>#REF!</v>
      </c>
      <c r="E4" s="15" t="e">
        <f t="shared" ref="E4:E67" si="0">IF(AND(MOD(YEAR(B3),4)=0,MOD(YEAR(B4),4)&lt;&gt;0),1,0)</f>
        <v>#REF!</v>
      </c>
      <c r="F4" s="15" t="e">
        <f t="shared" ref="F4:F67" si="1">IF(AND(MOD(YEAR(B4),4)=0,MOD(YEAR(B3),4)&lt;&gt;0),1,0)</f>
        <v>#REF!</v>
      </c>
      <c r="G4" t="e">
        <f>IF(E4=1,(1+(#REF!)*((('Arkusz1 (5)'!B4-DATE(YEAR(B4),1,1)+1)/365)+((DATE(YEAR(B3),12,31)-'Arkusz1 (5)'!B3)/366))),IF(F4=1,(1+(#REF!)*((('Arkusz1 (5)'!B4-DATE(YEAR(B4),1,1)+1)/366)+((DATE(YEAR(B3),12,31)-'Arkusz1 (5)'!B3)/365))),0))</f>
        <v>#REF!</v>
      </c>
      <c r="H4" t="e">
        <f t="shared" ref="H4:H67" si="2">IF(MOD(YEAR(B4),4)=0,1,0)</f>
        <v>#REF!</v>
      </c>
      <c r="I4" t="e">
        <f t="shared" ref="I4:I67" si="3">IF(H4=0,C4,IF(H4=1,D4,"blad"))</f>
        <v>#REF!</v>
      </c>
      <c r="J4" t="e">
        <f t="shared" ref="J4:J67" si="4">IF(OR(E4=1,F4=1),G4,I4)</f>
        <v>#REF!</v>
      </c>
      <c r="K4" t="e">
        <f ca="1">PRODUCT($J$3:J4)</f>
        <v>#REF!</v>
      </c>
      <c r="L4" t="e">
        <f t="shared" ref="L4:L67" ca="1" si="5">1/K4</f>
        <v>#REF!</v>
      </c>
      <c r="M4" t="e">
        <f ca="1">L3+L4</f>
        <v>#REF!</v>
      </c>
      <c r="O4" t="e">
        <f ca="1">(Q3*'Arkusz1 (5)'!J4)-Q3</f>
        <v>#REF!</v>
      </c>
      <c r="P4" s="16" t="e">
        <f ca="1">$N$2-O4</f>
        <v>#REF!</v>
      </c>
      <c r="Q4" s="17" t="e">
        <f ca="1">Q3-P4</f>
        <v>#REF!</v>
      </c>
    </row>
    <row r="5" spans="1:17" x14ac:dyDescent="0.35">
      <c r="A5">
        <v>3</v>
      </c>
      <c r="B5" s="14" t="e">
        <f>DATE(YEAR((B4)),MONTH((B4))+1,IF(AND(DAY(B4)&gt;28,MONTH((B4))+1=2),IF(MOD(YEAR(B4),4)=0,29,28),IF(AND(OR(DAY(B4)=28,DAY(B4)=29),MONTH((B4))=2),DAY(B3),DAY(B4))))</f>
        <v>#REF!</v>
      </c>
      <c r="C5" s="15" t="e">
        <f>(1+(#REF!)*('Arkusz1 (5)'!B5-'Arkusz1 (5)'!B4)/365)</f>
        <v>#REF!</v>
      </c>
      <c r="D5" s="15" t="e">
        <f>(1+(#REF!)*('Arkusz1 (5)'!B5-'Arkusz1 (5)'!B4)/366)</f>
        <v>#REF!</v>
      </c>
      <c r="E5" s="15" t="e">
        <f t="shared" si="0"/>
        <v>#REF!</v>
      </c>
      <c r="F5" s="15" t="e">
        <f t="shared" si="1"/>
        <v>#REF!</v>
      </c>
      <c r="G5" t="e">
        <f>IF(E5=1,(1+(#REF!)*((('Arkusz1 (5)'!B5-DATE(YEAR(B5),1,1)+1)/365)+((DATE(YEAR(B4),12,31)-'Arkusz1 (5)'!B4)/366))),IF(F5=1,(1+(#REF!)*((('Arkusz1 (5)'!B5-DATE(YEAR(B5),1,1)+1)/366)+((DATE(YEAR(B4),12,31)-'Arkusz1 (5)'!B4)/365))),0))</f>
        <v>#REF!</v>
      </c>
      <c r="H5" t="e">
        <f t="shared" si="2"/>
        <v>#REF!</v>
      </c>
      <c r="I5" t="e">
        <f t="shared" si="3"/>
        <v>#REF!</v>
      </c>
      <c r="J5" t="e">
        <f t="shared" si="4"/>
        <v>#REF!</v>
      </c>
      <c r="K5" t="e">
        <f ca="1">PRODUCT($J$3:J5)</f>
        <v>#REF!</v>
      </c>
      <c r="L5" t="e">
        <f t="shared" ca="1" si="5"/>
        <v>#REF!</v>
      </c>
      <c r="M5" t="e">
        <f ca="1">SUM($L$3:L5)</f>
        <v>#REF!</v>
      </c>
      <c r="O5" t="e">
        <f ca="1">(Q4*'Arkusz1 (5)'!J5)-Q4</f>
        <v>#REF!</v>
      </c>
      <c r="P5" s="16" t="e">
        <f t="shared" ref="P5:P68" ca="1" si="6">$N$2-O5</f>
        <v>#REF!</v>
      </c>
      <c r="Q5" s="17" t="e">
        <f t="shared" ref="Q5:Q68" ca="1" si="7">Q4-P5</f>
        <v>#REF!</v>
      </c>
    </row>
    <row r="6" spans="1:17" x14ac:dyDescent="0.35">
      <c r="A6">
        <v>4</v>
      </c>
      <c r="B6" s="14" t="e">
        <f t="shared" ref="B6:B69" si="8">DATE(YEAR((B5)),MONTH((B5))+1,IF(AND(DAY(B5)&gt;28,MONTH((B5))+1=2),IF(MOD(YEAR(B5),4)=0,29,28),IF(AND(OR(DAY(B5)=28,DAY(B5)=29),MONTH((B5))=2),DAY(B4),DAY(B5))))</f>
        <v>#REF!</v>
      </c>
      <c r="C6" s="15" t="e">
        <f>(1+(#REF!)*('Arkusz1 (5)'!B6-'Arkusz1 (5)'!B5)/365)</f>
        <v>#REF!</v>
      </c>
      <c r="D6" s="15" t="e">
        <f>(1+(#REF!)*('Arkusz1 (5)'!B6-'Arkusz1 (5)'!B5)/366)</f>
        <v>#REF!</v>
      </c>
      <c r="E6" s="15" t="e">
        <f t="shared" si="0"/>
        <v>#REF!</v>
      </c>
      <c r="F6" s="15" t="e">
        <f t="shared" si="1"/>
        <v>#REF!</v>
      </c>
      <c r="G6" t="e">
        <f>IF(E6=1,(1+(#REF!)*((('Arkusz1 (5)'!B6-DATE(YEAR(B6),1,1)+1)/365)+((DATE(YEAR(B5),12,31)-'Arkusz1 (5)'!B5)/366))),IF(F6=1,(1+(#REF!)*((('Arkusz1 (5)'!B6-DATE(YEAR(B6),1,1)+1)/366)+((DATE(YEAR(B5),12,31)-'Arkusz1 (5)'!B5)/365))),0))</f>
        <v>#REF!</v>
      </c>
      <c r="H6" t="e">
        <f t="shared" si="2"/>
        <v>#REF!</v>
      </c>
      <c r="I6" t="e">
        <f t="shared" si="3"/>
        <v>#REF!</v>
      </c>
      <c r="J6" t="e">
        <f t="shared" si="4"/>
        <v>#REF!</v>
      </c>
      <c r="K6" t="e">
        <f ca="1">PRODUCT($J$3:J6)</f>
        <v>#REF!</v>
      </c>
      <c r="L6" t="e">
        <f t="shared" ca="1" si="5"/>
        <v>#REF!</v>
      </c>
      <c r="M6" t="e">
        <f ca="1">SUM($L$3:L6)</f>
        <v>#REF!</v>
      </c>
      <c r="O6" t="e">
        <f ca="1">(Q5*'Arkusz1 (5)'!J6)-Q5</f>
        <v>#REF!</v>
      </c>
      <c r="P6" s="16" t="e">
        <f t="shared" ca="1" si="6"/>
        <v>#REF!</v>
      </c>
      <c r="Q6" s="17" t="e">
        <f t="shared" ca="1" si="7"/>
        <v>#REF!</v>
      </c>
    </row>
    <row r="7" spans="1:17" x14ac:dyDescent="0.35">
      <c r="A7">
        <v>5</v>
      </c>
      <c r="B7" s="14" t="e">
        <f t="shared" si="8"/>
        <v>#REF!</v>
      </c>
      <c r="C7" s="15" t="e">
        <f>(1+(#REF!)*('Arkusz1 (5)'!B7-'Arkusz1 (5)'!B6)/365)</f>
        <v>#REF!</v>
      </c>
      <c r="D7" s="15" t="e">
        <f>(1+(#REF!)*('Arkusz1 (5)'!B7-'Arkusz1 (5)'!B6)/366)</f>
        <v>#REF!</v>
      </c>
      <c r="E7" s="15" t="e">
        <f t="shared" si="0"/>
        <v>#REF!</v>
      </c>
      <c r="F7" s="15" t="e">
        <f t="shared" si="1"/>
        <v>#REF!</v>
      </c>
      <c r="G7" t="e">
        <f>IF(E7=1,(1+(#REF!)*((('Arkusz1 (5)'!B7-DATE(YEAR(B7),1,1)+1)/365)+((DATE(YEAR(B6),12,31)-'Arkusz1 (5)'!B6)/366))),IF(F7=1,(1+(#REF!)*((('Arkusz1 (5)'!B7-DATE(YEAR(B7),1,1)+1)/366)+((DATE(YEAR(B6),12,31)-'Arkusz1 (5)'!B6)/365))),0))</f>
        <v>#REF!</v>
      </c>
      <c r="H7" t="e">
        <f t="shared" si="2"/>
        <v>#REF!</v>
      </c>
      <c r="I7" t="e">
        <f t="shared" si="3"/>
        <v>#REF!</v>
      </c>
      <c r="J7" t="e">
        <f t="shared" si="4"/>
        <v>#REF!</v>
      </c>
      <c r="K7" t="e">
        <f ca="1">PRODUCT($J$3:J7)</f>
        <v>#REF!</v>
      </c>
      <c r="L7" t="e">
        <f t="shared" ca="1" si="5"/>
        <v>#REF!</v>
      </c>
      <c r="M7" t="e">
        <f ca="1">SUM($L$3:L7)</f>
        <v>#REF!</v>
      </c>
      <c r="O7" t="e">
        <f ca="1">(Q6*'Arkusz1 (5)'!J7)-Q6</f>
        <v>#REF!</v>
      </c>
      <c r="P7" s="16" t="e">
        <f t="shared" ca="1" si="6"/>
        <v>#REF!</v>
      </c>
      <c r="Q7" s="17" t="e">
        <f t="shared" ca="1" si="7"/>
        <v>#REF!</v>
      </c>
    </row>
    <row r="8" spans="1:17" x14ac:dyDescent="0.35">
      <c r="A8">
        <v>6</v>
      </c>
      <c r="B8" s="14" t="e">
        <f t="shared" si="8"/>
        <v>#REF!</v>
      </c>
      <c r="C8" s="15" t="e">
        <f>(1+(#REF!)*('Arkusz1 (5)'!B8-'Arkusz1 (5)'!B7)/365)</f>
        <v>#REF!</v>
      </c>
      <c r="D8" s="15" t="e">
        <f>(1+(#REF!)*('Arkusz1 (5)'!B8-'Arkusz1 (5)'!B7)/366)</f>
        <v>#REF!</v>
      </c>
      <c r="E8" s="15" t="e">
        <f t="shared" si="0"/>
        <v>#REF!</v>
      </c>
      <c r="F8" s="15" t="e">
        <f t="shared" si="1"/>
        <v>#REF!</v>
      </c>
      <c r="G8" t="e">
        <f>IF(E8=1,(1+(#REF!)*((('Arkusz1 (5)'!B8-DATE(YEAR(B8),1,1)+1)/365)+((DATE(YEAR(B7),12,31)-'Arkusz1 (5)'!B7)/366))),IF(F8=1,(1+(#REF!)*((('Arkusz1 (5)'!B8-DATE(YEAR(B8),1,1)+1)/366)+((DATE(YEAR(B7),12,31)-'Arkusz1 (5)'!B7)/365))),0))</f>
        <v>#REF!</v>
      </c>
      <c r="H8" t="e">
        <f t="shared" si="2"/>
        <v>#REF!</v>
      </c>
      <c r="I8" t="e">
        <f t="shared" si="3"/>
        <v>#REF!</v>
      </c>
      <c r="J8" t="e">
        <f t="shared" si="4"/>
        <v>#REF!</v>
      </c>
      <c r="K8" t="e">
        <f ca="1">PRODUCT($J$3:J8)</f>
        <v>#REF!</v>
      </c>
      <c r="L8" t="e">
        <f t="shared" ca="1" si="5"/>
        <v>#REF!</v>
      </c>
      <c r="M8" t="e">
        <f ca="1">SUM($L$3:L8)</f>
        <v>#REF!</v>
      </c>
      <c r="O8" t="e">
        <f ca="1">(Q7*'Arkusz1 (5)'!J8)-Q7</f>
        <v>#REF!</v>
      </c>
      <c r="P8" s="16" t="e">
        <f t="shared" ca="1" si="6"/>
        <v>#REF!</v>
      </c>
      <c r="Q8" s="17" t="e">
        <f t="shared" ca="1" si="7"/>
        <v>#REF!</v>
      </c>
    </row>
    <row r="9" spans="1:17" x14ac:dyDescent="0.35">
      <c r="A9">
        <v>7</v>
      </c>
      <c r="B9" s="14" t="e">
        <f t="shared" si="8"/>
        <v>#REF!</v>
      </c>
      <c r="C9" s="15" t="e">
        <f>(1+(#REF!)*('Arkusz1 (5)'!B9-'Arkusz1 (5)'!B8)/365)</f>
        <v>#REF!</v>
      </c>
      <c r="D9" s="15" t="e">
        <f>(1+(#REF!)*('Arkusz1 (5)'!B9-'Arkusz1 (5)'!B8)/366)</f>
        <v>#REF!</v>
      </c>
      <c r="E9" s="15" t="e">
        <f t="shared" si="0"/>
        <v>#REF!</v>
      </c>
      <c r="F9" s="15" t="e">
        <f t="shared" si="1"/>
        <v>#REF!</v>
      </c>
      <c r="G9" t="e">
        <f>IF(E9=1,(1+(#REF!)*((('Arkusz1 (5)'!B9-DATE(YEAR(B9),1,1)+1)/365)+((DATE(YEAR(B8),12,31)-'Arkusz1 (5)'!B8)/366))),IF(F9=1,(1+(#REF!)*((('Arkusz1 (5)'!B9-DATE(YEAR(B9),1,1)+1)/366)+((DATE(YEAR(B8),12,31)-'Arkusz1 (5)'!B8)/365))),0))</f>
        <v>#REF!</v>
      </c>
      <c r="H9" t="e">
        <f t="shared" si="2"/>
        <v>#REF!</v>
      </c>
      <c r="I9" t="e">
        <f t="shared" si="3"/>
        <v>#REF!</v>
      </c>
      <c r="J9" t="e">
        <f t="shared" si="4"/>
        <v>#REF!</v>
      </c>
      <c r="K9" t="e">
        <f ca="1">PRODUCT($J$3:J9)</f>
        <v>#REF!</v>
      </c>
      <c r="L9" t="e">
        <f t="shared" ca="1" si="5"/>
        <v>#REF!</v>
      </c>
      <c r="M9" t="e">
        <f ca="1">SUM($L$3:L9)</f>
        <v>#REF!</v>
      </c>
      <c r="O9" t="e">
        <f ca="1">(Q8*'Arkusz1 (5)'!J9)-Q8</f>
        <v>#REF!</v>
      </c>
      <c r="P9" s="16" t="e">
        <f t="shared" ca="1" si="6"/>
        <v>#REF!</v>
      </c>
      <c r="Q9" s="17" t="e">
        <f t="shared" ca="1" si="7"/>
        <v>#REF!</v>
      </c>
    </row>
    <row r="10" spans="1:17" x14ac:dyDescent="0.35">
      <c r="A10">
        <v>8</v>
      </c>
      <c r="B10" s="14" t="e">
        <f t="shared" si="8"/>
        <v>#REF!</v>
      </c>
      <c r="C10" s="15" t="e">
        <f>(1+(#REF!)*('Arkusz1 (5)'!B10-'Arkusz1 (5)'!B9)/365)</f>
        <v>#REF!</v>
      </c>
      <c r="D10" s="15" t="e">
        <f>(1+(#REF!)*('Arkusz1 (5)'!B10-'Arkusz1 (5)'!B9)/366)</f>
        <v>#REF!</v>
      </c>
      <c r="E10" s="15" t="e">
        <f t="shared" si="0"/>
        <v>#REF!</v>
      </c>
      <c r="F10" s="15" t="e">
        <f t="shared" si="1"/>
        <v>#REF!</v>
      </c>
      <c r="G10" t="e">
        <f>IF(E10=1,(1+(#REF!)*((('Arkusz1 (5)'!B10-DATE(YEAR(B10),1,1)+1)/365)+((DATE(YEAR(B9),12,31)-'Arkusz1 (5)'!B9)/366))),IF(F10=1,(1+(#REF!)*((('Arkusz1 (5)'!B10-DATE(YEAR(B10),1,1)+1)/366)+((DATE(YEAR(B9),12,31)-'Arkusz1 (5)'!B9)/365))),0))</f>
        <v>#REF!</v>
      </c>
      <c r="H10" t="e">
        <f t="shared" si="2"/>
        <v>#REF!</v>
      </c>
      <c r="I10" t="e">
        <f t="shared" si="3"/>
        <v>#REF!</v>
      </c>
      <c r="J10" t="e">
        <f t="shared" si="4"/>
        <v>#REF!</v>
      </c>
      <c r="K10" t="e">
        <f ca="1">PRODUCT($J$3:J10)</f>
        <v>#REF!</v>
      </c>
      <c r="L10" t="e">
        <f t="shared" ca="1" si="5"/>
        <v>#REF!</v>
      </c>
      <c r="M10" t="e">
        <f ca="1">SUM($L$3:L10)</f>
        <v>#REF!</v>
      </c>
      <c r="O10" t="e">
        <f ca="1">(Q9*'Arkusz1 (5)'!J10)-Q9</f>
        <v>#REF!</v>
      </c>
      <c r="P10" s="16" t="e">
        <f t="shared" ca="1" si="6"/>
        <v>#REF!</v>
      </c>
      <c r="Q10" s="17" t="e">
        <f t="shared" ca="1" si="7"/>
        <v>#REF!</v>
      </c>
    </row>
    <row r="11" spans="1:17" x14ac:dyDescent="0.35">
      <c r="A11">
        <v>9</v>
      </c>
      <c r="B11" s="14" t="e">
        <f t="shared" si="8"/>
        <v>#REF!</v>
      </c>
      <c r="C11" s="15" t="e">
        <f>(1+(#REF!)*('Arkusz1 (5)'!B11-'Arkusz1 (5)'!B10)/365)</f>
        <v>#REF!</v>
      </c>
      <c r="D11" s="15" t="e">
        <f>(1+(#REF!)*('Arkusz1 (5)'!B11-'Arkusz1 (5)'!B10)/366)</f>
        <v>#REF!</v>
      </c>
      <c r="E11" s="15" t="e">
        <f t="shared" si="0"/>
        <v>#REF!</v>
      </c>
      <c r="F11" s="15" t="e">
        <f t="shared" si="1"/>
        <v>#REF!</v>
      </c>
      <c r="G11" t="e">
        <f>IF(E11=1,(1+(#REF!)*((('Arkusz1 (5)'!B11-DATE(YEAR(B11),1,1)+1)/365)+((DATE(YEAR(B10),12,31)-'Arkusz1 (5)'!B10)/366))),IF(F11=1,(1+(#REF!)*((('Arkusz1 (5)'!B11-DATE(YEAR(B11),1,1)+1)/366)+((DATE(YEAR(B10),12,31)-'Arkusz1 (5)'!B10)/365))),0))</f>
        <v>#REF!</v>
      </c>
      <c r="H11" t="e">
        <f t="shared" si="2"/>
        <v>#REF!</v>
      </c>
      <c r="I11" t="e">
        <f t="shared" si="3"/>
        <v>#REF!</v>
      </c>
      <c r="J11" t="e">
        <f t="shared" si="4"/>
        <v>#REF!</v>
      </c>
      <c r="K11" t="e">
        <f ca="1">PRODUCT($J$3:J11)</f>
        <v>#REF!</v>
      </c>
      <c r="L11" t="e">
        <f t="shared" ca="1" si="5"/>
        <v>#REF!</v>
      </c>
      <c r="M11" t="e">
        <f ca="1">SUM($L$3:L11)</f>
        <v>#REF!</v>
      </c>
      <c r="O11" t="e">
        <f ca="1">(Q10*'Arkusz1 (5)'!J11)-Q10</f>
        <v>#REF!</v>
      </c>
      <c r="P11" s="16" t="e">
        <f t="shared" ca="1" si="6"/>
        <v>#REF!</v>
      </c>
      <c r="Q11" s="17" t="e">
        <f t="shared" ca="1" si="7"/>
        <v>#REF!</v>
      </c>
    </row>
    <row r="12" spans="1:17" x14ac:dyDescent="0.35">
      <c r="A12">
        <v>10</v>
      </c>
      <c r="B12" s="14" t="e">
        <f t="shared" si="8"/>
        <v>#REF!</v>
      </c>
      <c r="C12" s="15" t="e">
        <f>(1+(#REF!)*('Arkusz1 (5)'!B12-'Arkusz1 (5)'!B11)/365)</f>
        <v>#REF!</v>
      </c>
      <c r="D12" s="15" t="e">
        <f>(1+(#REF!)*('Arkusz1 (5)'!B12-'Arkusz1 (5)'!B11)/366)</f>
        <v>#REF!</v>
      </c>
      <c r="E12" s="15" t="e">
        <f t="shared" si="0"/>
        <v>#REF!</v>
      </c>
      <c r="F12" s="15" t="e">
        <f t="shared" si="1"/>
        <v>#REF!</v>
      </c>
      <c r="G12" t="e">
        <f>IF(E12=1,(1+(#REF!)*((('Arkusz1 (5)'!B12-DATE(YEAR(B12),1,1)+1)/365)+((DATE(YEAR(B11),12,31)-'Arkusz1 (5)'!B11)/366))),IF(F12=1,(1+(#REF!)*((('Arkusz1 (5)'!B12-DATE(YEAR(B12),1,1)+1)/366)+((DATE(YEAR(B11),12,31)-'Arkusz1 (5)'!B11)/365))),0))</f>
        <v>#REF!</v>
      </c>
      <c r="H12" t="e">
        <f t="shared" si="2"/>
        <v>#REF!</v>
      </c>
      <c r="I12" t="e">
        <f t="shared" si="3"/>
        <v>#REF!</v>
      </c>
      <c r="J12" t="e">
        <f t="shared" si="4"/>
        <v>#REF!</v>
      </c>
      <c r="K12" t="e">
        <f ca="1">PRODUCT($J$3:J12)</f>
        <v>#REF!</v>
      </c>
      <c r="L12" t="e">
        <f t="shared" ca="1" si="5"/>
        <v>#REF!</v>
      </c>
      <c r="M12" t="e">
        <f ca="1">SUM($L$3:L12)</f>
        <v>#REF!</v>
      </c>
      <c r="O12" t="e">
        <f ca="1">(Q11*'Arkusz1 (5)'!J12)-Q11</f>
        <v>#REF!</v>
      </c>
      <c r="P12" s="16" t="e">
        <f t="shared" ca="1" si="6"/>
        <v>#REF!</v>
      </c>
      <c r="Q12" s="17" t="e">
        <f t="shared" ca="1" si="7"/>
        <v>#REF!</v>
      </c>
    </row>
    <row r="13" spans="1:17" x14ac:dyDescent="0.35">
      <c r="A13">
        <v>11</v>
      </c>
      <c r="B13" s="14" t="e">
        <f t="shared" si="8"/>
        <v>#REF!</v>
      </c>
      <c r="C13" s="15" t="e">
        <f>(1+(#REF!)*('Arkusz1 (5)'!B13-'Arkusz1 (5)'!B12)/365)</f>
        <v>#REF!</v>
      </c>
      <c r="D13" s="15" t="e">
        <f>(1+(#REF!)*('Arkusz1 (5)'!B13-'Arkusz1 (5)'!B12)/366)</f>
        <v>#REF!</v>
      </c>
      <c r="E13" s="15" t="e">
        <f t="shared" si="0"/>
        <v>#REF!</v>
      </c>
      <c r="F13" s="15" t="e">
        <f t="shared" si="1"/>
        <v>#REF!</v>
      </c>
      <c r="G13" t="e">
        <f>IF(E13=1,(1+(#REF!)*((('Arkusz1 (5)'!B13-DATE(YEAR(B13),1,1)+1)/365)+((DATE(YEAR(B12),12,31)-'Arkusz1 (5)'!B12)/366))),IF(F13=1,(1+(#REF!)*((('Arkusz1 (5)'!B13-DATE(YEAR(B13),1,1)+1)/366)+((DATE(YEAR(B12),12,31)-'Arkusz1 (5)'!B12)/365))),0))</f>
        <v>#REF!</v>
      </c>
      <c r="H13" t="e">
        <f t="shared" si="2"/>
        <v>#REF!</v>
      </c>
      <c r="I13" t="e">
        <f t="shared" si="3"/>
        <v>#REF!</v>
      </c>
      <c r="J13" t="e">
        <f t="shared" si="4"/>
        <v>#REF!</v>
      </c>
      <c r="K13" t="e">
        <f ca="1">PRODUCT($J$3:J13)</f>
        <v>#REF!</v>
      </c>
      <c r="L13" t="e">
        <f t="shared" ca="1" si="5"/>
        <v>#REF!</v>
      </c>
      <c r="M13" t="e">
        <f ca="1">SUM($L$3:L13)</f>
        <v>#REF!</v>
      </c>
      <c r="O13" t="e">
        <f ca="1">(Q12*'Arkusz1 (5)'!J13)-Q12</f>
        <v>#REF!</v>
      </c>
      <c r="P13" s="16" t="e">
        <f t="shared" ca="1" si="6"/>
        <v>#REF!</v>
      </c>
      <c r="Q13" s="17" t="e">
        <f t="shared" ca="1" si="7"/>
        <v>#REF!</v>
      </c>
    </row>
    <row r="14" spans="1:17" x14ac:dyDescent="0.35">
      <c r="A14">
        <v>12</v>
      </c>
      <c r="B14" s="14" t="e">
        <f t="shared" si="8"/>
        <v>#REF!</v>
      </c>
      <c r="C14" s="15" t="e">
        <f>(1+(#REF!)*('Arkusz1 (5)'!B14-'Arkusz1 (5)'!B13)/365)</f>
        <v>#REF!</v>
      </c>
      <c r="D14" s="15" t="e">
        <f>(1+(#REF!)*('Arkusz1 (5)'!B14-'Arkusz1 (5)'!B13)/366)</f>
        <v>#REF!</v>
      </c>
      <c r="E14" s="15" t="e">
        <f t="shared" si="0"/>
        <v>#REF!</v>
      </c>
      <c r="F14" s="15" t="e">
        <f t="shared" si="1"/>
        <v>#REF!</v>
      </c>
      <c r="G14" t="e">
        <f>IF(E14=1,(1+(#REF!)*((('Arkusz1 (5)'!B14-DATE(YEAR(B14),1,1)+1)/365)+((DATE(YEAR(B13),12,31)-'Arkusz1 (5)'!B13)/366))),IF(F14=1,(1+(#REF!)*((('Arkusz1 (5)'!B14-DATE(YEAR(B14),1,1)+1)/366)+((DATE(YEAR(B13),12,31)-'Arkusz1 (5)'!B13)/365))),0))</f>
        <v>#REF!</v>
      </c>
      <c r="H14" t="e">
        <f t="shared" si="2"/>
        <v>#REF!</v>
      </c>
      <c r="I14" t="e">
        <f t="shared" si="3"/>
        <v>#REF!</v>
      </c>
      <c r="J14" t="e">
        <f t="shared" si="4"/>
        <v>#REF!</v>
      </c>
      <c r="K14" t="e">
        <f ca="1">PRODUCT($J$3:J14)</f>
        <v>#REF!</v>
      </c>
      <c r="L14" t="e">
        <f t="shared" ca="1" si="5"/>
        <v>#REF!</v>
      </c>
      <c r="M14" t="e">
        <f ca="1">SUM($L$3:L14)</f>
        <v>#REF!</v>
      </c>
      <c r="O14" t="e">
        <f ca="1">(Q13*'Arkusz1 (5)'!J14)-Q13</f>
        <v>#REF!</v>
      </c>
      <c r="P14" s="16" t="e">
        <f t="shared" ca="1" si="6"/>
        <v>#REF!</v>
      </c>
      <c r="Q14" s="17" t="e">
        <f t="shared" ca="1" si="7"/>
        <v>#REF!</v>
      </c>
    </row>
    <row r="15" spans="1:17" x14ac:dyDescent="0.35">
      <c r="A15">
        <v>13</v>
      </c>
      <c r="B15" s="14" t="e">
        <f t="shared" si="8"/>
        <v>#REF!</v>
      </c>
      <c r="C15" s="15" t="e">
        <f>(1+(#REF!)*('Arkusz1 (5)'!B15-'Arkusz1 (5)'!B14)/365)</f>
        <v>#REF!</v>
      </c>
      <c r="D15" s="15" t="e">
        <f>(1+(#REF!)*('Arkusz1 (5)'!B15-'Arkusz1 (5)'!B14)/366)</f>
        <v>#REF!</v>
      </c>
      <c r="E15" s="15" t="e">
        <f t="shared" si="0"/>
        <v>#REF!</v>
      </c>
      <c r="F15" s="15" t="e">
        <f t="shared" si="1"/>
        <v>#REF!</v>
      </c>
      <c r="G15" t="e">
        <f>IF(E15=1,(1+(#REF!)*((('Arkusz1 (5)'!B15-DATE(YEAR(B15),1,1)+1)/365)+((DATE(YEAR(B14),12,31)-'Arkusz1 (5)'!B14)/366))),IF(F15=1,(1+(#REF!)*((('Arkusz1 (5)'!B15-DATE(YEAR(B15),1,1)+1)/366)+((DATE(YEAR(B14),12,31)-'Arkusz1 (5)'!B14)/365))),0))</f>
        <v>#REF!</v>
      </c>
      <c r="H15" t="e">
        <f t="shared" si="2"/>
        <v>#REF!</v>
      </c>
      <c r="I15" t="e">
        <f t="shared" si="3"/>
        <v>#REF!</v>
      </c>
      <c r="J15" t="e">
        <f t="shared" si="4"/>
        <v>#REF!</v>
      </c>
      <c r="K15" t="e">
        <f ca="1">PRODUCT($J$3:J15)</f>
        <v>#REF!</v>
      </c>
      <c r="L15" t="e">
        <f t="shared" ca="1" si="5"/>
        <v>#REF!</v>
      </c>
      <c r="M15" t="e">
        <f ca="1">SUM($L$3:L15)</f>
        <v>#REF!</v>
      </c>
      <c r="O15" t="e">
        <f ca="1">(Q14*'Arkusz1 (5)'!J15)-Q14</f>
        <v>#REF!</v>
      </c>
      <c r="P15" s="16" t="e">
        <f t="shared" ca="1" si="6"/>
        <v>#REF!</v>
      </c>
      <c r="Q15" s="17" t="e">
        <f t="shared" ca="1" si="7"/>
        <v>#REF!</v>
      </c>
    </row>
    <row r="16" spans="1:17" x14ac:dyDescent="0.35">
      <c r="A16">
        <v>14</v>
      </c>
      <c r="B16" s="14" t="e">
        <f t="shared" si="8"/>
        <v>#REF!</v>
      </c>
      <c r="C16" s="15" t="e">
        <f>(1+(#REF!)*('Arkusz1 (5)'!B16-'Arkusz1 (5)'!B15)/365)</f>
        <v>#REF!</v>
      </c>
      <c r="D16" s="15" t="e">
        <f>(1+(#REF!)*('Arkusz1 (5)'!B16-'Arkusz1 (5)'!B15)/366)</f>
        <v>#REF!</v>
      </c>
      <c r="E16" s="15" t="e">
        <f t="shared" si="0"/>
        <v>#REF!</v>
      </c>
      <c r="F16" s="15" t="e">
        <f t="shared" si="1"/>
        <v>#REF!</v>
      </c>
      <c r="G16" t="e">
        <f>IF(E16=1,(1+(#REF!)*((('Arkusz1 (5)'!B16-DATE(YEAR(B16),1,1)+1)/365)+((DATE(YEAR(B15),12,31)-'Arkusz1 (5)'!B15)/366))),IF(F16=1,(1+(#REF!)*((('Arkusz1 (5)'!B16-DATE(YEAR(B16),1,1)+1)/366)+((DATE(YEAR(B15),12,31)-'Arkusz1 (5)'!B15)/365))),0))</f>
        <v>#REF!</v>
      </c>
      <c r="H16" t="e">
        <f t="shared" si="2"/>
        <v>#REF!</v>
      </c>
      <c r="I16" t="e">
        <f t="shared" si="3"/>
        <v>#REF!</v>
      </c>
      <c r="J16" t="e">
        <f t="shared" si="4"/>
        <v>#REF!</v>
      </c>
      <c r="K16" t="e">
        <f ca="1">PRODUCT($J$3:J16)</f>
        <v>#REF!</v>
      </c>
      <c r="L16" t="e">
        <f t="shared" ca="1" si="5"/>
        <v>#REF!</v>
      </c>
      <c r="M16" t="e">
        <f ca="1">SUM($L$3:L16)</f>
        <v>#REF!</v>
      </c>
      <c r="O16" t="e">
        <f ca="1">(Q15*'Arkusz1 (5)'!J16)-Q15</f>
        <v>#REF!</v>
      </c>
      <c r="P16" s="16" t="e">
        <f t="shared" ca="1" si="6"/>
        <v>#REF!</v>
      </c>
      <c r="Q16" s="17" t="e">
        <f t="shared" ca="1" si="7"/>
        <v>#REF!</v>
      </c>
    </row>
    <row r="17" spans="1:17" x14ac:dyDescent="0.35">
      <c r="A17">
        <v>15</v>
      </c>
      <c r="B17" s="14" t="e">
        <f t="shared" si="8"/>
        <v>#REF!</v>
      </c>
      <c r="C17" s="15" t="e">
        <f>(1+(#REF!)*('Arkusz1 (5)'!B17-'Arkusz1 (5)'!B16)/365)</f>
        <v>#REF!</v>
      </c>
      <c r="D17" s="15" t="e">
        <f>(1+(#REF!)*('Arkusz1 (5)'!B17-'Arkusz1 (5)'!B16)/366)</f>
        <v>#REF!</v>
      </c>
      <c r="E17" s="15" t="e">
        <f t="shared" si="0"/>
        <v>#REF!</v>
      </c>
      <c r="F17" s="15" t="e">
        <f t="shared" si="1"/>
        <v>#REF!</v>
      </c>
      <c r="G17" t="e">
        <f>IF(E17=1,(1+(#REF!)*((('Arkusz1 (5)'!B17-DATE(YEAR(B17),1,1)+1)/365)+((DATE(YEAR(B16),12,31)-'Arkusz1 (5)'!B16)/366))),IF(F17=1,(1+(#REF!)*((('Arkusz1 (5)'!B17-DATE(YEAR(B17),1,1)+1)/366)+((DATE(YEAR(B16),12,31)-'Arkusz1 (5)'!B16)/365))),0))</f>
        <v>#REF!</v>
      </c>
      <c r="H17" t="e">
        <f t="shared" si="2"/>
        <v>#REF!</v>
      </c>
      <c r="I17" t="e">
        <f t="shared" si="3"/>
        <v>#REF!</v>
      </c>
      <c r="J17" t="e">
        <f t="shared" si="4"/>
        <v>#REF!</v>
      </c>
      <c r="K17" t="e">
        <f ca="1">PRODUCT($J$3:J17)</f>
        <v>#REF!</v>
      </c>
      <c r="L17" t="e">
        <f t="shared" ca="1" si="5"/>
        <v>#REF!</v>
      </c>
      <c r="M17" t="e">
        <f ca="1">SUM($L$3:L17)</f>
        <v>#REF!</v>
      </c>
      <c r="O17" t="e">
        <f ca="1">(Q16*'Arkusz1 (5)'!J17)-Q16</f>
        <v>#REF!</v>
      </c>
      <c r="P17" s="16" t="e">
        <f t="shared" ca="1" si="6"/>
        <v>#REF!</v>
      </c>
      <c r="Q17" s="17" t="e">
        <f t="shared" ca="1" si="7"/>
        <v>#REF!</v>
      </c>
    </row>
    <row r="18" spans="1:17" x14ac:dyDescent="0.35">
      <c r="A18">
        <v>16</v>
      </c>
      <c r="B18" s="14" t="e">
        <f t="shared" si="8"/>
        <v>#REF!</v>
      </c>
      <c r="C18" s="15" t="e">
        <f>(1+(#REF!)*('Arkusz1 (5)'!B18-'Arkusz1 (5)'!B17)/365)</f>
        <v>#REF!</v>
      </c>
      <c r="D18" s="15" t="e">
        <f>(1+(#REF!)*('Arkusz1 (5)'!B18-'Arkusz1 (5)'!B17)/366)</f>
        <v>#REF!</v>
      </c>
      <c r="E18" s="15" t="e">
        <f t="shared" si="0"/>
        <v>#REF!</v>
      </c>
      <c r="F18" s="15" t="e">
        <f t="shared" si="1"/>
        <v>#REF!</v>
      </c>
      <c r="G18" t="e">
        <f>IF(E18=1,(1+(#REF!)*((('Arkusz1 (5)'!B18-DATE(YEAR(B18),1,1)+1)/365)+((DATE(YEAR(B17),12,31)-'Arkusz1 (5)'!B17)/366))),IF(F18=1,(1+(#REF!)*((('Arkusz1 (5)'!B18-DATE(YEAR(B18),1,1)+1)/366)+((DATE(YEAR(B17),12,31)-'Arkusz1 (5)'!B17)/365))),0))</f>
        <v>#REF!</v>
      </c>
      <c r="H18" t="e">
        <f t="shared" si="2"/>
        <v>#REF!</v>
      </c>
      <c r="I18" t="e">
        <f t="shared" si="3"/>
        <v>#REF!</v>
      </c>
      <c r="J18" t="e">
        <f t="shared" si="4"/>
        <v>#REF!</v>
      </c>
      <c r="K18" t="e">
        <f ca="1">PRODUCT($J$3:J18)</f>
        <v>#REF!</v>
      </c>
      <c r="L18" t="e">
        <f t="shared" ca="1" si="5"/>
        <v>#REF!</v>
      </c>
      <c r="M18" t="e">
        <f ca="1">SUM($L$3:L18)</f>
        <v>#REF!</v>
      </c>
      <c r="O18" t="e">
        <f ca="1">(Q17*'Arkusz1 (5)'!J18)-Q17</f>
        <v>#REF!</v>
      </c>
      <c r="P18" s="16" t="e">
        <f t="shared" ca="1" si="6"/>
        <v>#REF!</v>
      </c>
      <c r="Q18" s="17" t="e">
        <f t="shared" ca="1" si="7"/>
        <v>#REF!</v>
      </c>
    </row>
    <row r="19" spans="1:17" x14ac:dyDescent="0.35">
      <c r="A19">
        <v>17</v>
      </c>
      <c r="B19" s="14" t="e">
        <f t="shared" si="8"/>
        <v>#REF!</v>
      </c>
      <c r="C19" s="15" t="e">
        <f>(1+(#REF!)*('Arkusz1 (5)'!B19-'Arkusz1 (5)'!B18)/365)</f>
        <v>#REF!</v>
      </c>
      <c r="D19" s="15" t="e">
        <f>(1+(#REF!)*('Arkusz1 (5)'!B19-'Arkusz1 (5)'!B18)/366)</f>
        <v>#REF!</v>
      </c>
      <c r="E19" s="15" t="e">
        <f t="shared" si="0"/>
        <v>#REF!</v>
      </c>
      <c r="F19" s="15" t="e">
        <f t="shared" si="1"/>
        <v>#REF!</v>
      </c>
      <c r="G19" t="e">
        <f>IF(E19=1,(1+(#REF!)*((('Arkusz1 (5)'!B19-DATE(YEAR(B19),1,1)+1)/365)+((DATE(YEAR(B18),12,31)-'Arkusz1 (5)'!B18)/366))),IF(F19=1,(1+(#REF!)*((('Arkusz1 (5)'!B19-DATE(YEAR(B19),1,1)+1)/366)+((DATE(YEAR(B18),12,31)-'Arkusz1 (5)'!B18)/365))),0))</f>
        <v>#REF!</v>
      </c>
      <c r="H19" t="e">
        <f t="shared" si="2"/>
        <v>#REF!</v>
      </c>
      <c r="I19" t="e">
        <f t="shared" si="3"/>
        <v>#REF!</v>
      </c>
      <c r="J19" t="e">
        <f t="shared" si="4"/>
        <v>#REF!</v>
      </c>
      <c r="K19" t="e">
        <f ca="1">PRODUCT($J$3:J19)</f>
        <v>#REF!</v>
      </c>
      <c r="L19" t="e">
        <f t="shared" ca="1" si="5"/>
        <v>#REF!</v>
      </c>
      <c r="M19" t="e">
        <f ca="1">SUM($L$3:L19)</f>
        <v>#REF!</v>
      </c>
      <c r="O19" t="e">
        <f ca="1">(Q18*'Arkusz1 (5)'!J19)-Q18</f>
        <v>#REF!</v>
      </c>
      <c r="P19" s="16" t="e">
        <f t="shared" ca="1" si="6"/>
        <v>#REF!</v>
      </c>
      <c r="Q19" s="17" t="e">
        <f t="shared" ca="1" si="7"/>
        <v>#REF!</v>
      </c>
    </row>
    <row r="20" spans="1:17" x14ac:dyDescent="0.35">
      <c r="A20">
        <v>18</v>
      </c>
      <c r="B20" s="14" t="e">
        <f t="shared" si="8"/>
        <v>#REF!</v>
      </c>
      <c r="C20" s="15" t="e">
        <f>(1+(#REF!)*('Arkusz1 (5)'!B20-'Arkusz1 (5)'!B19)/365)</f>
        <v>#REF!</v>
      </c>
      <c r="D20" s="15" t="e">
        <f>(1+(#REF!)*('Arkusz1 (5)'!B20-'Arkusz1 (5)'!B19)/366)</f>
        <v>#REF!</v>
      </c>
      <c r="E20" s="15" t="e">
        <f t="shared" si="0"/>
        <v>#REF!</v>
      </c>
      <c r="F20" s="15" t="e">
        <f t="shared" si="1"/>
        <v>#REF!</v>
      </c>
      <c r="G20" t="e">
        <f>IF(E20=1,(1+(#REF!)*((('Arkusz1 (5)'!B20-DATE(YEAR(B20),1,1)+1)/365)+((DATE(YEAR(B19),12,31)-'Arkusz1 (5)'!B19)/366))),IF(F20=1,(1+(#REF!)*((('Arkusz1 (5)'!B20-DATE(YEAR(B20),1,1)+1)/366)+((DATE(YEAR(B19),12,31)-'Arkusz1 (5)'!B19)/365))),0))</f>
        <v>#REF!</v>
      </c>
      <c r="H20" t="e">
        <f t="shared" si="2"/>
        <v>#REF!</v>
      </c>
      <c r="I20" t="e">
        <f t="shared" si="3"/>
        <v>#REF!</v>
      </c>
      <c r="J20" t="e">
        <f t="shared" si="4"/>
        <v>#REF!</v>
      </c>
      <c r="K20" t="e">
        <f ca="1">PRODUCT($J$3:J20)</f>
        <v>#REF!</v>
      </c>
      <c r="L20" t="e">
        <f t="shared" ca="1" si="5"/>
        <v>#REF!</v>
      </c>
      <c r="M20" t="e">
        <f ca="1">SUM($L$3:L20)</f>
        <v>#REF!</v>
      </c>
      <c r="O20" t="e">
        <f ca="1">(Q19*'Arkusz1 (5)'!J20)-Q19</f>
        <v>#REF!</v>
      </c>
      <c r="P20" s="16" t="e">
        <f t="shared" ca="1" si="6"/>
        <v>#REF!</v>
      </c>
      <c r="Q20" s="17" t="e">
        <f t="shared" ca="1" si="7"/>
        <v>#REF!</v>
      </c>
    </row>
    <row r="21" spans="1:17" x14ac:dyDescent="0.35">
      <c r="A21">
        <v>19</v>
      </c>
      <c r="B21" s="14" t="e">
        <f t="shared" si="8"/>
        <v>#REF!</v>
      </c>
      <c r="C21" s="15" t="e">
        <f>(1+(#REF!)*('Arkusz1 (5)'!B21-'Arkusz1 (5)'!B20)/365)</f>
        <v>#REF!</v>
      </c>
      <c r="D21" s="15" t="e">
        <f>(1+(#REF!)*('Arkusz1 (5)'!B21-'Arkusz1 (5)'!B20)/366)</f>
        <v>#REF!</v>
      </c>
      <c r="E21" s="15" t="e">
        <f t="shared" si="0"/>
        <v>#REF!</v>
      </c>
      <c r="F21" s="15" t="e">
        <f t="shared" si="1"/>
        <v>#REF!</v>
      </c>
      <c r="G21" t="e">
        <f>IF(E21=1,(1+(#REF!)*((('Arkusz1 (5)'!B21-DATE(YEAR(B21),1,1)+1)/365)+((DATE(YEAR(B20),12,31)-'Arkusz1 (5)'!B20)/366))),IF(F21=1,(1+(#REF!)*((('Arkusz1 (5)'!B21-DATE(YEAR(B21),1,1)+1)/366)+((DATE(YEAR(B20),12,31)-'Arkusz1 (5)'!B20)/365))),0))</f>
        <v>#REF!</v>
      </c>
      <c r="H21" t="e">
        <f t="shared" si="2"/>
        <v>#REF!</v>
      </c>
      <c r="I21" t="e">
        <f t="shared" si="3"/>
        <v>#REF!</v>
      </c>
      <c r="J21" t="e">
        <f t="shared" si="4"/>
        <v>#REF!</v>
      </c>
      <c r="K21" t="e">
        <f ca="1">PRODUCT($J$3:J21)</f>
        <v>#REF!</v>
      </c>
      <c r="L21" t="e">
        <f t="shared" ca="1" si="5"/>
        <v>#REF!</v>
      </c>
      <c r="M21" t="e">
        <f ca="1">SUM($L$3:L21)</f>
        <v>#REF!</v>
      </c>
      <c r="O21" t="e">
        <f ca="1">(Q20*'Arkusz1 (5)'!J21)-Q20</f>
        <v>#REF!</v>
      </c>
      <c r="P21" s="16" t="e">
        <f t="shared" ca="1" si="6"/>
        <v>#REF!</v>
      </c>
      <c r="Q21" s="17" t="e">
        <f t="shared" ca="1" si="7"/>
        <v>#REF!</v>
      </c>
    </row>
    <row r="22" spans="1:17" x14ac:dyDescent="0.35">
      <c r="A22">
        <v>20</v>
      </c>
      <c r="B22" s="14" t="e">
        <f t="shared" si="8"/>
        <v>#REF!</v>
      </c>
      <c r="C22" s="15" t="e">
        <f>(1+(#REF!)*('Arkusz1 (5)'!B22-'Arkusz1 (5)'!B21)/365)</f>
        <v>#REF!</v>
      </c>
      <c r="D22" s="15" t="e">
        <f>(1+(#REF!)*('Arkusz1 (5)'!B22-'Arkusz1 (5)'!B21)/366)</f>
        <v>#REF!</v>
      </c>
      <c r="E22" s="15" t="e">
        <f t="shared" si="0"/>
        <v>#REF!</v>
      </c>
      <c r="F22" s="15" t="e">
        <f t="shared" si="1"/>
        <v>#REF!</v>
      </c>
      <c r="G22" t="e">
        <f>IF(E22=1,(1+(#REF!)*((('Arkusz1 (5)'!B22-DATE(YEAR(B22),1,1)+1)/365)+((DATE(YEAR(B21),12,31)-'Arkusz1 (5)'!B21)/366))),IF(F22=1,(1+(#REF!)*((('Arkusz1 (5)'!B22-DATE(YEAR(B22),1,1)+1)/366)+((DATE(YEAR(B21),12,31)-'Arkusz1 (5)'!B21)/365))),0))</f>
        <v>#REF!</v>
      </c>
      <c r="H22" t="e">
        <f t="shared" si="2"/>
        <v>#REF!</v>
      </c>
      <c r="I22" t="e">
        <f t="shared" si="3"/>
        <v>#REF!</v>
      </c>
      <c r="J22" t="e">
        <f t="shared" si="4"/>
        <v>#REF!</v>
      </c>
      <c r="K22" t="e">
        <f ca="1">PRODUCT($J$3:J22)</f>
        <v>#REF!</v>
      </c>
      <c r="L22" t="e">
        <f t="shared" ca="1" si="5"/>
        <v>#REF!</v>
      </c>
      <c r="M22" t="e">
        <f ca="1">SUM($L$3:L22)</f>
        <v>#REF!</v>
      </c>
      <c r="O22" t="e">
        <f ca="1">(Q21*'Arkusz1 (5)'!J22)-Q21</f>
        <v>#REF!</v>
      </c>
      <c r="P22" s="16" t="e">
        <f t="shared" ca="1" si="6"/>
        <v>#REF!</v>
      </c>
      <c r="Q22" s="17" t="e">
        <f t="shared" ca="1" si="7"/>
        <v>#REF!</v>
      </c>
    </row>
    <row r="23" spans="1:17" x14ac:dyDescent="0.35">
      <c r="A23">
        <v>21</v>
      </c>
      <c r="B23" s="14" t="e">
        <f t="shared" si="8"/>
        <v>#REF!</v>
      </c>
      <c r="C23" s="15" t="e">
        <f>(1+(#REF!)*('Arkusz1 (5)'!B23-'Arkusz1 (5)'!B22)/365)</f>
        <v>#REF!</v>
      </c>
      <c r="D23" s="15" t="e">
        <f>(1+(#REF!)*('Arkusz1 (5)'!B23-'Arkusz1 (5)'!B22)/366)</f>
        <v>#REF!</v>
      </c>
      <c r="E23" s="15" t="e">
        <f t="shared" si="0"/>
        <v>#REF!</v>
      </c>
      <c r="F23" s="15" t="e">
        <f t="shared" si="1"/>
        <v>#REF!</v>
      </c>
      <c r="G23" t="e">
        <f>IF(E23=1,(1+(#REF!)*((('Arkusz1 (5)'!B23-DATE(YEAR(B23),1,1)+1)/365)+((DATE(YEAR(B22),12,31)-'Arkusz1 (5)'!B22)/366))),IF(F23=1,(1+(#REF!)*((('Arkusz1 (5)'!B23-DATE(YEAR(B23),1,1)+1)/366)+((DATE(YEAR(B22),12,31)-'Arkusz1 (5)'!B22)/365))),0))</f>
        <v>#REF!</v>
      </c>
      <c r="H23" t="e">
        <f t="shared" si="2"/>
        <v>#REF!</v>
      </c>
      <c r="I23" t="e">
        <f t="shared" si="3"/>
        <v>#REF!</v>
      </c>
      <c r="J23" t="e">
        <f t="shared" si="4"/>
        <v>#REF!</v>
      </c>
      <c r="K23" t="e">
        <f ca="1">PRODUCT($J$3:J23)</f>
        <v>#REF!</v>
      </c>
      <c r="L23" t="e">
        <f t="shared" ca="1" si="5"/>
        <v>#REF!</v>
      </c>
      <c r="M23" t="e">
        <f ca="1">SUM($L$3:L23)</f>
        <v>#REF!</v>
      </c>
      <c r="O23" t="e">
        <f ca="1">(Q22*'Arkusz1 (5)'!J23)-Q22</f>
        <v>#REF!</v>
      </c>
      <c r="P23" s="16" t="e">
        <f t="shared" ca="1" si="6"/>
        <v>#REF!</v>
      </c>
      <c r="Q23" s="17" t="e">
        <f t="shared" ca="1" si="7"/>
        <v>#REF!</v>
      </c>
    </row>
    <row r="24" spans="1:17" x14ac:dyDescent="0.35">
      <c r="A24">
        <v>22</v>
      </c>
      <c r="B24" s="14" t="e">
        <f t="shared" si="8"/>
        <v>#REF!</v>
      </c>
      <c r="C24" s="15" t="e">
        <f>(1+(#REF!)*('Arkusz1 (5)'!B24-'Arkusz1 (5)'!B23)/365)</f>
        <v>#REF!</v>
      </c>
      <c r="D24" s="15" t="e">
        <f>(1+(#REF!)*('Arkusz1 (5)'!B24-'Arkusz1 (5)'!B23)/366)</f>
        <v>#REF!</v>
      </c>
      <c r="E24" s="15" t="e">
        <f t="shared" si="0"/>
        <v>#REF!</v>
      </c>
      <c r="F24" s="15" t="e">
        <f t="shared" si="1"/>
        <v>#REF!</v>
      </c>
      <c r="G24" t="e">
        <f>IF(E24=1,(1+(#REF!)*((('Arkusz1 (5)'!B24-DATE(YEAR(B24),1,1)+1)/365)+((DATE(YEAR(B23),12,31)-'Arkusz1 (5)'!B23)/366))),IF(F24=1,(1+(#REF!)*((('Arkusz1 (5)'!B24-DATE(YEAR(B24),1,1)+1)/366)+((DATE(YEAR(B23),12,31)-'Arkusz1 (5)'!B23)/365))),0))</f>
        <v>#REF!</v>
      </c>
      <c r="H24" t="e">
        <f t="shared" si="2"/>
        <v>#REF!</v>
      </c>
      <c r="I24" t="e">
        <f t="shared" si="3"/>
        <v>#REF!</v>
      </c>
      <c r="J24" t="e">
        <f t="shared" si="4"/>
        <v>#REF!</v>
      </c>
      <c r="K24" t="e">
        <f ca="1">PRODUCT($J$3:J24)</f>
        <v>#REF!</v>
      </c>
      <c r="L24" t="e">
        <f t="shared" ca="1" si="5"/>
        <v>#REF!</v>
      </c>
      <c r="M24" t="e">
        <f ca="1">SUM($L$3:L24)</f>
        <v>#REF!</v>
      </c>
      <c r="O24" t="e">
        <f ca="1">(Q23*'Arkusz1 (5)'!J24)-Q23</f>
        <v>#REF!</v>
      </c>
      <c r="P24" s="16" t="e">
        <f t="shared" ca="1" si="6"/>
        <v>#REF!</v>
      </c>
      <c r="Q24" s="17" t="e">
        <f t="shared" ca="1" si="7"/>
        <v>#REF!</v>
      </c>
    </row>
    <row r="25" spans="1:17" x14ac:dyDescent="0.35">
      <c r="A25">
        <v>23</v>
      </c>
      <c r="B25" s="14" t="e">
        <f t="shared" si="8"/>
        <v>#REF!</v>
      </c>
      <c r="C25" s="15" t="e">
        <f>(1+(#REF!)*('Arkusz1 (5)'!B25-'Arkusz1 (5)'!B24)/365)</f>
        <v>#REF!</v>
      </c>
      <c r="D25" s="15" t="e">
        <f>(1+(#REF!)*('Arkusz1 (5)'!B25-'Arkusz1 (5)'!B24)/366)</f>
        <v>#REF!</v>
      </c>
      <c r="E25" s="15" t="e">
        <f t="shared" si="0"/>
        <v>#REF!</v>
      </c>
      <c r="F25" s="15" t="e">
        <f t="shared" si="1"/>
        <v>#REF!</v>
      </c>
      <c r="G25" t="e">
        <f>IF(E25=1,(1+(#REF!)*((('Arkusz1 (5)'!B25-DATE(YEAR(B25),1,1)+1)/365)+((DATE(YEAR(B24),12,31)-'Arkusz1 (5)'!B24)/366))),IF(F25=1,(1+(#REF!)*((('Arkusz1 (5)'!B25-DATE(YEAR(B25),1,1)+1)/366)+((DATE(YEAR(B24),12,31)-'Arkusz1 (5)'!B24)/365))),0))</f>
        <v>#REF!</v>
      </c>
      <c r="H25" t="e">
        <f t="shared" si="2"/>
        <v>#REF!</v>
      </c>
      <c r="I25" t="e">
        <f t="shared" si="3"/>
        <v>#REF!</v>
      </c>
      <c r="J25" t="e">
        <f t="shared" si="4"/>
        <v>#REF!</v>
      </c>
      <c r="K25" t="e">
        <f ca="1">PRODUCT($J$3:J25)</f>
        <v>#REF!</v>
      </c>
      <c r="L25" t="e">
        <f t="shared" ca="1" si="5"/>
        <v>#REF!</v>
      </c>
      <c r="M25" t="e">
        <f ca="1">SUM($L$3:L25)</f>
        <v>#REF!</v>
      </c>
      <c r="O25" t="e">
        <f ca="1">(Q24*'Arkusz1 (5)'!J25)-Q24</f>
        <v>#REF!</v>
      </c>
      <c r="P25" s="16" t="e">
        <f t="shared" ca="1" si="6"/>
        <v>#REF!</v>
      </c>
      <c r="Q25" s="17" t="e">
        <f t="shared" ca="1" si="7"/>
        <v>#REF!</v>
      </c>
    </row>
    <row r="26" spans="1:17" x14ac:dyDescent="0.35">
      <c r="A26">
        <v>24</v>
      </c>
      <c r="B26" s="14" t="e">
        <f t="shared" si="8"/>
        <v>#REF!</v>
      </c>
      <c r="C26" s="15" t="e">
        <f>(1+(#REF!)*('Arkusz1 (5)'!B26-'Arkusz1 (5)'!B25)/365)</f>
        <v>#REF!</v>
      </c>
      <c r="D26" s="15" t="e">
        <f>(1+(#REF!)*('Arkusz1 (5)'!B26-'Arkusz1 (5)'!B25)/366)</f>
        <v>#REF!</v>
      </c>
      <c r="E26" s="15" t="e">
        <f t="shared" si="0"/>
        <v>#REF!</v>
      </c>
      <c r="F26" s="15" t="e">
        <f t="shared" si="1"/>
        <v>#REF!</v>
      </c>
      <c r="G26" t="e">
        <f>IF(E26=1,(1+(#REF!)*((('Arkusz1 (5)'!B26-DATE(YEAR(B26),1,1)+1)/365)+((DATE(YEAR(B25),12,31)-'Arkusz1 (5)'!B25)/366))),IF(F26=1,(1+(#REF!)*((('Arkusz1 (5)'!B26-DATE(YEAR(B26),1,1)+1)/366)+((DATE(YEAR(B25),12,31)-'Arkusz1 (5)'!B25)/365))),0))</f>
        <v>#REF!</v>
      </c>
      <c r="H26" t="e">
        <f t="shared" si="2"/>
        <v>#REF!</v>
      </c>
      <c r="I26" t="e">
        <f t="shared" si="3"/>
        <v>#REF!</v>
      </c>
      <c r="J26" t="e">
        <f t="shared" si="4"/>
        <v>#REF!</v>
      </c>
      <c r="K26" t="e">
        <f ca="1">PRODUCT($J$3:J26)</f>
        <v>#REF!</v>
      </c>
      <c r="L26" t="e">
        <f t="shared" ca="1" si="5"/>
        <v>#REF!</v>
      </c>
      <c r="M26" t="e">
        <f ca="1">SUM($L$3:L26)</f>
        <v>#REF!</v>
      </c>
      <c r="O26" t="e">
        <f ca="1">(Q25*'Arkusz1 (5)'!J26)-Q25</f>
        <v>#REF!</v>
      </c>
      <c r="P26" s="16" t="e">
        <f t="shared" ca="1" si="6"/>
        <v>#REF!</v>
      </c>
      <c r="Q26" s="17" t="e">
        <f t="shared" ca="1" si="7"/>
        <v>#REF!</v>
      </c>
    </row>
    <row r="27" spans="1:17" x14ac:dyDescent="0.35">
      <c r="A27">
        <v>25</v>
      </c>
      <c r="B27" s="14" t="e">
        <f t="shared" si="8"/>
        <v>#REF!</v>
      </c>
      <c r="C27" s="15" t="e">
        <f>(1+(#REF!)*('Arkusz1 (5)'!B27-'Arkusz1 (5)'!B26)/365)</f>
        <v>#REF!</v>
      </c>
      <c r="D27" s="15" t="e">
        <f>(1+(#REF!)*('Arkusz1 (5)'!B27-'Arkusz1 (5)'!B26)/366)</f>
        <v>#REF!</v>
      </c>
      <c r="E27" s="15" t="e">
        <f t="shared" si="0"/>
        <v>#REF!</v>
      </c>
      <c r="F27" s="15" t="e">
        <f t="shared" si="1"/>
        <v>#REF!</v>
      </c>
      <c r="G27" t="e">
        <f>IF(E27=1,(1+(#REF!)*((('Arkusz1 (5)'!B27-DATE(YEAR(B27),1,1)+1)/365)+((DATE(YEAR(B26),12,31)-'Arkusz1 (5)'!B26)/366))),IF(F27=1,(1+(#REF!)*((('Arkusz1 (5)'!B27-DATE(YEAR(B27),1,1)+1)/366)+((DATE(YEAR(B26),12,31)-'Arkusz1 (5)'!B26)/365))),0))</f>
        <v>#REF!</v>
      </c>
      <c r="H27" t="e">
        <f t="shared" si="2"/>
        <v>#REF!</v>
      </c>
      <c r="I27" t="e">
        <f t="shared" si="3"/>
        <v>#REF!</v>
      </c>
      <c r="J27" t="e">
        <f t="shared" si="4"/>
        <v>#REF!</v>
      </c>
      <c r="K27" t="e">
        <f ca="1">PRODUCT($J$3:J27)</f>
        <v>#REF!</v>
      </c>
      <c r="L27" t="e">
        <f t="shared" ca="1" si="5"/>
        <v>#REF!</v>
      </c>
      <c r="M27" t="e">
        <f ca="1">SUM($L$3:L27)</f>
        <v>#REF!</v>
      </c>
      <c r="O27" t="e">
        <f ca="1">(Q26*'Arkusz1 (5)'!J27)-Q26</f>
        <v>#REF!</v>
      </c>
      <c r="P27" s="16" t="e">
        <f t="shared" ca="1" si="6"/>
        <v>#REF!</v>
      </c>
      <c r="Q27" s="17" t="e">
        <f t="shared" ca="1" si="7"/>
        <v>#REF!</v>
      </c>
    </row>
    <row r="28" spans="1:17" x14ac:dyDescent="0.35">
      <c r="A28">
        <v>26</v>
      </c>
      <c r="B28" s="14" t="e">
        <f t="shared" si="8"/>
        <v>#REF!</v>
      </c>
      <c r="C28" s="15" t="e">
        <f>(1+(#REF!)*('Arkusz1 (5)'!B28-'Arkusz1 (5)'!B27)/365)</f>
        <v>#REF!</v>
      </c>
      <c r="D28" s="15" t="e">
        <f>(1+(#REF!)*('Arkusz1 (5)'!B28-'Arkusz1 (5)'!B27)/366)</f>
        <v>#REF!</v>
      </c>
      <c r="E28" s="15" t="e">
        <f t="shared" si="0"/>
        <v>#REF!</v>
      </c>
      <c r="F28" s="15" t="e">
        <f t="shared" si="1"/>
        <v>#REF!</v>
      </c>
      <c r="G28" t="e">
        <f>IF(E28=1,(1+(#REF!)*((('Arkusz1 (5)'!B28-DATE(YEAR(B28),1,1)+1)/365)+((DATE(YEAR(B27),12,31)-'Arkusz1 (5)'!B27)/366))),IF(F28=1,(1+(#REF!)*((('Arkusz1 (5)'!B28-DATE(YEAR(B28),1,1)+1)/366)+((DATE(YEAR(B27),12,31)-'Arkusz1 (5)'!B27)/365))),0))</f>
        <v>#REF!</v>
      </c>
      <c r="H28" t="e">
        <f t="shared" si="2"/>
        <v>#REF!</v>
      </c>
      <c r="I28" t="e">
        <f t="shared" si="3"/>
        <v>#REF!</v>
      </c>
      <c r="J28" t="e">
        <f t="shared" si="4"/>
        <v>#REF!</v>
      </c>
      <c r="K28" t="e">
        <f ca="1">PRODUCT($J$3:J28)</f>
        <v>#REF!</v>
      </c>
      <c r="L28" t="e">
        <f t="shared" ca="1" si="5"/>
        <v>#REF!</v>
      </c>
      <c r="M28" t="e">
        <f ca="1">SUM($L$3:L28)</f>
        <v>#REF!</v>
      </c>
      <c r="O28" t="e">
        <f ca="1">(Q27*'Arkusz1 (5)'!J28)-Q27</f>
        <v>#REF!</v>
      </c>
      <c r="P28" s="16" t="e">
        <f t="shared" ca="1" si="6"/>
        <v>#REF!</v>
      </c>
      <c r="Q28" s="17" t="e">
        <f t="shared" ca="1" si="7"/>
        <v>#REF!</v>
      </c>
    </row>
    <row r="29" spans="1:17" x14ac:dyDescent="0.35">
      <c r="A29">
        <v>27</v>
      </c>
      <c r="B29" s="14" t="e">
        <f t="shared" si="8"/>
        <v>#REF!</v>
      </c>
      <c r="C29" s="15" t="e">
        <f>(1+(#REF!)*('Arkusz1 (5)'!B29-'Arkusz1 (5)'!B28)/365)</f>
        <v>#REF!</v>
      </c>
      <c r="D29" s="15" t="e">
        <f>(1+(#REF!)*('Arkusz1 (5)'!B29-'Arkusz1 (5)'!B28)/366)</f>
        <v>#REF!</v>
      </c>
      <c r="E29" s="15" t="e">
        <f t="shared" si="0"/>
        <v>#REF!</v>
      </c>
      <c r="F29" s="15" t="e">
        <f t="shared" si="1"/>
        <v>#REF!</v>
      </c>
      <c r="G29" t="e">
        <f>IF(E29=1,(1+(#REF!)*((('Arkusz1 (5)'!B29-DATE(YEAR(B29),1,1)+1)/365)+((DATE(YEAR(B28),12,31)-'Arkusz1 (5)'!B28)/366))),IF(F29=1,(1+(#REF!)*((('Arkusz1 (5)'!B29-DATE(YEAR(B29),1,1)+1)/366)+((DATE(YEAR(B28),12,31)-'Arkusz1 (5)'!B28)/365))),0))</f>
        <v>#REF!</v>
      </c>
      <c r="H29" t="e">
        <f t="shared" si="2"/>
        <v>#REF!</v>
      </c>
      <c r="I29" t="e">
        <f t="shared" si="3"/>
        <v>#REF!</v>
      </c>
      <c r="J29" t="e">
        <f t="shared" si="4"/>
        <v>#REF!</v>
      </c>
      <c r="K29" t="e">
        <f ca="1">PRODUCT($J$3:J29)</f>
        <v>#REF!</v>
      </c>
      <c r="L29" t="e">
        <f t="shared" ca="1" si="5"/>
        <v>#REF!</v>
      </c>
      <c r="M29" t="e">
        <f ca="1">SUM($L$3:L29)</f>
        <v>#REF!</v>
      </c>
      <c r="O29" t="e">
        <f ca="1">(Q28*'Arkusz1 (5)'!J29)-Q28</f>
        <v>#REF!</v>
      </c>
      <c r="P29" s="16" t="e">
        <f t="shared" ca="1" si="6"/>
        <v>#REF!</v>
      </c>
      <c r="Q29" s="17" t="e">
        <f t="shared" ca="1" si="7"/>
        <v>#REF!</v>
      </c>
    </row>
    <row r="30" spans="1:17" x14ac:dyDescent="0.35">
      <c r="A30">
        <v>28</v>
      </c>
      <c r="B30" s="14" t="e">
        <f t="shared" si="8"/>
        <v>#REF!</v>
      </c>
      <c r="C30" s="15" t="e">
        <f>(1+(#REF!)*('Arkusz1 (5)'!B30-'Arkusz1 (5)'!B29)/365)</f>
        <v>#REF!</v>
      </c>
      <c r="D30" s="15" t="e">
        <f>(1+(#REF!)*('Arkusz1 (5)'!B30-'Arkusz1 (5)'!B29)/366)</f>
        <v>#REF!</v>
      </c>
      <c r="E30" s="15" t="e">
        <f t="shared" si="0"/>
        <v>#REF!</v>
      </c>
      <c r="F30" s="15" t="e">
        <f t="shared" si="1"/>
        <v>#REF!</v>
      </c>
      <c r="G30" t="e">
        <f>IF(E30=1,(1+(#REF!)*((('Arkusz1 (5)'!B30-DATE(YEAR(B30),1,1)+1)/365)+((DATE(YEAR(B29),12,31)-'Arkusz1 (5)'!B29)/366))),IF(F30=1,(1+(#REF!)*((('Arkusz1 (5)'!B30-DATE(YEAR(B30),1,1)+1)/366)+((DATE(YEAR(B29),12,31)-'Arkusz1 (5)'!B29)/365))),0))</f>
        <v>#REF!</v>
      </c>
      <c r="H30" t="e">
        <f t="shared" si="2"/>
        <v>#REF!</v>
      </c>
      <c r="I30" t="e">
        <f t="shared" si="3"/>
        <v>#REF!</v>
      </c>
      <c r="J30" t="e">
        <f t="shared" si="4"/>
        <v>#REF!</v>
      </c>
      <c r="K30" t="e">
        <f ca="1">PRODUCT($J$3:J30)</f>
        <v>#REF!</v>
      </c>
      <c r="L30" t="e">
        <f t="shared" ca="1" si="5"/>
        <v>#REF!</v>
      </c>
      <c r="M30" t="e">
        <f ca="1">SUM($L$3:L30)</f>
        <v>#REF!</v>
      </c>
      <c r="O30" t="e">
        <f ca="1">(Q29*'Arkusz1 (5)'!J30)-Q29</f>
        <v>#REF!</v>
      </c>
      <c r="P30" s="16" t="e">
        <f t="shared" ca="1" si="6"/>
        <v>#REF!</v>
      </c>
      <c r="Q30" s="17" t="e">
        <f t="shared" ca="1" si="7"/>
        <v>#REF!</v>
      </c>
    </row>
    <row r="31" spans="1:17" x14ac:dyDescent="0.35">
      <c r="A31">
        <v>29</v>
      </c>
      <c r="B31" s="14" t="e">
        <f t="shared" si="8"/>
        <v>#REF!</v>
      </c>
      <c r="C31" s="15" t="e">
        <f>(1+(#REF!)*('Arkusz1 (5)'!B31-'Arkusz1 (5)'!B30)/365)</f>
        <v>#REF!</v>
      </c>
      <c r="D31" s="15" t="e">
        <f>(1+(#REF!)*('Arkusz1 (5)'!B31-'Arkusz1 (5)'!B30)/366)</f>
        <v>#REF!</v>
      </c>
      <c r="E31" s="15" t="e">
        <f t="shared" si="0"/>
        <v>#REF!</v>
      </c>
      <c r="F31" s="15" t="e">
        <f t="shared" si="1"/>
        <v>#REF!</v>
      </c>
      <c r="G31" t="e">
        <f>IF(E31=1,(1+(#REF!)*((('Arkusz1 (5)'!B31-DATE(YEAR(B31),1,1)+1)/365)+((DATE(YEAR(B30),12,31)-'Arkusz1 (5)'!B30)/366))),IF(F31=1,(1+(#REF!)*((('Arkusz1 (5)'!B31-DATE(YEAR(B31),1,1)+1)/366)+((DATE(YEAR(B30),12,31)-'Arkusz1 (5)'!B30)/365))),0))</f>
        <v>#REF!</v>
      </c>
      <c r="H31" t="e">
        <f t="shared" si="2"/>
        <v>#REF!</v>
      </c>
      <c r="I31" t="e">
        <f t="shared" si="3"/>
        <v>#REF!</v>
      </c>
      <c r="J31" t="e">
        <f t="shared" si="4"/>
        <v>#REF!</v>
      </c>
      <c r="K31" t="e">
        <f ca="1">PRODUCT($J$3:J31)</f>
        <v>#REF!</v>
      </c>
      <c r="L31" t="e">
        <f t="shared" ca="1" si="5"/>
        <v>#REF!</v>
      </c>
      <c r="M31" t="e">
        <f ca="1">SUM($L$3:L31)</f>
        <v>#REF!</v>
      </c>
      <c r="O31" t="e">
        <f ca="1">(Q30*'Arkusz1 (5)'!J31)-Q30</f>
        <v>#REF!</v>
      </c>
      <c r="P31" s="16" t="e">
        <f t="shared" ca="1" si="6"/>
        <v>#REF!</v>
      </c>
      <c r="Q31" s="17" t="e">
        <f t="shared" ca="1" si="7"/>
        <v>#REF!</v>
      </c>
    </row>
    <row r="32" spans="1:17" x14ac:dyDescent="0.35">
      <c r="A32">
        <v>30</v>
      </c>
      <c r="B32" s="14" t="e">
        <f t="shared" si="8"/>
        <v>#REF!</v>
      </c>
      <c r="C32" s="15" t="e">
        <f>(1+(#REF!)*('Arkusz1 (5)'!B32-'Arkusz1 (5)'!B31)/365)</f>
        <v>#REF!</v>
      </c>
      <c r="D32" s="15" t="e">
        <f>(1+(#REF!)*('Arkusz1 (5)'!B32-'Arkusz1 (5)'!B31)/366)</f>
        <v>#REF!</v>
      </c>
      <c r="E32" s="15" t="e">
        <f t="shared" si="0"/>
        <v>#REF!</v>
      </c>
      <c r="F32" s="15" t="e">
        <f t="shared" si="1"/>
        <v>#REF!</v>
      </c>
      <c r="G32" t="e">
        <f>IF(E32=1,(1+(#REF!)*((('Arkusz1 (5)'!B32-DATE(YEAR(B32),1,1)+1)/365)+((DATE(YEAR(B31),12,31)-'Arkusz1 (5)'!B31)/366))),IF(F32=1,(1+(#REF!)*((('Arkusz1 (5)'!B32-DATE(YEAR(B32),1,1)+1)/366)+((DATE(YEAR(B31),12,31)-'Arkusz1 (5)'!B31)/365))),0))</f>
        <v>#REF!</v>
      </c>
      <c r="H32" t="e">
        <f t="shared" si="2"/>
        <v>#REF!</v>
      </c>
      <c r="I32" t="e">
        <f t="shared" si="3"/>
        <v>#REF!</v>
      </c>
      <c r="J32" t="e">
        <f t="shared" si="4"/>
        <v>#REF!</v>
      </c>
      <c r="K32" t="e">
        <f ca="1">PRODUCT($J$3:J32)</f>
        <v>#REF!</v>
      </c>
      <c r="L32" t="e">
        <f t="shared" ca="1" si="5"/>
        <v>#REF!</v>
      </c>
      <c r="M32" t="e">
        <f ca="1">SUM($L$3:L32)</f>
        <v>#REF!</v>
      </c>
      <c r="O32" t="e">
        <f ca="1">(Q31*'Arkusz1 (5)'!J32)-Q31</f>
        <v>#REF!</v>
      </c>
      <c r="P32" s="16" t="e">
        <f t="shared" ca="1" si="6"/>
        <v>#REF!</v>
      </c>
      <c r="Q32" s="17" t="e">
        <f t="shared" ca="1" si="7"/>
        <v>#REF!</v>
      </c>
    </row>
    <row r="33" spans="1:17" x14ac:dyDescent="0.35">
      <c r="A33">
        <v>31</v>
      </c>
      <c r="B33" s="14" t="e">
        <f t="shared" si="8"/>
        <v>#REF!</v>
      </c>
      <c r="C33" s="15" t="e">
        <f>(1+(#REF!)*('Arkusz1 (5)'!B33-'Arkusz1 (5)'!B32)/365)</f>
        <v>#REF!</v>
      </c>
      <c r="D33" s="15" t="e">
        <f>(1+(#REF!)*('Arkusz1 (5)'!B33-'Arkusz1 (5)'!B32)/366)</f>
        <v>#REF!</v>
      </c>
      <c r="E33" s="15" t="e">
        <f t="shared" si="0"/>
        <v>#REF!</v>
      </c>
      <c r="F33" s="15" t="e">
        <f t="shared" si="1"/>
        <v>#REF!</v>
      </c>
      <c r="G33" t="e">
        <f>IF(E33=1,(1+(#REF!)*((('Arkusz1 (5)'!B33-DATE(YEAR(B33),1,1)+1)/365)+((DATE(YEAR(B32),12,31)-'Arkusz1 (5)'!B32)/366))),IF(F33=1,(1+(#REF!)*((('Arkusz1 (5)'!B33-DATE(YEAR(B33),1,1)+1)/366)+((DATE(YEAR(B32),12,31)-'Arkusz1 (5)'!B32)/365))),0))</f>
        <v>#REF!</v>
      </c>
      <c r="H33" t="e">
        <f t="shared" si="2"/>
        <v>#REF!</v>
      </c>
      <c r="I33" t="e">
        <f t="shared" si="3"/>
        <v>#REF!</v>
      </c>
      <c r="J33" t="e">
        <f t="shared" si="4"/>
        <v>#REF!</v>
      </c>
      <c r="K33" t="e">
        <f ca="1">PRODUCT($J$3:J33)</f>
        <v>#REF!</v>
      </c>
      <c r="L33" t="e">
        <f t="shared" ca="1" si="5"/>
        <v>#REF!</v>
      </c>
      <c r="M33" t="e">
        <f ca="1">SUM($L$3:L33)</f>
        <v>#REF!</v>
      </c>
      <c r="O33" t="e">
        <f ca="1">(Q32*'Arkusz1 (5)'!J33)-Q32</f>
        <v>#REF!</v>
      </c>
      <c r="P33" s="16" t="e">
        <f t="shared" ca="1" si="6"/>
        <v>#REF!</v>
      </c>
      <c r="Q33" s="17" t="e">
        <f t="shared" ca="1" si="7"/>
        <v>#REF!</v>
      </c>
    </row>
    <row r="34" spans="1:17" x14ac:dyDescent="0.35">
      <c r="A34">
        <v>32</v>
      </c>
      <c r="B34" s="14" t="e">
        <f t="shared" si="8"/>
        <v>#REF!</v>
      </c>
      <c r="C34" s="15" t="e">
        <f>(1+(#REF!)*('Arkusz1 (5)'!B34-'Arkusz1 (5)'!B33)/365)</f>
        <v>#REF!</v>
      </c>
      <c r="D34" s="15" t="e">
        <f>(1+(#REF!)*('Arkusz1 (5)'!B34-'Arkusz1 (5)'!B33)/366)</f>
        <v>#REF!</v>
      </c>
      <c r="E34" s="15" t="e">
        <f t="shared" si="0"/>
        <v>#REF!</v>
      </c>
      <c r="F34" s="15" t="e">
        <f t="shared" si="1"/>
        <v>#REF!</v>
      </c>
      <c r="G34" t="e">
        <f>IF(E34=1,(1+(#REF!)*((('Arkusz1 (5)'!B34-DATE(YEAR(B34),1,1)+1)/365)+((DATE(YEAR(B33),12,31)-'Arkusz1 (5)'!B33)/366))),IF(F34=1,(1+(#REF!)*((('Arkusz1 (5)'!B34-DATE(YEAR(B34),1,1)+1)/366)+((DATE(YEAR(B33),12,31)-'Arkusz1 (5)'!B33)/365))),0))</f>
        <v>#REF!</v>
      </c>
      <c r="H34" t="e">
        <f t="shared" si="2"/>
        <v>#REF!</v>
      </c>
      <c r="I34" t="e">
        <f t="shared" si="3"/>
        <v>#REF!</v>
      </c>
      <c r="J34" t="e">
        <f t="shared" si="4"/>
        <v>#REF!</v>
      </c>
      <c r="K34" t="e">
        <f ca="1">PRODUCT($J$3:J34)</f>
        <v>#REF!</v>
      </c>
      <c r="L34" t="e">
        <f t="shared" ca="1" si="5"/>
        <v>#REF!</v>
      </c>
      <c r="M34" t="e">
        <f ca="1">SUM($L$3:L34)</f>
        <v>#REF!</v>
      </c>
      <c r="O34" t="e">
        <f ca="1">(Q33*'Arkusz1 (5)'!J34)-Q33</f>
        <v>#REF!</v>
      </c>
      <c r="P34" s="16" t="e">
        <f t="shared" ca="1" si="6"/>
        <v>#REF!</v>
      </c>
      <c r="Q34" s="17" t="e">
        <f t="shared" ca="1" si="7"/>
        <v>#REF!</v>
      </c>
    </row>
    <row r="35" spans="1:17" x14ac:dyDescent="0.35">
      <c r="A35">
        <v>33</v>
      </c>
      <c r="B35" s="14" t="e">
        <f t="shared" si="8"/>
        <v>#REF!</v>
      </c>
      <c r="C35" s="15" t="e">
        <f>(1+(#REF!)*('Arkusz1 (5)'!B35-'Arkusz1 (5)'!B34)/365)</f>
        <v>#REF!</v>
      </c>
      <c r="D35" s="15" t="e">
        <f>(1+(#REF!)*('Arkusz1 (5)'!B35-'Arkusz1 (5)'!B34)/366)</f>
        <v>#REF!</v>
      </c>
      <c r="E35" s="15" t="e">
        <f t="shared" si="0"/>
        <v>#REF!</v>
      </c>
      <c r="F35" s="15" t="e">
        <f t="shared" si="1"/>
        <v>#REF!</v>
      </c>
      <c r="G35" t="e">
        <f>IF(E35=1,(1+(#REF!)*((('Arkusz1 (5)'!B35-DATE(YEAR(B35),1,1)+1)/365)+((DATE(YEAR(B34),12,31)-'Arkusz1 (5)'!B34)/366))),IF(F35=1,(1+(#REF!)*((('Arkusz1 (5)'!B35-DATE(YEAR(B35),1,1)+1)/366)+((DATE(YEAR(B34),12,31)-'Arkusz1 (5)'!B34)/365))),0))</f>
        <v>#REF!</v>
      </c>
      <c r="H35" t="e">
        <f t="shared" si="2"/>
        <v>#REF!</v>
      </c>
      <c r="I35" t="e">
        <f t="shared" si="3"/>
        <v>#REF!</v>
      </c>
      <c r="J35" t="e">
        <f t="shared" si="4"/>
        <v>#REF!</v>
      </c>
      <c r="K35" t="e">
        <f ca="1">PRODUCT($J$3:J35)</f>
        <v>#REF!</v>
      </c>
      <c r="L35" t="e">
        <f t="shared" ca="1" si="5"/>
        <v>#REF!</v>
      </c>
      <c r="M35" t="e">
        <f ca="1">SUM($L$3:L35)</f>
        <v>#REF!</v>
      </c>
      <c r="O35" t="e">
        <f ca="1">(Q34*'Arkusz1 (5)'!J35)-Q34</f>
        <v>#REF!</v>
      </c>
      <c r="P35" s="16" t="e">
        <f t="shared" ca="1" si="6"/>
        <v>#REF!</v>
      </c>
      <c r="Q35" s="17" t="e">
        <f t="shared" ca="1" si="7"/>
        <v>#REF!</v>
      </c>
    </row>
    <row r="36" spans="1:17" x14ac:dyDescent="0.35">
      <c r="A36">
        <v>34</v>
      </c>
      <c r="B36" s="14" t="e">
        <f t="shared" si="8"/>
        <v>#REF!</v>
      </c>
      <c r="C36" s="15" t="e">
        <f>(1+(#REF!)*('Arkusz1 (5)'!B36-'Arkusz1 (5)'!B35)/365)</f>
        <v>#REF!</v>
      </c>
      <c r="D36" s="15" t="e">
        <f>(1+(#REF!)*('Arkusz1 (5)'!B36-'Arkusz1 (5)'!B35)/366)</f>
        <v>#REF!</v>
      </c>
      <c r="E36" s="15" t="e">
        <f t="shared" si="0"/>
        <v>#REF!</v>
      </c>
      <c r="F36" s="15" t="e">
        <f t="shared" si="1"/>
        <v>#REF!</v>
      </c>
      <c r="G36" t="e">
        <f>IF(E36=1,(1+(#REF!)*((('Arkusz1 (5)'!B36-DATE(YEAR(B36),1,1)+1)/365)+((DATE(YEAR(B35),12,31)-'Arkusz1 (5)'!B35)/366))),IF(F36=1,(1+(#REF!)*((('Arkusz1 (5)'!B36-DATE(YEAR(B36),1,1)+1)/366)+((DATE(YEAR(B35),12,31)-'Arkusz1 (5)'!B35)/365))),0))</f>
        <v>#REF!</v>
      </c>
      <c r="H36" t="e">
        <f t="shared" si="2"/>
        <v>#REF!</v>
      </c>
      <c r="I36" t="e">
        <f t="shared" si="3"/>
        <v>#REF!</v>
      </c>
      <c r="J36" t="e">
        <f t="shared" si="4"/>
        <v>#REF!</v>
      </c>
      <c r="K36" t="e">
        <f ca="1">PRODUCT($J$3:J36)</f>
        <v>#REF!</v>
      </c>
      <c r="L36" t="e">
        <f t="shared" ca="1" si="5"/>
        <v>#REF!</v>
      </c>
      <c r="M36" t="e">
        <f ca="1">SUM($L$3:L36)</f>
        <v>#REF!</v>
      </c>
      <c r="O36" t="e">
        <f ca="1">(Q35*'Arkusz1 (5)'!J36)-Q35</f>
        <v>#REF!</v>
      </c>
      <c r="P36" s="16" t="e">
        <f t="shared" ca="1" si="6"/>
        <v>#REF!</v>
      </c>
      <c r="Q36" s="17" t="e">
        <f t="shared" ca="1" si="7"/>
        <v>#REF!</v>
      </c>
    </row>
    <row r="37" spans="1:17" x14ac:dyDescent="0.35">
      <c r="A37">
        <v>35</v>
      </c>
      <c r="B37" s="14" t="e">
        <f t="shared" si="8"/>
        <v>#REF!</v>
      </c>
      <c r="C37" s="15" t="e">
        <f>(1+(#REF!)*('Arkusz1 (5)'!B37-'Arkusz1 (5)'!B36)/365)</f>
        <v>#REF!</v>
      </c>
      <c r="D37" s="15" t="e">
        <f>(1+(#REF!)*('Arkusz1 (5)'!B37-'Arkusz1 (5)'!B36)/366)</f>
        <v>#REF!</v>
      </c>
      <c r="E37" s="15" t="e">
        <f t="shared" si="0"/>
        <v>#REF!</v>
      </c>
      <c r="F37" s="15" t="e">
        <f t="shared" si="1"/>
        <v>#REF!</v>
      </c>
      <c r="G37" t="e">
        <f>IF(E37=1,(1+(#REF!)*((('Arkusz1 (5)'!B37-DATE(YEAR(B37),1,1)+1)/365)+((DATE(YEAR(B36),12,31)-'Arkusz1 (5)'!B36)/366))),IF(F37=1,(1+(#REF!)*((('Arkusz1 (5)'!B37-DATE(YEAR(B37),1,1)+1)/366)+((DATE(YEAR(B36),12,31)-'Arkusz1 (5)'!B36)/365))),0))</f>
        <v>#REF!</v>
      </c>
      <c r="H37" t="e">
        <f t="shared" si="2"/>
        <v>#REF!</v>
      </c>
      <c r="I37" t="e">
        <f t="shared" si="3"/>
        <v>#REF!</v>
      </c>
      <c r="J37" t="e">
        <f t="shared" si="4"/>
        <v>#REF!</v>
      </c>
      <c r="K37" t="e">
        <f ca="1">PRODUCT($J$3:J37)</f>
        <v>#REF!</v>
      </c>
      <c r="L37" t="e">
        <f t="shared" ca="1" si="5"/>
        <v>#REF!</v>
      </c>
      <c r="M37" t="e">
        <f ca="1">SUM($L$3:L37)</f>
        <v>#REF!</v>
      </c>
      <c r="O37" t="e">
        <f ca="1">(Q36*'Arkusz1 (5)'!J37)-Q36</f>
        <v>#REF!</v>
      </c>
      <c r="P37" s="16" t="e">
        <f t="shared" ca="1" si="6"/>
        <v>#REF!</v>
      </c>
      <c r="Q37" s="17" t="e">
        <f t="shared" ca="1" si="7"/>
        <v>#REF!</v>
      </c>
    </row>
    <row r="38" spans="1:17" x14ac:dyDescent="0.35">
      <c r="A38">
        <v>36</v>
      </c>
      <c r="B38" s="14" t="e">
        <f t="shared" si="8"/>
        <v>#REF!</v>
      </c>
      <c r="C38" s="15" t="e">
        <f>(1+(#REF!)*('Arkusz1 (5)'!B38-'Arkusz1 (5)'!B37)/365)</f>
        <v>#REF!</v>
      </c>
      <c r="D38" s="15" t="e">
        <f>(1+(#REF!)*('Arkusz1 (5)'!B38-'Arkusz1 (5)'!B37)/366)</f>
        <v>#REF!</v>
      </c>
      <c r="E38" s="15" t="e">
        <f t="shared" si="0"/>
        <v>#REF!</v>
      </c>
      <c r="F38" s="15" t="e">
        <f t="shared" si="1"/>
        <v>#REF!</v>
      </c>
      <c r="G38" t="e">
        <f>IF(E38=1,(1+(#REF!)*((('Arkusz1 (5)'!B38-DATE(YEAR(B38),1,1)+1)/365)+((DATE(YEAR(B37),12,31)-'Arkusz1 (5)'!B37)/366))),IF(F38=1,(1+(#REF!)*((('Arkusz1 (5)'!B38-DATE(YEAR(B38),1,1)+1)/366)+((DATE(YEAR(B37),12,31)-'Arkusz1 (5)'!B37)/365))),0))</f>
        <v>#REF!</v>
      </c>
      <c r="H38" t="e">
        <f t="shared" si="2"/>
        <v>#REF!</v>
      </c>
      <c r="I38" t="e">
        <f t="shared" si="3"/>
        <v>#REF!</v>
      </c>
      <c r="J38" t="e">
        <f t="shared" si="4"/>
        <v>#REF!</v>
      </c>
      <c r="K38" t="e">
        <f ca="1">PRODUCT($J$3:J38)</f>
        <v>#REF!</v>
      </c>
      <c r="L38" t="e">
        <f t="shared" ca="1" si="5"/>
        <v>#REF!</v>
      </c>
      <c r="M38" t="e">
        <f ca="1">SUM($L$3:L38)</f>
        <v>#REF!</v>
      </c>
      <c r="O38" t="e">
        <f ca="1">(Q37*'Arkusz1 (5)'!J38)-Q37</f>
        <v>#REF!</v>
      </c>
      <c r="P38" s="16" t="e">
        <f t="shared" ca="1" si="6"/>
        <v>#REF!</v>
      </c>
      <c r="Q38" s="17" t="e">
        <f t="shared" ca="1" si="7"/>
        <v>#REF!</v>
      </c>
    </row>
    <row r="39" spans="1:17" x14ac:dyDescent="0.35">
      <c r="A39">
        <v>37</v>
      </c>
      <c r="B39" s="14" t="e">
        <f t="shared" si="8"/>
        <v>#REF!</v>
      </c>
      <c r="C39" s="15" t="e">
        <f>(1+(#REF!)*('Arkusz1 (5)'!B39-'Arkusz1 (5)'!B38)/365)</f>
        <v>#REF!</v>
      </c>
      <c r="D39" s="15" t="e">
        <f>(1+(#REF!)*('Arkusz1 (5)'!B39-'Arkusz1 (5)'!B38)/366)</f>
        <v>#REF!</v>
      </c>
      <c r="E39" s="15" t="e">
        <f t="shared" si="0"/>
        <v>#REF!</v>
      </c>
      <c r="F39" s="15" t="e">
        <f t="shared" si="1"/>
        <v>#REF!</v>
      </c>
      <c r="G39" t="e">
        <f>IF(E39=1,(1+(#REF!)*((('Arkusz1 (5)'!B39-DATE(YEAR(B39),1,1)+1)/365)+((DATE(YEAR(B38),12,31)-'Arkusz1 (5)'!B38)/366))),IF(F39=1,(1+(#REF!)*((('Arkusz1 (5)'!B39-DATE(YEAR(B39),1,1)+1)/366)+((DATE(YEAR(B38),12,31)-'Arkusz1 (5)'!B38)/365))),0))</f>
        <v>#REF!</v>
      </c>
      <c r="H39" t="e">
        <f t="shared" si="2"/>
        <v>#REF!</v>
      </c>
      <c r="I39" t="e">
        <f t="shared" si="3"/>
        <v>#REF!</v>
      </c>
      <c r="J39" t="e">
        <f t="shared" si="4"/>
        <v>#REF!</v>
      </c>
      <c r="K39" t="e">
        <f ca="1">PRODUCT($J$3:J39)</f>
        <v>#REF!</v>
      </c>
      <c r="L39" t="e">
        <f t="shared" ca="1" si="5"/>
        <v>#REF!</v>
      </c>
      <c r="M39" t="e">
        <f ca="1">SUM($L$3:L39)</f>
        <v>#REF!</v>
      </c>
      <c r="O39" t="e">
        <f ca="1">(Q38*'Arkusz1 (5)'!J39)-Q38</f>
        <v>#REF!</v>
      </c>
      <c r="P39" s="16" t="e">
        <f t="shared" ca="1" si="6"/>
        <v>#REF!</v>
      </c>
      <c r="Q39" s="17" t="e">
        <f t="shared" ca="1" si="7"/>
        <v>#REF!</v>
      </c>
    </row>
    <row r="40" spans="1:17" x14ac:dyDescent="0.35">
      <c r="A40">
        <v>38</v>
      </c>
      <c r="B40" s="14" t="e">
        <f t="shared" si="8"/>
        <v>#REF!</v>
      </c>
      <c r="C40" s="15" t="e">
        <f>(1+(#REF!)*('Arkusz1 (5)'!B40-'Arkusz1 (5)'!B39)/365)</f>
        <v>#REF!</v>
      </c>
      <c r="D40" s="15" t="e">
        <f>(1+(#REF!)*('Arkusz1 (5)'!B40-'Arkusz1 (5)'!B39)/366)</f>
        <v>#REF!</v>
      </c>
      <c r="E40" s="15" t="e">
        <f t="shared" si="0"/>
        <v>#REF!</v>
      </c>
      <c r="F40" s="15" t="e">
        <f t="shared" si="1"/>
        <v>#REF!</v>
      </c>
      <c r="G40" t="e">
        <f>IF(E40=1,(1+(#REF!)*((('Arkusz1 (5)'!B40-DATE(YEAR(B40),1,1)+1)/365)+((DATE(YEAR(B39),12,31)-'Arkusz1 (5)'!B39)/366))),IF(F40=1,(1+(#REF!)*((('Arkusz1 (5)'!B40-DATE(YEAR(B40),1,1)+1)/366)+((DATE(YEAR(B39),12,31)-'Arkusz1 (5)'!B39)/365))),0))</f>
        <v>#REF!</v>
      </c>
      <c r="H40" t="e">
        <f t="shared" si="2"/>
        <v>#REF!</v>
      </c>
      <c r="I40" t="e">
        <f t="shared" si="3"/>
        <v>#REF!</v>
      </c>
      <c r="J40" t="e">
        <f t="shared" si="4"/>
        <v>#REF!</v>
      </c>
      <c r="K40" t="e">
        <f ca="1">PRODUCT($J$3:J40)</f>
        <v>#REF!</v>
      </c>
      <c r="L40" t="e">
        <f t="shared" ca="1" si="5"/>
        <v>#REF!</v>
      </c>
      <c r="M40" t="e">
        <f ca="1">SUM($L$3:L40)</f>
        <v>#REF!</v>
      </c>
      <c r="O40" t="e">
        <f ca="1">(Q39*'Arkusz1 (5)'!J40)-Q39</f>
        <v>#REF!</v>
      </c>
      <c r="P40" s="16" t="e">
        <f t="shared" ca="1" si="6"/>
        <v>#REF!</v>
      </c>
      <c r="Q40" s="17" t="e">
        <f t="shared" ca="1" si="7"/>
        <v>#REF!</v>
      </c>
    </row>
    <row r="41" spans="1:17" x14ac:dyDescent="0.35">
      <c r="A41">
        <v>39</v>
      </c>
      <c r="B41" s="14" t="e">
        <f t="shared" si="8"/>
        <v>#REF!</v>
      </c>
      <c r="C41" s="15" t="e">
        <f>(1+(#REF!)*('Arkusz1 (5)'!B41-'Arkusz1 (5)'!B40)/365)</f>
        <v>#REF!</v>
      </c>
      <c r="D41" s="15" t="e">
        <f>(1+(#REF!)*('Arkusz1 (5)'!B41-'Arkusz1 (5)'!B40)/366)</f>
        <v>#REF!</v>
      </c>
      <c r="E41" s="15" t="e">
        <f t="shared" si="0"/>
        <v>#REF!</v>
      </c>
      <c r="F41" s="15" t="e">
        <f t="shared" si="1"/>
        <v>#REF!</v>
      </c>
      <c r="G41" t="e">
        <f>IF(E41=1,(1+(#REF!)*((('Arkusz1 (5)'!B41-DATE(YEAR(B41),1,1)+1)/365)+((DATE(YEAR(B40),12,31)-'Arkusz1 (5)'!B40)/366))),IF(F41=1,(1+(#REF!)*((('Arkusz1 (5)'!B41-DATE(YEAR(B41),1,1)+1)/366)+((DATE(YEAR(B40),12,31)-'Arkusz1 (5)'!B40)/365))),0))</f>
        <v>#REF!</v>
      </c>
      <c r="H41" t="e">
        <f t="shared" si="2"/>
        <v>#REF!</v>
      </c>
      <c r="I41" t="e">
        <f t="shared" si="3"/>
        <v>#REF!</v>
      </c>
      <c r="J41" t="e">
        <f t="shared" si="4"/>
        <v>#REF!</v>
      </c>
      <c r="K41" t="e">
        <f ca="1">PRODUCT($J$3:J41)</f>
        <v>#REF!</v>
      </c>
      <c r="L41" t="e">
        <f t="shared" ca="1" si="5"/>
        <v>#REF!</v>
      </c>
      <c r="M41" t="e">
        <f ca="1">SUM($L$3:L41)</f>
        <v>#REF!</v>
      </c>
      <c r="O41" t="e">
        <f ca="1">(Q40*'Arkusz1 (5)'!J41)-Q40</f>
        <v>#REF!</v>
      </c>
      <c r="P41" s="16" t="e">
        <f t="shared" ca="1" si="6"/>
        <v>#REF!</v>
      </c>
      <c r="Q41" s="17" t="e">
        <f t="shared" ca="1" si="7"/>
        <v>#REF!</v>
      </c>
    </row>
    <row r="42" spans="1:17" x14ac:dyDescent="0.35">
      <c r="A42">
        <v>40</v>
      </c>
      <c r="B42" s="14" t="e">
        <f t="shared" si="8"/>
        <v>#REF!</v>
      </c>
      <c r="C42" s="15" t="e">
        <f>(1+(#REF!)*('Arkusz1 (5)'!B42-'Arkusz1 (5)'!B41)/365)</f>
        <v>#REF!</v>
      </c>
      <c r="D42" s="15" t="e">
        <f>(1+(#REF!)*('Arkusz1 (5)'!B42-'Arkusz1 (5)'!B41)/366)</f>
        <v>#REF!</v>
      </c>
      <c r="E42" s="15" t="e">
        <f t="shared" si="0"/>
        <v>#REF!</v>
      </c>
      <c r="F42" s="15" t="e">
        <f t="shared" si="1"/>
        <v>#REF!</v>
      </c>
      <c r="G42" t="e">
        <f>IF(E42=1,(1+(#REF!)*((('Arkusz1 (5)'!B42-DATE(YEAR(B42),1,1)+1)/365)+((DATE(YEAR(B41),12,31)-'Arkusz1 (5)'!B41)/366))),IF(F42=1,(1+(#REF!)*((('Arkusz1 (5)'!B42-DATE(YEAR(B42),1,1)+1)/366)+((DATE(YEAR(B41),12,31)-'Arkusz1 (5)'!B41)/365))),0))</f>
        <v>#REF!</v>
      </c>
      <c r="H42" t="e">
        <f t="shared" si="2"/>
        <v>#REF!</v>
      </c>
      <c r="I42" t="e">
        <f t="shared" si="3"/>
        <v>#REF!</v>
      </c>
      <c r="J42" t="e">
        <f t="shared" si="4"/>
        <v>#REF!</v>
      </c>
      <c r="K42" t="e">
        <f ca="1">PRODUCT($J$3:J42)</f>
        <v>#REF!</v>
      </c>
      <c r="L42" t="e">
        <f t="shared" ca="1" si="5"/>
        <v>#REF!</v>
      </c>
      <c r="M42" t="e">
        <f ca="1">SUM($L$3:L42)</f>
        <v>#REF!</v>
      </c>
      <c r="O42" t="e">
        <f ca="1">(Q41*'Arkusz1 (5)'!J42)-Q41</f>
        <v>#REF!</v>
      </c>
      <c r="P42" s="16" t="e">
        <f t="shared" ca="1" si="6"/>
        <v>#REF!</v>
      </c>
      <c r="Q42" s="17" t="e">
        <f t="shared" ca="1" si="7"/>
        <v>#REF!</v>
      </c>
    </row>
    <row r="43" spans="1:17" x14ac:dyDescent="0.35">
      <c r="A43">
        <v>41</v>
      </c>
      <c r="B43" s="14" t="e">
        <f t="shared" si="8"/>
        <v>#REF!</v>
      </c>
      <c r="C43" s="15" t="e">
        <f>(1+(#REF!)*('Arkusz1 (5)'!B43-'Arkusz1 (5)'!B42)/365)</f>
        <v>#REF!</v>
      </c>
      <c r="D43" s="15" t="e">
        <f>(1+(#REF!)*('Arkusz1 (5)'!B43-'Arkusz1 (5)'!B42)/366)</f>
        <v>#REF!</v>
      </c>
      <c r="E43" s="15" t="e">
        <f t="shared" si="0"/>
        <v>#REF!</v>
      </c>
      <c r="F43" s="15" t="e">
        <f t="shared" si="1"/>
        <v>#REF!</v>
      </c>
      <c r="G43" t="e">
        <f>IF(E43=1,(1+(#REF!)*((('Arkusz1 (5)'!B43-DATE(YEAR(B43),1,1)+1)/365)+((DATE(YEAR(B42),12,31)-'Arkusz1 (5)'!B42)/366))),IF(F43=1,(1+(#REF!)*((('Arkusz1 (5)'!B43-DATE(YEAR(B43),1,1)+1)/366)+((DATE(YEAR(B42),12,31)-'Arkusz1 (5)'!B42)/365))),0))</f>
        <v>#REF!</v>
      </c>
      <c r="H43" t="e">
        <f t="shared" si="2"/>
        <v>#REF!</v>
      </c>
      <c r="I43" t="e">
        <f t="shared" si="3"/>
        <v>#REF!</v>
      </c>
      <c r="J43" t="e">
        <f t="shared" si="4"/>
        <v>#REF!</v>
      </c>
      <c r="K43" t="e">
        <f ca="1">PRODUCT($J$3:J43)</f>
        <v>#REF!</v>
      </c>
      <c r="L43" t="e">
        <f t="shared" ca="1" si="5"/>
        <v>#REF!</v>
      </c>
      <c r="M43" t="e">
        <f ca="1">SUM($L$3:L43)</f>
        <v>#REF!</v>
      </c>
      <c r="O43" t="e">
        <f ca="1">(Q42*'Arkusz1 (5)'!J43)-Q42</f>
        <v>#REF!</v>
      </c>
      <c r="P43" s="16" t="e">
        <f t="shared" ca="1" si="6"/>
        <v>#REF!</v>
      </c>
      <c r="Q43" s="17" t="e">
        <f t="shared" ca="1" si="7"/>
        <v>#REF!</v>
      </c>
    </row>
    <row r="44" spans="1:17" x14ac:dyDescent="0.35">
      <c r="A44">
        <v>42</v>
      </c>
      <c r="B44" s="14" t="e">
        <f t="shared" si="8"/>
        <v>#REF!</v>
      </c>
      <c r="C44" s="15" t="e">
        <f>(1+(#REF!)*('Arkusz1 (5)'!B44-'Arkusz1 (5)'!B43)/365)</f>
        <v>#REF!</v>
      </c>
      <c r="D44" s="15" t="e">
        <f>(1+(#REF!)*('Arkusz1 (5)'!B44-'Arkusz1 (5)'!B43)/366)</f>
        <v>#REF!</v>
      </c>
      <c r="E44" s="15" t="e">
        <f t="shared" si="0"/>
        <v>#REF!</v>
      </c>
      <c r="F44" s="15" t="e">
        <f t="shared" si="1"/>
        <v>#REF!</v>
      </c>
      <c r="G44" t="e">
        <f>IF(E44=1,(1+(#REF!)*((('Arkusz1 (5)'!B44-DATE(YEAR(B44),1,1)+1)/365)+((DATE(YEAR(B43),12,31)-'Arkusz1 (5)'!B43)/366))),IF(F44=1,(1+(#REF!)*((('Arkusz1 (5)'!B44-DATE(YEAR(B44),1,1)+1)/366)+((DATE(YEAR(B43),12,31)-'Arkusz1 (5)'!B43)/365))),0))</f>
        <v>#REF!</v>
      </c>
      <c r="H44" t="e">
        <f t="shared" si="2"/>
        <v>#REF!</v>
      </c>
      <c r="I44" t="e">
        <f t="shared" si="3"/>
        <v>#REF!</v>
      </c>
      <c r="J44" t="e">
        <f t="shared" si="4"/>
        <v>#REF!</v>
      </c>
      <c r="K44" t="e">
        <f ca="1">PRODUCT($J$3:J44)</f>
        <v>#REF!</v>
      </c>
      <c r="L44" t="e">
        <f t="shared" ca="1" si="5"/>
        <v>#REF!</v>
      </c>
      <c r="M44" t="e">
        <f ca="1">SUM($L$3:L44)</f>
        <v>#REF!</v>
      </c>
      <c r="O44" t="e">
        <f ca="1">(Q43*'Arkusz1 (5)'!J44)-Q43</f>
        <v>#REF!</v>
      </c>
      <c r="P44" s="16" t="e">
        <f t="shared" ca="1" si="6"/>
        <v>#REF!</v>
      </c>
      <c r="Q44" s="17" t="e">
        <f t="shared" ca="1" si="7"/>
        <v>#REF!</v>
      </c>
    </row>
    <row r="45" spans="1:17" x14ac:dyDescent="0.35">
      <c r="A45">
        <v>43</v>
      </c>
      <c r="B45" s="14" t="e">
        <f t="shared" si="8"/>
        <v>#REF!</v>
      </c>
      <c r="C45" s="15" t="e">
        <f>(1+(#REF!)*('Arkusz1 (5)'!B45-'Arkusz1 (5)'!B44)/365)</f>
        <v>#REF!</v>
      </c>
      <c r="D45" s="15" t="e">
        <f>(1+(#REF!)*('Arkusz1 (5)'!B45-'Arkusz1 (5)'!B44)/366)</f>
        <v>#REF!</v>
      </c>
      <c r="E45" s="15" t="e">
        <f t="shared" si="0"/>
        <v>#REF!</v>
      </c>
      <c r="F45" s="15" t="e">
        <f t="shared" si="1"/>
        <v>#REF!</v>
      </c>
      <c r="G45" t="e">
        <f>IF(E45=1,(1+(#REF!)*((('Arkusz1 (5)'!B45-DATE(YEAR(B45),1,1)+1)/365)+((DATE(YEAR(B44),12,31)-'Arkusz1 (5)'!B44)/366))),IF(F45=1,(1+(#REF!)*((('Arkusz1 (5)'!B45-DATE(YEAR(B45),1,1)+1)/366)+((DATE(YEAR(B44),12,31)-'Arkusz1 (5)'!B44)/365))),0))</f>
        <v>#REF!</v>
      </c>
      <c r="H45" t="e">
        <f t="shared" si="2"/>
        <v>#REF!</v>
      </c>
      <c r="I45" t="e">
        <f t="shared" si="3"/>
        <v>#REF!</v>
      </c>
      <c r="J45" t="e">
        <f t="shared" si="4"/>
        <v>#REF!</v>
      </c>
      <c r="K45" t="e">
        <f ca="1">PRODUCT($J$3:J45)</f>
        <v>#REF!</v>
      </c>
      <c r="L45" t="e">
        <f t="shared" ca="1" si="5"/>
        <v>#REF!</v>
      </c>
      <c r="M45" t="e">
        <f ca="1">SUM($L$3:L45)</f>
        <v>#REF!</v>
      </c>
      <c r="O45" t="e">
        <f ca="1">(Q44*'Arkusz1 (5)'!J45)-Q44</f>
        <v>#REF!</v>
      </c>
      <c r="P45" s="16" t="e">
        <f t="shared" ca="1" si="6"/>
        <v>#REF!</v>
      </c>
      <c r="Q45" s="17" t="e">
        <f t="shared" ca="1" si="7"/>
        <v>#REF!</v>
      </c>
    </row>
    <row r="46" spans="1:17" x14ac:dyDescent="0.35">
      <c r="A46">
        <v>44</v>
      </c>
      <c r="B46" s="14" t="e">
        <f t="shared" si="8"/>
        <v>#REF!</v>
      </c>
      <c r="C46" s="15" t="e">
        <f>(1+(#REF!)*('Arkusz1 (5)'!B46-'Arkusz1 (5)'!B45)/365)</f>
        <v>#REF!</v>
      </c>
      <c r="D46" s="15" t="e">
        <f>(1+(#REF!)*('Arkusz1 (5)'!B46-'Arkusz1 (5)'!B45)/366)</f>
        <v>#REF!</v>
      </c>
      <c r="E46" s="15" t="e">
        <f t="shared" si="0"/>
        <v>#REF!</v>
      </c>
      <c r="F46" s="15" t="e">
        <f t="shared" si="1"/>
        <v>#REF!</v>
      </c>
      <c r="G46" t="e">
        <f>IF(E46=1,(1+(#REF!)*((('Arkusz1 (5)'!B46-DATE(YEAR(B46),1,1)+1)/365)+((DATE(YEAR(B45),12,31)-'Arkusz1 (5)'!B45)/366))),IF(F46=1,(1+(#REF!)*((('Arkusz1 (5)'!B46-DATE(YEAR(B46),1,1)+1)/366)+((DATE(YEAR(B45),12,31)-'Arkusz1 (5)'!B45)/365))),0))</f>
        <v>#REF!</v>
      </c>
      <c r="H46" t="e">
        <f t="shared" si="2"/>
        <v>#REF!</v>
      </c>
      <c r="I46" t="e">
        <f t="shared" si="3"/>
        <v>#REF!</v>
      </c>
      <c r="J46" t="e">
        <f t="shared" si="4"/>
        <v>#REF!</v>
      </c>
      <c r="K46" t="e">
        <f ca="1">PRODUCT($J$3:J46)</f>
        <v>#REF!</v>
      </c>
      <c r="L46" t="e">
        <f t="shared" ca="1" si="5"/>
        <v>#REF!</v>
      </c>
      <c r="M46" t="e">
        <f ca="1">SUM($L$3:L46)</f>
        <v>#REF!</v>
      </c>
      <c r="O46" t="e">
        <f ca="1">(Q45*'Arkusz1 (5)'!J46)-Q45</f>
        <v>#REF!</v>
      </c>
      <c r="P46" s="16" t="e">
        <f t="shared" ca="1" si="6"/>
        <v>#REF!</v>
      </c>
      <c r="Q46" s="17" t="e">
        <f t="shared" ca="1" si="7"/>
        <v>#REF!</v>
      </c>
    </row>
    <row r="47" spans="1:17" x14ac:dyDescent="0.35">
      <c r="A47">
        <v>45</v>
      </c>
      <c r="B47" s="14" t="e">
        <f t="shared" si="8"/>
        <v>#REF!</v>
      </c>
      <c r="C47" s="15" t="e">
        <f>(1+(#REF!)*('Arkusz1 (5)'!B47-'Arkusz1 (5)'!B46)/365)</f>
        <v>#REF!</v>
      </c>
      <c r="D47" s="15" t="e">
        <f>(1+(#REF!)*('Arkusz1 (5)'!B47-'Arkusz1 (5)'!B46)/366)</f>
        <v>#REF!</v>
      </c>
      <c r="E47" s="15" t="e">
        <f t="shared" si="0"/>
        <v>#REF!</v>
      </c>
      <c r="F47" s="15" t="e">
        <f t="shared" si="1"/>
        <v>#REF!</v>
      </c>
      <c r="G47" t="e">
        <f>IF(E47=1,(1+(#REF!)*((('Arkusz1 (5)'!B47-DATE(YEAR(B47),1,1)+1)/365)+((DATE(YEAR(B46),12,31)-'Arkusz1 (5)'!B46)/366))),IF(F47=1,(1+(#REF!)*((('Arkusz1 (5)'!B47-DATE(YEAR(B47),1,1)+1)/366)+((DATE(YEAR(B46),12,31)-'Arkusz1 (5)'!B46)/365))),0))</f>
        <v>#REF!</v>
      </c>
      <c r="H47" t="e">
        <f t="shared" si="2"/>
        <v>#REF!</v>
      </c>
      <c r="I47" t="e">
        <f t="shared" si="3"/>
        <v>#REF!</v>
      </c>
      <c r="J47" t="e">
        <f t="shared" si="4"/>
        <v>#REF!</v>
      </c>
      <c r="K47" t="e">
        <f ca="1">PRODUCT($J$3:J47)</f>
        <v>#REF!</v>
      </c>
      <c r="L47" t="e">
        <f t="shared" ca="1" si="5"/>
        <v>#REF!</v>
      </c>
      <c r="M47" t="e">
        <f ca="1">SUM($L$3:L47)</f>
        <v>#REF!</v>
      </c>
      <c r="O47" t="e">
        <f ca="1">(Q46*'Arkusz1 (5)'!J47)-Q46</f>
        <v>#REF!</v>
      </c>
      <c r="P47" s="16" t="e">
        <f t="shared" ca="1" si="6"/>
        <v>#REF!</v>
      </c>
      <c r="Q47" s="17" t="e">
        <f t="shared" ca="1" si="7"/>
        <v>#REF!</v>
      </c>
    </row>
    <row r="48" spans="1:17" x14ac:dyDescent="0.35">
      <c r="A48">
        <v>46</v>
      </c>
      <c r="B48" s="14" t="e">
        <f t="shared" si="8"/>
        <v>#REF!</v>
      </c>
      <c r="C48" s="15" t="e">
        <f>(1+(#REF!)*('Arkusz1 (5)'!B48-'Arkusz1 (5)'!B47)/365)</f>
        <v>#REF!</v>
      </c>
      <c r="D48" s="15" t="e">
        <f>(1+(#REF!)*('Arkusz1 (5)'!B48-'Arkusz1 (5)'!B47)/366)</f>
        <v>#REF!</v>
      </c>
      <c r="E48" s="15" t="e">
        <f t="shared" si="0"/>
        <v>#REF!</v>
      </c>
      <c r="F48" s="15" t="e">
        <f t="shared" si="1"/>
        <v>#REF!</v>
      </c>
      <c r="G48" t="e">
        <f>IF(E48=1,(1+(#REF!)*((('Arkusz1 (5)'!B48-DATE(YEAR(B48),1,1)+1)/365)+((DATE(YEAR(B47),12,31)-'Arkusz1 (5)'!B47)/366))),IF(F48=1,(1+(#REF!)*((('Arkusz1 (5)'!B48-DATE(YEAR(B48),1,1)+1)/366)+((DATE(YEAR(B47),12,31)-'Arkusz1 (5)'!B47)/365))),0))</f>
        <v>#REF!</v>
      </c>
      <c r="H48" t="e">
        <f t="shared" si="2"/>
        <v>#REF!</v>
      </c>
      <c r="I48" t="e">
        <f t="shared" si="3"/>
        <v>#REF!</v>
      </c>
      <c r="J48" t="e">
        <f t="shared" si="4"/>
        <v>#REF!</v>
      </c>
      <c r="K48" t="e">
        <f ca="1">PRODUCT($J$3:J48)</f>
        <v>#REF!</v>
      </c>
      <c r="L48" t="e">
        <f t="shared" ca="1" si="5"/>
        <v>#REF!</v>
      </c>
      <c r="M48" t="e">
        <f ca="1">SUM($L$3:L48)</f>
        <v>#REF!</v>
      </c>
      <c r="O48" t="e">
        <f ca="1">(Q47*'Arkusz1 (5)'!J48)-Q47</f>
        <v>#REF!</v>
      </c>
      <c r="P48" s="16" t="e">
        <f t="shared" ca="1" si="6"/>
        <v>#REF!</v>
      </c>
      <c r="Q48" s="17" t="e">
        <f t="shared" ca="1" si="7"/>
        <v>#REF!</v>
      </c>
    </row>
    <row r="49" spans="1:17" x14ac:dyDescent="0.35">
      <c r="A49">
        <v>47</v>
      </c>
      <c r="B49" s="14" t="e">
        <f t="shared" si="8"/>
        <v>#REF!</v>
      </c>
      <c r="C49" s="15" t="e">
        <f>(1+(#REF!)*('Arkusz1 (5)'!B49-'Arkusz1 (5)'!B48)/365)</f>
        <v>#REF!</v>
      </c>
      <c r="D49" s="15" t="e">
        <f>(1+(#REF!)*('Arkusz1 (5)'!B49-'Arkusz1 (5)'!B48)/366)</f>
        <v>#REF!</v>
      </c>
      <c r="E49" s="15" t="e">
        <f t="shared" si="0"/>
        <v>#REF!</v>
      </c>
      <c r="F49" s="15" t="e">
        <f t="shared" si="1"/>
        <v>#REF!</v>
      </c>
      <c r="G49" t="e">
        <f>IF(E49=1,(1+(#REF!)*((('Arkusz1 (5)'!B49-DATE(YEAR(B49),1,1)+1)/365)+((DATE(YEAR(B48),12,31)-'Arkusz1 (5)'!B48)/366))),IF(F49=1,(1+(#REF!)*((('Arkusz1 (5)'!B49-DATE(YEAR(B49),1,1)+1)/366)+((DATE(YEAR(B48),12,31)-'Arkusz1 (5)'!B48)/365))),0))</f>
        <v>#REF!</v>
      </c>
      <c r="H49" t="e">
        <f t="shared" si="2"/>
        <v>#REF!</v>
      </c>
      <c r="I49" t="e">
        <f t="shared" si="3"/>
        <v>#REF!</v>
      </c>
      <c r="J49" t="e">
        <f t="shared" si="4"/>
        <v>#REF!</v>
      </c>
      <c r="K49" t="e">
        <f ca="1">PRODUCT($J$3:J49)</f>
        <v>#REF!</v>
      </c>
      <c r="L49" t="e">
        <f t="shared" ca="1" si="5"/>
        <v>#REF!</v>
      </c>
      <c r="M49" t="e">
        <f ca="1">SUM($L$3:L49)</f>
        <v>#REF!</v>
      </c>
      <c r="O49" t="e">
        <f ca="1">(Q48*'Arkusz1 (5)'!J49)-Q48</f>
        <v>#REF!</v>
      </c>
      <c r="P49" s="16" t="e">
        <f t="shared" ca="1" si="6"/>
        <v>#REF!</v>
      </c>
      <c r="Q49" s="17" t="e">
        <f t="shared" ca="1" si="7"/>
        <v>#REF!</v>
      </c>
    </row>
    <row r="50" spans="1:17" x14ac:dyDescent="0.35">
      <c r="A50">
        <v>48</v>
      </c>
      <c r="B50" s="14" t="e">
        <f t="shared" si="8"/>
        <v>#REF!</v>
      </c>
      <c r="C50" s="15" t="e">
        <f>(1+(#REF!)*('Arkusz1 (5)'!B50-'Arkusz1 (5)'!B49)/365)</f>
        <v>#REF!</v>
      </c>
      <c r="D50" s="15" t="e">
        <f>(1+(#REF!)*('Arkusz1 (5)'!B50-'Arkusz1 (5)'!B49)/366)</f>
        <v>#REF!</v>
      </c>
      <c r="E50" s="15" t="e">
        <f t="shared" si="0"/>
        <v>#REF!</v>
      </c>
      <c r="F50" s="15" t="e">
        <f t="shared" si="1"/>
        <v>#REF!</v>
      </c>
      <c r="G50" t="e">
        <f>IF(E50=1,(1+(#REF!)*((('Arkusz1 (5)'!B50-DATE(YEAR(B50),1,1)+1)/365)+((DATE(YEAR(B49),12,31)-'Arkusz1 (5)'!B49)/366))),IF(F50=1,(1+(#REF!)*((('Arkusz1 (5)'!B50-DATE(YEAR(B50),1,1)+1)/366)+((DATE(YEAR(B49),12,31)-'Arkusz1 (5)'!B49)/365))),0))</f>
        <v>#REF!</v>
      </c>
      <c r="H50" t="e">
        <f t="shared" si="2"/>
        <v>#REF!</v>
      </c>
      <c r="I50" t="e">
        <f t="shared" si="3"/>
        <v>#REF!</v>
      </c>
      <c r="J50" t="e">
        <f t="shared" si="4"/>
        <v>#REF!</v>
      </c>
      <c r="K50" t="e">
        <f ca="1">PRODUCT($J$3:J50)</f>
        <v>#REF!</v>
      </c>
      <c r="L50" t="e">
        <f t="shared" ca="1" si="5"/>
        <v>#REF!</v>
      </c>
      <c r="M50" t="e">
        <f ca="1">SUM($L$3:L50)</f>
        <v>#REF!</v>
      </c>
      <c r="O50" t="e">
        <f ca="1">(Q49*'Arkusz1 (5)'!J50)-Q49</f>
        <v>#REF!</v>
      </c>
      <c r="P50" s="16" t="e">
        <f t="shared" ca="1" si="6"/>
        <v>#REF!</v>
      </c>
      <c r="Q50" s="17" t="e">
        <f t="shared" ca="1" si="7"/>
        <v>#REF!</v>
      </c>
    </row>
    <row r="51" spans="1:17" x14ac:dyDescent="0.35">
      <c r="A51">
        <v>49</v>
      </c>
      <c r="B51" s="14" t="e">
        <f t="shared" si="8"/>
        <v>#REF!</v>
      </c>
      <c r="C51" s="15" t="e">
        <f>(1+(#REF!)*('Arkusz1 (5)'!B51-'Arkusz1 (5)'!B50)/365)</f>
        <v>#REF!</v>
      </c>
      <c r="D51" s="15" t="e">
        <f>(1+(#REF!)*('Arkusz1 (5)'!B51-'Arkusz1 (5)'!B50)/366)</f>
        <v>#REF!</v>
      </c>
      <c r="E51" s="15" t="e">
        <f t="shared" si="0"/>
        <v>#REF!</v>
      </c>
      <c r="F51" s="15" t="e">
        <f t="shared" si="1"/>
        <v>#REF!</v>
      </c>
      <c r="G51" t="e">
        <f>IF(E51=1,(1+(#REF!)*((('Arkusz1 (5)'!B51-DATE(YEAR(B51),1,1)+1)/365)+((DATE(YEAR(B50),12,31)-'Arkusz1 (5)'!B50)/366))),IF(F51=1,(1+(#REF!)*((('Arkusz1 (5)'!B51-DATE(YEAR(B51),1,1)+1)/366)+((DATE(YEAR(B50),12,31)-'Arkusz1 (5)'!B50)/365))),0))</f>
        <v>#REF!</v>
      </c>
      <c r="H51" t="e">
        <f t="shared" si="2"/>
        <v>#REF!</v>
      </c>
      <c r="I51" t="e">
        <f t="shared" si="3"/>
        <v>#REF!</v>
      </c>
      <c r="J51" t="e">
        <f t="shared" si="4"/>
        <v>#REF!</v>
      </c>
      <c r="K51" t="e">
        <f ca="1">PRODUCT($J$3:J51)</f>
        <v>#REF!</v>
      </c>
      <c r="L51" t="e">
        <f t="shared" ca="1" si="5"/>
        <v>#REF!</v>
      </c>
      <c r="M51" t="e">
        <f ca="1">SUM($L$3:L51)</f>
        <v>#REF!</v>
      </c>
      <c r="O51" t="e">
        <f ca="1">(Q50*'Arkusz1 (5)'!J51)-Q50</f>
        <v>#REF!</v>
      </c>
      <c r="P51" s="16" t="e">
        <f t="shared" ca="1" si="6"/>
        <v>#REF!</v>
      </c>
      <c r="Q51" s="17" t="e">
        <f t="shared" ca="1" si="7"/>
        <v>#REF!</v>
      </c>
    </row>
    <row r="52" spans="1:17" x14ac:dyDescent="0.35">
      <c r="A52">
        <v>50</v>
      </c>
      <c r="B52" s="14" t="e">
        <f t="shared" si="8"/>
        <v>#REF!</v>
      </c>
      <c r="C52" s="15" t="e">
        <f>(1+(#REF!)*('Arkusz1 (5)'!B52-'Arkusz1 (5)'!B51)/365)</f>
        <v>#REF!</v>
      </c>
      <c r="D52" s="15" t="e">
        <f>(1+(#REF!)*('Arkusz1 (5)'!B52-'Arkusz1 (5)'!B51)/366)</f>
        <v>#REF!</v>
      </c>
      <c r="E52" s="15" t="e">
        <f t="shared" si="0"/>
        <v>#REF!</v>
      </c>
      <c r="F52" s="15" t="e">
        <f t="shared" si="1"/>
        <v>#REF!</v>
      </c>
      <c r="G52" t="e">
        <f>IF(E52=1,(1+(#REF!)*((('Arkusz1 (5)'!B52-DATE(YEAR(B52),1,1)+1)/365)+((DATE(YEAR(B51),12,31)-'Arkusz1 (5)'!B51)/366))),IF(F52=1,(1+(#REF!)*((('Arkusz1 (5)'!B52-DATE(YEAR(B52),1,1)+1)/366)+((DATE(YEAR(B51),12,31)-'Arkusz1 (5)'!B51)/365))),0))</f>
        <v>#REF!</v>
      </c>
      <c r="H52" t="e">
        <f t="shared" si="2"/>
        <v>#REF!</v>
      </c>
      <c r="I52" t="e">
        <f t="shared" si="3"/>
        <v>#REF!</v>
      </c>
      <c r="J52" t="e">
        <f t="shared" si="4"/>
        <v>#REF!</v>
      </c>
      <c r="K52" t="e">
        <f ca="1">PRODUCT($J$3:J52)</f>
        <v>#REF!</v>
      </c>
      <c r="L52" t="e">
        <f t="shared" ca="1" si="5"/>
        <v>#REF!</v>
      </c>
      <c r="M52" t="e">
        <f ca="1">SUM($L$3:L52)</f>
        <v>#REF!</v>
      </c>
      <c r="O52" t="e">
        <f ca="1">(Q51*'Arkusz1 (5)'!J52)-Q51</f>
        <v>#REF!</v>
      </c>
      <c r="P52" s="16" t="e">
        <f t="shared" ca="1" si="6"/>
        <v>#REF!</v>
      </c>
      <c r="Q52" s="17" t="e">
        <f t="shared" ca="1" si="7"/>
        <v>#REF!</v>
      </c>
    </row>
    <row r="53" spans="1:17" x14ac:dyDescent="0.35">
      <c r="A53">
        <v>51</v>
      </c>
      <c r="B53" s="14" t="e">
        <f t="shared" si="8"/>
        <v>#REF!</v>
      </c>
      <c r="C53" s="15" t="e">
        <f>(1+(#REF!)*('Arkusz1 (5)'!B53-'Arkusz1 (5)'!B52)/365)</f>
        <v>#REF!</v>
      </c>
      <c r="D53" s="15" t="e">
        <f>(1+(#REF!)*('Arkusz1 (5)'!B53-'Arkusz1 (5)'!B52)/366)</f>
        <v>#REF!</v>
      </c>
      <c r="E53" s="15" t="e">
        <f t="shared" si="0"/>
        <v>#REF!</v>
      </c>
      <c r="F53" s="15" t="e">
        <f t="shared" si="1"/>
        <v>#REF!</v>
      </c>
      <c r="G53" t="e">
        <f>IF(E53=1,(1+(#REF!)*((('Arkusz1 (5)'!B53-DATE(YEAR(B53),1,1)+1)/365)+((DATE(YEAR(B52),12,31)-'Arkusz1 (5)'!B52)/366))),IF(F53=1,(1+(#REF!)*((('Arkusz1 (5)'!B53-DATE(YEAR(B53),1,1)+1)/366)+((DATE(YEAR(B52),12,31)-'Arkusz1 (5)'!B52)/365))),0))</f>
        <v>#REF!</v>
      </c>
      <c r="H53" t="e">
        <f t="shared" si="2"/>
        <v>#REF!</v>
      </c>
      <c r="I53" t="e">
        <f t="shared" si="3"/>
        <v>#REF!</v>
      </c>
      <c r="J53" t="e">
        <f t="shared" si="4"/>
        <v>#REF!</v>
      </c>
      <c r="K53" t="e">
        <f ca="1">PRODUCT($J$3:J53)</f>
        <v>#REF!</v>
      </c>
      <c r="L53" t="e">
        <f t="shared" ca="1" si="5"/>
        <v>#REF!</v>
      </c>
      <c r="M53" t="e">
        <f ca="1">SUM($L$3:L53)</f>
        <v>#REF!</v>
      </c>
      <c r="O53" t="e">
        <f ca="1">(Q52*'Arkusz1 (5)'!J53)-Q52</f>
        <v>#REF!</v>
      </c>
      <c r="P53" s="16" t="e">
        <f t="shared" ca="1" si="6"/>
        <v>#REF!</v>
      </c>
      <c r="Q53" s="17" t="e">
        <f t="shared" ca="1" si="7"/>
        <v>#REF!</v>
      </c>
    </row>
    <row r="54" spans="1:17" x14ac:dyDescent="0.35">
      <c r="A54">
        <v>52</v>
      </c>
      <c r="B54" s="14" t="e">
        <f t="shared" si="8"/>
        <v>#REF!</v>
      </c>
      <c r="C54" s="15" t="e">
        <f>(1+(#REF!)*('Arkusz1 (5)'!B54-'Arkusz1 (5)'!B53)/365)</f>
        <v>#REF!</v>
      </c>
      <c r="D54" s="15" t="e">
        <f>(1+(#REF!)*('Arkusz1 (5)'!B54-'Arkusz1 (5)'!B53)/366)</f>
        <v>#REF!</v>
      </c>
      <c r="E54" s="15" t="e">
        <f t="shared" si="0"/>
        <v>#REF!</v>
      </c>
      <c r="F54" s="15" t="e">
        <f t="shared" si="1"/>
        <v>#REF!</v>
      </c>
      <c r="G54" t="e">
        <f>IF(E54=1,(1+(#REF!)*((('Arkusz1 (5)'!B54-DATE(YEAR(B54),1,1)+1)/365)+((DATE(YEAR(B53),12,31)-'Arkusz1 (5)'!B53)/366))),IF(F54=1,(1+(#REF!)*((('Arkusz1 (5)'!B54-DATE(YEAR(B54),1,1)+1)/366)+((DATE(YEAR(B53),12,31)-'Arkusz1 (5)'!B53)/365))),0))</f>
        <v>#REF!</v>
      </c>
      <c r="H54" t="e">
        <f t="shared" si="2"/>
        <v>#REF!</v>
      </c>
      <c r="I54" t="e">
        <f t="shared" si="3"/>
        <v>#REF!</v>
      </c>
      <c r="J54" t="e">
        <f t="shared" si="4"/>
        <v>#REF!</v>
      </c>
      <c r="K54" t="e">
        <f ca="1">PRODUCT($J$3:J54)</f>
        <v>#REF!</v>
      </c>
      <c r="L54" t="e">
        <f t="shared" ca="1" si="5"/>
        <v>#REF!</v>
      </c>
      <c r="M54" t="e">
        <f ca="1">SUM($L$3:L54)</f>
        <v>#REF!</v>
      </c>
      <c r="O54" t="e">
        <f ca="1">(Q53*'Arkusz1 (5)'!J54)-Q53</f>
        <v>#REF!</v>
      </c>
      <c r="P54" s="16" t="e">
        <f t="shared" ca="1" si="6"/>
        <v>#REF!</v>
      </c>
      <c r="Q54" s="17" t="e">
        <f t="shared" ca="1" si="7"/>
        <v>#REF!</v>
      </c>
    </row>
    <row r="55" spans="1:17" x14ac:dyDescent="0.35">
      <c r="A55">
        <v>53</v>
      </c>
      <c r="B55" s="14" t="e">
        <f t="shared" si="8"/>
        <v>#REF!</v>
      </c>
      <c r="C55" s="15" t="e">
        <f>(1+(#REF!)*('Arkusz1 (5)'!B55-'Arkusz1 (5)'!B54)/365)</f>
        <v>#REF!</v>
      </c>
      <c r="D55" s="15" t="e">
        <f>(1+(#REF!)*('Arkusz1 (5)'!B55-'Arkusz1 (5)'!B54)/366)</f>
        <v>#REF!</v>
      </c>
      <c r="E55" s="15" t="e">
        <f t="shared" si="0"/>
        <v>#REF!</v>
      </c>
      <c r="F55" s="15" t="e">
        <f t="shared" si="1"/>
        <v>#REF!</v>
      </c>
      <c r="G55" t="e">
        <f>IF(E55=1,(1+(#REF!)*((('Arkusz1 (5)'!B55-DATE(YEAR(B55),1,1)+1)/365)+((DATE(YEAR(B54),12,31)-'Arkusz1 (5)'!B54)/366))),IF(F55=1,(1+(#REF!)*((('Arkusz1 (5)'!B55-DATE(YEAR(B55),1,1)+1)/366)+((DATE(YEAR(B54),12,31)-'Arkusz1 (5)'!B54)/365))),0))</f>
        <v>#REF!</v>
      </c>
      <c r="H55" t="e">
        <f t="shared" si="2"/>
        <v>#REF!</v>
      </c>
      <c r="I55" t="e">
        <f t="shared" si="3"/>
        <v>#REF!</v>
      </c>
      <c r="J55" t="e">
        <f t="shared" si="4"/>
        <v>#REF!</v>
      </c>
      <c r="K55" t="e">
        <f ca="1">PRODUCT($J$3:J55)</f>
        <v>#REF!</v>
      </c>
      <c r="L55" t="e">
        <f t="shared" ca="1" si="5"/>
        <v>#REF!</v>
      </c>
      <c r="M55" t="e">
        <f ca="1">SUM($L$3:L55)</f>
        <v>#REF!</v>
      </c>
      <c r="O55" t="e">
        <f ca="1">(Q54*'Arkusz1 (5)'!J55)-Q54</f>
        <v>#REF!</v>
      </c>
      <c r="P55" s="16" t="e">
        <f t="shared" ca="1" si="6"/>
        <v>#REF!</v>
      </c>
      <c r="Q55" s="17" t="e">
        <f t="shared" ca="1" si="7"/>
        <v>#REF!</v>
      </c>
    </row>
    <row r="56" spans="1:17" x14ac:dyDescent="0.35">
      <c r="A56">
        <v>54</v>
      </c>
      <c r="B56" s="14" t="e">
        <f t="shared" si="8"/>
        <v>#REF!</v>
      </c>
      <c r="C56" s="15" t="e">
        <f>(1+(#REF!)*('Arkusz1 (5)'!B56-'Arkusz1 (5)'!B55)/365)</f>
        <v>#REF!</v>
      </c>
      <c r="D56" s="15" t="e">
        <f>(1+(#REF!)*('Arkusz1 (5)'!B56-'Arkusz1 (5)'!B55)/366)</f>
        <v>#REF!</v>
      </c>
      <c r="E56" s="15" t="e">
        <f t="shared" si="0"/>
        <v>#REF!</v>
      </c>
      <c r="F56" s="15" t="e">
        <f t="shared" si="1"/>
        <v>#REF!</v>
      </c>
      <c r="G56" t="e">
        <f>IF(E56=1,(1+(#REF!)*((('Arkusz1 (5)'!B56-DATE(YEAR(B56),1,1)+1)/365)+((DATE(YEAR(B55),12,31)-'Arkusz1 (5)'!B55)/366))),IF(F56=1,(1+(#REF!)*((('Arkusz1 (5)'!B56-DATE(YEAR(B56),1,1)+1)/366)+((DATE(YEAR(B55),12,31)-'Arkusz1 (5)'!B55)/365))),0))</f>
        <v>#REF!</v>
      </c>
      <c r="H56" t="e">
        <f t="shared" si="2"/>
        <v>#REF!</v>
      </c>
      <c r="I56" t="e">
        <f t="shared" si="3"/>
        <v>#REF!</v>
      </c>
      <c r="J56" t="e">
        <f t="shared" si="4"/>
        <v>#REF!</v>
      </c>
      <c r="K56" t="e">
        <f ca="1">PRODUCT($J$3:J56)</f>
        <v>#REF!</v>
      </c>
      <c r="L56" t="e">
        <f t="shared" ca="1" si="5"/>
        <v>#REF!</v>
      </c>
      <c r="M56" t="e">
        <f ca="1">SUM($L$3:L56)</f>
        <v>#REF!</v>
      </c>
      <c r="O56" t="e">
        <f ca="1">(Q55*'Arkusz1 (5)'!J56)-Q55</f>
        <v>#REF!</v>
      </c>
      <c r="P56" s="16" t="e">
        <f t="shared" ca="1" si="6"/>
        <v>#REF!</v>
      </c>
      <c r="Q56" s="17" t="e">
        <f t="shared" ca="1" si="7"/>
        <v>#REF!</v>
      </c>
    </row>
    <row r="57" spans="1:17" x14ac:dyDescent="0.35">
      <c r="A57">
        <v>55</v>
      </c>
      <c r="B57" s="14" t="e">
        <f t="shared" si="8"/>
        <v>#REF!</v>
      </c>
      <c r="C57" s="15" t="e">
        <f>(1+(#REF!)*('Arkusz1 (5)'!B57-'Arkusz1 (5)'!B56)/365)</f>
        <v>#REF!</v>
      </c>
      <c r="D57" s="15" t="e">
        <f>(1+(#REF!)*('Arkusz1 (5)'!B57-'Arkusz1 (5)'!B56)/366)</f>
        <v>#REF!</v>
      </c>
      <c r="E57" s="15" t="e">
        <f t="shared" si="0"/>
        <v>#REF!</v>
      </c>
      <c r="F57" s="15" t="e">
        <f t="shared" si="1"/>
        <v>#REF!</v>
      </c>
      <c r="G57" t="e">
        <f>IF(E57=1,(1+(#REF!)*((('Arkusz1 (5)'!B57-DATE(YEAR(B57),1,1)+1)/365)+((DATE(YEAR(B56),12,31)-'Arkusz1 (5)'!B56)/366))),IF(F57=1,(1+(#REF!)*((('Arkusz1 (5)'!B57-DATE(YEAR(B57),1,1)+1)/366)+((DATE(YEAR(B56),12,31)-'Arkusz1 (5)'!B56)/365))),0))</f>
        <v>#REF!</v>
      </c>
      <c r="H57" t="e">
        <f t="shared" si="2"/>
        <v>#REF!</v>
      </c>
      <c r="I57" t="e">
        <f t="shared" si="3"/>
        <v>#REF!</v>
      </c>
      <c r="J57" t="e">
        <f t="shared" si="4"/>
        <v>#REF!</v>
      </c>
      <c r="K57" t="e">
        <f ca="1">PRODUCT($J$3:J57)</f>
        <v>#REF!</v>
      </c>
      <c r="L57" t="e">
        <f t="shared" ca="1" si="5"/>
        <v>#REF!</v>
      </c>
      <c r="M57" t="e">
        <f ca="1">SUM($L$3:L57)</f>
        <v>#REF!</v>
      </c>
      <c r="O57" t="e">
        <f ca="1">(Q56*'Arkusz1 (5)'!J57)-Q56</f>
        <v>#REF!</v>
      </c>
      <c r="P57" s="16" t="e">
        <f t="shared" ca="1" si="6"/>
        <v>#REF!</v>
      </c>
      <c r="Q57" s="17" t="e">
        <f t="shared" ca="1" si="7"/>
        <v>#REF!</v>
      </c>
    </row>
    <row r="58" spans="1:17" x14ac:dyDescent="0.35">
      <c r="A58">
        <v>56</v>
      </c>
      <c r="B58" s="14" t="e">
        <f t="shared" si="8"/>
        <v>#REF!</v>
      </c>
      <c r="C58" s="15" t="e">
        <f>(1+(#REF!)*('Arkusz1 (5)'!B58-'Arkusz1 (5)'!B57)/365)</f>
        <v>#REF!</v>
      </c>
      <c r="D58" s="15" t="e">
        <f>(1+(#REF!)*('Arkusz1 (5)'!B58-'Arkusz1 (5)'!B57)/366)</f>
        <v>#REF!</v>
      </c>
      <c r="E58" s="15" t="e">
        <f t="shared" si="0"/>
        <v>#REF!</v>
      </c>
      <c r="F58" s="15" t="e">
        <f t="shared" si="1"/>
        <v>#REF!</v>
      </c>
      <c r="G58" t="e">
        <f>IF(E58=1,(1+(#REF!)*((('Arkusz1 (5)'!B58-DATE(YEAR(B58),1,1)+1)/365)+((DATE(YEAR(B57),12,31)-'Arkusz1 (5)'!B57)/366))),IF(F58=1,(1+(#REF!)*((('Arkusz1 (5)'!B58-DATE(YEAR(B58),1,1)+1)/366)+((DATE(YEAR(B57),12,31)-'Arkusz1 (5)'!B57)/365))),0))</f>
        <v>#REF!</v>
      </c>
      <c r="H58" t="e">
        <f t="shared" si="2"/>
        <v>#REF!</v>
      </c>
      <c r="I58" t="e">
        <f t="shared" si="3"/>
        <v>#REF!</v>
      </c>
      <c r="J58" t="e">
        <f t="shared" si="4"/>
        <v>#REF!</v>
      </c>
      <c r="K58" t="e">
        <f ca="1">PRODUCT($J$3:J58)</f>
        <v>#REF!</v>
      </c>
      <c r="L58" t="e">
        <f t="shared" ca="1" si="5"/>
        <v>#REF!</v>
      </c>
      <c r="M58" t="e">
        <f ca="1">SUM($L$3:L58)</f>
        <v>#REF!</v>
      </c>
      <c r="O58" t="e">
        <f ca="1">(Q57*'Arkusz1 (5)'!J58)-Q57</f>
        <v>#REF!</v>
      </c>
      <c r="P58" s="16" t="e">
        <f t="shared" ca="1" si="6"/>
        <v>#REF!</v>
      </c>
      <c r="Q58" s="17" t="e">
        <f t="shared" ca="1" si="7"/>
        <v>#REF!</v>
      </c>
    </row>
    <row r="59" spans="1:17" x14ac:dyDescent="0.35">
      <c r="A59">
        <v>57</v>
      </c>
      <c r="B59" s="14" t="e">
        <f t="shared" si="8"/>
        <v>#REF!</v>
      </c>
      <c r="C59" s="15" t="e">
        <f>(1+(#REF!)*('Arkusz1 (5)'!B59-'Arkusz1 (5)'!B58)/365)</f>
        <v>#REF!</v>
      </c>
      <c r="D59" s="15" t="e">
        <f>(1+(#REF!)*('Arkusz1 (5)'!B59-'Arkusz1 (5)'!B58)/366)</f>
        <v>#REF!</v>
      </c>
      <c r="E59" s="15" t="e">
        <f t="shared" si="0"/>
        <v>#REF!</v>
      </c>
      <c r="F59" s="15" t="e">
        <f t="shared" si="1"/>
        <v>#REF!</v>
      </c>
      <c r="G59" t="e">
        <f>IF(E59=1,(1+(#REF!)*((('Arkusz1 (5)'!B59-DATE(YEAR(B59),1,1)+1)/365)+((DATE(YEAR(B58),12,31)-'Arkusz1 (5)'!B58)/366))),IF(F59=1,(1+(#REF!)*((('Arkusz1 (5)'!B59-DATE(YEAR(B59),1,1)+1)/366)+((DATE(YEAR(B58),12,31)-'Arkusz1 (5)'!B58)/365))),0))</f>
        <v>#REF!</v>
      </c>
      <c r="H59" t="e">
        <f t="shared" si="2"/>
        <v>#REF!</v>
      </c>
      <c r="I59" t="e">
        <f t="shared" si="3"/>
        <v>#REF!</v>
      </c>
      <c r="J59" t="e">
        <f t="shared" si="4"/>
        <v>#REF!</v>
      </c>
      <c r="K59" t="e">
        <f ca="1">PRODUCT($J$3:J59)</f>
        <v>#REF!</v>
      </c>
      <c r="L59" t="e">
        <f t="shared" ca="1" si="5"/>
        <v>#REF!</v>
      </c>
      <c r="M59" t="e">
        <f ca="1">SUM($L$3:L59)</f>
        <v>#REF!</v>
      </c>
      <c r="O59" t="e">
        <f ca="1">(Q58*'Arkusz1 (5)'!J59)-Q58</f>
        <v>#REF!</v>
      </c>
      <c r="P59" s="16" t="e">
        <f t="shared" ca="1" si="6"/>
        <v>#REF!</v>
      </c>
      <c r="Q59" s="17" t="e">
        <f t="shared" ca="1" si="7"/>
        <v>#REF!</v>
      </c>
    </row>
    <row r="60" spans="1:17" x14ac:dyDescent="0.35">
      <c r="A60">
        <v>58</v>
      </c>
      <c r="B60" s="14" t="e">
        <f t="shared" si="8"/>
        <v>#REF!</v>
      </c>
      <c r="C60" s="15" t="e">
        <f>(1+(#REF!)*('Arkusz1 (5)'!B60-'Arkusz1 (5)'!B59)/365)</f>
        <v>#REF!</v>
      </c>
      <c r="D60" s="15" t="e">
        <f>(1+(#REF!)*('Arkusz1 (5)'!B60-'Arkusz1 (5)'!B59)/366)</f>
        <v>#REF!</v>
      </c>
      <c r="E60" s="15" t="e">
        <f t="shared" si="0"/>
        <v>#REF!</v>
      </c>
      <c r="F60" s="15" t="e">
        <f t="shared" si="1"/>
        <v>#REF!</v>
      </c>
      <c r="G60" t="e">
        <f>IF(E60=1,(1+(#REF!)*((('Arkusz1 (5)'!B60-DATE(YEAR(B60),1,1)+1)/365)+((DATE(YEAR(B59),12,31)-'Arkusz1 (5)'!B59)/366))),IF(F60=1,(1+(#REF!)*((('Arkusz1 (5)'!B60-DATE(YEAR(B60),1,1)+1)/366)+((DATE(YEAR(B59),12,31)-'Arkusz1 (5)'!B59)/365))),0))</f>
        <v>#REF!</v>
      </c>
      <c r="H60" t="e">
        <f t="shared" si="2"/>
        <v>#REF!</v>
      </c>
      <c r="I60" t="e">
        <f t="shared" si="3"/>
        <v>#REF!</v>
      </c>
      <c r="J60" t="e">
        <f t="shared" si="4"/>
        <v>#REF!</v>
      </c>
      <c r="K60" t="e">
        <f ca="1">PRODUCT($J$3:J60)</f>
        <v>#REF!</v>
      </c>
      <c r="L60" t="e">
        <f t="shared" ca="1" si="5"/>
        <v>#REF!</v>
      </c>
      <c r="M60" t="e">
        <f ca="1">SUM($L$3:L60)</f>
        <v>#REF!</v>
      </c>
      <c r="O60" t="e">
        <f ca="1">(Q59*'Arkusz1 (5)'!J60)-Q59</f>
        <v>#REF!</v>
      </c>
      <c r="P60" s="16" t="e">
        <f t="shared" ca="1" si="6"/>
        <v>#REF!</v>
      </c>
      <c r="Q60" s="17" t="e">
        <f t="shared" ca="1" si="7"/>
        <v>#REF!</v>
      </c>
    </row>
    <row r="61" spans="1:17" x14ac:dyDescent="0.35">
      <c r="A61">
        <v>59</v>
      </c>
      <c r="B61" s="14" t="e">
        <f t="shared" si="8"/>
        <v>#REF!</v>
      </c>
      <c r="C61" s="15" t="e">
        <f>(1+(#REF!)*('Arkusz1 (5)'!B61-'Arkusz1 (5)'!B60)/365)</f>
        <v>#REF!</v>
      </c>
      <c r="D61" s="15" t="e">
        <f>(1+(#REF!)*('Arkusz1 (5)'!B61-'Arkusz1 (5)'!B60)/366)</f>
        <v>#REF!</v>
      </c>
      <c r="E61" s="15" t="e">
        <f t="shared" si="0"/>
        <v>#REF!</v>
      </c>
      <c r="F61" s="15" t="e">
        <f t="shared" si="1"/>
        <v>#REF!</v>
      </c>
      <c r="G61" t="e">
        <f>IF(E61=1,(1+(#REF!)*((('Arkusz1 (5)'!B61-DATE(YEAR(B61),1,1)+1)/365)+((DATE(YEAR(B60),12,31)-'Arkusz1 (5)'!B60)/366))),IF(F61=1,(1+(#REF!)*((('Arkusz1 (5)'!B61-DATE(YEAR(B61),1,1)+1)/366)+((DATE(YEAR(B60),12,31)-'Arkusz1 (5)'!B60)/365))),0))</f>
        <v>#REF!</v>
      </c>
      <c r="H61" t="e">
        <f t="shared" si="2"/>
        <v>#REF!</v>
      </c>
      <c r="I61" t="e">
        <f t="shared" si="3"/>
        <v>#REF!</v>
      </c>
      <c r="J61" t="e">
        <f t="shared" si="4"/>
        <v>#REF!</v>
      </c>
      <c r="K61" t="e">
        <f ca="1">PRODUCT($J$3:J61)</f>
        <v>#REF!</v>
      </c>
      <c r="L61" t="e">
        <f t="shared" ca="1" si="5"/>
        <v>#REF!</v>
      </c>
      <c r="M61" t="e">
        <f ca="1">SUM($L$3:L61)</f>
        <v>#REF!</v>
      </c>
      <c r="O61" t="e">
        <f ca="1">(Q60*'Arkusz1 (5)'!J61)-Q60</f>
        <v>#REF!</v>
      </c>
      <c r="P61" s="16" t="e">
        <f t="shared" ca="1" si="6"/>
        <v>#REF!</v>
      </c>
      <c r="Q61" s="17" t="e">
        <f t="shared" ca="1" si="7"/>
        <v>#REF!</v>
      </c>
    </row>
    <row r="62" spans="1:17" x14ac:dyDescent="0.35">
      <c r="A62">
        <v>60</v>
      </c>
      <c r="B62" s="14" t="e">
        <f t="shared" si="8"/>
        <v>#REF!</v>
      </c>
      <c r="C62" s="15" t="e">
        <f>(1+(#REF!)*('Arkusz1 (5)'!B62-'Arkusz1 (5)'!B61)/365)</f>
        <v>#REF!</v>
      </c>
      <c r="D62" s="15" t="e">
        <f>(1+(#REF!)*('Arkusz1 (5)'!B62-'Arkusz1 (5)'!B61)/366)</f>
        <v>#REF!</v>
      </c>
      <c r="E62" s="15" t="e">
        <f t="shared" si="0"/>
        <v>#REF!</v>
      </c>
      <c r="F62" s="15" t="e">
        <f t="shared" si="1"/>
        <v>#REF!</v>
      </c>
      <c r="G62" t="e">
        <f>IF(E62=1,(1+(#REF!)*((('Arkusz1 (5)'!B62-DATE(YEAR(B62),1,1)+1)/365)+((DATE(YEAR(B61),12,31)-'Arkusz1 (5)'!B61)/366))),IF(F62=1,(1+(#REF!)*((('Arkusz1 (5)'!B62-DATE(YEAR(B62),1,1)+1)/366)+((DATE(YEAR(B61),12,31)-'Arkusz1 (5)'!B61)/365))),0))</f>
        <v>#REF!</v>
      </c>
      <c r="H62" t="e">
        <f t="shared" si="2"/>
        <v>#REF!</v>
      </c>
      <c r="I62" t="e">
        <f t="shared" si="3"/>
        <v>#REF!</v>
      </c>
      <c r="J62" t="e">
        <f t="shared" si="4"/>
        <v>#REF!</v>
      </c>
      <c r="K62" t="e">
        <f ca="1">PRODUCT($J$3:J62)</f>
        <v>#REF!</v>
      </c>
      <c r="L62" t="e">
        <f t="shared" ca="1" si="5"/>
        <v>#REF!</v>
      </c>
      <c r="M62" t="e">
        <f ca="1">SUM($L$3:L62)</f>
        <v>#REF!</v>
      </c>
      <c r="O62" t="e">
        <f ca="1">(Q61*'Arkusz1 (5)'!J62)-Q61</f>
        <v>#REF!</v>
      </c>
      <c r="P62" s="16" t="e">
        <f t="shared" ca="1" si="6"/>
        <v>#REF!</v>
      </c>
      <c r="Q62" s="17" t="e">
        <f t="shared" ca="1" si="7"/>
        <v>#REF!</v>
      </c>
    </row>
    <row r="63" spans="1:17" x14ac:dyDescent="0.35">
      <c r="A63">
        <v>61</v>
      </c>
      <c r="B63" s="14" t="e">
        <f t="shared" si="8"/>
        <v>#REF!</v>
      </c>
      <c r="C63" s="15" t="e">
        <f>(1+(#REF!)*('Arkusz1 (5)'!B63-'Arkusz1 (5)'!B62)/365)</f>
        <v>#REF!</v>
      </c>
      <c r="D63" s="15" t="e">
        <f>(1+(#REF!)*('Arkusz1 (5)'!B63-'Arkusz1 (5)'!B62)/366)</f>
        <v>#REF!</v>
      </c>
      <c r="E63" s="15" t="e">
        <f t="shared" si="0"/>
        <v>#REF!</v>
      </c>
      <c r="F63" s="15" t="e">
        <f t="shared" si="1"/>
        <v>#REF!</v>
      </c>
      <c r="G63" t="e">
        <f>IF(E63=1,(1+(#REF!)*((('Arkusz1 (5)'!B63-DATE(YEAR(B63),1,1)+1)/365)+((DATE(YEAR(B62),12,31)-'Arkusz1 (5)'!B62)/366))),IF(F63=1,(1+(#REF!)*((('Arkusz1 (5)'!B63-DATE(YEAR(B63),1,1)+1)/366)+((DATE(YEAR(B62),12,31)-'Arkusz1 (5)'!B62)/365))),0))</f>
        <v>#REF!</v>
      </c>
      <c r="H63" t="e">
        <f t="shared" si="2"/>
        <v>#REF!</v>
      </c>
      <c r="I63" t="e">
        <f t="shared" si="3"/>
        <v>#REF!</v>
      </c>
      <c r="J63" t="e">
        <f t="shared" si="4"/>
        <v>#REF!</v>
      </c>
      <c r="K63" t="e">
        <f ca="1">PRODUCT($J$3:J63)</f>
        <v>#REF!</v>
      </c>
      <c r="L63" t="e">
        <f t="shared" ca="1" si="5"/>
        <v>#REF!</v>
      </c>
      <c r="M63" t="e">
        <f ca="1">SUM($L$3:L63)</f>
        <v>#REF!</v>
      </c>
      <c r="O63" t="e">
        <f ca="1">(Q62*'Arkusz1 (5)'!J63)-Q62</f>
        <v>#REF!</v>
      </c>
      <c r="P63" s="16" t="e">
        <f t="shared" ca="1" si="6"/>
        <v>#REF!</v>
      </c>
      <c r="Q63" s="17" t="e">
        <f t="shared" ca="1" si="7"/>
        <v>#REF!</v>
      </c>
    </row>
    <row r="64" spans="1:17" x14ac:dyDescent="0.35">
      <c r="A64">
        <v>62</v>
      </c>
      <c r="B64" s="14" t="e">
        <f t="shared" si="8"/>
        <v>#REF!</v>
      </c>
      <c r="C64" s="15" t="e">
        <f>(1+(#REF!)*('Arkusz1 (5)'!B64-'Arkusz1 (5)'!B63)/365)</f>
        <v>#REF!</v>
      </c>
      <c r="D64" s="15" t="e">
        <f>(1+(#REF!)*('Arkusz1 (5)'!B64-'Arkusz1 (5)'!B63)/366)</f>
        <v>#REF!</v>
      </c>
      <c r="E64" s="15" t="e">
        <f t="shared" si="0"/>
        <v>#REF!</v>
      </c>
      <c r="F64" s="15" t="e">
        <f t="shared" si="1"/>
        <v>#REF!</v>
      </c>
      <c r="G64" t="e">
        <f>IF(E64=1,(1+(#REF!)*((('Arkusz1 (5)'!B64-DATE(YEAR(B64),1,1)+1)/365)+((DATE(YEAR(B63),12,31)-'Arkusz1 (5)'!B63)/366))),IF(F64=1,(1+(#REF!)*((('Arkusz1 (5)'!B64-DATE(YEAR(B64),1,1)+1)/366)+((DATE(YEAR(B63),12,31)-'Arkusz1 (5)'!B63)/365))),0))</f>
        <v>#REF!</v>
      </c>
      <c r="H64" t="e">
        <f t="shared" si="2"/>
        <v>#REF!</v>
      </c>
      <c r="I64" t="e">
        <f t="shared" si="3"/>
        <v>#REF!</v>
      </c>
      <c r="J64" t="e">
        <f t="shared" si="4"/>
        <v>#REF!</v>
      </c>
      <c r="K64" t="e">
        <f ca="1">PRODUCT($J$3:J64)</f>
        <v>#REF!</v>
      </c>
      <c r="L64" t="e">
        <f t="shared" ca="1" si="5"/>
        <v>#REF!</v>
      </c>
      <c r="M64" t="e">
        <f ca="1">SUM($L$3:L64)</f>
        <v>#REF!</v>
      </c>
      <c r="O64" t="e">
        <f ca="1">(Q63*'Arkusz1 (5)'!J64)-Q63</f>
        <v>#REF!</v>
      </c>
      <c r="P64" s="16" t="e">
        <f t="shared" ca="1" si="6"/>
        <v>#REF!</v>
      </c>
      <c r="Q64" s="17" t="e">
        <f t="shared" ca="1" si="7"/>
        <v>#REF!</v>
      </c>
    </row>
    <row r="65" spans="1:17" x14ac:dyDescent="0.35">
      <c r="A65">
        <v>63</v>
      </c>
      <c r="B65" s="14" t="e">
        <f t="shared" si="8"/>
        <v>#REF!</v>
      </c>
      <c r="C65" s="15" t="e">
        <f>(1+(#REF!)*('Arkusz1 (5)'!B65-'Arkusz1 (5)'!B64)/365)</f>
        <v>#REF!</v>
      </c>
      <c r="D65" s="15" t="e">
        <f>(1+(#REF!)*('Arkusz1 (5)'!B65-'Arkusz1 (5)'!B64)/366)</f>
        <v>#REF!</v>
      </c>
      <c r="E65" s="15" t="e">
        <f t="shared" si="0"/>
        <v>#REF!</v>
      </c>
      <c r="F65" s="15" t="e">
        <f t="shared" si="1"/>
        <v>#REF!</v>
      </c>
      <c r="G65" t="e">
        <f>IF(E65=1,(1+(#REF!)*((('Arkusz1 (5)'!B65-DATE(YEAR(B65),1,1)+1)/365)+((DATE(YEAR(B64),12,31)-'Arkusz1 (5)'!B64)/366))),IF(F65=1,(1+(#REF!)*((('Arkusz1 (5)'!B65-DATE(YEAR(B65),1,1)+1)/366)+((DATE(YEAR(B64),12,31)-'Arkusz1 (5)'!B64)/365))),0))</f>
        <v>#REF!</v>
      </c>
      <c r="H65" t="e">
        <f t="shared" si="2"/>
        <v>#REF!</v>
      </c>
      <c r="I65" t="e">
        <f t="shared" si="3"/>
        <v>#REF!</v>
      </c>
      <c r="J65" t="e">
        <f t="shared" si="4"/>
        <v>#REF!</v>
      </c>
      <c r="K65" t="e">
        <f ca="1">PRODUCT($J$3:J65)</f>
        <v>#REF!</v>
      </c>
      <c r="L65" t="e">
        <f t="shared" ca="1" si="5"/>
        <v>#REF!</v>
      </c>
      <c r="M65" t="e">
        <f ca="1">SUM($L$3:L65)</f>
        <v>#REF!</v>
      </c>
      <c r="O65" t="e">
        <f ca="1">(Q64*'Arkusz1 (5)'!J65)-Q64</f>
        <v>#REF!</v>
      </c>
      <c r="P65" s="16" t="e">
        <f t="shared" ca="1" si="6"/>
        <v>#REF!</v>
      </c>
      <c r="Q65" s="17" t="e">
        <f t="shared" ca="1" si="7"/>
        <v>#REF!</v>
      </c>
    </row>
    <row r="66" spans="1:17" x14ac:dyDescent="0.35">
      <c r="A66">
        <v>64</v>
      </c>
      <c r="B66" s="14" t="e">
        <f t="shared" si="8"/>
        <v>#REF!</v>
      </c>
      <c r="C66" s="15" t="e">
        <f>(1+(#REF!)*('Arkusz1 (5)'!B66-'Arkusz1 (5)'!B65)/365)</f>
        <v>#REF!</v>
      </c>
      <c r="D66" s="15" t="e">
        <f>(1+(#REF!)*('Arkusz1 (5)'!B66-'Arkusz1 (5)'!B65)/366)</f>
        <v>#REF!</v>
      </c>
      <c r="E66" s="15" t="e">
        <f t="shared" si="0"/>
        <v>#REF!</v>
      </c>
      <c r="F66" s="15" t="e">
        <f t="shared" si="1"/>
        <v>#REF!</v>
      </c>
      <c r="G66" t="e">
        <f>IF(E66=1,(1+(#REF!)*((('Arkusz1 (5)'!B66-DATE(YEAR(B66),1,1)+1)/365)+((DATE(YEAR(B65),12,31)-'Arkusz1 (5)'!B65)/366))),IF(F66=1,(1+(#REF!)*((('Arkusz1 (5)'!B66-DATE(YEAR(B66),1,1)+1)/366)+((DATE(YEAR(B65),12,31)-'Arkusz1 (5)'!B65)/365))),0))</f>
        <v>#REF!</v>
      </c>
      <c r="H66" t="e">
        <f t="shared" si="2"/>
        <v>#REF!</v>
      </c>
      <c r="I66" t="e">
        <f t="shared" si="3"/>
        <v>#REF!</v>
      </c>
      <c r="J66" t="e">
        <f t="shared" si="4"/>
        <v>#REF!</v>
      </c>
      <c r="K66" t="e">
        <f ca="1">PRODUCT($J$3:J66)</f>
        <v>#REF!</v>
      </c>
      <c r="L66" t="e">
        <f t="shared" ca="1" si="5"/>
        <v>#REF!</v>
      </c>
      <c r="M66" t="e">
        <f ca="1">SUM($L$3:L66)</f>
        <v>#REF!</v>
      </c>
      <c r="O66" t="e">
        <f ca="1">(Q65*'Arkusz1 (5)'!J66)-Q65</f>
        <v>#REF!</v>
      </c>
      <c r="P66" s="16" t="e">
        <f t="shared" ca="1" si="6"/>
        <v>#REF!</v>
      </c>
      <c r="Q66" s="17" t="e">
        <f t="shared" ca="1" si="7"/>
        <v>#REF!</v>
      </c>
    </row>
    <row r="67" spans="1:17" x14ac:dyDescent="0.35">
      <c r="A67">
        <v>65</v>
      </c>
      <c r="B67" s="14" t="e">
        <f t="shared" si="8"/>
        <v>#REF!</v>
      </c>
      <c r="C67" s="15" t="e">
        <f>(1+(#REF!)*('Arkusz1 (5)'!B67-'Arkusz1 (5)'!B66)/365)</f>
        <v>#REF!</v>
      </c>
      <c r="D67" s="15" t="e">
        <f>(1+(#REF!)*('Arkusz1 (5)'!B67-'Arkusz1 (5)'!B66)/366)</f>
        <v>#REF!</v>
      </c>
      <c r="E67" s="15" t="e">
        <f t="shared" si="0"/>
        <v>#REF!</v>
      </c>
      <c r="F67" s="15" t="e">
        <f t="shared" si="1"/>
        <v>#REF!</v>
      </c>
      <c r="G67" t="e">
        <f>IF(E67=1,(1+(#REF!)*((('Arkusz1 (5)'!B67-DATE(YEAR(B67),1,1)+1)/365)+((DATE(YEAR(B66),12,31)-'Arkusz1 (5)'!B66)/366))),IF(F67=1,(1+(#REF!)*((('Arkusz1 (5)'!B67-DATE(YEAR(B67),1,1)+1)/366)+((DATE(YEAR(B66),12,31)-'Arkusz1 (5)'!B66)/365))),0))</f>
        <v>#REF!</v>
      </c>
      <c r="H67" t="e">
        <f t="shared" si="2"/>
        <v>#REF!</v>
      </c>
      <c r="I67" t="e">
        <f t="shared" si="3"/>
        <v>#REF!</v>
      </c>
      <c r="J67" t="e">
        <f t="shared" si="4"/>
        <v>#REF!</v>
      </c>
      <c r="K67" t="e">
        <f ca="1">PRODUCT($J$3:J67)</f>
        <v>#REF!</v>
      </c>
      <c r="L67" t="e">
        <f t="shared" ca="1" si="5"/>
        <v>#REF!</v>
      </c>
      <c r="M67" t="e">
        <f ca="1">SUM($L$3:L67)</f>
        <v>#REF!</v>
      </c>
      <c r="O67" t="e">
        <f ca="1">(Q66*'Arkusz1 (5)'!J67)-Q66</f>
        <v>#REF!</v>
      </c>
      <c r="P67" s="16" t="e">
        <f t="shared" ca="1" si="6"/>
        <v>#REF!</v>
      </c>
      <c r="Q67" s="17" t="e">
        <f t="shared" ca="1" si="7"/>
        <v>#REF!</v>
      </c>
    </row>
    <row r="68" spans="1:17" x14ac:dyDescent="0.35">
      <c r="A68">
        <v>66</v>
      </c>
      <c r="B68" s="14" t="e">
        <f t="shared" si="8"/>
        <v>#REF!</v>
      </c>
      <c r="C68" s="15" t="e">
        <f>(1+(#REF!)*('Arkusz1 (5)'!B68-'Arkusz1 (5)'!B67)/365)</f>
        <v>#REF!</v>
      </c>
      <c r="D68" s="15" t="e">
        <f>(1+(#REF!)*('Arkusz1 (5)'!B68-'Arkusz1 (5)'!B67)/366)</f>
        <v>#REF!</v>
      </c>
      <c r="E68" s="15" t="e">
        <f t="shared" ref="E68:E131" si="9">IF(AND(MOD(YEAR(B67),4)=0,MOD(YEAR(B68),4)&lt;&gt;0),1,0)</f>
        <v>#REF!</v>
      </c>
      <c r="F68" s="15" t="e">
        <f t="shared" ref="F68:F131" si="10">IF(AND(MOD(YEAR(B68),4)=0,MOD(YEAR(B67),4)&lt;&gt;0),1,0)</f>
        <v>#REF!</v>
      </c>
      <c r="G68" t="e">
        <f>IF(E68=1,(1+(#REF!)*((('Arkusz1 (5)'!B68-DATE(YEAR(B68),1,1)+1)/365)+((DATE(YEAR(B67),12,31)-'Arkusz1 (5)'!B67)/366))),IF(F68=1,(1+(#REF!)*((('Arkusz1 (5)'!B68-DATE(YEAR(B68),1,1)+1)/366)+((DATE(YEAR(B67),12,31)-'Arkusz1 (5)'!B67)/365))),0))</f>
        <v>#REF!</v>
      </c>
      <c r="H68" t="e">
        <f t="shared" ref="H68:H131" si="11">IF(MOD(YEAR(B68),4)=0,1,0)</f>
        <v>#REF!</v>
      </c>
      <c r="I68" t="e">
        <f t="shared" ref="I68:I131" si="12">IF(H68=0,C68,IF(H68=1,D68,"blad"))</f>
        <v>#REF!</v>
      </c>
      <c r="J68" t="e">
        <f t="shared" ref="J68:J131" si="13">IF(OR(E68=1,F68=1),G68,I68)</f>
        <v>#REF!</v>
      </c>
      <c r="K68" t="e">
        <f ca="1">PRODUCT($J$3:J68)</f>
        <v>#REF!</v>
      </c>
      <c r="L68" t="e">
        <f t="shared" ref="L68:L131" ca="1" si="14">1/K68</f>
        <v>#REF!</v>
      </c>
      <c r="M68" t="e">
        <f ca="1">SUM($L$3:L68)</f>
        <v>#REF!</v>
      </c>
      <c r="O68" t="e">
        <f ca="1">(Q67*'Arkusz1 (5)'!J68)-Q67</f>
        <v>#REF!</v>
      </c>
      <c r="P68" s="16" t="e">
        <f t="shared" ca="1" si="6"/>
        <v>#REF!</v>
      </c>
      <c r="Q68" s="17" t="e">
        <f t="shared" ca="1" si="7"/>
        <v>#REF!</v>
      </c>
    </row>
    <row r="69" spans="1:17" x14ac:dyDescent="0.35">
      <c r="A69">
        <v>67</v>
      </c>
      <c r="B69" s="14" t="e">
        <f t="shared" si="8"/>
        <v>#REF!</v>
      </c>
      <c r="C69" s="15" t="e">
        <f>(1+(#REF!)*('Arkusz1 (5)'!B69-'Arkusz1 (5)'!B68)/365)</f>
        <v>#REF!</v>
      </c>
      <c r="D69" s="15" t="e">
        <f>(1+(#REF!)*('Arkusz1 (5)'!B69-'Arkusz1 (5)'!B68)/366)</f>
        <v>#REF!</v>
      </c>
      <c r="E69" s="15" t="e">
        <f t="shared" si="9"/>
        <v>#REF!</v>
      </c>
      <c r="F69" s="15" t="e">
        <f t="shared" si="10"/>
        <v>#REF!</v>
      </c>
      <c r="G69" t="e">
        <f>IF(E69=1,(1+(#REF!)*((('Arkusz1 (5)'!B69-DATE(YEAR(B69),1,1)+1)/365)+((DATE(YEAR(B68),12,31)-'Arkusz1 (5)'!B68)/366))),IF(F69=1,(1+(#REF!)*((('Arkusz1 (5)'!B69-DATE(YEAR(B69),1,1)+1)/366)+((DATE(YEAR(B68),12,31)-'Arkusz1 (5)'!B68)/365))),0))</f>
        <v>#REF!</v>
      </c>
      <c r="H69" t="e">
        <f t="shared" si="11"/>
        <v>#REF!</v>
      </c>
      <c r="I69" t="e">
        <f t="shared" si="12"/>
        <v>#REF!</v>
      </c>
      <c r="J69" t="e">
        <f t="shared" si="13"/>
        <v>#REF!</v>
      </c>
      <c r="K69" t="e">
        <f ca="1">PRODUCT($J$3:J69)</f>
        <v>#REF!</v>
      </c>
      <c r="L69" t="e">
        <f t="shared" ca="1" si="14"/>
        <v>#REF!</v>
      </c>
      <c r="M69" t="e">
        <f ca="1">SUM($L$3:L69)</f>
        <v>#REF!</v>
      </c>
      <c r="O69" t="e">
        <f ca="1">(Q68*'Arkusz1 (5)'!J69)-Q68</f>
        <v>#REF!</v>
      </c>
      <c r="P69" s="16" t="e">
        <f t="shared" ref="P69:P132" ca="1" si="15">$N$2-O69</f>
        <v>#REF!</v>
      </c>
      <c r="Q69" s="17" t="e">
        <f t="shared" ref="Q69:Q132" ca="1" si="16">Q68-P69</f>
        <v>#REF!</v>
      </c>
    </row>
    <row r="70" spans="1:17" x14ac:dyDescent="0.35">
      <c r="A70">
        <v>68</v>
      </c>
      <c r="B70" s="14" t="e">
        <f t="shared" ref="B70:B133" si="17">DATE(YEAR((B69)),MONTH((B69))+1,IF(AND(DAY(B69)&gt;28,MONTH((B69))+1=2),IF(MOD(YEAR(B69),4)=0,29,28),IF(AND(OR(DAY(B69)=28,DAY(B69)=29),MONTH((B69))=2),DAY(B68),DAY(B69))))</f>
        <v>#REF!</v>
      </c>
      <c r="C70" s="15" t="e">
        <f>(1+(#REF!)*('Arkusz1 (5)'!B70-'Arkusz1 (5)'!B69)/365)</f>
        <v>#REF!</v>
      </c>
      <c r="D70" s="15" t="e">
        <f>(1+(#REF!)*('Arkusz1 (5)'!B70-'Arkusz1 (5)'!B69)/366)</f>
        <v>#REF!</v>
      </c>
      <c r="E70" s="15" t="e">
        <f t="shared" si="9"/>
        <v>#REF!</v>
      </c>
      <c r="F70" s="15" t="e">
        <f t="shared" si="10"/>
        <v>#REF!</v>
      </c>
      <c r="G70" t="e">
        <f>IF(E70=1,(1+(#REF!)*((('Arkusz1 (5)'!B70-DATE(YEAR(B70),1,1)+1)/365)+((DATE(YEAR(B69),12,31)-'Arkusz1 (5)'!B69)/366))),IF(F70=1,(1+(#REF!)*((('Arkusz1 (5)'!B70-DATE(YEAR(B70),1,1)+1)/366)+((DATE(YEAR(B69),12,31)-'Arkusz1 (5)'!B69)/365))),0))</f>
        <v>#REF!</v>
      </c>
      <c r="H70" t="e">
        <f t="shared" si="11"/>
        <v>#REF!</v>
      </c>
      <c r="I70" t="e">
        <f t="shared" si="12"/>
        <v>#REF!</v>
      </c>
      <c r="J70" t="e">
        <f t="shared" si="13"/>
        <v>#REF!</v>
      </c>
      <c r="K70" t="e">
        <f ca="1">PRODUCT($J$3:J70)</f>
        <v>#REF!</v>
      </c>
      <c r="L70" t="e">
        <f t="shared" ca="1" si="14"/>
        <v>#REF!</v>
      </c>
      <c r="M70" t="e">
        <f ca="1">SUM($L$3:L70)</f>
        <v>#REF!</v>
      </c>
      <c r="O70" t="e">
        <f ca="1">(Q69*'Arkusz1 (5)'!J70)-Q69</f>
        <v>#REF!</v>
      </c>
      <c r="P70" s="16" t="e">
        <f t="shared" ca="1" si="15"/>
        <v>#REF!</v>
      </c>
      <c r="Q70" s="17" t="e">
        <f t="shared" ca="1" si="16"/>
        <v>#REF!</v>
      </c>
    </row>
    <row r="71" spans="1:17" x14ac:dyDescent="0.35">
      <c r="A71">
        <v>69</v>
      </c>
      <c r="B71" s="14" t="e">
        <f t="shared" si="17"/>
        <v>#REF!</v>
      </c>
      <c r="C71" s="15" t="e">
        <f>(1+(#REF!)*('Arkusz1 (5)'!B71-'Arkusz1 (5)'!B70)/365)</f>
        <v>#REF!</v>
      </c>
      <c r="D71" s="15" t="e">
        <f>(1+(#REF!)*('Arkusz1 (5)'!B71-'Arkusz1 (5)'!B70)/366)</f>
        <v>#REF!</v>
      </c>
      <c r="E71" s="15" t="e">
        <f t="shared" si="9"/>
        <v>#REF!</v>
      </c>
      <c r="F71" s="15" t="e">
        <f t="shared" si="10"/>
        <v>#REF!</v>
      </c>
      <c r="G71" t="e">
        <f>IF(E71=1,(1+(#REF!)*((('Arkusz1 (5)'!B71-DATE(YEAR(B71),1,1)+1)/365)+((DATE(YEAR(B70),12,31)-'Arkusz1 (5)'!B70)/366))),IF(F71=1,(1+(#REF!)*((('Arkusz1 (5)'!B71-DATE(YEAR(B71),1,1)+1)/366)+((DATE(YEAR(B70),12,31)-'Arkusz1 (5)'!B70)/365))),0))</f>
        <v>#REF!</v>
      </c>
      <c r="H71" t="e">
        <f t="shared" si="11"/>
        <v>#REF!</v>
      </c>
      <c r="I71" t="e">
        <f t="shared" si="12"/>
        <v>#REF!</v>
      </c>
      <c r="J71" t="e">
        <f t="shared" si="13"/>
        <v>#REF!</v>
      </c>
      <c r="K71" t="e">
        <f ca="1">PRODUCT($J$3:J71)</f>
        <v>#REF!</v>
      </c>
      <c r="L71" t="e">
        <f t="shared" ca="1" si="14"/>
        <v>#REF!</v>
      </c>
      <c r="M71" t="e">
        <f ca="1">SUM($L$3:L71)</f>
        <v>#REF!</v>
      </c>
      <c r="O71" t="e">
        <f ca="1">(Q70*'Arkusz1 (5)'!J71)-Q70</f>
        <v>#REF!</v>
      </c>
      <c r="P71" s="16" t="e">
        <f t="shared" ca="1" si="15"/>
        <v>#REF!</v>
      </c>
      <c r="Q71" s="17" t="e">
        <f t="shared" ca="1" si="16"/>
        <v>#REF!</v>
      </c>
    </row>
    <row r="72" spans="1:17" x14ac:dyDescent="0.35">
      <c r="A72">
        <v>70</v>
      </c>
      <c r="B72" s="14" t="e">
        <f t="shared" si="17"/>
        <v>#REF!</v>
      </c>
      <c r="C72" s="15" t="e">
        <f>(1+(#REF!)*('Arkusz1 (5)'!B72-'Arkusz1 (5)'!B71)/365)</f>
        <v>#REF!</v>
      </c>
      <c r="D72" s="15" t="e">
        <f>(1+(#REF!)*('Arkusz1 (5)'!B72-'Arkusz1 (5)'!B71)/366)</f>
        <v>#REF!</v>
      </c>
      <c r="E72" s="15" t="e">
        <f t="shared" si="9"/>
        <v>#REF!</v>
      </c>
      <c r="F72" s="15" t="e">
        <f t="shared" si="10"/>
        <v>#REF!</v>
      </c>
      <c r="G72" t="e">
        <f>IF(E72=1,(1+(#REF!)*((('Arkusz1 (5)'!B72-DATE(YEAR(B72),1,1)+1)/365)+((DATE(YEAR(B71),12,31)-'Arkusz1 (5)'!B71)/366))),IF(F72=1,(1+(#REF!)*((('Arkusz1 (5)'!B72-DATE(YEAR(B72),1,1)+1)/366)+((DATE(YEAR(B71),12,31)-'Arkusz1 (5)'!B71)/365))),0))</f>
        <v>#REF!</v>
      </c>
      <c r="H72" t="e">
        <f t="shared" si="11"/>
        <v>#REF!</v>
      </c>
      <c r="I72" t="e">
        <f t="shared" si="12"/>
        <v>#REF!</v>
      </c>
      <c r="J72" t="e">
        <f t="shared" si="13"/>
        <v>#REF!</v>
      </c>
      <c r="K72" t="e">
        <f ca="1">PRODUCT($J$3:J72)</f>
        <v>#REF!</v>
      </c>
      <c r="L72" t="e">
        <f t="shared" ca="1" si="14"/>
        <v>#REF!</v>
      </c>
      <c r="M72" t="e">
        <f ca="1">SUM($L$3:L72)</f>
        <v>#REF!</v>
      </c>
      <c r="O72" t="e">
        <f ca="1">(Q71*'Arkusz1 (5)'!J72)-Q71</f>
        <v>#REF!</v>
      </c>
      <c r="P72" s="16" t="e">
        <f t="shared" ca="1" si="15"/>
        <v>#REF!</v>
      </c>
      <c r="Q72" s="17" t="e">
        <f t="shared" ca="1" si="16"/>
        <v>#REF!</v>
      </c>
    </row>
    <row r="73" spans="1:17" x14ac:dyDescent="0.35">
      <c r="A73">
        <v>71</v>
      </c>
      <c r="B73" s="14" t="e">
        <f t="shared" si="17"/>
        <v>#REF!</v>
      </c>
      <c r="C73" s="15" t="e">
        <f>(1+(#REF!)*('Arkusz1 (5)'!B73-'Arkusz1 (5)'!B72)/365)</f>
        <v>#REF!</v>
      </c>
      <c r="D73" s="15" t="e">
        <f>(1+(#REF!)*('Arkusz1 (5)'!B73-'Arkusz1 (5)'!B72)/366)</f>
        <v>#REF!</v>
      </c>
      <c r="E73" s="15" t="e">
        <f t="shared" si="9"/>
        <v>#REF!</v>
      </c>
      <c r="F73" s="15" t="e">
        <f t="shared" si="10"/>
        <v>#REF!</v>
      </c>
      <c r="G73" t="e">
        <f>IF(E73=1,(1+(#REF!)*((('Arkusz1 (5)'!B73-DATE(YEAR(B73),1,1)+1)/365)+((DATE(YEAR(B72),12,31)-'Arkusz1 (5)'!B72)/366))),IF(F73=1,(1+(#REF!)*((('Arkusz1 (5)'!B73-DATE(YEAR(B73),1,1)+1)/366)+((DATE(YEAR(B72),12,31)-'Arkusz1 (5)'!B72)/365))),0))</f>
        <v>#REF!</v>
      </c>
      <c r="H73" t="e">
        <f t="shared" si="11"/>
        <v>#REF!</v>
      </c>
      <c r="I73" t="e">
        <f t="shared" si="12"/>
        <v>#REF!</v>
      </c>
      <c r="J73" t="e">
        <f t="shared" si="13"/>
        <v>#REF!</v>
      </c>
      <c r="K73" t="e">
        <f ca="1">PRODUCT($J$3:J73)</f>
        <v>#REF!</v>
      </c>
      <c r="L73" t="e">
        <f t="shared" ca="1" si="14"/>
        <v>#REF!</v>
      </c>
      <c r="M73" t="e">
        <f ca="1">SUM($L$3:L73)</f>
        <v>#REF!</v>
      </c>
      <c r="O73" t="e">
        <f ca="1">(Q72*'Arkusz1 (5)'!J73)-Q72</f>
        <v>#REF!</v>
      </c>
      <c r="P73" s="16" t="e">
        <f t="shared" ca="1" si="15"/>
        <v>#REF!</v>
      </c>
      <c r="Q73" s="17" t="e">
        <f t="shared" ca="1" si="16"/>
        <v>#REF!</v>
      </c>
    </row>
    <row r="74" spans="1:17" x14ac:dyDescent="0.35">
      <c r="A74">
        <v>72</v>
      </c>
      <c r="B74" s="14" t="e">
        <f t="shared" si="17"/>
        <v>#REF!</v>
      </c>
      <c r="C74" s="15" t="e">
        <f>(1+(#REF!)*('Arkusz1 (5)'!B74-'Arkusz1 (5)'!B73)/365)</f>
        <v>#REF!</v>
      </c>
      <c r="D74" s="15" t="e">
        <f>(1+(#REF!)*('Arkusz1 (5)'!B74-'Arkusz1 (5)'!B73)/366)</f>
        <v>#REF!</v>
      </c>
      <c r="E74" s="15" t="e">
        <f t="shared" si="9"/>
        <v>#REF!</v>
      </c>
      <c r="F74" s="15" t="e">
        <f t="shared" si="10"/>
        <v>#REF!</v>
      </c>
      <c r="G74" t="e">
        <f>IF(E74=1,(1+(#REF!)*((('Arkusz1 (5)'!B74-DATE(YEAR(B74),1,1)+1)/365)+((DATE(YEAR(B73),12,31)-'Arkusz1 (5)'!B73)/366))),IF(F74=1,(1+(#REF!)*((('Arkusz1 (5)'!B74-DATE(YEAR(B74),1,1)+1)/366)+((DATE(YEAR(B73),12,31)-'Arkusz1 (5)'!B73)/365))),0))</f>
        <v>#REF!</v>
      </c>
      <c r="H74" t="e">
        <f t="shared" si="11"/>
        <v>#REF!</v>
      </c>
      <c r="I74" t="e">
        <f t="shared" si="12"/>
        <v>#REF!</v>
      </c>
      <c r="J74" t="e">
        <f t="shared" si="13"/>
        <v>#REF!</v>
      </c>
      <c r="K74" t="e">
        <f ca="1">PRODUCT($J$3:J74)</f>
        <v>#REF!</v>
      </c>
      <c r="L74" t="e">
        <f t="shared" ca="1" si="14"/>
        <v>#REF!</v>
      </c>
      <c r="M74" t="e">
        <f ca="1">SUM($L$3:L74)</f>
        <v>#REF!</v>
      </c>
      <c r="O74" t="e">
        <f ca="1">(Q73*'Arkusz1 (5)'!J74)-Q73</f>
        <v>#REF!</v>
      </c>
      <c r="P74" s="16" t="e">
        <f t="shared" ca="1" si="15"/>
        <v>#REF!</v>
      </c>
      <c r="Q74" s="17" t="e">
        <f t="shared" ca="1" si="16"/>
        <v>#REF!</v>
      </c>
    </row>
    <row r="75" spans="1:17" x14ac:dyDescent="0.35">
      <c r="A75">
        <v>73</v>
      </c>
      <c r="B75" s="14" t="e">
        <f t="shared" si="17"/>
        <v>#REF!</v>
      </c>
      <c r="C75" s="15" t="e">
        <f>(1+(#REF!)*('Arkusz1 (5)'!B75-'Arkusz1 (5)'!B74)/365)</f>
        <v>#REF!</v>
      </c>
      <c r="D75" s="15" t="e">
        <f>(1+(#REF!)*('Arkusz1 (5)'!B75-'Arkusz1 (5)'!B74)/366)</f>
        <v>#REF!</v>
      </c>
      <c r="E75" s="15" t="e">
        <f t="shared" si="9"/>
        <v>#REF!</v>
      </c>
      <c r="F75" s="15" t="e">
        <f t="shared" si="10"/>
        <v>#REF!</v>
      </c>
      <c r="G75" t="e">
        <f>IF(E75=1,(1+(#REF!)*((('Arkusz1 (5)'!B75-DATE(YEAR(B75),1,1)+1)/365)+((DATE(YEAR(B74),12,31)-'Arkusz1 (5)'!B74)/366))),IF(F75=1,(1+(#REF!)*((('Arkusz1 (5)'!B75-DATE(YEAR(B75),1,1)+1)/366)+((DATE(YEAR(B74),12,31)-'Arkusz1 (5)'!B74)/365))),0))</f>
        <v>#REF!</v>
      </c>
      <c r="H75" t="e">
        <f t="shared" si="11"/>
        <v>#REF!</v>
      </c>
      <c r="I75" t="e">
        <f t="shared" si="12"/>
        <v>#REF!</v>
      </c>
      <c r="J75" t="e">
        <f t="shared" si="13"/>
        <v>#REF!</v>
      </c>
      <c r="K75" t="e">
        <f ca="1">PRODUCT($J$3:J75)</f>
        <v>#REF!</v>
      </c>
      <c r="L75" t="e">
        <f t="shared" ca="1" si="14"/>
        <v>#REF!</v>
      </c>
      <c r="M75" t="e">
        <f ca="1">SUM($L$3:L75)</f>
        <v>#REF!</v>
      </c>
      <c r="O75" t="e">
        <f ca="1">(Q74*'Arkusz1 (5)'!J75)-Q74</f>
        <v>#REF!</v>
      </c>
      <c r="P75" s="16" t="e">
        <f t="shared" ca="1" si="15"/>
        <v>#REF!</v>
      </c>
      <c r="Q75" s="17" t="e">
        <f t="shared" ca="1" si="16"/>
        <v>#REF!</v>
      </c>
    </row>
    <row r="76" spans="1:17" x14ac:dyDescent="0.35">
      <c r="A76">
        <v>74</v>
      </c>
      <c r="B76" s="14" t="e">
        <f t="shared" si="17"/>
        <v>#REF!</v>
      </c>
      <c r="C76" s="15" t="e">
        <f>(1+(#REF!)*('Arkusz1 (5)'!B76-'Arkusz1 (5)'!B75)/365)</f>
        <v>#REF!</v>
      </c>
      <c r="D76" s="15" t="e">
        <f>(1+(#REF!)*('Arkusz1 (5)'!B76-'Arkusz1 (5)'!B75)/366)</f>
        <v>#REF!</v>
      </c>
      <c r="E76" s="15" t="e">
        <f t="shared" si="9"/>
        <v>#REF!</v>
      </c>
      <c r="F76" s="15" t="e">
        <f t="shared" si="10"/>
        <v>#REF!</v>
      </c>
      <c r="G76" t="e">
        <f>IF(E76=1,(1+(#REF!)*((('Arkusz1 (5)'!B76-DATE(YEAR(B76),1,1)+1)/365)+((DATE(YEAR(B75),12,31)-'Arkusz1 (5)'!B75)/366))),IF(F76=1,(1+(#REF!)*((('Arkusz1 (5)'!B76-DATE(YEAR(B76),1,1)+1)/366)+((DATE(YEAR(B75),12,31)-'Arkusz1 (5)'!B75)/365))),0))</f>
        <v>#REF!</v>
      </c>
      <c r="H76" t="e">
        <f t="shared" si="11"/>
        <v>#REF!</v>
      </c>
      <c r="I76" t="e">
        <f t="shared" si="12"/>
        <v>#REF!</v>
      </c>
      <c r="J76" t="e">
        <f t="shared" si="13"/>
        <v>#REF!</v>
      </c>
      <c r="K76" t="e">
        <f ca="1">PRODUCT($J$3:J76)</f>
        <v>#REF!</v>
      </c>
      <c r="L76" t="e">
        <f t="shared" ca="1" si="14"/>
        <v>#REF!</v>
      </c>
      <c r="M76" t="e">
        <f ca="1">SUM($L$3:L76)</f>
        <v>#REF!</v>
      </c>
      <c r="O76" t="e">
        <f ca="1">(Q75*'Arkusz1 (5)'!J76)-Q75</f>
        <v>#REF!</v>
      </c>
      <c r="P76" s="16" t="e">
        <f t="shared" ca="1" si="15"/>
        <v>#REF!</v>
      </c>
      <c r="Q76" s="17" t="e">
        <f t="shared" ca="1" si="16"/>
        <v>#REF!</v>
      </c>
    </row>
    <row r="77" spans="1:17" x14ac:dyDescent="0.35">
      <c r="A77">
        <v>75</v>
      </c>
      <c r="B77" s="14" t="e">
        <f t="shared" si="17"/>
        <v>#REF!</v>
      </c>
      <c r="C77" s="15" t="e">
        <f>(1+(#REF!)*('Arkusz1 (5)'!B77-'Arkusz1 (5)'!B76)/365)</f>
        <v>#REF!</v>
      </c>
      <c r="D77" s="15" t="e">
        <f>(1+(#REF!)*('Arkusz1 (5)'!B77-'Arkusz1 (5)'!B76)/366)</f>
        <v>#REF!</v>
      </c>
      <c r="E77" s="15" t="e">
        <f t="shared" si="9"/>
        <v>#REF!</v>
      </c>
      <c r="F77" s="15" t="e">
        <f t="shared" si="10"/>
        <v>#REF!</v>
      </c>
      <c r="G77" t="e">
        <f>IF(E77=1,(1+(#REF!)*((('Arkusz1 (5)'!B77-DATE(YEAR(B77),1,1)+1)/365)+((DATE(YEAR(B76),12,31)-'Arkusz1 (5)'!B76)/366))),IF(F77=1,(1+(#REF!)*((('Arkusz1 (5)'!B77-DATE(YEAR(B77),1,1)+1)/366)+((DATE(YEAR(B76),12,31)-'Arkusz1 (5)'!B76)/365))),0))</f>
        <v>#REF!</v>
      </c>
      <c r="H77" t="e">
        <f t="shared" si="11"/>
        <v>#REF!</v>
      </c>
      <c r="I77" t="e">
        <f t="shared" si="12"/>
        <v>#REF!</v>
      </c>
      <c r="J77" t="e">
        <f t="shared" si="13"/>
        <v>#REF!</v>
      </c>
      <c r="K77" t="e">
        <f ca="1">PRODUCT($J$3:J77)</f>
        <v>#REF!</v>
      </c>
      <c r="L77" t="e">
        <f t="shared" ca="1" si="14"/>
        <v>#REF!</v>
      </c>
      <c r="M77" t="e">
        <f ca="1">SUM($L$3:L77)</f>
        <v>#REF!</v>
      </c>
      <c r="O77" t="e">
        <f ca="1">(Q76*'Arkusz1 (5)'!J77)-Q76</f>
        <v>#REF!</v>
      </c>
      <c r="P77" s="16" t="e">
        <f t="shared" ca="1" si="15"/>
        <v>#REF!</v>
      </c>
      <c r="Q77" s="17" t="e">
        <f t="shared" ca="1" si="16"/>
        <v>#REF!</v>
      </c>
    </row>
    <row r="78" spans="1:17" x14ac:dyDescent="0.35">
      <c r="A78">
        <v>76</v>
      </c>
      <c r="B78" s="14" t="e">
        <f t="shared" si="17"/>
        <v>#REF!</v>
      </c>
      <c r="C78" s="15" t="e">
        <f>(1+(#REF!)*('Arkusz1 (5)'!B78-'Arkusz1 (5)'!B77)/365)</f>
        <v>#REF!</v>
      </c>
      <c r="D78" s="15" t="e">
        <f>(1+(#REF!)*('Arkusz1 (5)'!B78-'Arkusz1 (5)'!B77)/366)</f>
        <v>#REF!</v>
      </c>
      <c r="E78" s="15" t="e">
        <f t="shared" si="9"/>
        <v>#REF!</v>
      </c>
      <c r="F78" s="15" t="e">
        <f t="shared" si="10"/>
        <v>#REF!</v>
      </c>
      <c r="G78" t="e">
        <f>IF(E78=1,(1+(#REF!)*((('Arkusz1 (5)'!B78-DATE(YEAR(B78),1,1)+1)/365)+((DATE(YEAR(B77),12,31)-'Arkusz1 (5)'!B77)/366))),IF(F78=1,(1+(#REF!)*((('Arkusz1 (5)'!B78-DATE(YEAR(B78),1,1)+1)/366)+((DATE(YEAR(B77),12,31)-'Arkusz1 (5)'!B77)/365))),0))</f>
        <v>#REF!</v>
      </c>
      <c r="H78" t="e">
        <f t="shared" si="11"/>
        <v>#REF!</v>
      </c>
      <c r="I78" t="e">
        <f t="shared" si="12"/>
        <v>#REF!</v>
      </c>
      <c r="J78" t="e">
        <f t="shared" si="13"/>
        <v>#REF!</v>
      </c>
      <c r="K78" t="e">
        <f ca="1">PRODUCT($J$3:J78)</f>
        <v>#REF!</v>
      </c>
      <c r="L78" t="e">
        <f t="shared" ca="1" si="14"/>
        <v>#REF!</v>
      </c>
      <c r="M78" t="e">
        <f ca="1">SUM($L$3:L78)</f>
        <v>#REF!</v>
      </c>
      <c r="O78" t="e">
        <f ca="1">(Q77*'Arkusz1 (5)'!J78)-Q77</f>
        <v>#REF!</v>
      </c>
      <c r="P78" s="16" t="e">
        <f t="shared" ca="1" si="15"/>
        <v>#REF!</v>
      </c>
      <c r="Q78" s="17" t="e">
        <f t="shared" ca="1" si="16"/>
        <v>#REF!</v>
      </c>
    </row>
    <row r="79" spans="1:17" x14ac:dyDescent="0.35">
      <c r="A79">
        <v>77</v>
      </c>
      <c r="B79" s="14" t="e">
        <f t="shared" si="17"/>
        <v>#REF!</v>
      </c>
      <c r="C79" s="15" t="e">
        <f>(1+(#REF!)*('Arkusz1 (5)'!B79-'Arkusz1 (5)'!B78)/365)</f>
        <v>#REF!</v>
      </c>
      <c r="D79" s="15" t="e">
        <f>(1+(#REF!)*('Arkusz1 (5)'!B79-'Arkusz1 (5)'!B78)/366)</f>
        <v>#REF!</v>
      </c>
      <c r="E79" s="15" t="e">
        <f t="shared" si="9"/>
        <v>#REF!</v>
      </c>
      <c r="F79" s="15" t="e">
        <f t="shared" si="10"/>
        <v>#REF!</v>
      </c>
      <c r="G79" t="e">
        <f>IF(E79=1,(1+(#REF!)*((('Arkusz1 (5)'!B79-DATE(YEAR(B79),1,1)+1)/365)+((DATE(YEAR(B78),12,31)-'Arkusz1 (5)'!B78)/366))),IF(F79=1,(1+(#REF!)*((('Arkusz1 (5)'!B79-DATE(YEAR(B79),1,1)+1)/366)+((DATE(YEAR(B78),12,31)-'Arkusz1 (5)'!B78)/365))),0))</f>
        <v>#REF!</v>
      </c>
      <c r="H79" t="e">
        <f t="shared" si="11"/>
        <v>#REF!</v>
      </c>
      <c r="I79" t="e">
        <f t="shared" si="12"/>
        <v>#REF!</v>
      </c>
      <c r="J79" t="e">
        <f t="shared" si="13"/>
        <v>#REF!</v>
      </c>
      <c r="K79" t="e">
        <f ca="1">PRODUCT($J$3:J79)</f>
        <v>#REF!</v>
      </c>
      <c r="L79" t="e">
        <f t="shared" ca="1" si="14"/>
        <v>#REF!</v>
      </c>
      <c r="M79" t="e">
        <f ca="1">SUM($L$3:L79)</f>
        <v>#REF!</v>
      </c>
      <c r="O79" t="e">
        <f ca="1">(Q78*'Arkusz1 (5)'!J79)-Q78</f>
        <v>#REF!</v>
      </c>
      <c r="P79" s="16" t="e">
        <f t="shared" ca="1" si="15"/>
        <v>#REF!</v>
      </c>
      <c r="Q79" s="17" t="e">
        <f t="shared" ca="1" si="16"/>
        <v>#REF!</v>
      </c>
    </row>
    <row r="80" spans="1:17" x14ac:dyDescent="0.35">
      <c r="A80">
        <v>78</v>
      </c>
      <c r="B80" s="14" t="e">
        <f t="shared" si="17"/>
        <v>#REF!</v>
      </c>
      <c r="C80" s="15" t="e">
        <f>(1+(#REF!)*('Arkusz1 (5)'!B80-'Arkusz1 (5)'!B79)/365)</f>
        <v>#REF!</v>
      </c>
      <c r="D80" s="15" t="e">
        <f>(1+(#REF!)*('Arkusz1 (5)'!B80-'Arkusz1 (5)'!B79)/366)</f>
        <v>#REF!</v>
      </c>
      <c r="E80" s="15" t="e">
        <f t="shared" si="9"/>
        <v>#REF!</v>
      </c>
      <c r="F80" s="15" t="e">
        <f t="shared" si="10"/>
        <v>#REF!</v>
      </c>
      <c r="G80" t="e">
        <f>IF(E80=1,(1+(#REF!)*((('Arkusz1 (5)'!B80-DATE(YEAR(B80),1,1)+1)/365)+((DATE(YEAR(B79),12,31)-'Arkusz1 (5)'!B79)/366))),IF(F80=1,(1+(#REF!)*((('Arkusz1 (5)'!B80-DATE(YEAR(B80),1,1)+1)/366)+((DATE(YEAR(B79),12,31)-'Arkusz1 (5)'!B79)/365))),0))</f>
        <v>#REF!</v>
      </c>
      <c r="H80" t="e">
        <f t="shared" si="11"/>
        <v>#REF!</v>
      </c>
      <c r="I80" t="e">
        <f t="shared" si="12"/>
        <v>#REF!</v>
      </c>
      <c r="J80" t="e">
        <f t="shared" si="13"/>
        <v>#REF!</v>
      </c>
      <c r="K80" t="e">
        <f ca="1">PRODUCT($J$3:J80)</f>
        <v>#REF!</v>
      </c>
      <c r="L80" t="e">
        <f t="shared" ca="1" si="14"/>
        <v>#REF!</v>
      </c>
      <c r="M80" t="e">
        <f ca="1">SUM($L$3:L80)</f>
        <v>#REF!</v>
      </c>
      <c r="O80" t="e">
        <f ca="1">(Q79*'Arkusz1 (5)'!J80)-Q79</f>
        <v>#REF!</v>
      </c>
      <c r="P80" s="16" t="e">
        <f t="shared" ca="1" si="15"/>
        <v>#REF!</v>
      </c>
      <c r="Q80" s="17" t="e">
        <f t="shared" ca="1" si="16"/>
        <v>#REF!</v>
      </c>
    </row>
    <row r="81" spans="1:17" x14ac:dyDescent="0.35">
      <c r="A81">
        <v>79</v>
      </c>
      <c r="B81" s="14" t="e">
        <f t="shared" si="17"/>
        <v>#REF!</v>
      </c>
      <c r="C81" s="15" t="e">
        <f>(1+(#REF!)*('Arkusz1 (5)'!B81-'Arkusz1 (5)'!B80)/365)</f>
        <v>#REF!</v>
      </c>
      <c r="D81" s="15" t="e">
        <f>(1+(#REF!)*('Arkusz1 (5)'!B81-'Arkusz1 (5)'!B80)/366)</f>
        <v>#REF!</v>
      </c>
      <c r="E81" s="15" t="e">
        <f t="shared" si="9"/>
        <v>#REF!</v>
      </c>
      <c r="F81" s="15" t="e">
        <f t="shared" si="10"/>
        <v>#REF!</v>
      </c>
      <c r="G81" t="e">
        <f>IF(E81=1,(1+(#REF!)*((('Arkusz1 (5)'!B81-DATE(YEAR(B81),1,1)+1)/365)+((DATE(YEAR(B80),12,31)-'Arkusz1 (5)'!B80)/366))),IF(F81=1,(1+(#REF!)*((('Arkusz1 (5)'!B81-DATE(YEAR(B81),1,1)+1)/366)+((DATE(YEAR(B80),12,31)-'Arkusz1 (5)'!B80)/365))),0))</f>
        <v>#REF!</v>
      </c>
      <c r="H81" t="e">
        <f t="shared" si="11"/>
        <v>#REF!</v>
      </c>
      <c r="I81" t="e">
        <f t="shared" si="12"/>
        <v>#REF!</v>
      </c>
      <c r="J81" t="e">
        <f t="shared" si="13"/>
        <v>#REF!</v>
      </c>
      <c r="K81" t="e">
        <f ca="1">PRODUCT($J$3:J81)</f>
        <v>#REF!</v>
      </c>
      <c r="L81" t="e">
        <f t="shared" ca="1" si="14"/>
        <v>#REF!</v>
      </c>
      <c r="M81" t="e">
        <f ca="1">SUM($L$3:L81)</f>
        <v>#REF!</v>
      </c>
      <c r="O81" t="e">
        <f ca="1">(Q80*'Arkusz1 (5)'!J81)-Q80</f>
        <v>#REF!</v>
      </c>
      <c r="P81" s="16" t="e">
        <f t="shared" ca="1" si="15"/>
        <v>#REF!</v>
      </c>
      <c r="Q81" s="17" t="e">
        <f t="shared" ca="1" si="16"/>
        <v>#REF!</v>
      </c>
    </row>
    <row r="82" spans="1:17" x14ac:dyDescent="0.35">
      <c r="A82">
        <v>80</v>
      </c>
      <c r="B82" s="14" t="e">
        <f t="shared" si="17"/>
        <v>#REF!</v>
      </c>
      <c r="C82" s="15" t="e">
        <f>(1+(#REF!)*('Arkusz1 (5)'!B82-'Arkusz1 (5)'!B81)/365)</f>
        <v>#REF!</v>
      </c>
      <c r="D82" s="15" t="e">
        <f>(1+(#REF!)*('Arkusz1 (5)'!B82-'Arkusz1 (5)'!B81)/366)</f>
        <v>#REF!</v>
      </c>
      <c r="E82" s="15" t="e">
        <f t="shared" si="9"/>
        <v>#REF!</v>
      </c>
      <c r="F82" s="15" t="e">
        <f t="shared" si="10"/>
        <v>#REF!</v>
      </c>
      <c r="G82" t="e">
        <f>IF(E82=1,(1+(#REF!)*((('Arkusz1 (5)'!B82-DATE(YEAR(B82),1,1)+1)/365)+((DATE(YEAR(B81),12,31)-'Arkusz1 (5)'!B81)/366))),IF(F82=1,(1+(#REF!)*((('Arkusz1 (5)'!B82-DATE(YEAR(B82),1,1)+1)/366)+((DATE(YEAR(B81),12,31)-'Arkusz1 (5)'!B81)/365))),0))</f>
        <v>#REF!</v>
      </c>
      <c r="H82" t="e">
        <f t="shared" si="11"/>
        <v>#REF!</v>
      </c>
      <c r="I82" t="e">
        <f t="shared" si="12"/>
        <v>#REF!</v>
      </c>
      <c r="J82" t="e">
        <f t="shared" si="13"/>
        <v>#REF!</v>
      </c>
      <c r="K82" t="e">
        <f ca="1">PRODUCT($J$3:J82)</f>
        <v>#REF!</v>
      </c>
      <c r="L82" t="e">
        <f t="shared" ca="1" si="14"/>
        <v>#REF!</v>
      </c>
      <c r="M82" t="e">
        <f ca="1">SUM($L$3:L82)</f>
        <v>#REF!</v>
      </c>
      <c r="O82" t="e">
        <f ca="1">(Q81*'Arkusz1 (5)'!J82)-Q81</f>
        <v>#REF!</v>
      </c>
      <c r="P82" s="16" t="e">
        <f t="shared" ca="1" si="15"/>
        <v>#REF!</v>
      </c>
      <c r="Q82" s="17" t="e">
        <f t="shared" ca="1" si="16"/>
        <v>#REF!</v>
      </c>
    </row>
    <row r="83" spans="1:17" x14ac:dyDescent="0.35">
      <c r="A83">
        <v>81</v>
      </c>
      <c r="B83" s="14" t="e">
        <f t="shared" si="17"/>
        <v>#REF!</v>
      </c>
      <c r="C83" s="15" t="e">
        <f>(1+(#REF!)*('Arkusz1 (5)'!B83-'Arkusz1 (5)'!B82)/365)</f>
        <v>#REF!</v>
      </c>
      <c r="D83" s="15" t="e">
        <f>(1+(#REF!)*('Arkusz1 (5)'!B83-'Arkusz1 (5)'!B82)/366)</f>
        <v>#REF!</v>
      </c>
      <c r="E83" s="15" t="e">
        <f t="shared" si="9"/>
        <v>#REF!</v>
      </c>
      <c r="F83" s="15" t="e">
        <f t="shared" si="10"/>
        <v>#REF!</v>
      </c>
      <c r="G83" t="e">
        <f>IF(E83=1,(1+(#REF!)*((('Arkusz1 (5)'!B83-DATE(YEAR(B83),1,1)+1)/365)+((DATE(YEAR(B82),12,31)-'Arkusz1 (5)'!B82)/366))),IF(F83=1,(1+(#REF!)*((('Arkusz1 (5)'!B83-DATE(YEAR(B83),1,1)+1)/366)+((DATE(YEAR(B82),12,31)-'Arkusz1 (5)'!B82)/365))),0))</f>
        <v>#REF!</v>
      </c>
      <c r="H83" t="e">
        <f t="shared" si="11"/>
        <v>#REF!</v>
      </c>
      <c r="I83" t="e">
        <f t="shared" si="12"/>
        <v>#REF!</v>
      </c>
      <c r="J83" t="e">
        <f t="shared" si="13"/>
        <v>#REF!</v>
      </c>
      <c r="K83" t="e">
        <f ca="1">PRODUCT($J$3:J83)</f>
        <v>#REF!</v>
      </c>
      <c r="L83" t="e">
        <f t="shared" ca="1" si="14"/>
        <v>#REF!</v>
      </c>
      <c r="M83" t="e">
        <f ca="1">SUM($L$3:L83)</f>
        <v>#REF!</v>
      </c>
      <c r="O83" t="e">
        <f ca="1">(Q82*'Arkusz1 (5)'!J83)-Q82</f>
        <v>#REF!</v>
      </c>
      <c r="P83" s="16" t="e">
        <f t="shared" ca="1" si="15"/>
        <v>#REF!</v>
      </c>
      <c r="Q83" s="17" t="e">
        <f t="shared" ca="1" si="16"/>
        <v>#REF!</v>
      </c>
    </row>
    <row r="84" spans="1:17" x14ac:dyDescent="0.35">
      <c r="A84">
        <v>82</v>
      </c>
      <c r="B84" s="14" t="e">
        <f t="shared" si="17"/>
        <v>#REF!</v>
      </c>
      <c r="C84" s="15" t="e">
        <f>(1+(#REF!)*('Arkusz1 (5)'!B84-'Arkusz1 (5)'!B83)/365)</f>
        <v>#REF!</v>
      </c>
      <c r="D84" s="15" t="e">
        <f>(1+(#REF!)*('Arkusz1 (5)'!B84-'Arkusz1 (5)'!B83)/366)</f>
        <v>#REF!</v>
      </c>
      <c r="E84" s="15" t="e">
        <f t="shared" si="9"/>
        <v>#REF!</v>
      </c>
      <c r="F84" s="15" t="e">
        <f t="shared" si="10"/>
        <v>#REF!</v>
      </c>
      <c r="G84" t="e">
        <f>IF(E84=1,(1+(#REF!)*((('Arkusz1 (5)'!B84-DATE(YEAR(B84),1,1)+1)/365)+((DATE(YEAR(B83),12,31)-'Arkusz1 (5)'!B83)/366))),IF(F84=1,(1+(#REF!)*((('Arkusz1 (5)'!B84-DATE(YEAR(B84),1,1)+1)/366)+((DATE(YEAR(B83),12,31)-'Arkusz1 (5)'!B83)/365))),0))</f>
        <v>#REF!</v>
      </c>
      <c r="H84" t="e">
        <f t="shared" si="11"/>
        <v>#REF!</v>
      </c>
      <c r="I84" t="e">
        <f t="shared" si="12"/>
        <v>#REF!</v>
      </c>
      <c r="J84" t="e">
        <f t="shared" si="13"/>
        <v>#REF!</v>
      </c>
      <c r="K84" t="e">
        <f ca="1">PRODUCT($J$3:J84)</f>
        <v>#REF!</v>
      </c>
      <c r="L84" t="e">
        <f t="shared" ca="1" si="14"/>
        <v>#REF!</v>
      </c>
      <c r="M84" t="e">
        <f ca="1">SUM($L$3:L84)</f>
        <v>#REF!</v>
      </c>
      <c r="O84" t="e">
        <f ca="1">(Q83*'Arkusz1 (5)'!J84)-Q83</f>
        <v>#REF!</v>
      </c>
      <c r="P84" s="16" t="e">
        <f t="shared" ca="1" si="15"/>
        <v>#REF!</v>
      </c>
      <c r="Q84" s="17" t="e">
        <f t="shared" ca="1" si="16"/>
        <v>#REF!</v>
      </c>
    </row>
    <row r="85" spans="1:17" x14ac:dyDescent="0.35">
      <c r="A85">
        <v>83</v>
      </c>
      <c r="B85" s="14" t="e">
        <f t="shared" si="17"/>
        <v>#REF!</v>
      </c>
      <c r="C85" s="15" t="e">
        <f>(1+(#REF!)*('Arkusz1 (5)'!B85-'Arkusz1 (5)'!B84)/365)</f>
        <v>#REF!</v>
      </c>
      <c r="D85" s="15" t="e">
        <f>(1+(#REF!)*('Arkusz1 (5)'!B85-'Arkusz1 (5)'!B84)/366)</f>
        <v>#REF!</v>
      </c>
      <c r="E85" s="15" t="e">
        <f t="shared" si="9"/>
        <v>#REF!</v>
      </c>
      <c r="F85" s="15" t="e">
        <f t="shared" si="10"/>
        <v>#REF!</v>
      </c>
      <c r="G85" t="e">
        <f>IF(E85=1,(1+(#REF!)*((('Arkusz1 (5)'!B85-DATE(YEAR(B85),1,1)+1)/365)+((DATE(YEAR(B84),12,31)-'Arkusz1 (5)'!B84)/366))),IF(F85=1,(1+(#REF!)*((('Arkusz1 (5)'!B85-DATE(YEAR(B85),1,1)+1)/366)+((DATE(YEAR(B84),12,31)-'Arkusz1 (5)'!B84)/365))),0))</f>
        <v>#REF!</v>
      </c>
      <c r="H85" t="e">
        <f t="shared" si="11"/>
        <v>#REF!</v>
      </c>
      <c r="I85" t="e">
        <f t="shared" si="12"/>
        <v>#REF!</v>
      </c>
      <c r="J85" t="e">
        <f t="shared" si="13"/>
        <v>#REF!</v>
      </c>
      <c r="K85" t="e">
        <f ca="1">PRODUCT($J$3:J85)</f>
        <v>#REF!</v>
      </c>
      <c r="L85" t="e">
        <f t="shared" ca="1" si="14"/>
        <v>#REF!</v>
      </c>
      <c r="M85" t="e">
        <f ca="1">SUM($L$3:L85)</f>
        <v>#REF!</v>
      </c>
      <c r="O85" t="e">
        <f ca="1">(Q84*'Arkusz1 (5)'!J85)-Q84</f>
        <v>#REF!</v>
      </c>
      <c r="P85" s="16" t="e">
        <f t="shared" ca="1" si="15"/>
        <v>#REF!</v>
      </c>
      <c r="Q85" s="17" t="e">
        <f t="shared" ca="1" si="16"/>
        <v>#REF!</v>
      </c>
    </row>
    <row r="86" spans="1:17" x14ac:dyDescent="0.35">
      <c r="A86">
        <v>84</v>
      </c>
      <c r="B86" s="14" t="e">
        <f t="shared" si="17"/>
        <v>#REF!</v>
      </c>
      <c r="C86" s="15" t="e">
        <f>(1+(#REF!)*('Arkusz1 (5)'!B86-'Arkusz1 (5)'!B85)/365)</f>
        <v>#REF!</v>
      </c>
      <c r="D86" s="15" t="e">
        <f>(1+(#REF!)*('Arkusz1 (5)'!B86-'Arkusz1 (5)'!B85)/366)</f>
        <v>#REF!</v>
      </c>
      <c r="E86" s="15" t="e">
        <f t="shared" si="9"/>
        <v>#REF!</v>
      </c>
      <c r="F86" s="15" t="e">
        <f t="shared" si="10"/>
        <v>#REF!</v>
      </c>
      <c r="G86" t="e">
        <f>IF(E86=1,(1+(#REF!)*((('Arkusz1 (5)'!B86-DATE(YEAR(B86),1,1)+1)/365)+((DATE(YEAR(B85),12,31)-'Arkusz1 (5)'!B85)/366))),IF(F86=1,(1+(#REF!)*((('Arkusz1 (5)'!B86-DATE(YEAR(B86),1,1)+1)/366)+((DATE(YEAR(B85),12,31)-'Arkusz1 (5)'!B85)/365))),0))</f>
        <v>#REF!</v>
      </c>
      <c r="H86" t="e">
        <f t="shared" si="11"/>
        <v>#REF!</v>
      </c>
      <c r="I86" t="e">
        <f t="shared" si="12"/>
        <v>#REF!</v>
      </c>
      <c r="J86" t="e">
        <f t="shared" si="13"/>
        <v>#REF!</v>
      </c>
      <c r="K86" t="e">
        <f ca="1">PRODUCT($J$3:J86)</f>
        <v>#REF!</v>
      </c>
      <c r="L86" t="e">
        <f t="shared" ca="1" si="14"/>
        <v>#REF!</v>
      </c>
      <c r="M86" t="e">
        <f ca="1">SUM($L$3:L86)</f>
        <v>#REF!</v>
      </c>
      <c r="O86" t="e">
        <f ca="1">(Q85*'Arkusz1 (5)'!J86)-Q85</f>
        <v>#REF!</v>
      </c>
      <c r="P86" s="16" t="e">
        <f t="shared" ca="1" si="15"/>
        <v>#REF!</v>
      </c>
      <c r="Q86" s="17" t="e">
        <f t="shared" ca="1" si="16"/>
        <v>#REF!</v>
      </c>
    </row>
    <row r="87" spans="1:17" x14ac:dyDescent="0.35">
      <c r="A87">
        <v>85</v>
      </c>
      <c r="B87" s="14" t="e">
        <f t="shared" si="17"/>
        <v>#REF!</v>
      </c>
      <c r="C87" s="15" t="e">
        <f>(1+(#REF!)*('Arkusz1 (5)'!B87-'Arkusz1 (5)'!B86)/365)</f>
        <v>#REF!</v>
      </c>
      <c r="D87" s="15" t="e">
        <f>(1+(#REF!)*('Arkusz1 (5)'!B87-'Arkusz1 (5)'!B86)/366)</f>
        <v>#REF!</v>
      </c>
      <c r="E87" s="15" t="e">
        <f t="shared" si="9"/>
        <v>#REF!</v>
      </c>
      <c r="F87" s="15" t="e">
        <f t="shared" si="10"/>
        <v>#REF!</v>
      </c>
      <c r="G87" t="e">
        <f>IF(E87=1,(1+(#REF!)*((('Arkusz1 (5)'!B87-DATE(YEAR(B87),1,1)+1)/365)+((DATE(YEAR(B86),12,31)-'Arkusz1 (5)'!B86)/366))),IF(F87=1,(1+(#REF!)*((('Arkusz1 (5)'!B87-DATE(YEAR(B87),1,1)+1)/366)+((DATE(YEAR(B86),12,31)-'Arkusz1 (5)'!B86)/365))),0))</f>
        <v>#REF!</v>
      </c>
      <c r="H87" t="e">
        <f t="shared" si="11"/>
        <v>#REF!</v>
      </c>
      <c r="I87" t="e">
        <f t="shared" si="12"/>
        <v>#REF!</v>
      </c>
      <c r="J87" t="e">
        <f t="shared" si="13"/>
        <v>#REF!</v>
      </c>
      <c r="K87" t="e">
        <f ca="1">PRODUCT($J$3:J87)</f>
        <v>#REF!</v>
      </c>
      <c r="L87" t="e">
        <f t="shared" ca="1" si="14"/>
        <v>#REF!</v>
      </c>
      <c r="M87" t="e">
        <f ca="1">SUM($L$3:L87)</f>
        <v>#REF!</v>
      </c>
      <c r="O87" t="e">
        <f ca="1">(Q86*'Arkusz1 (5)'!J87)-Q86</f>
        <v>#REF!</v>
      </c>
      <c r="P87" s="16" t="e">
        <f t="shared" ca="1" si="15"/>
        <v>#REF!</v>
      </c>
      <c r="Q87" s="17" t="e">
        <f t="shared" ca="1" si="16"/>
        <v>#REF!</v>
      </c>
    </row>
    <row r="88" spans="1:17" x14ac:dyDescent="0.35">
      <c r="A88">
        <v>86</v>
      </c>
      <c r="B88" s="14" t="e">
        <f t="shared" si="17"/>
        <v>#REF!</v>
      </c>
      <c r="C88" s="15" t="e">
        <f>(1+(#REF!)*('Arkusz1 (5)'!B88-'Arkusz1 (5)'!B87)/365)</f>
        <v>#REF!</v>
      </c>
      <c r="D88" s="15" t="e">
        <f>(1+(#REF!)*('Arkusz1 (5)'!B88-'Arkusz1 (5)'!B87)/366)</f>
        <v>#REF!</v>
      </c>
      <c r="E88" s="15" t="e">
        <f t="shared" si="9"/>
        <v>#REF!</v>
      </c>
      <c r="F88" s="15" t="e">
        <f t="shared" si="10"/>
        <v>#REF!</v>
      </c>
      <c r="G88" t="e">
        <f>IF(E88=1,(1+(#REF!)*((('Arkusz1 (5)'!B88-DATE(YEAR(B88),1,1)+1)/365)+((DATE(YEAR(B87),12,31)-'Arkusz1 (5)'!B87)/366))),IF(F88=1,(1+(#REF!)*((('Arkusz1 (5)'!B88-DATE(YEAR(B88),1,1)+1)/366)+((DATE(YEAR(B87),12,31)-'Arkusz1 (5)'!B87)/365))),0))</f>
        <v>#REF!</v>
      </c>
      <c r="H88" t="e">
        <f t="shared" si="11"/>
        <v>#REF!</v>
      </c>
      <c r="I88" t="e">
        <f t="shared" si="12"/>
        <v>#REF!</v>
      </c>
      <c r="J88" t="e">
        <f t="shared" si="13"/>
        <v>#REF!</v>
      </c>
      <c r="K88" t="e">
        <f ca="1">PRODUCT($J$3:J88)</f>
        <v>#REF!</v>
      </c>
      <c r="L88" t="e">
        <f t="shared" ca="1" si="14"/>
        <v>#REF!</v>
      </c>
      <c r="M88" t="e">
        <f ca="1">SUM($L$3:L88)</f>
        <v>#REF!</v>
      </c>
      <c r="O88" t="e">
        <f ca="1">(Q87*'Arkusz1 (5)'!J88)-Q87</f>
        <v>#REF!</v>
      </c>
      <c r="P88" s="16" t="e">
        <f t="shared" ca="1" si="15"/>
        <v>#REF!</v>
      </c>
      <c r="Q88" s="17" t="e">
        <f t="shared" ca="1" si="16"/>
        <v>#REF!</v>
      </c>
    </row>
    <row r="89" spans="1:17" x14ac:dyDescent="0.35">
      <c r="A89">
        <v>87</v>
      </c>
      <c r="B89" s="14" t="e">
        <f t="shared" si="17"/>
        <v>#REF!</v>
      </c>
      <c r="C89" s="15" t="e">
        <f>(1+(#REF!)*('Arkusz1 (5)'!B89-'Arkusz1 (5)'!B88)/365)</f>
        <v>#REF!</v>
      </c>
      <c r="D89" s="15" t="e">
        <f>(1+(#REF!)*('Arkusz1 (5)'!B89-'Arkusz1 (5)'!B88)/366)</f>
        <v>#REF!</v>
      </c>
      <c r="E89" s="15" t="e">
        <f t="shared" si="9"/>
        <v>#REF!</v>
      </c>
      <c r="F89" s="15" t="e">
        <f t="shared" si="10"/>
        <v>#REF!</v>
      </c>
      <c r="G89" t="e">
        <f>IF(E89=1,(1+(#REF!)*((('Arkusz1 (5)'!B89-DATE(YEAR(B89),1,1)+1)/365)+((DATE(YEAR(B88),12,31)-'Arkusz1 (5)'!B88)/366))),IF(F89=1,(1+(#REF!)*((('Arkusz1 (5)'!B89-DATE(YEAR(B89),1,1)+1)/366)+((DATE(YEAR(B88),12,31)-'Arkusz1 (5)'!B88)/365))),0))</f>
        <v>#REF!</v>
      </c>
      <c r="H89" t="e">
        <f t="shared" si="11"/>
        <v>#REF!</v>
      </c>
      <c r="I89" t="e">
        <f t="shared" si="12"/>
        <v>#REF!</v>
      </c>
      <c r="J89" t="e">
        <f t="shared" si="13"/>
        <v>#REF!</v>
      </c>
      <c r="K89" t="e">
        <f ca="1">PRODUCT($J$3:J89)</f>
        <v>#REF!</v>
      </c>
      <c r="L89" t="e">
        <f t="shared" ca="1" si="14"/>
        <v>#REF!</v>
      </c>
      <c r="M89" t="e">
        <f ca="1">SUM($L$3:L89)</f>
        <v>#REF!</v>
      </c>
      <c r="O89" t="e">
        <f ca="1">(Q88*'Arkusz1 (5)'!J89)-Q88</f>
        <v>#REF!</v>
      </c>
      <c r="P89" s="16" t="e">
        <f t="shared" ca="1" si="15"/>
        <v>#REF!</v>
      </c>
      <c r="Q89" s="17" t="e">
        <f t="shared" ca="1" si="16"/>
        <v>#REF!</v>
      </c>
    </row>
    <row r="90" spans="1:17" x14ac:dyDescent="0.35">
      <c r="A90">
        <v>88</v>
      </c>
      <c r="B90" s="14" t="e">
        <f t="shared" si="17"/>
        <v>#REF!</v>
      </c>
      <c r="C90" s="15" t="e">
        <f>(1+(#REF!)*('Arkusz1 (5)'!B90-'Arkusz1 (5)'!B89)/365)</f>
        <v>#REF!</v>
      </c>
      <c r="D90" s="15" t="e">
        <f>(1+(#REF!)*('Arkusz1 (5)'!B90-'Arkusz1 (5)'!B89)/366)</f>
        <v>#REF!</v>
      </c>
      <c r="E90" s="15" t="e">
        <f t="shared" si="9"/>
        <v>#REF!</v>
      </c>
      <c r="F90" s="15" t="e">
        <f t="shared" si="10"/>
        <v>#REF!</v>
      </c>
      <c r="G90" t="e">
        <f>IF(E90=1,(1+(#REF!)*((('Arkusz1 (5)'!B90-DATE(YEAR(B90),1,1)+1)/365)+((DATE(YEAR(B89),12,31)-'Arkusz1 (5)'!B89)/366))),IF(F90=1,(1+(#REF!)*((('Arkusz1 (5)'!B90-DATE(YEAR(B90),1,1)+1)/366)+((DATE(YEAR(B89),12,31)-'Arkusz1 (5)'!B89)/365))),0))</f>
        <v>#REF!</v>
      </c>
      <c r="H90" t="e">
        <f t="shared" si="11"/>
        <v>#REF!</v>
      </c>
      <c r="I90" t="e">
        <f t="shared" si="12"/>
        <v>#REF!</v>
      </c>
      <c r="J90" t="e">
        <f t="shared" si="13"/>
        <v>#REF!</v>
      </c>
      <c r="K90" t="e">
        <f ca="1">PRODUCT($J$3:J90)</f>
        <v>#REF!</v>
      </c>
      <c r="L90" t="e">
        <f t="shared" ca="1" si="14"/>
        <v>#REF!</v>
      </c>
      <c r="M90" t="e">
        <f ca="1">SUM($L$3:L90)</f>
        <v>#REF!</v>
      </c>
      <c r="O90" t="e">
        <f ca="1">(Q89*'Arkusz1 (5)'!J90)-Q89</f>
        <v>#REF!</v>
      </c>
      <c r="P90" s="16" t="e">
        <f t="shared" ca="1" si="15"/>
        <v>#REF!</v>
      </c>
      <c r="Q90" s="17" t="e">
        <f t="shared" ca="1" si="16"/>
        <v>#REF!</v>
      </c>
    </row>
    <row r="91" spans="1:17" x14ac:dyDescent="0.35">
      <c r="A91">
        <v>89</v>
      </c>
      <c r="B91" s="14" t="e">
        <f t="shared" si="17"/>
        <v>#REF!</v>
      </c>
      <c r="C91" s="15" t="e">
        <f>(1+(#REF!)*('Arkusz1 (5)'!B91-'Arkusz1 (5)'!B90)/365)</f>
        <v>#REF!</v>
      </c>
      <c r="D91" s="15" t="e">
        <f>(1+(#REF!)*('Arkusz1 (5)'!B91-'Arkusz1 (5)'!B90)/366)</f>
        <v>#REF!</v>
      </c>
      <c r="E91" s="15" t="e">
        <f t="shared" si="9"/>
        <v>#REF!</v>
      </c>
      <c r="F91" s="15" t="e">
        <f t="shared" si="10"/>
        <v>#REF!</v>
      </c>
      <c r="G91" t="e">
        <f>IF(E91=1,(1+(#REF!)*((('Arkusz1 (5)'!B91-DATE(YEAR(B91),1,1)+1)/365)+((DATE(YEAR(B90),12,31)-'Arkusz1 (5)'!B90)/366))),IF(F91=1,(1+(#REF!)*((('Arkusz1 (5)'!B91-DATE(YEAR(B91),1,1)+1)/366)+((DATE(YEAR(B90),12,31)-'Arkusz1 (5)'!B90)/365))),0))</f>
        <v>#REF!</v>
      </c>
      <c r="H91" t="e">
        <f t="shared" si="11"/>
        <v>#REF!</v>
      </c>
      <c r="I91" t="e">
        <f t="shared" si="12"/>
        <v>#REF!</v>
      </c>
      <c r="J91" t="e">
        <f t="shared" si="13"/>
        <v>#REF!</v>
      </c>
      <c r="K91" t="e">
        <f ca="1">PRODUCT($J$3:J91)</f>
        <v>#REF!</v>
      </c>
      <c r="L91" t="e">
        <f t="shared" ca="1" si="14"/>
        <v>#REF!</v>
      </c>
      <c r="M91" t="e">
        <f ca="1">SUM($L$3:L91)</f>
        <v>#REF!</v>
      </c>
      <c r="O91" t="e">
        <f ca="1">(Q90*'Arkusz1 (5)'!J91)-Q90</f>
        <v>#REF!</v>
      </c>
      <c r="P91" s="16" t="e">
        <f t="shared" ca="1" si="15"/>
        <v>#REF!</v>
      </c>
      <c r="Q91" s="17" t="e">
        <f t="shared" ca="1" si="16"/>
        <v>#REF!</v>
      </c>
    </row>
    <row r="92" spans="1:17" x14ac:dyDescent="0.35">
      <c r="A92">
        <v>90</v>
      </c>
      <c r="B92" s="14" t="e">
        <f t="shared" si="17"/>
        <v>#REF!</v>
      </c>
      <c r="C92" s="15" t="e">
        <f>(1+(#REF!)*('Arkusz1 (5)'!B92-'Arkusz1 (5)'!B91)/365)</f>
        <v>#REF!</v>
      </c>
      <c r="D92" s="15" t="e">
        <f>(1+(#REF!)*('Arkusz1 (5)'!B92-'Arkusz1 (5)'!B91)/366)</f>
        <v>#REF!</v>
      </c>
      <c r="E92" s="15" t="e">
        <f t="shared" si="9"/>
        <v>#REF!</v>
      </c>
      <c r="F92" s="15" t="e">
        <f t="shared" si="10"/>
        <v>#REF!</v>
      </c>
      <c r="G92" t="e">
        <f>IF(E92=1,(1+(#REF!)*((('Arkusz1 (5)'!B92-DATE(YEAR(B92),1,1)+1)/365)+((DATE(YEAR(B91),12,31)-'Arkusz1 (5)'!B91)/366))),IF(F92=1,(1+(#REF!)*((('Arkusz1 (5)'!B92-DATE(YEAR(B92),1,1)+1)/366)+((DATE(YEAR(B91),12,31)-'Arkusz1 (5)'!B91)/365))),0))</f>
        <v>#REF!</v>
      </c>
      <c r="H92" t="e">
        <f t="shared" si="11"/>
        <v>#REF!</v>
      </c>
      <c r="I92" t="e">
        <f t="shared" si="12"/>
        <v>#REF!</v>
      </c>
      <c r="J92" t="e">
        <f t="shared" si="13"/>
        <v>#REF!</v>
      </c>
      <c r="K92" t="e">
        <f ca="1">PRODUCT($J$3:J92)</f>
        <v>#REF!</v>
      </c>
      <c r="L92" t="e">
        <f t="shared" ca="1" si="14"/>
        <v>#REF!</v>
      </c>
      <c r="M92" t="e">
        <f ca="1">SUM($L$3:L92)</f>
        <v>#REF!</v>
      </c>
      <c r="O92" t="e">
        <f ca="1">(Q91*'Arkusz1 (5)'!J92)-Q91</f>
        <v>#REF!</v>
      </c>
      <c r="P92" s="16" t="e">
        <f t="shared" ca="1" si="15"/>
        <v>#REF!</v>
      </c>
      <c r="Q92" s="17" t="e">
        <f t="shared" ca="1" si="16"/>
        <v>#REF!</v>
      </c>
    </row>
    <row r="93" spans="1:17" x14ac:dyDescent="0.35">
      <c r="A93">
        <v>91</v>
      </c>
      <c r="B93" s="14" t="e">
        <f t="shared" si="17"/>
        <v>#REF!</v>
      </c>
      <c r="C93" s="15" t="e">
        <f>(1+(#REF!)*('Arkusz1 (5)'!B93-'Arkusz1 (5)'!B92)/365)</f>
        <v>#REF!</v>
      </c>
      <c r="D93" s="15" t="e">
        <f>(1+(#REF!)*('Arkusz1 (5)'!B93-'Arkusz1 (5)'!B92)/366)</f>
        <v>#REF!</v>
      </c>
      <c r="E93" s="15" t="e">
        <f t="shared" si="9"/>
        <v>#REF!</v>
      </c>
      <c r="F93" s="15" t="e">
        <f t="shared" si="10"/>
        <v>#REF!</v>
      </c>
      <c r="G93" t="e">
        <f>IF(E93=1,(1+(#REF!)*((('Arkusz1 (5)'!B93-DATE(YEAR(B93),1,1)+1)/365)+((DATE(YEAR(B92),12,31)-'Arkusz1 (5)'!B92)/366))),IF(F93=1,(1+(#REF!)*((('Arkusz1 (5)'!B93-DATE(YEAR(B93),1,1)+1)/366)+((DATE(YEAR(B92),12,31)-'Arkusz1 (5)'!B92)/365))),0))</f>
        <v>#REF!</v>
      </c>
      <c r="H93" t="e">
        <f t="shared" si="11"/>
        <v>#REF!</v>
      </c>
      <c r="I93" t="e">
        <f t="shared" si="12"/>
        <v>#REF!</v>
      </c>
      <c r="J93" t="e">
        <f t="shared" si="13"/>
        <v>#REF!</v>
      </c>
      <c r="K93" t="e">
        <f ca="1">PRODUCT($J$3:J93)</f>
        <v>#REF!</v>
      </c>
      <c r="L93" t="e">
        <f t="shared" ca="1" si="14"/>
        <v>#REF!</v>
      </c>
      <c r="M93" t="e">
        <f ca="1">SUM($L$3:L93)</f>
        <v>#REF!</v>
      </c>
      <c r="O93" t="e">
        <f ca="1">(Q92*'Arkusz1 (5)'!J93)-Q92</f>
        <v>#REF!</v>
      </c>
      <c r="P93" s="16" t="e">
        <f t="shared" ca="1" si="15"/>
        <v>#REF!</v>
      </c>
      <c r="Q93" s="17" t="e">
        <f t="shared" ca="1" si="16"/>
        <v>#REF!</v>
      </c>
    </row>
    <row r="94" spans="1:17" x14ac:dyDescent="0.35">
      <c r="A94">
        <v>92</v>
      </c>
      <c r="B94" s="14" t="e">
        <f t="shared" si="17"/>
        <v>#REF!</v>
      </c>
      <c r="C94" s="15" t="e">
        <f>(1+(#REF!)*('Arkusz1 (5)'!B94-'Arkusz1 (5)'!B93)/365)</f>
        <v>#REF!</v>
      </c>
      <c r="D94" s="15" t="e">
        <f>(1+(#REF!)*('Arkusz1 (5)'!B94-'Arkusz1 (5)'!B93)/366)</f>
        <v>#REF!</v>
      </c>
      <c r="E94" s="15" t="e">
        <f t="shared" si="9"/>
        <v>#REF!</v>
      </c>
      <c r="F94" s="15" t="e">
        <f t="shared" si="10"/>
        <v>#REF!</v>
      </c>
      <c r="G94" t="e">
        <f>IF(E94=1,(1+(#REF!)*((('Arkusz1 (5)'!B94-DATE(YEAR(B94),1,1)+1)/365)+((DATE(YEAR(B93),12,31)-'Arkusz1 (5)'!B93)/366))),IF(F94=1,(1+(#REF!)*((('Arkusz1 (5)'!B94-DATE(YEAR(B94),1,1)+1)/366)+((DATE(YEAR(B93),12,31)-'Arkusz1 (5)'!B93)/365))),0))</f>
        <v>#REF!</v>
      </c>
      <c r="H94" t="e">
        <f t="shared" si="11"/>
        <v>#REF!</v>
      </c>
      <c r="I94" t="e">
        <f t="shared" si="12"/>
        <v>#REF!</v>
      </c>
      <c r="J94" t="e">
        <f t="shared" si="13"/>
        <v>#REF!</v>
      </c>
      <c r="K94" t="e">
        <f ca="1">PRODUCT($J$3:J94)</f>
        <v>#REF!</v>
      </c>
      <c r="L94" t="e">
        <f t="shared" ca="1" si="14"/>
        <v>#REF!</v>
      </c>
      <c r="M94" t="e">
        <f ca="1">SUM($L$3:L94)</f>
        <v>#REF!</v>
      </c>
      <c r="O94" t="e">
        <f ca="1">(Q93*'Arkusz1 (5)'!J94)-Q93</f>
        <v>#REF!</v>
      </c>
      <c r="P94" s="16" t="e">
        <f t="shared" ca="1" si="15"/>
        <v>#REF!</v>
      </c>
      <c r="Q94" s="17" t="e">
        <f t="shared" ca="1" si="16"/>
        <v>#REF!</v>
      </c>
    </row>
    <row r="95" spans="1:17" x14ac:dyDescent="0.35">
      <c r="A95">
        <v>93</v>
      </c>
      <c r="B95" s="14" t="e">
        <f t="shared" si="17"/>
        <v>#REF!</v>
      </c>
      <c r="C95" s="15" t="e">
        <f>(1+(#REF!)*('Arkusz1 (5)'!B95-'Arkusz1 (5)'!B94)/365)</f>
        <v>#REF!</v>
      </c>
      <c r="D95" s="15" t="e">
        <f>(1+(#REF!)*('Arkusz1 (5)'!B95-'Arkusz1 (5)'!B94)/366)</f>
        <v>#REF!</v>
      </c>
      <c r="E95" s="15" t="e">
        <f t="shared" si="9"/>
        <v>#REF!</v>
      </c>
      <c r="F95" s="15" t="e">
        <f t="shared" si="10"/>
        <v>#REF!</v>
      </c>
      <c r="G95" t="e">
        <f>IF(E95=1,(1+(#REF!)*((('Arkusz1 (5)'!B95-DATE(YEAR(B95),1,1)+1)/365)+((DATE(YEAR(B94),12,31)-'Arkusz1 (5)'!B94)/366))),IF(F95=1,(1+(#REF!)*((('Arkusz1 (5)'!B95-DATE(YEAR(B95),1,1)+1)/366)+((DATE(YEAR(B94),12,31)-'Arkusz1 (5)'!B94)/365))),0))</f>
        <v>#REF!</v>
      </c>
      <c r="H95" t="e">
        <f t="shared" si="11"/>
        <v>#REF!</v>
      </c>
      <c r="I95" t="e">
        <f t="shared" si="12"/>
        <v>#REF!</v>
      </c>
      <c r="J95" t="e">
        <f t="shared" si="13"/>
        <v>#REF!</v>
      </c>
      <c r="K95" t="e">
        <f ca="1">PRODUCT($J$3:J95)</f>
        <v>#REF!</v>
      </c>
      <c r="L95" t="e">
        <f t="shared" ca="1" si="14"/>
        <v>#REF!</v>
      </c>
      <c r="M95" t="e">
        <f ca="1">SUM($L$3:L95)</f>
        <v>#REF!</v>
      </c>
      <c r="O95" t="e">
        <f ca="1">(Q94*'Arkusz1 (5)'!J95)-Q94</f>
        <v>#REF!</v>
      </c>
      <c r="P95" s="16" t="e">
        <f t="shared" ca="1" si="15"/>
        <v>#REF!</v>
      </c>
      <c r="Q95" s="17" t="e">
        <f t="shared" ca="1" si="16"/>
        <v>#REF!</v>
      </c>
    </row>
    <row r="96" spans="1:17" x14ac:dyDescent="0.35">
      <c r="A96">
        <v>94</v>
      </c>
      <c r="B96" s="14" t="e">
        <f t="shared" si="17"/>
        <v>#REF!</v>
      </c>
      <c r="C96" s="15" t="e">
        <f>(1+(#REF!)*('Arkusz1 (5)'!B96-'Arkusz1 (5)'!B95)/365)</f>
        <v>#REF!</v>
      </c>
      <c r="D96" s="15" t="e">
        <f>(1+(#REF!)*('Arkusz1 (5)'!B96-'Arkusz1 (5)'!B95)/366)</f>
        <v>#REF!</v>
      </c>
      <c r="E96" s="15" t="e">
        <f t="shared" si="9"/>
        <v>#REF!</v>
      </c>
      <c r="F96" s="15" t="e">
        <f t="shared" si="10"/>
        <v>#REF!</v>
      </c>
      <c r="G96" t="e">
        <f>IF(E96=1,(1+(#REF!)*((('Arkusz1 (5)'!B96-DATE(YEAR(B96),1,1)+1)/365)+((DATE(YEAR(B95),12,31)-'Arkusz1 (5)'!B95)/366))),IF(F96=1,(1+(#REF!)*((('Arkusz1 (5)'!B96-DATE(YEAR(B96),1,1)+1)/366)+((DATE(YEAR(B95),12,31)-'Arkusz1 (5)'!B95)/365))),0))</f>
        <v>#REF!</v>
      </c>
      <c r="H96" t="e">
        <f t="shared" si="11"/>
        <v>#REF!</v>
      </c>
      <c r="I96" t="e">
        <f t="shared" si="12"/>
        <v>#REF!</v>
      </c>
      <c r="J96" t="e">
        <f t="shared" si="13"/>
        <v>#REF!</v>
      </c>
      <c r="K96" t="e">
        <f ca="1">PRODUCT($J$3:J96)</f>
        <v>#REF!</v>
      </c>
      <c r="L96" t="e">
        <f t="shared" ca="1" si="14"/>
        <v>#REF!</v>
      </c>
      <c r="M96" t="e">
        <f ca="1">SUM($L$3:L96)</f>
        <v>#REF!</v>
      </c>
      <c r="O96" t="e">
        <f ca="1">(Q95*'Arkusz1 (5)'!J96)-Q95</f>
        <v>#REF!</v>
      </c>
      <c r="P96" s="16" t="e">
        <f t="shared" ca="1" si="15"/>
        <v>#REF!</v>
      </c>
      <c r="Q96" s="17" t="e">
        <f t="shared" ca="1" si="16"/>
        <v>#REF!</v>
      </c>
    </row>
    <row r="97" spans="1:17" x14ac:dyDescent="0.35">
      <c r="A97">
        <v>95</v>
      </c>
      <c r="B97" s="14" t="e">
        <f t="shared" si="17"/>
        <v>#REF!</v>
      </c>
      <c r="C97" s="15" t="e">
        <f>(1+(#REF!)*('Arkusz1 (5)'!B97-'Arkusz1 (5)'!B96)/365)</f>
        <v>#REF!</v>
      </c>
      <c r="D97" s="15" t="e">
        <f>(1+(#REF!)*('Arkusz1 (5)'!B97-'Arkusz1 (5)'!B96)/366)</f>
        <v>#REF!</v>
      </c>
      <c r="E97" s="15" t="e">
        <f t="shared" si="9"/>
        <v>#REF!</v>
      </c>
      <c r="F97" s="15" t="e">
        <f t="shared" si="10"/>
        <v>#REF!</v>
      </c>
      <c r="G97" t="e">
        <f>IF(E97=1,(1+(#REF!)*((('Arkusz1 (5)'!B97-DATE(YEAR(B97),1,1)+1)/365)+((DATE(YEAR(B96),12,31)-'Arkusz1 (5)'!B96)/366))),IF(F97=1,(1+(#REF!)*((('Arkusz1 (5)'!B97-DATE(YEAR(B97),1,1)+1)/366)+((DATE(YEAR(B96),12,31)-'Arkusz1 (5)'!B96)/365))),0))</f>
        <v>#REF!</v>
      </c>
      <c r="H97" t="e">
        <f t="shared" si="11"/>
        <v>#REF!</v>
      </c>
      <c r="I97" t="e">
        <f t="shared" si="12"/>
        <v>#REF!</v>
      </c>
      <c r="J97" t="e">
        <f t="shared" si="13"/>
        <v>#REF!</v>
      </c>
      <c r="K97" t="e">
        <f ca="1">PRODUCT($J$3:J97)</f>
        <v>#REF!</v>
      </c>
      <c r="L97" t="e">
        <f t="shared" ca="1" si="14"/>
        <v>#REF!</v>
      </c>
      <c r="M97" t="e">
        <f ca="1">SUM($L$3:L97)</f>
        <v>#REF!</v>
      </c>
      <c r="O97" t="e">
        <f ca="1">(Q96*'Arkusz1 (5)'!J97)-Q96</f>
        <v>#REF!</v>
      </c>
      <c r="P97" s="16" t="e">
        <f t="shared" ca="1" si="15"/>
        <v>#REF!</v>
      </c>
      <c r="Q97" s="17" t="e">
        <f t="shared" ca="1" si="16"/>
        <v>#REF!</v>
      </c>
    </row>
    <row r="98" spans="1:17" x14ac:dyDescent="0.35">
      <c r="A98">
        <v>96</v>
      </c>
      <c r="B98" s="14" t="e">
        <f t="shared" si="17"/>
        <v>#REF!</v>
      </c>
      <c r="C98" s="15" t="e">
        <f>(1+(#REF!)*('Arkusz1 (5)'!B98-'Arkusz1 (5)'!B97)/365)</f>
        <v>#REF!</v>
      </c>
      <c r="D98" s="15" t="e">
        <f>(1+(#REF!)*('Arkusz1 (5)'!B98-'Arkusz1 (5)'!B97)/366)</f>
        <v>#REF!</v>
      </c>
      <c r="E98" s="15" t="e">
        <f t="shared" si="9"/>
        <v>#REF!</v>
      </c>
      <c r="F98" s="15" t="e">
        <f t="shared" si="10"/>
        <v>#REF!</v>
      </c>
      <c r="G98" t="e">
        <f>IF(E98=1,(1+(#REF!)*((('Arkusz1 (5)'!B98-DATE(YEAR(B98),1,1)+1)/365)+((DATE(YEAR(B97),12,31)-'Arkusz1 (5)'!B97)/366))),IF(F98=1,(1+(#REF!)*((('Arkusz1 (5)'!B98-DATE(YEAR(B98),1,1)+1)/366)+((DATE(YEAR(B97),12,31)-'Arkusz1 (5)'!B97)/365))),0))</f>
        <v>#REF!</v>
      </c>
      <c r="H98" t="e">
        <f t="shared" si="11"/>
        <v>#REF!</v>
      </c>
      <c r="I98" t="e">
        <f t="shared" si="12"/>
        <v>#REF!</v>
      </c>
      <c r="J98" t="e">
        <f t="shared" si="13"/>
        <v>#REF!</v>
      </c>
      <c r="K98" t="e">
        <f ca="1">PRODUCT($J$3:J98)</f>
        <v>#REF!</v>
      </c>
      <c r="L98" t="e">
        <f t="shared" ca="1" si="14"/>
        <v>#REF!</v>
      </c>
      <c r="M98" t="e">
        <f ca="1">SUM($L$3:L98)</f>
        <v>#REF!</v>
      </c>
      <c r="O98" t="e">
        <f ca="1">(Q97*'Arkusz1 (5)'!J98)-Q97</f>
        <v>#REF!</v>
      </c>
      <c r="P98" s="16" t="e">
        <f t="shared" ca="1" si="15"/>
        <v>#REF!</v>
      </c>
      <c r="Q98" s="17" t="e">
        <f t="shared" ca="1" si="16"/>
        <v>#REF!</v>
      </c>
    </row>
    <row r="99" spans="1:17" x14ac:dyDescent="0.35">
      <c r="A99">
        <v>97</v>
      </c>
      <c r="B99" s="14" t="e">
        <f t="shared" si="17"/>
        <v>#REF!</v>
      </c>
      <c r="C99" s="15" t="e">
        <f>(1+(#REF!)*('Arkusz1 (5)'!B99-'Arkusz1 (5)'!B98)/365)</f>
        <v>#REF!</v>
      </c>
      <c r="D99" s="15" t="e">
        <f>(1+(#REF!)*('Arkusz1 (5)'!B99-'Arkusz1 (5)'!B98)/366)</f>
        <v>#REF!</v>
      </c>
      <c r="E99" s="15" t="e">
        <f t="shared" si="9"/>
        <v>#REF!</v>
      </c>
      <c r="F99" s="15" t="e">
        <f t="shared" si="10"/>
        <v>#REF!</v>
      </c>
      <c r="G99" t="e">
        <f>IF(E99=1,(1+(#REF!)*((('Arkusz1 (5)'!B99-DATE(YEAR(B99),1,1)+1)/365)+((DATE(YEAR(B98),12,31)-'Arkusz1 (5)'!B98)/366))),IF(F99=1,(1+(#REF!)*((('Arkusz1 (5)'!B99-DATE(YEAR(B99),1,1)+1)/366)+((DATE(YEAR(B98),12,31)-'Arkusz1 (5)'!B98)/365))),0))</f>
        <v>#REF!</v>
      </c>
      <c r="H99" t="e">
        <f t="shared" si="11"/>
        <v>#REF!</v>
      </c>
      <c r="I99" t="e">
        <f t="shared" si="12"/>
        <v>#REF!</v>
      </c>
      <c r="J99" t="e">
        <f t="shared" si="13"/>
        <v>#REF!</v>
      </c>
      <c r="K99" t="e">
        <f ca="1">PRODUCT($J$3:J99)</f>
        <v>#REF!</v>
      </c>
      <c r="L99" t="e">
        <f t="shared" ca="1" si="14"/>
        <v>#REF!</v>
      </c>
      <c r="M99" t="e">
        <f ca="1">SUM($L$3:L99)</f>
        <v>#REF!</v>
      </c>
      <c r="O99" t="e">
        <f ca="1">(Q98*'Arkusz1 (5)'!J99)-Q98</f>
        <v>#REF!</v>
      </c>
      <c r="P99" s="16" t="e">
        <f t="shared" ca="1" si="15"/>
        <v>#REF!</v>
      </c>
      <c r="Q99" s="17" t="e">
        <f t="shared" ca="1" si="16"/>
        <v>#REF!</v>
      </c>
    </row>
    <row r="100" spans="1:17" x14ac:dyDescent="0.35">
      <c r="A100">
        <v>98</v>
      </c>
      <c r="B100" s="14" t="e">
        <f t="shared" si="17"/>
        <v>#REF!</v>
      </c>
      <c r="C100" s="15" t="e">
        <f>(1+(#REF!)*('Arkusz1 (5)'!B100-'Arkusz1 (5)'!B99)/365)</f>
        <v>#REF!</v>
      </c>
      <c r="D100" s="15" t="e">
        <f>(1+(#REF!)*('Arkusz1 (5)'!B100-'Arkusz1 (5)'!B99)/366)</f>
        <v>#REF!</v>
      </c>
      <c r="E100" s="15" t="e">
        <f t="shared" si="9"/>
        <v>#REF!</v>
      </c>
      <c r="F100" s="15" t="e">
        <f t="shared" si="10"/>
        <v>#REF!</v>
      </c>
      <c r="G100" t="e">
        <f>IF(E100=1,(1+(#REF!)*((('Arkusz1 (5)'!B100-DATE(YEAR(B100),1,1)+1)/365)+((DATE(YEAR(B99),12,31)-'Arkusz1 (5)'!B99)/366))),IF(F100=1,(1+(#REF!)*((('Arkusz1 (5)'!B100-DATE(YEAR(B100),1,1)+1)/366)+((DATE(YEAR(B99),12,31)-'Arkusz1 (5)'!B99)/365))),0))</f>
        <v>#REF!</v>
      </c>
      <c r="H100" t="e">
        <f t="shared" si="11"/>
        <v>#REF!</v>
      </c>
      <c r="I100" t="e">
        <f t="shared" si="12"/>
        <v>#REF!</v>
      </c>
      <c r="J100" t="e">
        <f t="shared" si="13"/>
        <v>#REF!</v>
      </c>
      <c r="K100" t="e">
        <f ca="1">PRODUCT($J$3:J100)</f>
        <v>#REF!</v>
      </c>
      <c r="L100" t="e">
        <f t="shared" ca="1" si="14"/>
        <v>#REF!</v>
      </c>
      <c r="M100" t="e">
        <f ca="1">SUM($L$3:L100)</f>
        <v>#REF!</v>
      </c>
      <c r="O100" t="e">
        <f ca="1">(Q99*'Arkusz1 (5)'!J100)-Q99</f>
        <v>#REF!</v>
      </c>
      <c r="P100" s="16" t="e">
        <f t="shared" ca="1" si="15"/>
        <v>#REF!</v>
      </c>
      <c r="Q100" s="17" t="e">
        <f t="shared" ca="1" si="16"/>
        <v>#REF!</v>
      </c>
    </row>
    <row r="101" spans="1:17" x14ac:dyDescent="0.35">
      <c r="A101">
        <v>99</v>
      </c>
      <c r="B101" s="14" t="e">
        <f t="shared" si="17"/>
        <v>#REF!</v>
      </c>
      <c r="C101" s="15" t="e">
        <f>(1+(#REF!)*('Arkusz1 (5)'!B101-'Arkusz1 (5)'!B100)/365)</f>
        <v>#REF!</v>
      </c>
      <c r="D101" s="15" t="e">
        <f>(1+(#REF!)*('Arkusz1 (5)'!B101-'Arkusz1 (5)'!B100)/366)</f>
        <v>#REF!</v>
      </c>
      <c r="E101" s="15" t="e">
        <f t="shared" si="9"/>
        <v>#REF!</v>
      </c>
      <c r="F101" s="15" t="e">
        <f t="shared" si="10"/>
        <v>#REF!</v>
      </c>
      <c r="G101" t="e">
        <f>IF(E101=1,(1+(#REF!)*((('Arkusz1 (5)'!B101-DATE(YEAR(B101),1,1)+1)/365)+((DATE(YEAR(B100),12,31)-'Arkusz1 (5)'!B100)/366))),IF(F101=1,(1+(#REF!)*((('Arkusz1 (5)'!B101-DATE(YEAR(B101),1,1)+1)/366)+((DATE(YEAR(B100),12,31)-'Arkusz1 (5)'!B100)/365))),0))</f>
        <v>#REF!</v>
      </c>
      <c r="H101" t="e">
        <f t="shared" si="11"/>
        <v>#REF!</v>
      </c>
      <c r="I101" t="e">
        <f t="shared" si="12"/>
        <v>#REF!</v>
      </c>
      <c r="J101" t="e">
        <f t="shared" si="13"/>
        <v>#REF!</v>
      </c>
      <c r="K101" t="e">
        <f ca="1">PRODUCT($J$3:J101)</f>
        <v>#REF!</v>
      </c>
      <c r="L101" t="e">
        <f t="shared" ca="1" si="14"/>
        <v>#REF!</v>
      </c>
      <c r="M101" t="e">
        <f ca="1">SUM($L$3:L101)</f>
        <v>#REF!</v>
      </c>
      <c r="O101" t="e">
        <f ca="1">(Q100*'Arkusz1 (5)'!J101)-Q100</f>
        <v>#REF!</v>
      </c>
      <c r="P101" s="16" t="e">
        <f t="shared" ca="1" si="15"/>
        <v>#REF!</v>
      </c>
      <c r="Q101" s="17" t="e">
        <f t="shared" ca="1" si="16"/>
        <v>#REF!</v>
      </c>
    </row>
    <row r="102" spans="1:17" x14ac:dyDescent="0.35">
      <c r="A102">
        <v>100</v>
      </c>
      <c r="B102" s="14" t="e">
        <f t="shared" si="17"/>
        <v>#REF!</v>
      </c>
      <c r="C102" s="15" t="e">
        <f>(1+(#REF!)*('Arkusz1 (5)'!B102-'Arkusz1 (5)'!B101)/365)</f>
        <v>#REF!</v>
      </c>
      <c r="D102" s="15" t="e">
        <f>(1+(#REF!)*('Arkusz1 (5)'!B102-'Arkusz1 (5)'!B101)/366)</f>
        <v>#REF!</v>
      </c>
      <c r="E102" s="15" t="e">
        <f t="shared" si="9"/>
        <v>#REF!</v>
      </c>
      <c r="F102" s="15" t="e">
        <f t="shared" si="10"/>
        <v>#REF!</v>
      </c>
      <c r="G102" t="e">
        <f>IF(E102=1,(1+(#REF!)*((('Arkusz1 (5)'!B102-DATE(YEAR(B102),1,1)+1)/365)+((DATE(YEAR(B101),12,31)-'Arkusz1 (5)'!B101)/366))),IF(F102=1,(1+(#REF!)*((('Arkusz1 (5)'!B102-DATE(YEAR(B102),1,1)+1)/366)+((DATE(YEAR(B101),12,31)-'Arkusz1 (5)'!B101)/365))),0))</f>
        <v>#REF!</v>
      </c>
      <c r="H102" t="e">
        <f t="shared" si="11"/>
        <v>#REF!</v>
      </c>
      <c r="I102" t="e">
        <f t="shared" si="12"/>
        <v>#REF!</v>
      </c>
      <c r="J102" t="e">
        <f t="shared" si="13"/>
        <v>#REF!</v>
      </c>
      <c r="K102" t="e">
        <f ca="1">PRODUCT($J$3:J102)</f>
        <v>#REF!</v>
      </c>
      <c r="L102" t="e">
        <f t="shared" ca="1" si="14"/>
        <v>#REF!</v>
      </c>
      <c r="M102" t="e">
        <f ca="1">SUM($L$3:L102)</f>
        <v>#REF!</v>
      </c>
      <c r="O102" t="e">
        <f ca="1">(Q101*'Arkusz1 (5)'!J102)-Q101</f>
        <v>#REF!</v>
      </c>
      <c r="P102" s="16" t="e">
        <f t="shared" ca="1" si="15"/>
        <v>#REF!</v>
      </c>
      <c r="Q102" s="17" t="e">
        <f t="shared" ca="1" si="16"/>
        <v>#REF!</v>
      </c>
    </row>
    <row r="103" spans="1:17" x14ac:dyDescent="0.35">
      <c r="A103">
        <v>101</v>
      </c>
      <c r="B103" s="14" t="e">
        <f t="shared" si="17"/>
        <v>#REF!</v>
      </c>
      <c r="C103" s="15" t="e">
        <f>(1+(#REF!)*('Arkusz1 (5)'!B103-'Arkusz1 (5)'!B102)/365)</f>
        <v>#REF!</v>
      </c>
      <c r="D103" s="15" t="e">
        <f>(1+(#REF!)*('Arkusz1 (5)'!B103-'Arkusz1 (5)'!B102)/366)</f>
        <v>#REF!</v>
      </c>
      <c r="E103" s="15" t="e">
        <f t="shared" si="9"/>
        <v>#REF!</v>
      </c>
      <c r="F103" s="15" t="e">
        <f t="shared" si="10"/>
        <v>#REF!</v>
      </c>
      <c r="G103" t="e">
        <f>IF(E103=1,(1+(#REF!)*((('Arkusz1 (5)'!B103-DATE(YEAR(B103),1,1)+1)/365)+((DATE(YEAR(B102),12,31)-'Arkusz1 (5)'!B102)/366))),IF(F103=1,(1+(#REF!)*((('Arkusz1 (5)'!B103-DATE(YEAR(B103),1,1)+1)/366)+((DATE(YEAR(B102),12,31)-'Arkusz1 (5)'!B102)/365))),0))</f>
        <v>#REF!</v>
      </c>
      <c r="H103" t="e">
        <f t="shared" si="11"/>
        <v>#REF!</v>
      </c>
      <c r="I103" t="e">
        <f t="shared" si="12"/>
        <v>#REF!</v>
      </c>
      <c r="J103" t="e">
        <f t="shared" si="13"/>
        <v>#REF!</v>
      </c>
      <c r="K103" t="e">
        <f ca="1">PRODUCT($J$3:J103)</f>
        <v>#REF!</v>
      </c>
      <c r="L103" t="e">
        <f t="shared" ca="1" si="14"/>
        <v>#REF!</v>
      </c>
      <c r="M103" t="e">
        <f ca="1">SUM($L$3:L103)</f>
        <v>#REF!</v>
      </c>
      <c r="O103" t="e">
        <f ca="1">(Q102*'Arkusz1 (5)'!J103)-Q102</f>
        <v>#REF!</v>
      </c>
      <c r="P103" s="16" t="e">
        <f t="shared" ca="1" si="15"/>
        <v>#REF!</v>
      </c>
      <c r="Q103" s="17" t="e">
        <f t="shared" ca="1" si="16"/>
        <v>#REF!</v>
      </c>
    </row>
    <row r="104" spans="1:17" x14ac:dyDescent="0.35">
      <c r="A104">
        <v>102</v>
      </c>
      <c r="B104" s="14" t="e">
        <f t="shared" si="17"/>
        <v>#REF!</v>
      </c>
      <c r="C104" s="15" t="e">
        <f>(1+(#REF!)*('Arkusz1 (5)'!B104-'Arkusz1 (5)'!B103)/365)</f>
        <v>#REF!</v>
      </c>
      <c r="D104" s="15" t="e">
        <f>(1+(#REF!)*('Arkusz1 (5)'!B104-'Arkusz1 (5)'!B103)/366)</f>
        <v>#REF!</v>
      </c>
      <c r="E104" s="15" t="e">
        <f t="shared" si="9"/>
        <v>#REF!</v>
      </c>
      <c r="F104" s="15" t="e">
        <f t="shared" si="10"/>
        <v>#REF!</v>
      </c>
      <c r="G104" t="e">
        <f>IF(E104=1,(1+(#REF!)*((('Arkusz1 (5)'!B104-DATE(YEAR(B104),1,1)+1)/365)+((DATE(YEAR(B103),12,31)-'Arkusz1 (5)'!B103)/366))),IF(F104=1,(1+(#REF!)*((('Arkusz1 (5)'!B104-DATE(YEAR(B104),1,1)+1)/366)+((DATE(YEAR(B103),12,31)-'Arkusz1 (5)'!B103)/365))),0))</f>
        <v>#REF!</v>
      </c>
      <c r="H104" t="e">
        <f t="shared" si="11"/>
        <v>#REF!</v>
      </c>
      <c r="I104" t="e">
        <f t="shared" si="12"/>
        <v>#REF!</v>
      </c>
      <c r="J104" t="e">
        <f t="shared" si="13"/>
        <v>#REF!</v>
      </c>
      <c r="K104" t="e">
        <f ca="1">PRODUCT($J$3:J104)</f>
        <v>#REF!</v>
      </c>
      <c r="L104" t="e">
        <f t="shared" ca="1" si="14"/>
        <v>#REF!</v>
      </c>
      <c r="M104" t="e">
        <f ca="1">SUM($L$3:L104)</f>
        <v>#REF!</v>
      </c>
      <c r="O104" t="e">
        <f ca="1">(Q103*'Arkusz1 (5)'!J104)-Q103</f>
        <v>#REF!</v>
      </c>
      <c r="P104" s="16" t="e">
        <f t="shared" ca="1" si="15"/>
        <v>#REF!</v>
      </c>
      <c r="Q104" s="17" t="e">
        <f t="shared" ca="1" si="16"/>
        <v>#REF!</v>
      </c>
    </row>
    <row r="105" spans="1:17" x14ac:dyDescent="0.35">
      <c r="A105">
        <v>103</v>
      </c>
      <c r="B105" s="14" t="e">
        <f t="shared" si="17"/>
        <v>#REF!</v>
      </c>
      <c r="C105" s="15" t="e">
        <f>(1+(#REF!)*('Arkusz1 (5)'!B105-'Arkusz1 (5)'!B104)/365)</f>
        <v>#REF!</v>
      </c>
      <c r="D105" s="15" t="e">
        <f>(1+(#REF!)*('Arkusz1 (5)'!B105-'Arkusz1 (5)'!B104)/366)</f>
        <v>#REF!</v>
      </c>
      <c r="E105" s="15" t="e">
        <f t="shared" si="9"/>
        <v>#REF!</v>
      </c>
      <c r="F105" s="15" t="e">
        <f t="shared" si="10"/>
        <v>#REF!</v>
      </c>
      <c r="G105" t="e">
        <f>IF(E105=1,(1+(#REF!)*((('Arkusz1 (5)'!B105-DATE(YEAR(B105),1,1)+1)/365)+((DATE(YEAR(B104),12,31)-'Arkusz1 (5)'!B104)/366))),IF(F105=1,(1+(#REF!)*((('Arkusz1 (5)'!B105-DATE(YEAR(B105),1,1)+1)/366)+((DATE(YEAR(B104),12,31)-'Arkusz1 (5)'!B104)/365))),0))</f>
        <v>#REF!</v>
      </c>
      <c r="H105" t="e">
        <f t="shared" si="11"/>
        <v>#REF!</v>
      </c>
      <c r="I105" t="e">
        <f t="shared" si="12"/>
        <v>#REF!</v>
      </c>
      <c r="J105" t="e">
        <f t="shared" si="13"/>
        <v>#REF!</v>
      </c>
      <c r="K105" t="e">
        <f ca="1">PRODUCT($J$3:J105)</f>
        <v>#REF!</v>
      </c>
      <c r="L105" t="e">
        <f t="shared" ca="1" si="14"/>
        <v>#REF!</v>
      </c>
      <c r="M105" t="e">
        <f ca="1">SUM($L$3:L105)</f>
        <v>#REF!</v>
      </c>
      <c r="O105" t="e">
        <f ca="1">(Q104*'Arkusz1 (5)'!J105)-Q104</f>
        <v>#REF!</v>
      </c>
      <c r="P105" s="16" t="e">
        <f t="shared" ca="1" si="15"/>
        <v>#REF!</v>
      </c>
      <c r="Q105" s="17" t="e">
        <f t="shared" ca="1" si="16"/>
        <v>#REF!</v>
      </c>
    </row>
    <row r="106" spans="1:17" x14ac:dyDescent="0.35">
      <c r="A106">
        <v>104</v>
      </c>
      <c r="B106" s="14" t="e">
        <f t="shared" si="17"/>
        <v>#REF!</v>
      </c>
      <c r="C106" s="15" t="e">
        <f>(1+(#REF!)*('Arkusz1 (5)'!B106-'Arkusz1 (5)'!B105)/365)</f>
        <v>#REF!</v>
      </c>
      <c r="D106" s="15" t="e">
        <f>(1+(#REF!)*('Arkusz1 (5)'!B106-'Arkusz1 (5)'!B105)/366)</f>
        <v>#REF!</v>
      </c>
      <c r="E106" s="15" t="e">
        <f t="shared" si="9"/>
        <v>#REF!</v>
      </c>
      <c r="F106" s="15" t="e">
        <f t="shared" si="10"/>
        <v>#REF!</v>
      </c>
      <c r="G106" t="e">
        <f>IF(E106=1,(1+(#REF!)*((('Arkusz1 (5)'!B106-DATE(YEAR(B106),1,1)+1)/365)+((DATE(YEAR(B105),12,31)-'Arkusz1 (5)'!B105)/366))),IF(F106=1,(1+(#REF!)*((('Arkusz1 (5)'!B106-DATE(YEAR(B106),1,1)+1)/366)+((DATE(YEAR(B105),12,31)-'Arkusz1 (5)'!B105)/365))),0))</f>
        <v>#REF!</v>
      </c>
      <c r="H106" t="e">
        <f t="shared" si="11"/>
        <v>#REF!</v>
      </c>
      <c r="I106" t="e">
        <f t="shared" si="12"/>
        <v>#REF!</v>
      </c>
      <c r="J106" t="e">
        <f t="shared" si="13"/>
        <v>#REF!</v>
      </c>
      <c r="K106" t="e">
        <f ca="1">PRODUCT($J$3:J106)</f>
        <v>#REF!</v>
      </c>
      <c r="L106" t="e">
        <f t="shared" ca="1" si="14"/>
        <v>#REF!</v>
      </c>
      <c r="M106" t="e">
        <f ca="1">SUM($L$3:L106)</f>
        <v>#REF!</v>
      </c>
      <c r="O106" t="e">
        <f ca="1">(Q105*'Arkusz1 (5)'!J106)-Q105</f>
        <v>#REF!</v>
      </c>
      <c r="P106" s="16" t="e">
        <f t="shared" ca="1" si="15"/>
        <v>#REF!</v>
      </c>
      <c r="Q106" s="17" t="e">
        <f t="shared" ca="1" si="16"/>
        <v>#REF!</v>
      </c>
    </row>
    <row r="107" spans="1:17" x14ac:dyDescent="0.35">
      <c r="A107">
        <v>105</v>
      </c>
      <c r="B107" s="14" t="e">
        <f t="shared" si="17"/>
        <v>#REF!</v>
      </c>
      <c r="C107" s="15" t="e">
        <f>(1+(#REF!)*('Arkusz1 (5)'!B107-'Arkusz1 (5)'!B106)/365)</f>
        <v>#REF!</v>
      </c>
      <c r="D107" s="15" t="e">
        <f>(1+(#REF!)*('Arkusz1 (5)'!B107-'Arkusz1 (5)'!B106)/366)</f>
        <v>#REF!</v>
      </c>
      <c r="E107" s="15" t="e">
        <f t="shared" si="9"/>
        <v>#REF!</v>
      </c>
      <c r="F107" s="15" t="e">
        <f t="shared" si="10"/>
        <v>#REF!</v>
      </c>
      <c r="G107" t="e">
        <f>IF(E107=1,(1+(#REF!)*((('Arkusz1 (5)'!B107-DATE(YEAR(B107),1,1)+1)/365)+((DATE(YEAR(B106),12,31)-'Arkusz1 (5)'!B106)/366))),IF(F107=1,(1+(#REF!)*((('Arkusz1 (5)'!B107-DATE(YEAR(B107),1,1)+1)/366)+((DATE(YEAR(B106),12,31)-'Arkusz1 (5)'!B106)/365))),0))</f>
        <v>#REF!</v>
      </c>
      <c r="H107" t="e">
        <f t="shared" si="11"/>
        <v>#REF!</v>
      </c>
      <c r="I107" t="e">
        <f t="shared" si="12"/>
        <v>#REF!</v>
      </c>
      <c r="J107" t="e">
        <f t="shared" si="13"/>
        <v>#REF!</v>
      </c>
      <c r="K107" t="e">
        <f ca="1">PRODUCT($J$3:J107)</f>
        <v>#REF!</v>
      </c>
      <c r="L107" t="e">
        <f t="shared" ca="1" si="14"/>
        <v>#REF!</v>
      </c>
      <c r="M107" t="e">
        <f ca="1">SUM($L$3:L107)</f>
        <v>#REF!</v>
      </c>
      <c r="O107" t="e">
        <f ca="1">(Q106*'Arkusz1 (5)'!J107)-Q106</f>
        <v>#REF!</v>
      </c>
      <c r="P107" s="16" t="e">
        <f t="shared" ca="1" si="15"/>
        <v>#REF!</v>
      </c>
      <c r="Q107" s="17" t="e">
        <f t="shared" ca="1" si="16"/>
        <v>#REF!</v>
      </c>
    </row>
    <row r="108" spans="1:17" x14ac:dyDescent="0.35">
      <c r="A108">
        <v>106</v>
      </c>
      <c r="B108" s="14" t="e">
        <f t="shared" si="17"/>
        <v>#REF!</v>
      </c>
      <c r="C108" s="15" t="e">
        <f>(1+(#REF!)*('Arkusz1 (5)'!B108-'Arkusz1 (5)'!B107)/365)</f>
        <v>#REF!</v>
      </c>
      <c r="D108" s="15" t="e">
        <f>(1+(#REF!)*('Arkusz1 (5)'!B108-'Arkusz1 (5)'!B107)/366)</f>
        <v>#REF!</v>
      </c>
      <c r="E108" s="15" t="e">
        <f t="shared" si="9"/>
        <v>#REF!</v>
      </c>
      <c r="F108" s="15" t="e">
        <f t="shared" si="10"/>
        <v>#REF!</v>
      </c>
      <c r="G108" t="e">
        <f>IF(E108=1,(1+(#REF!)*((('Arkusz1 (5)'!B108-DATE(YEAR(B108),1,1)+1)/365)+((DATE(YEAR(B107),12,31)-'Arkusz1 (5)'!B107)/366))),IF(F108=1,(1+(#REF!)*((('Arkusz1 (5)'!B108-DATE(YEAR(B108),1,1)+1)/366)+((DATE(YEAR(B107),12,31)-'Arkusz1 (5)'!B107)/365))),0))</f>
        <v>#REF!</v>
      </c>
      <c r="H108" t="e">
        <f t="shared" si="11"/>
        <v>#REF!</v>
      </c>
      <c r="I108" t="e">
        <f t="shared" si="12"/>
        <v>#REF!</v>
      </c>
      <c r="J108" t="e">
        <f t="shared" si="13"/>
        <v>#REF!</v>
      </c>
      <c r="K108" t="e">
        <f ca="1">PRODUCT($J$3:J108)</f>
        <v>#REF!</v>
      </c>
      <c r="L108" t="e">
        <f t="shared" ca="1" si="14"/>
        <v>#REF!</v>
      </c>
      <c r="M108" t="e">
        <f ca="1">SUM($L$3:L108)</f>
        <v>#REF!</v>
      </c>
      <c r="O108" t="e">
        <f ca="1">(Q107*'Arkusz1 (5)'!J108)-Q107</f>
        <v>#REF!</v>
      </c>
      <c r="P108" s="16" t="e">
        <f t="shared" ca="1" si="15"/>
        <v>#REF!</v>
      </c>
      <c r="Q108" s="17" t="e">
        <f t="shared" ca="1" si="16"/>
        <v>#REF!</v>
      </c>
    </row>
    <row r="109" spans="1:17" x14ac:dyDescent="0.35">
      <c r="A109">
        <v>107</v>
      </c>
      <c r="B109" s="14" t="e">
        <f t="shared" si="17"/>
        <v>#REF!</v>
      </c>
      <c r="C109" s="15" t="e">
        <f>(1+(#REF!)*('Arkusz1 (5)'!B109-'Arkusz1 (5)'!B108)/365)</f>
        <v>#REF!</v>
      </c>
      <c r="D109" s="15" t="e">
        <f>(1+(#REF!)*('Arkusz1 (5)'!B109-'Arkusz1 (5)'!B108)/366)</f>
        <v>#REF!</v>
      </c>
      <c r="E109" s="15" t="e">
        <f t="shared" si="9"/>
        <v>#REF!</v>
      </c>
      <c r="F109" s="15" t="e">
        <f t="shared" si="10"/>
        <v>#REF!</v>
      </c>
      <c r="G109" t="e">
        <f>IF(E109=1,(1+(#REF!)*((('Arkusz1 (5)'!B109-DATE(YEAR(B109),1,1)+1)/365)+((DATE(YEAR(B108),12,31)-'Arkusz1 (5)'!B108)/366))),IF(F109=1,(1+(#REF!)*((('Arkusz1 (5)'!B109-DATE(YEAR(B109),1,1)+1)/366)+((DATE(YEAR(B108),12,31)-'Arkusz1 (5)'!B108)/365))),0))</f>
        <v>#REF!</v>
      </c>
      <c r="H109" t="e">
        <f t="shared" si="11"/>
        <v>#REF!</v>
      </c>
      <c r="I109" t="e">
        <f t="shared" si="12"/>
        <v>#REF!</v>
      </c>
      <c r="J109" t="e">
        <f t="shared" si="13"/>
        <v>#REF!</v>
      </c>
      <c r="K109" t="e">
        <f ca="1">PRODUCT($J$3:J109)</f>
        <v>#REF!</v>
      </c>
      <c r="L109" t="e">
        <f t="shared" ca="1" si="14"/>
        <v>#REF!</v>
      </c>
      <c r="M109" t="e">
        <f ca="1">SUM($L$3:L109)</f>
        <v>#REF!</v>
      </c>
      <c r="O109" t="e">
        <f ca="1">(Q108*'Arkusz1 (5)'!J109)-Q108</f>
        <v>#REF!</v>
      </c>
      <c r="P109" s="16" t="e">
        <f t="shared" ca="1" si="15"/>
        <v>#REF!</v>
      </c>
      <c r="Q109" s="17" t="e">
        <f t="shared" ca="1" si="16"/>
        <v>#REF!</v>
      </c>
    </row>
    <row r="110" spans="1:17" x14ac:dyDescent="0.35">
      <c r="A110">
        <v>108</v>
      </c>
      <c r="B110" s="14" t="e">
        <f t="shared" si="17"/>
        <v>#REF!</v>
      </c>
      <c r="C110" s="15" t="e">
        <f>(1+(#REF!)*('Arkusz1 (5)'!B110-'Arkusz1 (5)'!B109)/365)</f>
        <v>#REF!</v>
      </c>
      <c r="D110" s="15" t="e">
        <f>(1+(#REF!)*('Arkusz1 (5)'!B110-'Arkusz1 (5)'!B109)/366)</f>
        <v>#REF!</v>
      </c>
      <c r="E110" s="15" t="e">
        <f t="shared" si="9"/>
        <v>#REF!</v>
      </c>
      <c r="F110" s="15" t="e">
        <f t="shared" si="10"/>
        <v>#REF!</v>
      </c>
      <c r="G110" t="e">
        <f>IF(E110=1,(1+(#REF!)*((('Arkusz1 (5)'!B110-DATE(YEAR(B110),1,1)+1)/365)+((DATE(YEAR(B109),12,31)-'Arkusz1 (5)'!B109)/366))),IF(F110=1,(1+(#REF!)*((('Arkusz1 (5)'!B110-DATE(YEAR(B110),1,1)+1)/366)+((DATE(YEAR(B109),12,31)-'Arkusz1 (5)'!B109)/365))),0))</f>
        <v>#REF!</v>
      </c>
      <c r="H110" t="e">
        <f t="shared" si="11"/>
        <v>#REF!</v>
      </c>
      <c r="I110" t="e">
        <f t="shared" si="12"/>
        <v>#REF!</v>
      </c>
      <c r="J110" t="e">
        <f t="shared" si="13"/>
        <v>#REF!</v>
      </c>
      <c r="K110" t="e">
        <f ca="1">PRODUCT($J$3:J110)</f>
        <v>#REF!</v>
      </c>
      <c r="L110" t="e">
        <f t="shared" ca="1" si="14"/>
        <v>#REF!</v>
      </c>
      <c r="M110" t="e">
        <f ca="1">SUM($L$3:L110)</f>
        <v>#REF!</v>
      </c>
      <c r="O110" t="e">
        <f ca="1">(Q109*'Arkusz1 (5)'!J110)-Q109</f>
        <v>#REF!</v>
      </c>
      <c r="P110" s="16" t="e">
        <f t="shared" ca="1" si="15"/>
        <v>#REF!</v>
      </c>
      <c r="Q110" s="17" t="e">
        <f t="shared" ca="1" si="16"/>
        <v>#REF!</v>
      </c>
    </row>
    <row r="111" spans="1:17" x14ac:dyDescent="0.35">
      <c r="A111">
        <v>109</v>
      </c>
      <c r="B111" s="14" t="e">
        <f t="shared" si="17"/>
        <v>#REF!</v>
      </c>
      <c r="C111" s="15" t="e">
        <f>(1+(#REF!)*('Arkusz1 (5)'!B111-'Arkusz1 (5)'!B110)/365)</f>
        <v>#REF!</v>
      </c>
      <c r="D111" s="15" t="e">
        <f>(1+(#REF!)*('Arkusz1 (5)'!B111-'Arkusz1 (5)'!B110)/366)</f>
        <v>#REF!</v>
      </c>
      <c r="E111" s="15" t="e">
        <f t="shared" si="9"/>
        <v>#REF!</v>
      </c>
      <c r="F111" s="15" t="e">
        <f t="shared" si="10"/>
        <v>#REF!</v>
      </c>
      <c r="G111" t="e">
        <f>IF(E111=1,(1+(#REF!)*((('Arkusz1 (5)'!B111-DATE(YEAR(B111),1,1)+1)/365)+((DATE(YEAR(B110),12,31)-'Arkusz1 (5)'!B110)/366))),IF(F111=1,(1+(#REF!)*((('Arkusz1 (5)'!B111-DATE(YEAR(B111),1,1)+1)/366)+((DATE(YEAR(B110),12,31)-'Arkusz1 (5)'!B110)/365))),0))</f>
        <v>#REF!</v>
      </c>
      <c r="H111" t="e">
        <f t="shared" si="11"/>
        <v>#REF!</v>
      </c>
      <c r="I111" t="e">
        <f t="shared" si="12"/>
        <v>#REF!</v>
      </c>
      <c r="J111" t="e">
        <f t="shared" si="13"/>
        <v>#REF!</v>
      </c>
      <c r="K111" t="e">
        <f ca="1">PRODUCT($J$3:J111)</f>
        <v>#REF!</v>
      </c>
      <c r="L111" t="e">
        <f t="shared" ca="1" si="14"/>
        <v>#REF!</v>
      </c>
      <c r="M111" t="e">
        <f ca="1">SUM($L$3:L111)</f>
        <v>#REF!</v>
      </c>
      <c r="O111" t="e">
        <f ca="1">(Q110*'Arkusz1 (5)'!J111)-Q110</f>
        <v>#REF!</v>
      </c>
      <c r="P111" s="16" t="e">
        <f t="shared" ca="1" si="15"/>
        <v>#REF!</v>
      </c>
      <c r="Q111" s="17" t="e">
        <f t="shared" ca="1" si="16"/>
        <v>#REF!</v>
      </c>
    </row>
    <row r="112" spans="1:17" x14ac:dyDescent="0.35">
      <c r="A112">
        <v>110</v>
      </c>
      <c r="B112" s="14" t="e">
        <f t="shared" si="17"/>
        <v>#REF!</v>
      </c>
      <c r="C112" s="15" t="e">
        <f>(1+(#REF!)*('Arkusz1 (5)'!B112-'Arkusz1 (5)'!B111)/365)</f>
        <v>#REF!</v>
      </c>
      <c r="D112" s="15" t="e">
        <f>(1+(#REF!)*('Arkusz1 (5)'!B112-'Arkusz1 (5)'!B111)/366)</f>
        <v>#REF!</v>
      </c>
      <c r="E112" s="15" t="e">
        <f t="shared" si="9"/>
        <v>#REF!</v>
      </c>
      <c r="F112" s="15" t="e">
        <f t="shared" si="10"/>
        <v>#REF!</v>
      </c>
      <c r="G112" t="e">
        <f>IF(E112=1,(1+(#REF!)*((('Arkusz1 (5)'!B112-DATE(YEAR(B112),1,1)+1)/365)+((DATE(YEAR(B111),12,31)-'Arkusz1 (5)'!B111)/366))),IF(F112=1,(1+(#REF!)*((('Arkusz1 (5)'!B112-DATE(YEAR(B112),1,1)+1)/366)+((DATE(YEAR(B111),12,31)-'Arkusz1 (5)'!B111)/365))),0))</f>
        <v>#REF!</v>
      </c>
      <c r="H112" t="e">
        <f t="shared" si="11"/>
        <v>#REF!</v>
      </c>
      <c r="I112" t="e">
        <f t="shared" si="12"/>
        <v>#REF!</v>
      </c>
      <c r="J112" t="e">
        <f t="shared" si="13"/>
        <v>#REF!</v>
      </c>
      <c r="K112" t="e">
        <f ca="1">PRODUCT($J$3:J112)</f>
        <v>#REF!</v>
      </c>
      <c r="L112" t="e">
        <f t="shared" ca="1" si="14"/>
        <v>#REF!</v>
      </c>
      <c r="M112" t="e">
        <f ca="1">SUM($L$3:L112)</f>
        <v>#REF!</v>
      </c>
      <c r="O112" t="e">
        <f ca="1">(Q111*'Arkusz1 (5)'!J112)-Q111</f>
        <v>#REF!</v>
      </c>
      <c r="P112" s="16" t="e">
        <f t="shared" ca="1" si="15"/>
        <v>#REF!</v>
      </c>
      <c r="Q112" s="17" t="e">
        <f t="shared" ca="1" si="16"/>
        <v>#REF!</v>
      </c>
    </row>
    <row r="113" spans="1:17" x14ac:dyDescent="0.35">
      <c r="A113">
        <v>111</v>
      </c>
      <c r="B113" s="14" t="e">
        <f t="shared" si="17"/>
        <v>#REF!</v>
      </c>
      <c r="C113" s="15" t="e">
        <f>(1+(#REF!)*('Arkusz1 (5)'!B113-'Arkusz1 (5)'!B112)/365)</f>
        <v>#REF!</v>
      </c>
      <c r="D113" s="15" t="e">
        <f>(1+(#REF!)*('Arkusz1 (5)'!B113-'Arkusz1 (5)'!B112)/366)</f>
        <v>#REF!</v>
      </c>
      <c r="E113" s="15" t="e">
        <f t="shared" si="9"/>
        <v>#REF!</v>
      </c>
      <c r="F113" s="15" t="e">
        <f t="shared" si="10"/>
        <v>#REF!</v>
      </c>
      <c r="G113" t="e">
        <f>IF(E113=1,(1+(#REF!)*((('Arkusz1 (5)'!B113-DATE(YEAR(B113),1,1)+1)/365)+((DATE(YEAR(B112),12,31)-'Arkusz1 (5)'!B112)/366))),IF(F113=1,(1+(#REF!)*((('Arkusz1 (5)'!B113-DATE(YEAR(B113),1,1)+1)/366)+((DATE(YEAR(B112),12,31)-'Arkusz1 (5)'!B112)/365))),0))</f>
        <v>#REF!</v>
      </c>
      <c r="H113" t="e">
        <f t="shared" si="11"/>
        <v>#REF!</v>
      </c>
      <c r="I113" t="e">
        <f t="shared" si="12"/>
        <v>#REF!</v>
      </c>
      <c r="J113" t="e">
        <f t="shared" si="13"/>
        <v>#REF!</v>
      </c>
      <c r="K113" t="e">
        <f ca="1">PRODUCT($J$3:J113)</f>
        <v>#REF!</v>
      </c>
      <c r="L113" t="e">
        <f t="shared" ca="1" si="14"/>
        <v>#REF!</v>
      </c>
      <c r="M113" t="e">
        <f ca="1">SUM($L$3:L113)</f>
        <v>#REF!</v>
      </c>
      <c r="O113" t="e">
        <f ca="1">(Q112*'Arkusz1 (5)'!J113)-Q112</f>
        <v>#REF!</v>
      </c>
      <c r="P113" s="16" t="e">
        <f t="shared" ca="1" si="15"/>
        <v>#REF!</v>
      </c>
      <c r="Q113" s="17" t="e">
        <f t="shared" ca="1" si="16"/>
        <v>#REF!</v>
      </c>
    </row>
    <row r="114" spans="1:17" x14ac:dyDescent="0.35">
      <c r="A114">
        <v>112</v>
      </c>
      <c r="B114" s="14" t="e">
        <f t="shared" si="17"/>
        <v>#REF!</v>
      </c>
      <c r="C114" s="15" t="e">
        <f>(1+(#REF!)*('Arkusz1 (5)'!B114-'Arkusz1 (5)'!B113)/365)</f>
        <v>#REF!</v>
      </c>
      <c r="D114" s="15" t="e">
        <f>(1+(#REF!)*('Arkusz1 (5)'!B114-'Arkusz1 (5)'!B113)/366)</f>
        <v>#REF!</v>
      </c>
      <c r="E114" s="15" t="e">
        <f t="shared" si="9"/>
        <v>#REF!</v>
      </c>
      <c r="F114" s="15" t="e">
        <f t="shared" si="10"/>
        <v>#REF!</v>
      </c>
      <c r="G114" t="e">
        <f>IF(E114=1,(1+(#REF!)*((('Arkusz1 (5)'!B114-DATE(YEAR(B114),1,1)+1)/365)+((DATE(YEAR(B113),12,31)-'Arkusz1 (5)'!B113)/366))),IF(F114=1,(1+(#REF!)*((('Arkusz1 (5)'!B114-DATE(YEAR(B114),1,1)+1)/366)+((DATE(YEAR(B113),12,31)-'Arkusz1 (5)'!B113)/365))),0))</f>
        <v>#REF!</v>
      </c>
      <c r="H114" t="e">
        <f t="shared" si="11"/>
        <v>#REF!</v>
      </c>
      <c r="I114" t="e">
        <f t="shared" si="12"/>
        <v>#REF!</v>
      </c>
      <c r="J114" t="e">
        <f t="shared" si="13"/>
        <v>#REF!</v>
      </c>
      <c r="K114" t="e">
        <f ca="1">PRODUCT($J$3:J114)</f>
        <v>#REF!</v>
      </c>
      <c r="L114" t="e">
        <f t="shared" ca="1" si="14"/>
        <v>#REF!</v>
      </c>
      <c r="M114" t="e">
        <f ca="1">SUM($L$3:L114)</f>
        <v>#REF!</v>
      </c>
      <c r="O114" t="e">
        <f ca="1">(Q113*'Arkusz1 (5)'!J114)-Q113</f>
        <v>#REF!</v>
      </c>
      <c r="P114" s="16" t="e">
        <f t="shared" ca="1" si="15"/>
        <v>#REF!</v>
      </c>
      <c r="Q114" s="17" t="e">
        <f t="shared" ca="1" si="16"/>
        <v>#REF!</v>
      </c>
    </row>
    <row r="115" spans="1:17" x14ac:dyDescent="0.35">
      <c r="A115">
        <v>113</v>
      </c>
      <c r="B115" s="14" t="e">
        <f t="shared" si="17"/>
        <v>#REF!</v>
      </c>
      <c r="C115" s="15" t="e">
        <f>(1+(#REF!)*('Arkusz1 (5)'!B115-'Arkusz1 (5)'!B114)/365)</f>
        <v>#REF!</v>
      </c>
      <c r="D115" s="15" t="e">
        <f>(1+(#REF!)*('Arkusz1 (5)'!B115-'Arkusz1 (5)'!B114)/366)</f>
        <v>#REF!</v>
      </c>
      <c r="E115" s="15" t="e">
        <f t="shared" si="9"/>
        <v>#REF!</v>
      </c>
      <c r="F115" s="15" t="e">
        <f t="shared" si="10"/>
        <v>#REF!</v>
      </c>
      <c r="G115" t="e">
        <f>IF(E115=1,(1+(#REF!)*((('Arkusz1 (5)'!B115-DATE(YEAR(B115),1,1)+1)/365)+((DATE(YEAR(B114),12,31)-'Arkusz1 (5)'!B114)/366))),IF(F115=1,(1+(#REF!)*((('Arkusz1 (5)'!B115-DATE(YEAR(B115),1,1)+1)/366)+((DATE(YEAR(B114),12,31)-'Arkusz1 (5)'!B114)/365))),0))</f>
        <v>#REF!</v>
      </c>
      <c r="H115" t="e">
        <f t="shared" si="11"/>
        <v>#REF!</v>
      </c>
      <c r="I115" t="e">
        <f t="shared" si="12"/>
        <v>#REF!</v>
      </c>
      <c r="J115" t="e">
        <f t="shared" si="13"/>
        <v>#REF!</v>
      </c>
      <c r="K115" t="e">
        <f ca="1">PRODUCT($J$3:J115)</f>
        <v>#REF!</v>
      </c>
      <c r="L115" t="e">
        <f t="shared" ca="1" si="14"/>
        <v>#REF!</v>
      </c>
      <c r="M115" t="e">
        <f ca="1">SUM($L$3:L115)</f>
        <v>#REF!</v>
      </c>
      <c r="O115" t="e">
        <f ca="1">(Q114*'Arkusz1 (5)'!J115)-Q114</f>
        <v>#REF!</v>
      </c>
      <c r="P115" s="16" t="e">
        <f t="shared" ca="1" si="15"/>
        <v>#REF!</v>
      </c>
      <c r="Q115" s="17" t="e">
        <f t="shared" ca="1" si="16"/>
        <v>#REF!</v>
      </c>
    </row>
    <row r="116" spans="1:17" x14ac:dyDescent="0.35">
      <c r="A116">
        <v>114</v>
      </c>
      <c r="B116" s="14" t="e">
        <f t="shared" si="17"/>
        <v>#REF!</v>
      </c>
      <c r="C116" s="15" t="e">
        <f>(1+(#REF!)*('Arkusz1 (5)'!B116-'Arkusz1 (5)'!B115)/365)</f>
        <v>#REF!</v>
      </c>
      <c r="D116" s="15" t="e">
        <f>(1+(#REF!)*('Arkusz1 (5)'!B116-'Arkusz1 (5)'!B115)/366)</f>
        <v>#REF!</v>
      </c>
      <c r="E116" s="15" t="e">
        <f t="shared" si="9"/>
        <v>#REF!</v>
      </c>
      <c r="F116" s="15" t="e">
        <f t="shared" si="10"/>
        <v>#REF!</v>
      </c>
      <c r="G116" t="e">
        <f>IF(E116=1,(1+(#REF!)*((('Arkusz1 (5)'!B116-DATE(YEAR(B116),1,1)+1)/365)+((DATE(YEAR(B115),12,31)-'Arkusz1 (5)'!B115)/366))),IF(F116=1,(1+(#REF!)*((('Arkusz1 (5)'!B116-DATE(YEAR(B116),1,1)+1)/366)+((DATE(YEAR(B115),12,31)-'Arkusz1 (5)'!B115)/365))),0))</f>
        <v>#REF!</v>
      </c>
      <c r="H116" t="e">
        <f t="shared" si="11"/>
        <v>#REF!</v>
      </c>
      <c r="I116" t="e">
        <f t="shared" si="12"/>
        <v>#REF!</v>
      </c>
      <c r="J116" t="e">
        <f t="shared" si="13"/>
        <v>#REF!</v>
      </c>
      <c r="K116" t="e">
        <f ca="1">PRODUCT($J$3:J116)</f>
        <v>#REF!</v>
      </c>
      <c r="L116" t="e">
        <f t="shared" ca="1" si="14"/>
        <v>#REF!</v>
      </c>
      <c r="M116" t="e">
        <f ca="1">SUM($L$3:L116)</f>
        <v>#REF!</v>
      </c>
      <c r="O116" t="e">
        <f ca="1">(Q115*'Arkusz1 (5)'!J116)-Q115</f>
        <v>#REF!</v>
      </c>
      <c r="P116" s="16" t="e">
        <f t="shared" ca="1" si="15"/>
        <v>#REF!</v>
      </c>
      <c r="Q116" s="17" t="e">
        <f t="shared" ca="1" si="16"/>
        <v>#REF!</v>
      </c>
    </row>
    <row r="117" spans="1:17" x14ac:dyDescent="0.35">
      <c r="A117">
        <v>115</v>
      </c>
      <c r="B117" s="14" t="e">
        <f t="shared" si="17"/>
        <v>#REF!</v>
      </c>
      <c r="C117" s="15" t="e">
        <f>(1+(#REF!)*('Arkusz1 (5)'!B117-'Arkusz1 (5)'!B116)/365)</f>
        <v>#REF!</v>
      </c>
      <c r="D117" s="15" t="e">
        <f>(1+(#REF!)*('Arkusz1 (5)'!B117-'Arkusz1 (5)'!B116)/366)</f>
        <v>#REF!</v>
      </c>
      <c r="E117" s="15" t="e">
        <f t="shared" si="9"/>
        <v>#REF!</v>
      </c>
      <c r="F117" s="15" t="e">
        <f t="shared" si="10"/>
        <v>#REF!</v>
      </c>
      <c r="G117" t="e">
        <f>IF(E117=1,(1+(#REF!)*((('Arkusz1 (5)'!B117-DATE(YEAR(B117),1,1)+1)/365)+((DATE(YEAR(B116),12,31)-'Arkusz1 (5)'!B116)/366))),IF(F117=1,(1+(#REF!)*((('Arkusz1 (5)'!B117-DATE(YEAR(B117),1,1)+1)/366)+((DATE(YEAR(B116),12,31)-'Arkusz1 (5)'!B116)/365))),0))</f>
        <v>#REF!</v>
      </c>
      <c r="H117" t="e">
        <f t="shared" si="11"/>
        <v>#REF!</v>
      </c>
      <c r="I117" t="e">
        <f t="shared" si="12"/>
        <v>#REF!</v>
      </c>
      <c r="J117" t="e">
        <f t="shared" si="13"/>
        <v>#REF!</v>
      </c>
      <c r="K117" t="e">
        <f ca="1">PRODUCT($J$3:J117)</f>
        <v>#REF!</v>
      </c>
      <c r="L117" t="e">
        <f t="shared" ca="1" si="14"/>
        <v>#REF!</v>
      </c>
      <c r="M117" t="e">
        <f ca="1">SUM($L$3:L117)</f>
        <v>#REF!</v>
      </c>
      <c r="O117" t="e">
        <f ca="1">(Q116*'Arkusz1 (5)'!J117)-Q116</f>
        <v>#REF!</v>
      </c>
      <c r="P117" s="16" t="e">
        <f t="shared" ca="1" si="15"/>
        <v>#REF!</v>
      </c>
      <c r="Q117" s="17" t="e">
        <f t="shared" ca="1" si="16"/>
        <v>#REF!</v>
      </c>
    </row>
    <row r="118" spans="1:17" x14ac:dyDescent="0.35">
      <c r="A118">
        <v>116</v>
      </c>
      <c r="B118" s="14" t="e">
        <f t="shared" si="17"/>
        <v>#REF!</v>
      </c>
      <c r="C118" s="15" t="e">
        <f>(1+(#REF!)*('Arkusz1 (5)'!B118-'Arkusz1 (5)'!B117)/365)</f>
        <v>#REF!</v>
      </c>
      <c r="D118" s="15" t="e">
        <f>(1+(#REF!)*('Arkusz1 (5)'!B118-'Arkusz1 (5)'!B117)/366)</f>
        <v>#REF!</v>
      </c>
      <c r="E118" s="15" t="e">
        <f t="shared" si="9"/>
        <v>#REF!</v>
      </c>
      <c r="F118" s="15" t="e">
        <f t="shared" si="10"/>
        <v>#REF!</v>
      </c>
      <c r="G118" t="e">
        <f>IF(E118=1,(1+(#REF!)*((('Arkusz1 (5)'!B118-DATE(YEAR(B118),1,1)+1)/365)+((DATE(YEAR(B117),12,31)-'Arkusz1 (5)'!B117)/366))),IF(F118=1,(1+(#REF!)*((('Arkusz1 (5)'!B118-DATE(YEAR(B118),1,1)+1)/366)+((DATE(YEAR(B117),12,31)-'Arkusz1 (5)'!B117)/365))),0))</f>
        <v>#REF!</v>
      </c>
      <c r="H118" t="e">
        <f t="shared" si="11"/>
        <v>#REF!</v>
      </c>
      <c r="I118" t="e">
        <f t="shared" si="12"/>
        <v>#REF!</v>
      </c>
      <c r="J118" t="e">
        <f t="shared" si="13"/>
        <v>#REF!</v>
      </c>
      <c r="K118" t="e">
        <f ca="1">PRODUCT($J$3:J118)</f>
        <v>#REF!</v>
      </c>
      <c r="L118" t="e">
        <f t="shared" ca="1" si="14"/>
        <v>#REF!</v>
      </c>
      <c r="M118" t="e">
        <f ca="1">SUM($L$3:L118)</f>
        <v>#REF!</v>
      </c>
      <c r="O118" t="e">
        <f ca="1">(Q117*'Arkusz1 (5)'!J118)-Q117</f>
        <v>#REF!</v>
      </c>
      <c r="P118" s="16" t="e">
        <f t="shared" ca="1" si="15"/>
        <v>#REF!</v>
      </c>
      <c r="Q118" s="17" t="e">
        <f t="shared" ca="1" si="16"/>
        <v>#REF!</v>
      </c>
    </row>
    <row r="119" spans="1:17" x14ac:dyDescent="0.35">
      <c r="A119">
        <v>117</v>
      </c>
      <c r="B119" s="14" t="e">
        <f t="shared" si="17"/>
        <v>#REF!</v>
      </c>
      <c r="C119" s="15" t="e">
        <f>(1+(#REF!)*('Arkusz1 (5)'!B119-'Arkusz1 (5)'!B118)/365)</f>
        <v>#REF!</v>
      </c>
      <c r="D119" s="15" t="e">
        <f>(1+(#REF!)*('Arkusz1 (5)'!B119-'Arkusz1 (5)'!B118)/366)</f>
        <v>#REF!</v>
      </c>
      <c r="E119" s="15" t="e">
        <f t="shared" si="9"/>
        <v>#REF!</v>
      </c>
      <c r="F119" s="15" t="e">
        <f t="shared" si="10"/>
        <v>#REF!</v>
      </c>
      <c r="G119" t="e">
        <f>IF(E119=1,(1+(#REF!)*((('Arkusz1 (5)'!B119-DATE(YEAR(B119),1,1)+1)/365)+((DATE(YEAR(B118),12,31)-'Arkusz1 (5)'!B118)/366))),IF(F119=1,(1+(#REF!)*((('Arkusz1 (5)'!B119-DATE(YEAR(B119),1,1)+1)/366)+((DATE(YEAR(B118),12,31)-'Arkusz1 (5)'!B118)/365))),0))</f>
        <v>#REF!</v>
      </c>
      <c r="H119" t="e">
        <f t="shared" si="11"/>
        <v>#REF!</v>
      </c>
      <c r="I119" t="e">
        <f t="shared" si="12"/>
        <v>#REF!</v>
      </c>
      <c r="J119" t="e">
        <f t="shared" si="13"/>
        <v>#REF!</v>
      </c>
      <c r="K119" t="e">
        <f ca="1">PRODUCT($J$3:J119)</f>
        <v>#REF!</v>
      </c>
      <c r="L119" t="e">
        <f t="shared" ca="1" si="14"/>
        <v>#REF!</v>
      </c>
      <c r="M119" t="e">
        <f ca="1">SUM($L$3:L119)</f>
        <v>#REF!</v>
      </c>
      <c r="O119" t="e">
        <f ca="1">(Q118*'Arkusz1 (5)'!J119)-Q118</f>
        <v>#REF!</v>
      </c>
      <c r="P119" s="16" t="e">
        <f t="shared" ca="1" si="15"/>
        <v>#REF!</v>
      </c>
      <c r="Q119" s="17" t="e">
        <f t="shared" ca="1" si="16"/>
        <v>#REF!</v>
      </c>
    </row>
    <row r="120" spans="1:17" x14ac:dyDescent="0.35">
      <c r="A120">
        <v>118</v>
      </c>
      <c r="B120" s="14" t="e">
        <f t="shared" si="17"/>
        <v>#REF!</v>
      </c>
      <c r="C120" s="15" t="e">
        <f>(1+(#REF!)*('Arkusz1 (5)'!B120-'Arkusz1 (5)'!B119)/365)</f>
        <v>#REF!</v>
      </c>
      <c r="D120" s="15" t="e">
        <f>(1+(#REF!)*('Arkusz1 (5)'!B120-'Arkusz1 (5)'!B119)/366)</f>
        <v>#REF!</v>
      </c>
      <c r="E120" s="15" t="e">
        <f t="shared" si="9"/>
        <v>#REF!</v>
      </c>
      <c r="F120" s="15" t="e">
        <f t="shared" si="10"/>
        <v>#REF!</v>
      </c>
      <c r="G120" t="e">
        <f>IF(E120=1,(1+(#REF!)*((('Arkusz1 (5)'!B120-DATE(YEAR(B120),1,1)+1)/365)+((DATE(YEAR(B119),12,31)-'Arkusz1 (5)'!B119)/366))),IF(F120=1,(1+(#REF!)*((('Arkusz1 (5)'!B120-DATE(YEAR(B120),1,1)+1)/366)+((DATE(YEAR(B119),12,31)-'Arkusz1 (5)'!B119)/365))),0))</f>
        <v>#REF!</v>
      </c>
      <c r="H120" t="e">
        <f t="shared" si="11"/>
        <v>#REF!</v>
      </c>
      <c r="I120" t="e">
        <f t="shared" si="12"/>
        <v>#REF!</v>
      </c>
      <c r="J120" t="e">
        <f t="shared" si="13"/>
        <v>#REF!</v>
      </c>
      <c r="K120" t="e">
        <f ca="1">PRODUCT($J$3:J120)</f>
        <v>#REF!</v>
      </c>
      <c r="L120" t="e">
        <f t="shared" ca="1" si="14"/>
        <v>#REF!</v>
      </c>
      <c r="M120" t="e">
        <f ca="1">SUM($L$3:L120)</f>
        <v>#REF!</v>
      </c>
      <c r="O120" t="e">
        <f ca="1">(Q119*'Arkusz1 (5)'!J120)-Q119</f>
        <v>#REF!</v>
      </c>
      <c r="P120" s="16" t="e">
        <f t="shared" ca="1" si="15"/>
        <v>#REF!</v>
      </c>
      <c r="Q120" s="17" t="e">
        <f t="shared" ca="1" si="16"/>
        <v>#REF!</v>
      </c>
    </row>
    <row r="121" spans="1:17" x14ac:dyDescent="0.35">
      <c r="A121">
        <v>119</v>
      </c>
      <c r="B121" s="14" t="e">
        <f t="shared" si="17"/>
        <v>#REF!</v>
      </c>
      <c r="C121" s="15" t="e">
        <f>(1+(#REF!)*('Arkusz1 (5)'!B121-'Arkusz1 (5)'!B120)/365)</f>
        <v>#REF!</v>
      </c>
      <c r="D121" s="15" t="e">
        <f>(1+(#REF!)*('Arkusz1 (5)'!B121-'Arkusz1 (5)'!B120)/366)</f>
        <v>#REF!</v>
      </c>
      <c r="E121" s="15" t="e">
        <f t="shared" si="9"/>
        <v>#REF!</v>
      </c>
      <c r="F121" s="15" t="e">
        <f t="shared" si="10"/>
        <v>#REF!</v>
      </c>
      <c r="G121" t="e">
        <f>IF(E121=1,(1+(#REF!)*((('Arkusz1 (5)'!B121-DATE(YEAR(B121),1,1)+1)/365)+((DATE(YEAR(B120),12,31)-'Arkusz1 (5)'!B120)/366))),IF(F121=1,(1+(#REF!)*((('Arkusz1 (5)'!B121-DATE(YEAR(B121),1,1)+1)/366)+((DATE(YEAR(B120),12,31)-'Arkusz1 (5)'!B120)/365))),0))</f>
        <v>#REF!</v>
      </c>
      <c r="H121" t="e">
        <f t="shared" si="11"/>
        <v>#REF!</v>
      </c>
      <c r="I121" t="e">
        <f t="shared" si="12"/>
        <v>#REF!</v>
      </c>
      <c r="J121" t="e">
        <f t="shared" si="13"/>
        <v>#REF!</v>
      </c>
      <c r="K121" t="e">
        <f ca="1">PRODUCT($J$3:J121)</f>
        <v>#REF!</v>
      </c>
      <c r="L121" t="e">
        <f t="shared" ca="1" si="14"/>
        <v>#REF!</v>
      </c>
      <c r="M121" t="e">
        <f ca="1">SUM($L$3:L121)</f>
        <v>#REF!</v>
      </c>
      <c r="O121" t="e">
        <f ca="1">(Q120*'Arkusz1 (5)'!J121)-Q120</f>
        <v>#REF!</v>
      </c>
      <c r="P121" s="16" t="e">
        <f t="shared" ca="1" si="15"/>
        <v>#REF!</v>
      </c>
      <c r="Q121" s="17" t="e">
        <f t="shared" ca="1" si="16"/>
        <v>#REF!</v>
      </c>
    </row>
    <row r="122" spans="1:17" x14ac:dyDescent="0.35">
      <c r="A122">
        <v>120</v>
      </c>
      <c r="B122" s="14" t="e">
        <f t="shared" si="17"/>
        <v>#REF!</v>
      </c>
      <c r="C122" s="15" t="e">
        <f>(1+(#REF!)*('Arkusz1 (5)'!B122-'Arkusz1 (5)'!B121)/365)</f>
        <v>#REF!</v>
      </c>
      <c r="D122" s="15" t="e">
        <f>(1+(#REF!)*('Arkusz1 (5)'!B122-'Arkusz1 (5)'!B121)/366)</f>
        <v>#REF!</v>
      </c>
      <c r="E122" s="15" t="e">
        <f t="shared" si="9"/>
        <v>#REF!</v>
      </c>
      <c r="F122" s="15" t="e">
        <f t="shared" si="10"/>
        <v>#REF!</v>
      </c>
      <c r="G122" t="e">
        <f>IF(E122=1,(1+(#REF!)*((('Arkusz1 (5)'!B122-DATE(YEAR(B122),1,1)+1)/365)+((DATE(YEAR(B121),12,31)-'Arkusz1 (5)'!B121)/366))),IF(F122=1,(1+(#REF!)*((('Arkusz1 (5)'!B122-DATE(YEAR(B122),1,1)+1)/366)+((DATE(YEAR(B121),12,31)-'Arkusz1 (5)'!B121)/365))),0))</f>
        <v>#REF!</v>
      </c>
      <c r="H122" t="e">
        <f t="shared" si="11"/>
        <v>#REF!</v>
      </c>
      <c r="I122" t="e">
        <f t="shared" si="12"/>
        <v>#REF!</v>
      </c>
      <c r="J122" t="e">
        <f t="shared" si="13"/>
        <v>#REF!</v>
      </c>
      <c r="K122" t="e">
        <f ca="1">PRODUCT($J$3:J122)</f>
        <v>#REF!</v>
      </c>
      <c r="L122" t="e">
        <f t="shared" ca="1" si="14"/>
        <v>#REF!</v>
      </c>
      <c r="M122" t="e">
        <f ca="1">SUM($L$3:L122)</f>
        <v>#REF!</v>
      </c>
      <c r="O122" t="e">
        <f ca="1">(Q121*'Arkusz1 (5)'!J122)-Q121</f>
        <v>#REF!</v>
      </c>
      <c r="P122" s="16" t="e">
        <f t="shared" ca="1" si="15"/>
        <v>#REF!</v>
      </c>
      <c r="Q122" s="17" t="e">
        <f t="shared" ca="1" si="16"/>
        <v>#REF!</v>
      </c>
    </row>
    <row r="123" spans="1:17" x14ac:dyDescent="0.35">
      <c r="A123">
        <v>121</v>
      </c>
      <c r="B123" s="14" t="e">
        <f t="shared" si="17"/>
        <v>#REF!</v>
      </c>
      <c r="C123" s="15" t="e">
        <f>(1+(#REF!)*('Arkusz1 (5)'!B123-'Arkusz1 (5)'!B122)/365)</f>
        <v>#REF!</v>
      </c>
      <c r="D123" s="15" t="e">
        <f>(1+(#REF!)*('Arkusz1 (5)'!B123-'Arkusz1 (5)'!B122)/366)</f>
        <v>#REF!</v>
      </c>
      <c r="E123" s="15" t="e">
        <f t="shared" si="9"/>
        <v>#REF!</v>
      </c>
      <c r="F123" s="15" t="e">
        <f t="shared" si="10"/>
        <v>#REF!</v>
      </c>
      <c r="G123" t="e">
        <f>IF(E123=1,(1+(#REF!)*((('Arkusz1 (5)'!B123-DATE(YEAR(B123),1,1)+1)/365)+((DATE(YEAR(B122),12,31)-'Arkusz1 (5)'!B122)/366))),IF(F123=1,(1+(#REF!)*((('Arkusz1 (5)'!B123-DATE(YEAR(B123),1,1)+1)/366)+((DATE(YEAR(B122),12,31)-'Arkusz1 (5)'!B122)/365))),0))</f>
        <v>#REF!</v>
      </c>
      <c r="H123" t="e">
        <f t="shared" si="11"/>
        <v>#REF!</v>
      </c>
      <c r="I123" t="e">
        <f t="shared" si="12"/>
        <v>#REF!</v>
      </c>
      <c r="J123" t="e">
        <f t="shared" si="13"/>
        <v>#REF!</v>
      </c>
      <c r="K123" t="e">
        <f ca="1">PRODUCT($J$3:J123)</f>
        <v>#REF!</v>
      </c>
      <c r="L123" t="e">
        <f t="shared" ca="1" si="14"/>
        <v>#REF!</v>
      </c>
      <c r="M123" t="e">
        <f ca="1">SUM($L$3:L123)</f>
        <v>#REF!</v>
      </c>
      <c r="O123" t="e">
        <f ca="1">(Q122*'Arkusz1 (5)'!J123)-Q122</f>
        <v>#REF!</v>
      </c>
      <c r="P123" s="16" t="e">
        <f t="shared" ca="1" si="15"/>
        <v>#REF!</v>
      </c>
      <c r="Q123" s="17" t="e">
        <f t="shared" ca="1" si="16"/>
        <v>#REF!</v>
      </c>
    </row>
    <row r="124" spans="1:17" x14ac:dyDescent="0.35">
      <c r="A124">
        <v>122</v>
      </c>
      <c r="B124" s="14" t="e">
        <f t="shared" si="17"/>
        <v>#REF!</v>
      </c>
      <c r="C124" s="15" t="e">
        <f>(1+(#REF!)*('Arkusz1 (5)'!B124-'Arkusz1 (5)'!B123)/365)</f>
        <v>#REF!</v>
      </c>
      <c r="D124" s="15" t="e">
        <f>(1+(#REF!)*('Arkusz1 (5)'!B124-'Arkusz1 (5)'!B123)/366)</f>
        <v>#REF!</v>
      </c>
      <c r="E124" s="15" t="e">
        <f t="shared" si="9"/>
        <v>#REF!</v>
      </c>
      <c r="F124" s="15" t="e">
        <f t="shared" si="10"/>
        <v>#REF!</v>
      </c>
      <c r="G124" t="e">
        <f>IF(E124=1,(1+(#REF!)*((('Arkusz1 (5)'!B124-DATE(YEAR(B124),1,1)+1)/365)+((DATE(YEAR(B123),12,31)-'Arkusz1 (5)'!B123)/366))),IF(F124=1,(1+(#REF!)*((('Arkusz1 (5)'!B124-DATE(YEAR(B124),1,1)+1)/366)+((DATE(YEAR(B123),12,31)-'Arkusz1 (5)'!B123)/365))),0))</f>
        <v>#REF!</v>
      </c>
      <c r="H124" t="e">
        <f t="shared" si="11"/>
        <v>#REF!</v>
      </c>
      <c r="I124" t="e">
        <f t="shared" si="12"/>
        <v>#REF!</v>
      </c>
      <c r="J124" t="e">
        <f t="shared" si="13"/>
        <v>#REF!</v>
      </c>
      <c r="K124" t="e">
        <f ca="1">PRODUCT($J$3:J124)</f>
        <v>#REF!</v>
      </c>
      <c r="L124" t="e">
        <f t="shared" ca="1" si="14"/>
        <v>#REF!</v>
      </c>
      <c r="M124" t="e">
        <f ca="1">SUM($L$3:L124)</f>
        <v>#REF!</v>
      </c>
      <c r="O124" t="e">
        <f ca="1">(Q123*'Arkusz1 (5)'!J124)-Q123</f>
        <v>#REF!</v>
      </c>
      <c r="P124" s="16" t="e">
        <f t="shared" ca="1" si="15"/>
        <v>#REF!</v>
      </c>
      <c r="Q124" s="17" t="e">
        <f t="shared" ca="1" si="16"/>
        <v>#REF!</v>
      </c>
    </row>
    <row r="125" spans="1:17" x14ac:dyDescent="0.35">
      <c r="A125">
        <v>123</v>
      </c>
      <c r="B125" s="14" t="e">
        <f t="shared" si="17"/>
        <v>#REF!</v>
      </c>
      <c r="C125" s="15" t="e">
        <f>(1+(#REF!)*('Arkusz1 (5)'!B125-'Arkusz1 (5)'!B124)/365)</f>
        <v>#REF!</v>
      </c>
      <c r="D125" s="15" t="e">
        <f>(1+(#REF!)*('Arkusz1 (5)'!B125-'Arkusz1 (5)'!B124)/366)</f>
        <v>#REF!</v>
      </c>
      <c r="E125" s="15" t="e">
        <f t="shared" si="9"/>
        <v>#REF!</v>
      </c>
      <c r="F125" s="15" t="e">
        <f t="shared" si="10"/>
        <v>#REF!</v>
      </c>
      <c r="G125" t="e">
        <f>IF(E125=1,(1+(#REF!)*((('Arkusz1 (5)'!B125-DATE(YEAR(B125),1,1)+1)/365)+((DATE(YEAR(B124),12,31)-'Arkusz1 (5)'!B124)/366))),IF(F125=1,(1+(#REF!)*((('Arkusz1 (5)'!B125-DATE(YEAR(B125),1,1)+1)/366)+((DATE(YEAR(B124),12,31)-'Arkusz1 (5)'!B124)/365))),0))</f>
        <v>#REF!</v>
      </c>
      <c r="H125" t="e">
        <f t="shared" si="11"/>
        <v>#REF!</v>
      </c>
      <c r="I125" t="e">
        <f t="shared" si="12"/>
        <v>#REF!</v>
      </c>
      <c r="J125" t="e">
        <f t="shared" si="13"/>
        <v>#REF!</v>
      </c>
      <c r="K125" t="e">
        <f ca="1">PRODUCT($J$3:J125)</f>
        <v>#REF!</v>
      </c>
      <c r="L125" t="e">
        <f t="shared" ca="1" si="14"/>
        <v>#REF!</v>
      </c>
      <c r="M125" t="e">
        <f ca="1">SUM($L$3:L125)</f>
        <v>#REF!</v>
      </c>
      <c r="O125" t="e">
        <f ca="1">(Q124*'Arkusz1 (5)'!J125)-Q124</f>
        <v>#REF!</v>
      </c>
      <c r="P125" s="16" t="e">
        <f t="shared" ca="1" si="15"/>
        <v>#REF!</v>
      </c>
      <c r="Q125" s="17" t="e">
        <f t="shared" ca="1" si="16"/>
        <v>#REF!</v>
      </c>
    </row>
    <row r="126" spans="1:17" x14ac:dyDescent="0.35">
      <c r="A126">
        <v>124</v>
      </c>
      <c r="B126" s="14" t="e">
        <f t="shared" si="17"/>
        <v>#REF!</v>
      </c>
      <c r="C126" s="15" t="e">
        <f>(1+(#REF!)*('Arkusz1 (5)'!B126-'Arkusz1 (5)'!B125)/365)</f>
        <v>#REF!</v>
      </c>
      <c r="D126" s="15" t="e">
        <f>(1+(#REF!)*('Arkusz1 (5)'!B126-'Arkusz1 (5)'!B125)/366)</f>
        <v>#REF!</v>
      </c>
      <c r="E126" s="15" t="e">
        <f t="shared" si="9"/>
        <v>#REF!</v>
      </c>
      <c r="F126" s="15" t="e">
        <f t="shared" si="10"/>
        <v>#REF!</v>
      </c>
      <c r="G126" t="e">
        <f>IF(E126=1,(1+(#REF!)*((('Arkusz1 (5)'!B126-DATE(YEAR(B126),1,1)+1)/365)+((DATE(YEAR(B125),12,31)-'Arkusz1 (5)'!B125)/366))),IF(F126=1,(1+(#REF!)*((('Arkusz1 (5)'!B126-DATE(YEAR(B126),1,1)+1)/366)+((DATE(YEAR(B125),12,31)-'Arkusz1 (5)'!B125)/365))),0))</f>
        <v>#REF!</v>
      </c>
      <c r="H126" t="e">
        <f t="shared" si="11"/>
        <v>#REF!</v>
      </c>
      <c r="I126" t="e">
        <f t="shared" si="12"/>
        <v>#REF!</v>
      </c>
      <c r="J126" t="e">
        <f t="shared" si="13"/>
        <v>#REF!</v>
      </c>
      <c r="K126" t="e">
        <f ca="1">PRODUCT($J$3:J126)</f>
        <v>#REF!</v>
      </c>
      <c r="L126" t="e">
        <f t="shared" ca="1" si="14"/>
        <v>#REF!</v>
      </c>
      <c r="M126" t="e">
        <f ca="1">SUM($L$3:L126)</f>
        <v>#REF!</v>
      </c>
      <c r="O126" t="e">
        <f ca="1">(Q125*'Arkusz1 (5)'!J126)-Q125</f>
        <v>#REF!</v>
      </c>
      <c r="P126" s="16" t="e">
        <f t="shared" ca="1" si="15"/>
        <v>#REF!</v>
      </c>
      <c r="Q126" s="17" t="e">
        <f t="shared" ca="1" si="16"/>
        <v>#REF!</v>
      </c>
    </row>
    <row r="127" spans="1:17" x14ac:dyDescent="0.35">
      <c r="A127">
        <v>125</v>
      </c>
      <c r="B127" s="14" t="e">
        <f t="shared" si="17"/>
        <v>#REF!</v>
      </c>
      <c r="C127" s="15" t="e">
        <f>(1+(#REF!)*('Arkusz1 (5)'!B127-'Arkusz1 (5)'!B126)/365)</f>
        <v>#REF!</v>
      </c>
      <c r="D127" s="15" t="e">
        <f>(1+(#REF!)*('Arkusz1 (5)'!B127-'Arkusz1 (5)'!B126)/366)</f>
        <v>#REF!</v>
      </c>
      <c r="E127" s="15" t="e">
        <f t="shared" si="9"/>
        <v>#REF!</v>
      </c>
      <c r="F127" s="15" t="e">
        <f t="shared" si="10"/>
        <v>#REF!</v>
      </c>
      <c r="G127" t="e">
        <f>IF(E127=1,(1+(#REF!)*((('Arkusz1 (5)'!B127-DATE(YEAR(B127),1,1)+1)/365)+((DATE(YEAR(B126),12,31)-'Arkusz1 (5)'!B126)/366))),IF(F127=1,(1+(#REF!)*((('Arkusz1 (5)'!B127-DATE(YEAR(B127),1,1)+1)/366)+((DATE(YEAR(B126),12,31)-'Arkusz1 (5)'!B126)/365))),0))</f>
        <v>#REF!</v>
      </c>
      <c r="H127" t="e">
        <f t="shared" si="11"/>
        <v>#REF!</v>
      </c>
      <c r="I127" t="e">
        <f t="shared" si="12"/>
        <v>#REF!</v>
      </c>
      <c r="J127" t="e">
        <f t="shared" si="13"/>
        <v>#REF!</v>
      </c>
      <c r="K127" t="e">
        <f ca="1">PRODUCT($J$3:J127)</f>
        <v>#REF!</v>
      </c>
      <c r="L127" t="e">
        <f t="shared" ca="1" si="14"/>
        <v>#REF!</v>
      </c>
      <c r="M127" t="e">
        <f ca="1">SUM($L$3:L127)</f>
        <v>#REF!</v>
      </c>
      <c r="O127" t="e">
        <f ca="1">(Q126*'Arkusz1 (5)'!J127)-Q126</f>
        <v>#REF!</v>
      </c>
      <c r="P127" s="16" t="e">
        <f t="shared" ca="1" si="15"/>
        <v>#REF!</v>
      </c>
      <c r="Q127" s="17" t="e">
        <f t="shared" ca="1" si="16"/>
        <v>#REF!</v>
      </c>
    </row>
    <row r="128" spans="1:17" x14ac:dyDescent="0.35">
      <c r="A128">
        <v>126</v>
      </c>
      <c r="B128" s="14" t="e">
        <f t="shared" si="17"/>
        <v>#REF!</v>
      </c>
      <c r="C128" s="15" t="e">
        <f>(1+(#REF!)*('Arkusz1 (5)'!B128-'Arkusz1 (5)'!B127)/365)</f>
        <v>#REF!</v>
      </c>
      <c r="D128" s="15" t="e">
        <f>(1+(#REF!)*('Arkusz1 (5)'!B128-'Arkusz1 (5)'!B127)/366)</f>
        <v>#REF!</v>
      </c>
      <c r="E128" s="15" t="e">
        <f t="shared" si="9"/>
        <v>#REF!</v>
      </c>
      <c r="F128" s="15" t="e">
        <f t="shared" si="10"/>
        <v>#REF!</v>
      </c>
      <c r="G128" t="e">
        <f>IF(E128=1,(1+(#REF!)*((('Arkusz1 (5)'!B128-DATE(YEAR(B128),1,1)+1)/365)+((DATE(YEAR(B127),12,31)-'Arkusz1 (5)'!B127)/366))),IF(F128=1,(1+(#REF!)*((('Arkusz1 (5)'!B128-DATE(YEAR(B128),1,1)+1)/366)+((DATE(YEAR(B127),12,31)-'Arkusz1 (5)'!B127)/365))),0))</f>
        <v>#REF!</v>
      </c>
      <c r="H128" t="e">
        <f t="shared" si="11"/>
        <v>#REF!</v>
      </c>
      <c r="I128" t="e">
        <f t="shared" si="12"/>
        <v>#REF!</v>
      </c>
      <c r="J128" t="e">
        <f t="shared" si="13"/>
        <v>#REF!</v>
      </c>
      <c r="K128" t="e">
        <f ca="1">PRODUCT($J$3:J128)</f>
        <v>#REF!</v>
      </c>
      <c r="L128" t="e">
        <f t="shared" ca="1" si="14"/>
        <v>#REF!</v>
      </c>
      <c r="M128" t="e">
        <f ca="1">SUM($L$3:L128)</f>
        <v>#REF!</v>
      </c>
      <c r="O128" t="e">
        <f ca="1">(Q127*'Arkusz1 (5)'!J128)-Q127</f>
        <v>#REF!</v>
      </c>
      <c r="P128" s="16" t="e">
        <f t="shared" ca="1" si="15"/>
        <v>#REF!</v>
      </c>
      <c r="Q128" s="17" t="e">
        <f t="shared" ca="1" si="16"/>
        <v>#REF!</v>
      </c>
    </row>
    <row r="129" spans="1:17" x14ac:dyDescent="0.35">
      <c r="A129">
        <v>127</v>
      </c>
      <c r="B129" s="14" t="e">
        <f t="shared" si="17"/>
        <v>#REF!</v>
      </c>
      <c r="C129" s="15" t="e">
        <f>(1+(#REF!)*('Arkusz1 (5)'!B129-'Arkusz1 (5)'!B128)/365)</f>
        <v>#REF!</v>
      </c>
      <c r="D129" s="15" t="e">
        <f>(1+(#REF!)*('Arkusz1 (5)'!B129-'Arkusz1 (5)'!B128)/366)</f>
        <v>#REF!</v>
      </c>
      <c r="E129" s="15" t="e">
        <f t="shared" si="9"/>
        <v>#REF!</v>
      </c>
      <c r="F129" s="15" t="e">
        <f t="shared" si="10"/>
        <v>#REF!</v>
      </c>
      <c r="G129" t="e">
        <f>IF(E129=1,(1+(#REF!)*((('Arkusz1 (5)'!B129-DATE(YEAR(B129),1,1)+1)/365)+((DATE(YEAR(B128),12,31)-'Arkusz1 (5)'!B128)/366))),IF(F129=1,(1+(#REF!)*((('Arkusz1 (5)'!B129-DATE(YEAR(B129),1,1)+1)/366)+((DATE(YEAR(B128),12,31)-'Arkusz1 (5)'!B128)/365))),0))</f>
        <v>#REF!</v>
      </c>
      <c r="H129" t="e">
        <f t="shared" si="11"/>
        <v>#REF!</v>
      </c>
      <c r="I129" t="e">
        <f t="shared" si="12"/>
        <v>#REF!</v>
      </c>
      <c r="J129" t="e">
        <f t="shared" si="13"/>
        <v>#REF!</v>
      </c>
      <c r="K129" t="e">
        <f ca="1">PRODUCT($J$3:J129)</f>
        <v>#REF!</v>
      </c>
      <c r="L129" t="e">
        <f t="shared" ca="1" si="14"/>
        <v>#REF!</v>
      </c>
      <c r="M129" t="e">
        <f ca="1">SUM($L$3:L129)</f>
        <v>#REF!</v>
      </c>
      <c r="O129" t="e">
        <f ca="1">(Q128*'Arkusz1 (5)'!J129)-Q128</f>
        <v>#REF!</v>
      </c>
      <c r="P129" s="16" t="e">
        <f t="shared" ca="1" si="15"/>
        <v>#REF!</v>
      </c>
      <c r="Q129" s="17" t="e">
        <f t="shared" ca="1" si="16"/>
        <v>#REF!</v>
      </c>
    </row>
    <row r="130" spans="1:17" x14ac:dyDescent="0.35">
      <c r="A130">
        <v>128</v>
      </c>
      <c r="B130" s="14" t="e">
        <f t="shared" si="17"/>
        <v>#REF!</v>
      </c>
      <c r="C130" s="15" t="e">
        <f>(1+(#REF!)*('Arkusz1 (5)'!B130-'Arkusz1 (5)'!B129)/365)</f>
        <v>#REF!</v>
      </c>
      <c r="D130" s="15" t="e">
        <f>(1+(#REF!)*('Arkusz1 (5)'!B130-'Arkusz1 (5)'!B129)/366)</f>
        <v>#REF!</v>
      </c>
      <c r="E130" s="15" t="e">
        <f t="shared" si="9"/>
        <v>#REF!</v>
      </c>
      <c r="F130" s="15" t="e">
        <f t="shared" si="10"/>
        <v>#REF!</v>
      </c>
      <c r="G130" t="e">
        <f>IF(E130=1,(1+(#REF!)*((('Arkusz1 (5)'!B130-DATE(YEAR(B130),1,1)+1)/365)+((DATE(YEAR(B129),12,31)-'Arkusz1 (5)'!B129)/366))),IF(F130=1,(1+(#REF!)*((('Arkusz1 (5)'!B130-DATE(YEAR(B130),1,1)+1)/366)+((DATE(YEAR(B129),12,31)-'Arkusz1 (5)'!B129)/365))),0))</f>
        <v>#REF!</v>
      </c>
      <c r="H130" t="e">
        <f t="shared" si="11"/>
        <v>#REF!</v>
      </c>
      <c r="I130" t="e">
        <f t="shared" si="12"/>
        <v>#REF!</v>
      </c>
      <c r="J130" t="e">
        <f t="shared" si="13"/>
        <v>#REF!</v>
      </c>
      <c r="K130" t="e">
        <f ca="1">PRODUCT($J$3:J130)</f>
        <v>#REF!</v>
      </c>
      <c r="L130" t="e">
        <f t="shared" ca="1" si="14"/>
        <v>#REF!</v>
      </c>
      <c r="M130" t="e">
        <f ca="1">SUM($L$3:L130)</f>
        <v>#REF!</v>
      </c>
      <c r="O130" t="e">
        <f ca="1">(Q129*'Arkusz1 (5)'!J130)-Q129</f>
        <v>#REF!</v>
      </c>
      <c r="P130" s="16" t="e">
        <f t="shared" ca="1" si="15"/>
        <v>#REF!</v>
      </c>
      <c r="Q130" s="17" t="e">
        <f t="shared" ca="1" si="16"/>
        <v>#REF!</v>
      </c>
    </row>
    <row r="131" spans="1:17" x14ac:dyDescent="0.35">
      <c r="A131">
        <v>129</v>
      </c>
      <c r="B131" s="14" t="e">
        <f t="shared" si="17"/>
        <v>#REF!</v>
      </c>
      <c r="C131" s="15" t="e">
        <f>(1+(#REF!)*('Arkusz1 (5)'!B131-'Arkusz1 (5)'!B130)/365)</f>
        <v>#REF!</v>
      </c>
      <c r="D131" s="15" t="e">
        <f>(1+(#REF!)*('Arkusz1 (5)'!B131-'Arkusz1 (5)'!B130)/366)</f>
        <v>#REF!</v>
      </c>
      <c r="E131" s="15" t="e">
        <f t="shared" si="9"/>
        <v>#REF!</v>
      </c>
      <c r="F131" s="15" t="e">
        <f t="shared" si="10"/>
        <v>#REF!</v>
      </c>
      <c r="G131" t="e">
        <f>IF(E131=1,(1+(#REF!)*((('Arkusz1 (5)'!B131-DATE(YEAR(B131),1,1)+1)/365)+((DATE(YEAR(B130),12,31)-'Arkusz1 (5)'!B130)/366))),IF(F131=1,(1+(#REF!)*((('Arkusz1 (5)'!B131-DATE(YEAR(B131),1,1)+1)/366)+((DATE(YEAR(B130),12,31)-'Arkusz1 (5)'!B130)/365))),0))</f>
        <v>#REF!</v>
      </c>
      <c r="H131" t="e">
        <f t="shared" si="11"/>
        <v>#REF!</v>
      </c>
      <c r="I131" t="e">
        <f t="shared" si="12"/>
        <v>#REF!</v>
      </c>
      <c r="J131" t="e">
        <f t="shared" si="13"/>
        <v>#REF!</v>
      </c>
      <c r="K131" t="e">
        <f ca="1">PRODUCT($J$3:J131)</f>
        <v>#REF!</v>
      </c>
      <c r="L131" t="e">
        <f t="shared" ca="1" si="14"/>
        <v>#REF!</v>
      </c>
      <c r="M131" t="e">
        <f ca="1">SUM($L$3:L131)</f>
        <v>#REF!</v>
      </c>
      <c r="O131" t="e">
        <f ca="1">(Q130*'Arkusz1 (5)'!J131)-Q130</f>
        <v>#REF!</v>
      </c>
      <c r="P131" s="16" t="e">
        <f t="shared" ca="1" si="15"/>
        <v>#REF!</v>
      </c>
      <c r="Q131" s="17" t="e">
        <f t="shared" ca="1" si="16"/>
        <v>#REF!</v>
      </c>
    </row>
    <row r="132" spans="1:17" x14ac:dyDescent="0.35">
      <c r="A132">
        <v>130</v>
      </c>
      <c r="B132" s="14" t="e">
        <f t="shared" si="17"/>
        <v>#REF!</v>
      </c>
      <c r="C132" s="15" t="e">
        <f>(1+(#REF!)*('Arkusz1 (5)'!B132-'Arkusz1 (5)'!B131)/365)</f>
        <v>#REF!</v>
      </c>
      <c r="D132" s="15" t="e">
        <f>(1+(#REF!)*('Arkusz1 (5)'!B132-'Arkusz1 (5)'!B131)/366)</f>
        <v>#REF!</v>
      </c>
      <c r="E132" s="15" t="e">
        <f t="shared" ref="E132:E182" si="18">IF(AND(MOD(YEAR(B131),4)=0,MOD(YEAR(B132),4)&lt;&gt;0),1,0)</f>
        <v>#REF!</v>
      </c>
      <c r="F132" s="15" t="e">
        <f t="shared" ref="F132:F182" si="19">IF(AND(MOD(YEAR(B132),4)=0,MOD(YEAR(B131),4)&lt;&gt;0),1,0)</f>
        <v>#REF!</v>
      </c>
      <c r="G132" t="e">
        <f>IF(E132=1,(1+(#REF!)*((('Arkusz1 (5)'!B132-DATE(YEAR(B132),1,1)+1)/365)+((DATE(YEAR(B131),12,31)-'Arkusz1 (5)'!B131)/366))),IF(F132=1,(1+(#REF!)*((('Arkusz1 (5)'!B132-DATE(YEAR(B132),1,1)+1)/366)+((DATE(YEAR(B131),12,31)-'Arkusz1 (5)'!B131)/365))),0))</f>
        <v>#REF!</v>
      </c>
      <c r="H132" t="e">
        <f t="shared" ref="H132:H182" si="20">IF(MOD(YEAR(B132),4)=0,1,0)</f>
        <v>#REF!</v>
      </c>
      <c r="I132" t="e">
        <f t="shared" ref="I132:I182" si="21">IF(H132=0,C132,IF(H132=1,D132,"blad"))</f>
        <v>#REF!</v>
      </c>
      <c r="J132" t="e">
        <f t="shared" ref="J132:J182" si="22">IF(OR(E132=1,F132=1),G132,I132)</f>
        <v>#REF!</v>
      </c>
      <c r="K132" t="e">
        <f ca="1">PRODUCT($J$3:J132)</f>
        <v>#REF!</v>
      </c>
      <c r="L132" t="e">
        <f t="shared" ref="L132:L182" ca="1" si="23">1/K132</f>
        <v>#REF!</v>
      </c>
      <c r="M132" t="e">
        <f ca="1">SUM($L$3:L132)</f>
        <v>#REF!</v>
      </c>
      <c r="O132" t="e">
        <f ca="1">(Q131*'Arkusz1 (5)'!J132)-Q131</f>
        <v>#REF!</v>
      </c>
      <c r="P132" s="16" t="e">
        <f t="shared" ca="1" si="15"/>
        <v>#REF!</v>
      </c>
      <c r="Q132" s="17" t="e">
        <f t="shared" ca="1" si="16"/>
        <v>#REF!</v>
      </c>
    </row>
    <row r="133" spans="1:17" x14ac:dyDescent="0.35">
      <c r="A133">
        <v>131</v>
      </c>
      <c r="B133" s="14" t="e">
        <f t="shared" si="17"/>
        <v>#REF!</v>
      </c>
      <c r="C133" s="15" t="e">
        <f>(1+(#REF!)*('Arkusz1 (5)'!B133-'Arkusz1 (5)'!B132)/365)</f>
        <v>#REF!</v>
      </c>
      <c r="D133" s="15" t="e">
        <f>(1+(#REF!)*('Arkusz1 (5)'!B133-'Arkusz1 (5)'!B132)/366)</f>
        <v>#REF!</v>
      </c>
      <c r="E133" s="15" t="e">
        <f t="shared" si="18"/>
        <v>#REF!</v>
      </c>
      <c r="F133" s="15" t="e">
        <f t="shared" si="19"/>
        <v>#REF!</v>
      </c>
      <c r="G133" t="e">
        <f>IF(E133=1,(1+(#REF!)*((('Arkusz1 (5)'!B133-DATE(YEAR(B133),1,1)+1)/365)+((DATE(YEAR(B132),12,31)-'Arkusz1 (5)'!B132)/366))),IF(F133=1,(1+(#REF!)*((('Arkusz1 (5)'!B133-DATE(YEAR(B133),1,1)+1)/366)+((DATE(YEAR(B132),12,31)-'Arkusz1 (5)'!B132)/365))),0))</f>
        <v>#REF!</v>
      </c>
      <c r="H133" t="e">
        <f t="shared" si="20"/>
        <v>#REF!</v>
      </c>
      <c r="I133" t="e">
        <f t="shared" si="21"/>
        <v>#REF!</v>
      </c>
      <c r="J133" t="e">
        <f t="shared" si="22"/>
        <v>#REF!</v>
      </c>
      <c r="K133" t="e">
        <f ca="1">PRODUCT($J$3:J133)</f>
        <v>#REF!</v>
      </c>
      <c r="L133" t="e">
        <f t="shared" ca="1" si="23"/>
        <v>#REF!</v>
      </c>
      <c r="M133" t="e">
        <f ca="1">SUM($L$3:L133)</f>
        <v>#REF!</v>
      </c>
      <c r="O133" t="e">
        <f ca="1">(Q132*'Arkusz1 (5)'!J133)-Q132</f>
        <v>#REF!</v>
      </c>
      <c r="P133" s="16" t="e">
        <f t="shared" ref="P133:P182" ca="1" si="24">$N$2-O133</f>
        <v>#REF!</v>
      </c>
      <c r="Q133" s="17" t="e">
        <f t="shared" ref="Q133:Q182" ca="1" si="25">Q132-P133</f>
        <v>#REF!</v>
      </c>
    </row>
    <row r="134" spans="1:17" x14ac:dyDescent="0.35">
      <c r="A134">
        <v>132</v>
      </c>
      <c r="B134" s="14" t="e">
        <f t="shared" ref="B134:B182" si="26">DATE(YEAR((B133)),MONTH((B133))+1,IF(AND(DAY(B133)&gt;28,MONTH((B133))+1=2),IF(MOD(YEAR(B133),4)=0,29,28),IF(AND(OR(DAY(B133)=28,DAY(B133)=29),MONTH((B133))=2),DAY(B132),DAY(B133))))</f>
        <v>#REF!</v>
      </c>
      <c r="C134" s="15" t="e">
        <f>(1+(#REF!)*('Arkusz1 (5)'!B134-'Arkusz1 (5)'!B133)/365)</f>
        <v>#REF!</v>
      </c>
      <c r="D134" s="15" t="e">
        <f>(1+(#REF!)*('Arkusz1 (5)'!B134-'Arkusz1 (5)'!B133)/366)</f>
        <v>#REF!</v>
      </c>
      <c r="E134" s="15" t="e">
        <f t="shared" si="18"/>
        <v>#REF!</v>
      </c>
      <c r="F134" s="15" t="e">
        <f t="shared" si="19"/>
        <v>#REF!</v>
      </c>
      <c r="G134" t="e">
        <f>IF(E134=1,(1+(#REF!)*((('Arkusz1 (5)'!B134-DATE(YEAR(B134),1,1)+1)/365)+((DATE(YEAR(B133),12,31)-'Arkusz1 (5)'!B133)/366))),IF(F134=1,(1+(#REF!)*((('Arkusz1 (5)'!B134-DATE(YEAR(B134),1,1)+1)/366)+((DATE(YEAR(B133),12,31)-'Arkusz1 (5)'!B133)/365))),0))</f>
        <v>#REF!</v>
      </c>
      <c r="H134" t="e">
        <f t="shared" si="20"/>
        <v>#REF!</v>
      </c>
      <c r="I134" t="e">
        <f t="shared" si="21"/>
        <v>#REF!</v>
      </c>
      <c r="J134" t="e">
        <f t="shared" si="22"/>
        <v>#REF!</v>
      </c>
      <c r="K134" t="e">
        <f ca="1">PRODUCT($J$3:J134)</f>
        <v>#REF!</v>
      </c>
      <c r="L134" t="e">
        <f t="shared" ca="1" si="23"/>
        <v>#REF!</v>
      </c>
      <c r="M134" t="e">
        <f ca="1">SUM($L$3:L134)</f>
        <v>#REF!</v>
      </c>
      <c r="O134" t="e">
        <f ca="1">(Q133*'Arkusz1 (5)'!J134)-Q133</f>
        <v>#REF!</v>
      </c>
      <c r="P134" s="16" t="e">
        <f t="shared" ca="1" si="24"/>
        <v>#REF!</v>
      </c>
      <c r="Q134" s="17" t="e">
        <f t="shared" ca="1" si="25"/>
        <v>#REF!</v>
      </c>
    </row>
    <row r="135" spans="1:17" x14ac:dyDescent="0.35">
      <c r="A135">
        <v>133</v>
      </c>
      <c r="B135" s="14" t="e">
        <f t="shared" si="26"/>
        <v>#REF!</v>
      </c>
      <c r="C135" s="15" t="e">
        <f>(1+(#REF!)*('Arkusz1 (5)'!B135-'Arkusz1 (5)'!B134)/365)</f>
        <v>#REF!</v>
      </c>
      <c r="D135" s="15" t="e">
        <f>(1+(#REF!)*('Arkusz1 (5)'!B135-'Arkusz1 (5)'!B134)/366)</f>
        <v>#REF!</v>
      </c>
      <c r="E135" s="15" t="e">
        <f t="shared" si="18"/>
        <v>#REF!</v>
      </c>
      <c r="F135" s="15" t="e">
        <f t="shared" si="19"/>
        <v>#REF!</v>
      </c>
      <c r="G135" t="e">
        <f>IF(E135=1,(1+(#REF!)*((('Arkusz1 (5)'!B135-DATE(YEAR(B135),1,1)+1)/365)+((DATE(YEAR(B134),12,31)-'Arkusz1 (5)'!B134)/366))),IF(F135=1,(1+(#REF!)*((('Arkusz1 (5)'!B135-DATE(YEAR(B135),1,1)+1)/366)+((DATE(YEAR(B134),12,31)-'Arkusz1 (5)'!B134)/365))),0))</f>
        <v>#REF!</v>
      </c>
      <c r="H135" t="e">
        <f t="shared" si="20"/>
        <v>#REF!</v>
      </c>
      <c r="I135" t="e">
        <f t="shared" si="21"/>
        <v>#REF!</v>
      </c>
      <c r="J135" t="e">
        <f t="shared" si="22"/>
        <v>#REF!</v>
      </c>
      <c r="K135" t="e">
        <f ca="1">PRODUCT($J$3:J135)</f>
        <v>#REF!</v>
      </c>
      <c r="L135" t="e">
        <f t="shared" ca="1" si="23"/>
        <v>#REF!</v>
      </c>
      <c r="M135" t="e">
        <f ca="1">SUM($L$3:L135)</f>
        <v>#REF!</v>
      </c>
      <c r="O135" t="e">
        <f ca="1">(Q134*'Arkusz1 (5)'!J135)-Q134</f>
        <v>#REF!</v>
      </c>
      <c r="P135" s="16" t="e">
        <f t="shared" ca="1" si="24"/>
        <v>#REF!</v>
      </c>
      <c r="Q135" s="17" t="e">
        <f t="shared" ca="1" si="25"/>
        <v>#REF!</v>
      </c>
    </row>
    <row r="136" spans="1:17" x14ac:dyDescent="0.35">
      <c r="A136">
        <v>134</v>
      </c>
      <c r="B136" s="14" t="e">
        <f t="shared" si="26"/>
        <v>#REF!</v>
      </c>
      <c r="C136" s="15" t="e">
        <f>(1+(#REF!)*('Arkusz1 (5)'!B136-'Arkusz1 (5)'!B135)/365)</f>
        <v>#REF!</v>
      </c>
      <c r="D136" s="15" t="e">
        <f>(1+(#REF!)*('Arkusz1 (5)'!B136-'Arkusz1 (5)'!B135)/366)</f>
        <v>#REF!</v>
      </c>
      <c r="E136" s="15" t="e">
        <f t="shared" si="18"/>
        <v>#REF!</v>
      </c>
      <c r="F136" s="15" t="e">
        <f t="shared" si="19"/>
        <v>#REF!</v>
      </c>
      <c r="G136" t="e">
        <f>IF(E136=1,(1+(#REF!)*((('Arkusz1 (5)'!B136-DATE(YEAR(B136),1,1)+1)/365)+((DATE(YEAR(B135),12,31)-'Arkusz1 (5)'!B135)/366))),IF(F136=1,(1+(#REF!)*((('Arkusz1 (5)'!B136-DATE(YEAR(B136),1,1)+1)/366)+((DATE(YEAR(B135),12,31)-'Arkusz1 (5)'!B135)/365))),0))</f>
        <v>#REF!</v>
      </c>
      <c r="H136" t="e">
        <f t="shared" si="20"/>
        <v>#REF!</v>
      </c>
      <c r="I136" t="e">
        <f t="shared" si="21"/>
        <v>#REF!</v>
      </c>
      <c r="J136" t="e">
        <f t="shared" si="22"/>
        <v>#REF!</v>
      </c>
      <c r="K136" t="e">
        <f ca="1">PRODUCT($J$3:J136)</f>
        <v>#REF!</v>
      </c>
      <c r="L136" t="e">
        <f t="shared" ca="1" si="23"/>
        <v>#REF!</v>
      </c>
      <c r="M136" t="e">
        <f ca="1">SUM($L$3:L136)</f>
        <v>#REF!</v>
      </c>
      <c r="O136" t="e">
        <f ca="1">(Q135*'Arkusz1 (5)'!J136)-Q135</f>
        <v>#REF!</v>
      </c>
      <c r="P136" s="16" t="e">
        <f t="shared" ca="1" si="24"/>
        <v>#REF!</v>
      </c>
      <c r="Q136" s="17" t="e">
        <f t="shared" ca="1" si="25"/>
        <v>#REF!</v>
      </c>
    </row>
    <row r="137" spans="1:17" x14ac:dyDescent="0.35">
      <c r="A137">
        <v>135</v>
      </c>
      <c r="B137" s="14" t="e">
        <f t="shared" si="26"/>
        <v>#REF!</v>
      </c>
      <c r="C137" s="15" t="e">
        <f>(1+(#REF!)*('Arkusz1 (5)'!B137-'Arkusz1 (5)'!B136)/365)</f>
        <v>#REF!</v>
      </c>
      <c r="D137" s="15" t="e">
        <f>(1+(#REF!)*('Arkusz1 (5)'!B137-'Arkusz1 (5)'!B136)/366)</f>
        <v>#REF!</v>
      </c>
      <c r="E137" s="15" t="e">
        <f t="shared" si="18"/>
        <v>#REF!</v>
      </c>
      <c r="F137" s="15" t="e">
        <f t="shared" si="19"/>
        <v>#REF!</v>
      </c>
      <c r="G137" t="e">
        <f>IF(E137=1,(1+(#REF!)*((('Arkusz1 (5)'!B137-DATE(YEAR(B137),1,1)+1)/365)+((DATE(YEAR(B136),12,31)-'Arkusz1 (5)'!B136)/366))),IF(F137=1,(1+(#REF!)*((('Arkusz1 (5)'!B137-DATE(YEAR(B137),1,1)+1)/366)+((DATE(YEAR(B136),12,31)-'Arkusz1 (5)'!B136)/365))),0))</f>
        <v>#REF!</v>
      </c>
      <c r="H137" t="e">
        <f t="shared" si="20"/>
        <v>#REF!</v>
      </c>
      <c r="I137" t="e">
        <f t="shared" si="21"/>
        <v>#REF!</v>
      </c>
      <c r="J137" t="e">
        <f t="shared" si="22"/>
        <v>#REF!</v>
      </c>
      <c r="K137" t="e">
        <f ca="1">PRODUCT($J$3:J137)</f>
        <v>#REF!</v>
      </c>
      <c r="L137" t="e">
        <f t="shared" ca="1" si="23"/>
        <v>#REF!</v>
      </c>
      <c r="M137" t="e">
        <f ca="1">SUM($L$3:L137)</f>
        <v>#REF!</v>
      </c>
      <c r="O137" t="e">
        <f ca="1">(Q136*'Arkusz1 (5)'!J137)-Q136</f>
        <v>#REF!</v>
      </c>
      <c r="P137" s="16" t="e">
        <f t="shared" ca="1" si="24"/>
        <v>#REF!</v>
      </c>
      <c r="Q137" s="17" t="e">
        <f t="shared" ca="1" si="25"/>
        <v>#REF!</v>
      </c>
    </row>
    <row r="138" spans="1:17" x14ac:dyDescent="0.35">
      <c r="A138">
        <v>136</v>
      </c>
      <c r="B138" s="14" t="e">
        <f t="shared" si="26"/>
        <v>#REF!</v>
      </c>
      <c r="C138" s="15" t="e">
        <f>(1+(#REF!)*('Arkusz1 (5)'!B138-'Arkusz1 (5)'!B137)/365)</f>
        <v>#REF!</v>
      </c>
      <c r="D138" s="15" t="e">
        <f>(1+(#REF!)*('Arkusz1 (5)'!B138-'Arkusz1 (5)'!B137)/366)</f>
        <v>#REF!</v>
      </c>
      <c r="E138" s="15" t="e">
        <f t="shared" si="18"/>
        <v>#REF!</v>
      </c>
      <c r="F138" s="15" t="e">
        <f t="shared" si="19"/>
        <v>#REF!</v>
      </c>
      <c r="G138" t="e">
        <f>IF(E138=1,(1+(#REF!)*((('Arkusz1 (5)'!B138-DATE(YEAR(B138),1,1)+1)/365)+((DATE(YEAR(B137),12,31)-'Arkusz1 (5)'!B137)/366))),IF(F138=1,(1+(#REF!)*((('Arkusz1 (5)'!B138-DATE(YEAR(B138),1,1)+1)/366)+((DATE(YEAR(B137),12,31)-'Arkusz1 (5)'!B137)/365))),0))</f>
        <v>#REF!</v>
      </c>
      <c r="H138" t="e">
        <f t="shared" si="20"/>
        <v>#REF!</v>
      </c>
      <c r="I138" t="e">
        <f t="shared" si="21"/>
        <v>#REF!</v>
      </c>
      <c r="J138" t="e">
        <f t="shared" si="22"/>
        <v>#REF!</v>
      </c>
      <c r="K138" t="e">
        <f ca="1">PRODUCT($J$3:J138)</f>
        <v>#REF!</v>
      </c>
      <c r="L138" t="e">
        <f t="shared" ca="1" si="23"/>
        <v>#REF!</v>
      </c>
      <c r="M138" t="e">
        <f ca="1">SUM($L$3:L138)</f>
        <v>#REF!</v>
      </c>
      <c r="O138" t="e">
        <f ca="1">(Q137*'Arkusz1 (5)'!J138)-Q137</f>
        <v>#REF!</v>
      </c>
      <c r="P138" s="16" t="e">
        <f t="shared" ca="1" si="24"/>
        <v>#REF!</v>
      </c>
      <c r="Q138" s="17" t="e">
        <f t="shared" ca="1" si="25"/>
        <v>#REF!</v>
      </c>
    </row>
    <row r="139" spans="1:17" x14ac:dyDescent="0.35">
      <c r="A139">
        <v>137</v>
      </c>
      <c r="B139" s="14" t="e">
        <f t="shared" si="26"/>
        <v>#REF!</v>
      </c>
      <c r="C139" s="15" t="e">
        <f>(1+(#REF!)*('Arkusz1 (5)'!B139-'Arkusz1 (5)'!B138)/365)</f>
        <v>#REF!</v>
      </c>
      <c r="D139" s="15" t="e">
        <f>(1+(#REF!)*('Arkusz1 (5)'!B139-'Arkusz1 (5)'!B138)/366)</f>
        <v>#REF!</v>
      </c>
      <c r="E139" s="15" t="e">
        <f t="shared" si="18"/>
        <v>#REF!</v>
      </c>
      <c r="F139" s="15" t="e">
        <f t="shared" si="19"/>
        <v>#REF!</v>
      </c>
      <c r="G139" t="e">
        <f>IF(E139=1,(1+(#REF!)*((('Arkusz1 (5)'!B139-DATE(YEAR(B139),1,1)+1)/365)+((DATE(YEAR(B138),12,31)-'Arkusz1 (5)'!B138)/366))),IF(F139=1,(1+(#REF!)*((('Arkusz1 (5)'!B139-DATE(YEAR(B139),1,1)+1)/366)+((DATE(YEAR(B138),12,31)-'Arkusz1 (5)'!B138)/365))),0))</f>
        <v>#REF!</v>
      </c>
      <c r="H139" t="e">
        <f t="shared" si="20"/>
        <v>#REF!</v>
      </c>
      <c r="I139" t="e">
        <f t="shared" si="21"/>
        <v>#REF!</v>
      </c>
      <c r="J139" t="e">
        <f t="shared" si="22"/>
        <v>#REF!</v>
      </c>
      <c r="K139" t="e">
        <f ca="1">PRODUCT($J$3:J139)</f>
        <v>#REF!</v>
      </c>
      <c r="L139" t="e">
        <f t="shared" ca="1" si="23"/>
        <v>#REF!</v>
      </c>
      <c r="M139" t="e">
        <f ca="1">SUM($L$3:L139)</f>
        <v>#REF!</v>
      </c>
      <c r="O139" t="e">
        <f ca="1">(Q138*'Arkusz1 (5)'!J139)-Q138</f>
        <v>#REF!</v>
      </c>
      <c r="P139" s="16" t="e">
        <f t="shared" ca="1" si="24"/>
        <v>#REF!</v>
      </c>
      <c r="Q139" s="17" t="e">
        <f t="shared" ca="1" si="25"/>
        <v>#REF!</v>
      </c>
    </row>
    <row r="140" spans="1:17" x14ac:dyDescent="0.35">
      <c r="A140">
        <v>138</v>
      </c>
      <c r="B140" s="14" t="e">
        <f t="shared" si="26"/>
        <v>#REF!</v>
      </c>
      <c r="C140" s="15" t="e">
        <f>(1+(#REF!)*('Arkusz1 (5)'!B140-'Arkusz1 (5)'!B139)/365)</f>
        <v>#REF!</v>
      </c>
      <c r="D140" s="15" t="e">
        <f>(1+(#REF!)*('Arkusz1 (5)'!B140-'Arkusz1 (5)'!B139)/366)</f>
        <v>#REF!</v>
      </c>
      <c r="E140" s="15" t="e">
        <f t="shared" si="18"/>
        <v>#REF!</v>
      </c>
      <c r="F140" s="15" t="e">
        <f t="shared" si="19"/>
        <v>#REF!</v>
      </c>
      <c r="G140" t="e">
        <f>IF(E140=1,(1+(#REF!)*((('Arkusz1 (5)'!B140-DATE(YEAR(B140),1,1)+1)/365)+((DATE(YEAR(B139),12,31)-'Arkusz1 (5)'!B139)/366))),IF(F140=1,(1+(#REF!)*((('Arkusz1 (5)'!B140-DATE(YEAR(B140),1,1)+1)/366)+((DATE(YEAR(B139),12,31)-'Arkusz1 (5)'!B139)/365))),0))</f>
        <v>#REF!</v>
      </c>
      <c r="H140" t="e">
        <f t="shared" si="20"/>
        <v>#REF!</v>
      </c>
      <c r="I140" t="e">
        <f t="shared" si="21"/>
        <v>#REF!</v>
      </c>
      <c r="J140" t="e">
        <f t="shared" si="22"/>
        <v>#REF!</v>
      </c>
      <c r="K140" t="e">
        <f ca="1">PRODUCT($J$3:J140)</f>
        <v>#REF!</v>
      </c>
      <c r="L140" t="e">
        <f t="shared" ca="1" si="23"/>
        <v>#REF!</v>
      </c>
      <c r="M140" t="e">
        <f ca="1">SUM($L$3:L140)</f>
        <v>#REF!</v>
      </c>
      <c r="O140" t="e">
        <f ca="1">(Q139*'Arkusz1 (5)'!J140)-Q139</f>
        <v>#REF!</v>
      </c>
      <c r="P140" s="16" t="e">
        <f t="shared" ca="1" si="24"/>
        <v>#REF!</v>
      </c>
      <c r="Q140" s="17" t="e">
        <f t="shared" ca="1" si="25"/>
        <v>#REF!</v>
      </c>
    </row>
    <row r="141" spans="1:17" x14ac:dyDescent="0.35">
      <c r="A141">
        <v>139</v>
      </c>
      <c r="B141" s="14" t="e">
        <f t="shared" si="26"/>
        <v>#REF!</v>
      </c>
      <c r="C141" s="15" t="e">
        <f>(1+(#REF!)*('Arkusz1 (5)'!B141-'Arkusz1 (5)'!B140)/365)</f>
        <v>#REF!</v>
      </c>
      <c r="D141" s="15" t="e">
        <f>(1+(#REF!)*('Arkusz1 (5)'!B141-'Arkusz1 (5)'!B140)/366)</f>
        <v>#REF!</v>
      </c>
      <c r="E141" s="15" t="e">
        <f t="shared" si="18"/>
        <v>#REF!</v>
      </c>
      <c r="F141" s="15" t="e">
        <f t="shared" si="19"/>
        <v>#REF!</v>
      </c>
      <c r="G141" t="e">
        <f>IF(E141=1,(1+(#REF!)*((('Arkusz1 (5)'!B141-DATE(YEAR(B141),1,1)+1)/365)+((DATE(YEAR(B140),12,31)-'Arkusz1 (5)'!B140)/366))),IF(F141=1,(1+(#REF!)*((('Arkusz1 (5)'!B141-DATE(YEAR(B141),1,1)+1)/366)+((DATE(YEAR(B140),12,31)-'Arkusz1 (5)'!B140)/365))),0))</f>
        <v>#REF!</v>
      </c>
      <c r="H141" t="e">
        <f t="shared" si="20"/>
        <v>#REF!</v>
      </c>
      <c r="I141" t="e">
        <f t="shared" si="21"/>
        <v>#REF!</v>
      </c>
      <c r="J141" t="e">
        <f t="shared" si="22"/>
        <v>#REF!</v>
      </c>
      <c r="K141" t="e">
        <f ca="1">PRODUCT($J$3:J141)</f>
        <v>#REF!</v>
      </c>
      <c r="L141" t="e">
        <f t="shared" ca="1" si="23"/>
        <v>#REF!</v>
      </c>
      <c r="M141" t="e">
        <f ca="1">SUM($L$3:L141)</f>
        <v>#REF!</v>
      </c>
      <c r="O141" t="e">
        <f ca="1">(Q140*'Arkusz1 (5)'!J141)-Q140</f>
        <v>#REF!</v>
      </c>
      <c r="P141" s="16" t="e">
        <f t="shared" ca="1" si="24"/>
        <v>#REF!</v>
      </c>
      <c r="Q141" s="17" t="e">
        <f t="shared" ca="1" si="25"/>
        <v>#REF!</v>
      </c>
    </row>
    <row r="142" spans="1:17" x14ac:dyDescent="0.35">
      <c r="A142">
        <v>140</v>
      </c>
      <c r="B142" s="14" t="e">
        <f t="shared" si="26"/>
        <v>#REF!</v>
      </c>
      <c r="C142" s="15" t="e">
        <f>(1+(#REF!)*('Arkusz1 (5)'!B142-'Arkusz1 (5)'!B141)/365)</f>
        <v>#REF!</v>
      </c>
      <c r="D142" s="15" t="e">
        <f>(1+(#REF!)*('Arkusz1 (5)'!B142-'Arkusz1 (5)'!B141)/366)</f>
        <v>#REF!</v>
      </c>
      <c r="E142" s="15" t="e">
        <f t="shared" si="18"/>
        <v>#REF!</v>
      </c>
      <c r="F142" s="15" t="e">
        <f t="shared" si="19"/>
        <v>#REF!</v>
      </c>
      <c r="G142" t="e">
        <f>IF(E142=1,(1+(#REF!)*((('Arkusz1 (5)'!B142-DATE(YEAR(B142),1,1)+1)/365)+((DATE(YEAR(B141),12,31)-'Arkusz1 (5)'!B141)/366))),IF(F142=1,(1+(#REF!)*((('Arkusz1 (5)'!B142-DATE(YEAR(B142),1,1)+1)/366)+((DATE(YEAR(B141),12,31)-'Arkusz1 (5)'!B141)/365))),0))</f>
        <v>#REF!</v>
      </c>
      <c r="H142" t="e">
        <f t="shared" si="20"/>
        <v>#REF!</v>
      </c>
      <c r="I142" t="e">
        <f t="shared" si="21"/>
        <v>#REF!</v>
      </c>
      <c r="J142" t="e">
        <f t="shared" si="22"/>
        <v>#REF!</v>
      </c>
      <c r="K142" t="e">
        <f ca="1">PRODUCT($J$3:J142)</f>
        <v>#REF!</v>
      </c>
      <c r="L142" t="e">
        <f t="shared" ca="1" si="23"/>
        <v>#REF!</v>
      </c>
      <c r="M142" t="e">
        <f ca="1">SUM($L$3:L142)</f>
        <v>#REF!</v>
      </c>
      <c r="O142" t="e">
        <f ca="1">(Q141*'Arkusz1 (5)'!J142)-Q141</f>
        <v>#REF!</v>
      </c>
      <c r="P142" s="16" t="e">
        <f t="shared" ca="1" si="24"/>
        <v>#REF!</v>
      </c>
      <c r="Q142" s="17" t="e">
        <f t="shared" ca="1" si="25"/>
        <v>#REF!</v>
      </c>
    </row>
    <row r="143" spans="1:17" x14ac:dyDescent="0.35">
      <c r="A143">
        <v>141</v>
      </c>
      <c r="B143" s="14" t="e">
        <f t="shared" si="26"/>
        <v>#REF!</v>
      </c>
      <c r="C143" s="15" t="e">
        <f>(1+(#REF!)*('Arkusz1 (5)'!B143-'Arkusz1 (5)'!B142)/365)</f>
        <v>#REF!</v>
      </c>
      <c r="D143" s="15" t="e">
        <f>(1+(#REF!)*('Arkusz1 (5)'!B143-'Arkusz1 (5)'!B142)/366)</f>
        <v>#REF!</v>
      </c>
      <c r="E143" s="15" t="e">
        <f t="shared" si="18"/>
        <v>#REF!</v>
      </c>
      <c r="F143" s="15" t="e">
        <f t="shared" si="19"/>
        <v>#REF!</v>
      </c>
      <c r="G143" t="e">
        <f>IF(E143=1,(1+(#REF!)*((('Arkusz1 (5)'!B143-DATE(YEAR(B143),1,1)+1)/365)+((DATE(YEAR(B142),12,31)-'Arkusz1 (5)'!B142)/366))),IF(F143=1,(1+(#REF!)*((('Arkusz1 (5)'!B143-DATE(YEAR(B143),1,1)+1)/366)+((DATE(YEAR(B142),12,31)-'Arkusz1 (5)'!B142)/365))),0))</f>
        <v>#REF!</v>
      </c>
      <c r="H143" t="e">
        <f t="shared" si="20"/>
        <v>#REF!</v>
      </c>
      <c r="I143" t="e">
        <f t="shared" si="21"/>
        <v>#REF!</v>
      </c>
      <c r="J143" t="e">
        <f t="shared" si="22"/>
        <v>#REF!</v>
      </c>
      <c r="K143" t="e">
        <f ca="1">PRODUCT($J$3:J143)</f>
        <v>#REF!</v>
      </c>
      <c r="L143" t="e">
        <f t="shared" ca="1" si="23"/>
        <v>#REF!</v>
      </c>
      <c r="M143" t="e">
        <f ca="1">SUM($L$3:L143)</f>
        <v>#REF!</v>
      </c>
      <c r="O143" t="e">
        <f ca="1">(Q142*'Arkusz1 (5)'!J143)-Q142</f>
        <v>#REF!</v>
      </c>
      <c r="P143" s="16" t="e">
        <f t="shared" ca="1" si="24"/>
        <v>#REF!</v>
      </c>
      <c r="Q143" s="17" t="e">
        <f t="shared" ca="1" si="25"/>
        <v>#REF!</v>
      </c>
    </row>
    <row r="144" spans="1:17" x14ac:dyDescent="0.35">
      <c r="A144">
        <v>142</v>
      </c>
      <c r="B144" s="14" t="e">
        <f t="shared" si="26"/>
        <v>#REF!</v>
      </c>
      <c r="C144" s="15" t="e">
        <f>(1+(#REF!)*('Arkusz1 (5)'!B144-'Arkusz1 (5)'!B143)/365)</f>
        <v>#REF!</v>
      </c>
      <c r="D144" s="15" t="e">
        <f>(1+(#REF!)*('Arkusz1 (5)'!B144-'Arkusz1 (5)'!B143)/366)</f>
        <v>#REF!</v>
      </c>
      <c r="E144" s="15" t="e">
        <f t="shared" si="18"/>
        <v>#REF!</v>
      </c>
      <c r="F144" s="15" t="e">
        <f t="shared" si="19"/>
        <v>#REF!</v>
      </c>
      <c r="G144" t="e">
        <f>IF(E144=1,(1+(#REF!)*((('Arkusz1 (5)'!B144-DATE(YEAR(B144),1,1)+1)/365)+((DATE(YEAR(B143),12,31)-'Arkusz1 (5)'!B143)/366))),IF(F144=1,(1+(#REF!)*((('Arkusz1 (5)'!B144-DATE(YEAR(B144),1,1)+1)/366)+((DATE(YEAR(B143),12,31)-'Arkusz1 (5)'!B143)/365))),0))</f>
        <v>#REF!</v>
      </c>
      <c r="H144" t="e">
        <f t="shared" si="20"/>
        <v>#REF!</v>
      </c>
      <c r="I144" t="e">
        <f t="shared" si="21"/>
        <v>#REF!</v>
      </c>
      <c r="J144" t="e">
        <f t="shared" si="22"/>
        <v>#REF!</v>
      </c>
      <c r="K144" t="e">
        <f ca="1">PRODUCT($J$3:J144)</f>
        <v>#REF!</v>
      </c>
      <c r="L144" t="e">
        <f t="shared" ca="1" si="23"/>
        <v>#REF!</v>
      </c>
      <c r="M144" t="e">
        <f ca="1">SUM($L$3:L144)</f>
        <v>#REF!</v>
      </c>
      <c r="O144" t="e">
        <f ca="1">(Q143*'Arkusz1 (5)'!J144)-Q143</f>
        <v>#REF!</v>
      </c>
      <c r="P144" s="16" t="e">
        <f t="shared" ca="1" si="24"/>
        <v>#REF!</v>
      </c>
      <c r="Q144" s="17" t="e">
        <f t="shared" ca="1" si="25"/>
        <v>#REF!</v>
      </c>
    </row>
    <row r="145" spans="1:17" x14ac:dyDescent="0.35">
      <c r="A145">
        <v>143</v>
      </c>
      <c r="B145" s="14" t="e">
        <f t="shared" si="26"/>
        <v>#REF!</v>
      </c>
      <c r="C145" s="15" t="e">
        <f>(1+(#REF!)*('Arkusz1 (5)'!B145-'Arkusz1 (5)'!B144)/365)</f>
        <v>#REF!</v>
      </c>
      <c r="D145" s="15" t="e">
        <f>(1+(#REF!)*('Arkusz1 (5)'!B145-'Arkusz1 (5)'!B144)/366)</f>
        <v>#REF!</v>
      </c>
      <c r="E145" s="15" t="e">
        <f t="shared" si="18"/>
        <v>#REF!</v>
      </c>
      <c r="F145" s="15" t="e">
        <f t="shared" si="19"/>
        <v>#REF!</v>
      </c>
      <c r="G145" t="e">
        <f>IF(E145=1,(1+(#REF!)*((('Arkusz1 (5)'!B145-DATE(YEAR(B145),1,1)+1)/365)+((DATE(YEAR(B144),12,31)-'Arkusz1 (5)'!B144)/366))),IF(F145=1,(1+(#REF!)*((('Arkusz1 (5)'!B145-DATE(YEAR(B145),1,1)+1)/366)+((DATE(YEAR(B144),12,31)-'Arkusz1 (5)'!B144)/365))),0))</f>
        <v>#REF!</v>
      </c>
      <c r="H145" t="e">
        <f t="shared" si="20"/>
        <v>#REF!</v>
      </c>
      <c r="I145" t="e">
        <f t="shared" si="21"/>
        <v>#REF!</v>
      </c>
      <c r="J145" t="e">
        <f t="shared" si="22"/>
        <v>#REF!</v>
      </c>
      <c r="K145" t="e">
        <f ca="1">PRODUCT($J$3:J145)</f>
        <v>#REF!</v>
      </c>
      <c r="L145" t="e">
        <f t="shared" ca="1" si="23"/>
        <v>#REF!</v>
      </c>
      <c r="M145" t="e">
        <f ca="1">SUM($L$3:L145)</f>
        <v>#REF!</v>
      </c>
      <c r="O145" t="e">
        <f ca="1">(Q144*'Arkusz1 (5)'!J145)-Q144</f>
        <v>#REF!</v>
      </c>
      <c r="P145" s="16" t="e">
        <f t="shared" ca="1" si="24"/>
        <v>#REF!</v>
      </c>
      <c r="Q145" s="17" t="e">
        <f t="shared" ca="1" si="25"/>
        <v>#REF!</v>
      </c>
    </row>
    <row r="146" spans="1:17" x14ac:dyDescent="0.35">
      <c r="A146">
        <v>144</v>
      </c>
      <c r="B146" s="14" t="e">
        <f t="shared" si="26"/>
        <v>#REF!</v>
      </c>
      <c r="C146" s="15" t="e">
        <f>(1+(#REF!)*('Arkusz1 (5)'!B146-'Arkusz1 (5)'!B145)/365)</f>
        <v>#REF!</v>
      </c>
      <c r="D146" s="15" t="e">
        <f>(1+(#REF!)*('Arkusz1 (5)'!B146-'Arkusz1 (5)'!B145)/366)</f>
        <v>#REF!</v>
      </c>
      <c r="E146" s="15" t="e">
        <f t="shared" si="18"/>
        <v>#REF!</v>
      </c>
      <c r="F146" s="15" t="e">
        <f t="shared" si="19"/>
        <v>#REF!</v>
      </c>
      <c r="G146" t="e">
        <f>IF(E146=1,(1+(#REF!)*((('Arkusz1 (5)'!B146-DATE(YEAR(B146),1,1)+1)/365)+((DATE(YEAR(B145),12,31)-'Arkusz1 (5)'!B145)/366))),IF(F146=1,(1+(#REF!)*((('Arkusz1 (5)'!B146-DATE(YEAR(B146),1,1)+1)/366)+((DATE(YEAR(B145),12,31)-'Arkusz1 (5)'!B145)/365))),0))</f>
        <v>#REF!</v>
      </c>
      <c r="H146" t="e">
        <f t="shared" si="20"/>
        <v>#REF!</v>
      </c>
      <c r="I146" t="e">
        <f t="shared" si="21"/>
        <v>#REF!</v>
      </c>
      <c r="J146" t="e">
        <f t="shared" si="22"/>
        <v>#REF!</v>
      </c>
      <c r="K146" t="e">
        <f ca="1">PRODUCT($J$3:J146)</f>
        <v>#REF!</v>
      </c>
      <c r="L146" t="e">
        <f t="shared" ca="1" si="23"/>
        <v>#REF!</v>
      </c>
      <c r="M146" t="e">
        <f ca="1">SUM($L$3:L146)</f>
        <v>#REF!</v>
      </c>
      <c r="O146" t="e">
        <f ca="1">(Q145*'Arkusz1 (5)'!J146)-Q145</f>
        <v>#REF!</v>
      </c>
      <c r="P146" s="16" t="e">
        <f t="shared" ca="1" si="24"/>
        <v>#REF!</v>
      </c>
      <c r="Q146" s="17" t="e">
        <f t="shared" ca="1" si="25"/>
        <v>#REF!</v>
      </c>
    </row>
    <row r="147" spans="1:17" x14ac:dyDescent="0.35">
      <c r="A147">
        <v>145</v>
      </c>
      <c r="B147" s="14" t="e">
        <f t="shared" si="26"/>
        <v>#REF!</v>
      </c>
      <c r="C147" s="15" t="e">
        <f>(1+(#REF!)*('Arkusz1 (5)'!B147-'Arkusz1 (5)'!B146)/365)</f>
        <v>#REF!</v>
      </c>
      <c r="D147" s="15" t="e">
        <f>(1+(#REF!)*('Arkusz1 (5)'!B147-'Arkusz1 (5)'!B146)/366)</f>
        <v>#REF!</v>
      </c>
      <c r="E147" s="15" t="e">
        <f t="shared" si="18"/>
        <v>#REF!</v>
      </c>
      <c r="F147" s="15" t="e">
        <f t="shared" si="19"/>
        <v>#REF!</v>
      </c>
      <c r="G147" t="e">
        <f>IF(E147=1,(1+(#REF!)*((('Arkusz1 (5)'!B147-DATE(YEAR(B147),1,1)+1)/365)+((DATE(YEAR(B146),12,31)-'Arkusz1 (5)'!B146)/366))),IF(F147=1,(1+(#REF!)*((('Arkusz1 (5)'!B147-DATE(YEAR(B147),1,1)+1)/366)+((DATE(YEAR(B146),12,31)-'Arkusz1 (5)'!B146)/365))),0))</f>
        <v>#REF!</v>
      </c>
      <c r="H147" t="e">
        <f t="shared" si="20"/>
        <v>#REF!</v>
      </c>
      <c r="I147" t="e">
        <f t="shared" si="21"/>
        <v>#REF!</v>
      </c>
      <c r="J147" t="e">
        <f t="shared" si="22"/>
        <v>#REF!</v>
      </c>
      <c r="K147" t="e">
        <f ca="1">PRODUCT($J$3:J147)</f>
        <v>#REF!</v>
      </c>
      <c r="L147" t="e">
        <f t="shared" ca="1" si="23"/>
        <v>#REF!</v>
      </c>
      <c r="M147" t="e">
        <f ca="1">SUM($L$3:L147)</f>
        <v>#REF!</v>
      </c>
      <c r="O147" t="e">
        <f ca="1">(Q146*'Arkusz1 (5)'!J147)-Q146</f>
        <v>#REF!</v>
      </c>
      <c r="P147" s="16" t="e">
        <f t="shared" ca="1" si="24"/>
        <v>#REF!</v>
      </c>
      <c r="Q147" s="17" t="e">
        <f t="shared" ca="1" si="25"/>
        <v>#REF!</v>
      </c>
    </row>
    <row r="148" spans="1:17" x14ac:dyDescent="0.35">
      <c r="A148">
        <v>146</v>
      </c>
      <c r="B148" s="14" t="e">
        <f t="shared" si="26"/>
        <v>#REF!</v>
      </c>
      <c r="C148" s="15" t="e">
        <f>(1+(#REF!)*('Arkusz1 (5)'!B148-'Arkusz1 (5)'!B147)/365)</f>
        <v>#REF!</v>
      </c>
      <c r="D148" s="15" t="e">
        <f>(1+(#REF!)*('Arkusz1 (5)'!B148-'Arkusz1 (5)'!B147)/366)</f>
        <v>#REF!</v>
      </c>
      <c r="E148" s="15" t="e">
        <f t="shared" si="18"/>
        <v>#REF!</v>
      </c>
      <c r="F148" s="15" t="e">
        <f t="shared" si="19"/>
        <v>#REF!</v>
      </c>
      <c r="G148" t="e">
        <f>IF(E148=1,(1+(#REF!)*((('Arkusz1 (5)'!B148-DATE(YEAR(B148),1,1)+1)/365)+((DATE(YEAR(B147),12,31)-'Arkusz1 (5)'!B147)/366))),IF(F148=1,(1+(#REF!)*((('Arkusz1 (5)'!B148-DATE(YEAR(B148),1,1)+1)/366)+((DATE(YEAR(B147),12,31)-'Arkusz1 (5)'!B147)/365))),0))</f>
        <v>#REF!</v>
      </c>
      <c r="H148" t="e">
        <f t="shared" si="20"/>
        <v>#REF!</v>
      </c>
      <c r="I148" t="e">
        <f t="shared" si="21"/>
        <v>#REF!</v>
      </c>
      <c r="J148" t="e">
        <f t="shared" si="22"/>
        <v>#REF!</v>
      </c>
      <c r="K148" t="e">
        <f ca="1">PRODUCT($J$3:J148)</f>
        <v>#REF!</v>
      </c>
      <c r="L148" t="e">
        <f t="shared" ca="1" si="23"/>
        <v>#REF!</v>
      </c>
      <c r="M148" t="e">
        <f ca="1">SUM($L$3:L148)</f>
        <v>#REF!</v>
      </c>
      <c r="O148" t="e">
        <f ca="1">(Q147*'Arkusz1 (5)'!J148)-Q147</f>
        <v>#REF!</v>
      </c>
      <c r="P148" s="16" t="e">
        <f t="shared" ca="1" si="24"/>
        <v>#REF!</v>
      </c>
      <c r="Q148" s="17" t="e">
        <f t="shared" ca="1" si="25"/>
        <v>#REF!</v>
      </c>
    </row>
    <row r="149" spans="1:17" x14ac:dyDescent="0.35">
      <c r="A149">
        <v>147</v>
      </c>
      <c r="B149" s="14" t="e">
        <f t="shared" si="26"/>
        <v>#REF!</v>
      </c>
      <c r="C149" s="15" t="e">
        <f>(1+(#REF!)*('Arkusz1 (5)'!B149-'Arkusz1 (5)'!B148)/365)</f>
        <v>#REF!</v>
      </c>
      <c r="D149" s="15" t="e">
        <f>(1+(#REF!)*('Arkusz1 (5)'!B149-'Arkusz1 (5)'!B148)/366)</f>
        <v>#REF!</v>
      </c>
      <c r="E149" s="15" t="e">
        <f t="shared" si="18"/>
        <v>#REF!</v>
      </c>
      <c r="F149" s="15" t="e">
        <f t="shared" si="19"/>
        <v>#REF!</v>
      </c>
      <c r="G149" t="e">
        <f>IF(E149=1,(1+(#REF!)*((('Arkusz1 (5)'!B149-DATE(YEAR(B149),1,1)+1)/365)+((DATE(YEAR(B148),12,31)-'Arkusz1 (5)'!B148)/366))),IF(F149=1,(1+(#REF!)*((('Arkusz1 (5)'!B149-DATE(YEAR(B149),1,1)+1)/366)+((DATE(YEAR(B148),12,31)-'Arkusz1 (5)'!B148)/365))),0))</f>
        <v>#REF!</v>
      </c>
      <c r="H149" t="e">
        <f t="shared" si="20"/>
        <v>#REF!</v>
      </c>
      <c r="I149" t="e">
        <f t="shared" si="21"/>
        <v>#REF!</v>
      </c>
      <c r="J149" t="e">
        <f t="shared" si="22"/>
        <v>#REF!</v>
      </c>
      <c r="K149" t="e">
        <f ca="1">PRODUCT($J$3:J149)</f>
        <v>#REF!</v>
      </c>
      <c r="L149" t="e">
        <f t="shared" ca="1" si="23"/>
        <v>#REF!</v>
      </c>
      <c r="M149" t="e">
        <f ca="1">SUM($L$3:L149)</f>
        <v>#REF!</v>
      </c>
      <c r="O149" t="e">
        <f ca="1">(Q148*'Arkusz1 (5)'!J149)-Q148</f>
        <v>#REF!</v>
      </c>
      <c r="P149" s="16" t="e">
        <f t="shared" ca="1" si="24"/>
        <v>#REF!</v>
      </c>
      <c r="Q149" s="17" t="e">
        <f t="shared" ca="1" si="25"/>
        <v>#REF!</v>
      </c>
    </row>
    <row r="150" spans="1:17" x14ac:dyDescent="0.35">
      <c r="A150">
        <v>148</v>
      </c>
      <c r="B150" s="14" t="e">
        <f t="shared" si="26"/>
        <v>#REF!</v>
      </c>
      <c r="C150" s="15" t="e">
        <f>(1+(#REF!)*('Arkusz1 (5)'!B150-'Arkusz1 (5)'!B149)/365)</f>
        <v>#REF!</v>
      </c>
      <c r="D150" s="15" t="e">
        <f>(1+(#REF!)*('Arkusz1 (5)'!B150-'Arkusz1 (5)'!B149)/366)</f>
        <v>#REF!</v>
      </c>
      <c r="E150" s="15" t="e">
        <f t="shared" si="18"/>
        <v>#REF!</v>
      </c>
      <c r="F150" s="15" t="e">
        <f t="shared" si="19"/>
        <v>#REF!</v>
      </c>
      <c r="G150" t="e">
        <f>IF(E150=1,(1+(#REF!)*((('Arkusz1 (5)'!B150-DATE(YEAR(B150),1,1)+1)/365)+((DATE(YEAR(B149),12,31)-'Arkusz1 (5)'!B149)/366))),IF(F150=1,(1+(#REF!)*((('Arkusz1 (5)'!B150-DATE(YEAR(B150),1,1)+1)/366)+((DATE(YEAR(B149),12,31)-'Arkusz1 (5)'!B149)/365))),0))</f>
        <v>#REF!</v>
      </c>
      <c r="H150" t="e">
        <f t="shared" si="20"/>
        <v>#REF!</v>
      </c>
      <c r="I150" t="e">
        <f t="shared" si="21"/>
        <v>#REF!</v>
      </c>
      <c r="J150" t="e">
        <f t="shared" si="22"/>
        <v>#REF!</v>
      </c>
      <c r="K150" t="e">
        <f ca="1">PRODUCT($J$3:J150)</f>
        <v>#REF!</v>
      </c>
      <c r="L150" t="e">
        <f t="shared" ca="1" si="23"/>
        <v>#REF!</v>
      </c>
      <c r="M150" t="e">
        <f ca="1">SUM($L$3:L150)</f>
        <v>#REF!</v>
      </c>
      <c r="O150" t="e">
        <f ca="1">(Q149*'Arkusz1 (5)'!J150)-Q149</f>
        <v>#REF!</v>
      </c>
      <c r="P150" s="16" t="e">
        <f t="shared" ca="1" si="24"/>
        <v>#REF!</v>
      </c>
      <c r="Q150" s="17" t="e">
        <f t="shared" ca="1" si="25"/>
        <v>#REF!</v>
      </c>
    </row>
    <row r="151" spans="1:17" x14ac:dyDescent="0.35">
      <c r="A151">
        <v>149</v>
      </c>
      <c r="B151" s="14" t="e">
        <f t="shared" si="26"/>
        <v>#REF!</v>
      </c>
      <c r="C151" s="15" t="e">
        <f>(1+(#REF!)*('Arkusz1 (5)'!B151-'Arkusz1 (5)'!B150)/365)</f>
        <v>#REF!</v>
      </c>
      <c r="D151" s="15" t="e">
        <f>(1+(#REF!)*('Arkusz1 (5)'!B151-'Arkusz1 (5)'!B150)/366)</f>
        <v>#REF!</v>
      </c>
      <c r="E151" s="15" t="e">
        <f t="shared" si="18"/>
        <v>#REF!</v>
      </c>
      <c r="F151" s="15" t="e">
        <f t="shared" si="19"/>
        <v>#REF!</v>
      </c>
      <c r="G151" t="e">
        <f>IF(E151=1,(1+(#REF!)*((('Arkusz1 (5)'!B151-DATE(YEAR(B151),1,1)+1)/365)+((DATE(YEAR(B150),12,31)-'Arkusz1 (5)'!B150)/366))),IF(F151=1,(1+(#REF!)*((('Arkusz1 (5)'!B151-DATE(YEAR(B151),1,1)+1)/366)+((DATE(YEAR(B150),12,31)-'Arkusz1 (5)'!B150)/365))),0))</f>
        <v>#REF!</v>
      </c>
      <c r="H151" t="e">
        <f t="shared" si="20"/>
        <v>#REF!</v>
      </c>
      <c r="I151" t="e">
        <f t="shared" si="21"/>
        <v>#REF!</v>
      </c>
      <c r="J151" t="e">
        <f t="shared" si="22"/>
        <v>#REF!</v>
      </c>
      <c r="K151" t="e">
        <f ca="1">PRODUCT($J$3:J151)</f>
        <v>#REF!</v>
      </c>
      <c r="L151" t="e">
        <f t="shared" ca="1" si="23"/>
        <v>#REF!</v>
      </c>
      <c r="M151" t="e">
        <f ca="1">SUM($L$3:L151)</f>
        <v>#REF!</v>
      </c>
      <c r="O151" t="e">
        <f ca="1">(Q150*'Arkusz1 (5)'!J151)-Q150</f>
        <v>#REF!</v>
      </c>
      <c r="P151" s="16" t="e">
        <f t="shared" ca="1" si="24"/>
        <v>#REF!</v>
      </c>
      <c r="Q151" s="17" t="e">
        <f t="shared" ca="1" si="25"/>
        <v>#REF!</v>
      </c>
    </row>
    <row r="152" spans="1:17" x14ac:dyDescent="0.35">
      <c r="A152">
        <v>150</v>
      </c>
      <c r="B152" s="14" t="e">
        <f t="shared" si="26"/>
        <v>#REF!</v>
      </c>
      <c r="C152" s="15" t="e">
        <f>(1+(#REF!)*('Arkusz1 (5)'!B152-'Arkusz1 (5)'!B151)/365)</f>
        <v>#REF!</v>
      </c>
      <c r="D152" s="15" t="e">
        <f>(1+(#REF!)*('Arkusz1 (5)'!B152-'Arkusz1 (5)'!B151)/366)</f>
        <v>#REF!</v>
      </c>
      <c r="E152" s="15" t="e">
        <f t="shared" si="18"/>
        <v>#REF!</v>
      </c>
      <c r="F152" s="15" t="e">
        <f t="shared" si="19"/>
        <v>#REF!</v>
      </c>
      <c r="G152" t="e">
        <f>IF(E152=1,(1+(#REF!)*((('Arkusz1 (5)'!B152-DATE(YEAR(B152),1,1)+1)/365)+((DATE(YEAR(B151),12,31)-'Arkusz1 (5)'!B151)/366))),IF(F152=1,(1+(#REF!)*((('Arkusz1 (5)'!B152-DATE(YEAR(B152),1,1)+1)/366)+((DATE(YEAR(B151),12,31)-'Arkusz1 (5)'!B151)/365))),0))</f>
        <v>#REF!</v>
      </c>
      <c r="H152" t="e">
        <f t="shared" si="20"/>
        <v>#REF!</v>
      </c>
      <c r="I152" t="e">
        <f t="shared" si="21"/>
        <v>#REF!</v>
      </c>
      <c r="J152" t="e">
        <f t="shared" si="22"/>
        <v>#REF!</v>
      </c>
      <c r="K152" t="e">
        <f ca="1">PRODUCT($J$3:J152)</f>
        <v>#REF!</v>
      </c>
      <c r="L152" t="e">
        <f t="shared" ca="1" si="23"/>
        <v>#REF!</v>
      </c>
      <c r="M152" t="e">
        <f ca="1">SUM($L$3:L152)</f>
        <v>#REF!</v>
      </c>
      <c r="O152" t="e">
        <f ca="1">(Q151*'Arkusz1 (5)'!J152)-Q151</f>
        <v>#REF!</v>
      </c>
      <c r="P152" s="16" t="e">
        <f t="shared" ca="1" si="24"/>
        <v>#REF!</v>
      </c>
      <c r="Q152" s="17" t="e">
        <f t="shared" ca="1" si="25"/>
        <v>#REF!</v>
      </c>
    </row>
    <row r="153" spans="1:17" x14ac:dyDescent="0.35">
      <c r="A153">
        <v>151</v>
      </c>
      <c r="B153" s="14" t="e">
        <f t="shared" si="26"/>
        <v>#REF!</v>
      </c>
      <c r="C153" s="15" t="e">
        <f>(1+(#REF!)*('Arkusz1 (5)'!B153-'Arkusz1 (5)'!B152)/365)</f>
        <v>#REF!</v>
      </c>
      <c r="D153" s="15" t="e">
        <f>(1+(#REF!)*('Arkusz1 (5)'!B153-'Arkusz1 (5)'!B152)/366)</f>
        <v>#REF!</v>
      </c>
      <c r="E153" s="15" t="e">
        <f t="shared" si="18"/>
        <v>#REF!</v>
      </c>
      <c r="F153" s="15" t="e">
        <f t="shared" si="19"/>
        <v>#REF!</v>
      </c>
      <c r="G153" t="e">
        <f>IF(E153=1,(1+(#REF!)*((('Arkusz1 (5)'!B153-DATE(YEAR(B153),1,1)+1)/365)+((DATE(YEAR(B152),12,31)-'Arkusz1 (5)'!B152)/366))),IF(F153=1,(1+(#REF!)*((('Arkusz1 (5)'!B153-DATE(YEAR(B153),1,1)+1)/366)+((DATE(YEAR(B152),12,31)-'Arkusz1 (5)'!B152)/365))),0))</f>
        <v>#REF!</v>
      </c>
      <c r="H153" t="e">
        <f t="shared" si="20"/>
        <v>#REF!</v>
      </c>
      <c r="I153" t="e">
        <f t="shared" si="21"/>
        <v>#REF!</v>
      </c>
      <c r="J153" t="e">
        <f t="shared" si="22"/>
        <v>#REF!</v>
      </c>
      <c r="K153" t="e">
        <f ca="1">PRODUCT($J$3:J153)</f>
        <v>#REF!</v>
      </c>
      <c r="L153" t="e">
        <f t="shared" ca="1" si="23"/>
        <v>#REF!</v>
      </c>
      <c r="M153" t="e">
        <f ca="1">SUM($L$3:L153)</f>
        <v>#REF!</v>
      </c>
      <c r="O153" t="e">
        <f ca="1">(Q152*'Arkusz1 (5)'!J153)-Q152</f>
        <v>#REF!</v>
      </c>
      <c r="P153" s="16" t="e">
        <f t="shared" ca="1" si="24"/>
        <v>#REF!</v>
      </c>
      <c r="Q153" s="17" t="e">
        <f t="shared" ca="1" si="25"/>
        <v>#REF!</v>
      </c>
    </row>
    <row r="154" spans="1:17" x14ac:dyDescent="0.35">
      <c r="A154">
        <v>152</v>
      </c>
      <c r="B154" s="14" t="e">
        <f t="shared" si="26"/>
        <v>#REF!</v>
      </c>
      <c r="C154" s="15" t="e">
        <f>(1+(#REF!)*('Arkusz1 (5)'!B154-'Arkusz1 (5)'!B153)/365)</f>
        <v>#REF!</v>
      </c>
      <c r="D154" s="15" t="e">
        <f>(1+(#REF!)*('Arkusz1 (5)'!B154-'Arkusz1 (5)'!B153)/366)</f>
        <v>#REF!</v>
      </c>
      <c r="E154" s="15" t="e">
        <f t="shared" si="18"/>
        <v>#REF!</v>
      </c>
      <c r="F154" s="15" t="e">
        <f t="shared" si="19"/>
        <v>#REF!</v>
      </c>
      <c r="G154" t="e">
        <f>IF(E154=1,(1+(#REF!)*((('Arkusz1 (5)'!B154-DATE(YEAR(B154),1,1)+1)/365)+((DATE(YEAR(B153),12,31)-'Arkusz1 (5)'!B153)/366))),IF(F154=1,(1+(#REF!)*((('Arkusz1 (5)'!B154-DATE(YEAR(B154),1,1)+1)/366)+((DATE(YEAR(B153),12,31)-'Arkusz1 (5)'!B153)/365))),0))</f>
        <v>#REF!</v>
      </c>
      <c r="H154" t="e">
        <f t="shared" si="20"/>
        <v>#REF!</v>
      </c>
      <c r="I154" t="e">
        <f t="shared" si="21"/>
        <v>#REF!</v>
      </c>
      <c r="J154" t="e">
        <f t="shared" si="22"/>
        <v>#REF!</v>
      </c>
      <c r="K154" t="e">
        <f ca="1">PRODUCT($J$3:J154)</f>
        <v>#REF!</v>
      </c>
      <c r="L154" t="e">
        <f t="shared" ca="1" si="23"/>
        <v>#REF!</v>
      </c>
      <c r="M154" t="e">
        <f ca="1">SUM($L$3:L154)</f>
        <v>#REF!</v>
      </c>
      <c r="O154" t="e">
        <f ca="1">(Q153*'Arkusz1 (5)'!J154)-Q153</f>
        <v>#REF!</v>
      </c>
      <c r="P154" s="16" t="e">
        <f t="shared" ca="1" si="24"/>
        <v>#REF!</v>
      </c>
      <c r="Q154" s="17" t="e">
        <f t="shared" ca="1" si="25"/>
        <v>#REF!</v>
      </c>
    </row>
    <row r="155" spans="1:17" x14ac:dyDescent="0.35">
      <c r="A155">
        <v>153</v>
      </c>
      <c r="B155" s="14" t="e">
        <f t="shared" si="26"/>
        <v>#REF!</v>
      </c>
      <c r="C155" s="15" t="e">
        <f>(1+(#REF!)*('Arkusz1 (5)'!B155-'Arkusz1 (5)'!B154)/365)</f>
        <v>#REF!</v>
      </c>
      <c r="D155" s="15" t="e">
        <f>(1+(#REF!)*('Arkusz1 (5)'!B155-'Arkusz1 (5)'!B154)/366)</f>
        <v>#REF!</v>
      </c>
      <c r="E155" s="15" t="e">
        <f t="shared" si="18"/>
        <v>#REF!</v>
      </c>
      <c r="F155" s="15" t="e">
        <f t="shared" si="19"/>
        <v>#REF!</v>
      </c>
      <c r="G155" t="e">
        <f>IF(E155=1,(1+(#REF!)*((('Arkusz1 (5)'!B155-DATE(YEAR(B155),1,1)+1)/365)+((DATE(YEAR(B154),12,31)-'Arkusz1 (5)'!B154)/366))),IF(F155=1,(1+(#REF!)*((('Arkusz1 (5)'!B155-DATE(YEAR(B155),1,1)+1)/366)+((DATE(YEAR(B154),12,31)-'Arkusz1 (5)'!B154)/365))),0))</f>
        <v>#REF!</v>
      </c>
      <c r="H155" t="e">
        <f t="shared" si="20"/>
        <v>#REF!</v>
      </c>
      <c r="I155" t="e">
        <f t="shared" si="21"/>
        <v>#REF!</v>
      </c>
      <c r="J155" t="e">
        <f t="shared" si="22"/>
        <v>#REF!</v>
      </c>
      <c r="K155" t="e">
        <f ca="1">PRODUCT($J$3:J155)</f>
        <v>#REF!</v>
      </c>
      <c r="L155" t="e">
        <f t="shared" ca="1" si="23"/>
        <v>#REF!</v>
      </c>
      <c r="M155" t="e">
        <f ca="1">SUM($L$3:L155)</f>
        <v>#REF!</v>
      </c>
      <c r="O155" t="e">
        <f ca="1">(Q154*'Arkusz1 (5)'!J155)-Q154</f>
        <v>#REF!</v>
      </c>
      <c r="P155" s="16" t="e">
        <f t="shared" ca="1" si="24"/>
        <v>#REF!</v>
      </c>
      <c r="Q155" s="17" t="e">
        <f t="shared" ca="1" si="25"/>
        <v>#REF!</v>
      </c>
    </row>
    <row r="156" spans="1:17" x14ac:dyDescent="0.35">
      <c r="A156">
        <v>154</v>
      </c>
      <c r="B156" s="14" t="e">
        <f t="shared" si="26"/>
        <v>#REF!</v>
      </c>
      <c r="C156" s="15" t="e">
        <f>(1+(#REF!)*('Arkusz1 (5)'!B156-'Arkusz1 (5)'!B155)/365)</f>
        <v>#REF!</v>
      </c>
      <c r="D156" s="15" t="e">
        <f>(1+(#REF!)*('Arkusz1 (5)'!B156-'Arkusz1 (5)'!B155)/366)</f>
        <v>#REF!</v>
      </c>
      <c r="E156" s="15" t="e">
        <f t="shared" si="18"/>
        <v>#REF!</v>
      </c>
      <c r="F156" s="15" t="e">
        <f t="shared" si="19"/>
        <v>#REF!</v>
      </c>
      <c r="G156" t="e">
        <f>IF(E156=1,(1+(#REF!)*((('Arkusz1 (5)'!B156-DATE(YEAR(B156),1,1)+1)/365)+((DATE(YEAR(B155),12,31)-'Arkusz1 (5)'!B155)/366))),IF(F156=1,(1+(#REF!)*((('Arkusz1 (5)'!B156-DATE(YEAR(B156),1,1)+1)/366)+((DATE(YEAR(B155),12,31)-'Arkusz1 (5)'!B155)/365))),0))</f>
        <v>#REF!</v>
      </c>
      <c r="H156" t="e">
        <f t="shared" si="20"/>
        <v>#REF!</v>
      </c>
      <c r="I156" t="e">
        <f t="shared" si="21"/>
        <v>#REF!</v>
      </c>
      <c r="J156" t="e">
        <f t="shared" si="22"/>
        <v>#REF!</v>
      </c>
      <c r="K156" t="e">
        <f ca="1">PRODUCT($J$3:J156)</f>
        <v>#REF!</v>
      </c>
      <c r="L156" t="e">
        <f t="shared" ca="1" si="23"/>
        <v>#REF!</v>
      </c>
      <c r="M156" t="e">
        <f ca="1">SUM($L$3:L156)</f>
        <v>#REF!</v>
      </c>
      <c r="O156" t="e">
        <f ca="1">(Q155*'Arkusz1 (5)'!J156)-Q155</f>
        <v>#REF!</v>
      </c>
      <c r="P156" s="16" t="e">
        <f t="shared" ca="1" si="24"/>
        <v>#REF!</v>
      </c>
      <c r="Q156" s="17" t="e">
        <f t="shared" ca="1" si="25"/>
        <v>#REF!</v>
      </c>
    </row>
    <row r="157" spans="1:17" x14ac:dyDescent="0.35">
      <c r="A157">
        <v>155</v>
      </c>
      <c r="B157" s="14" t="e">
        <f t="shared" si="26"/>
        <v>#REF!</v>
      </c>
      <c r="C157" s="15" t="e">
        <f>(1+(#REF!)*('Arkusz1 (5)'!B157-'Arkusz1 (5)'!B156)/365)</f>
        <v>#REF!</v>
      </c>
      <c r="D157" s="15" t="e">
        <f>(1+(#REF!)*('Arkusz1 (5)'!B157-'Arkusz1 (5)'!B156)/366)</f>
        <v>#REF!</v>
      </c>
      <c r="E157" s="15" t="e">
        <f t="shared" si="18"/>
        <v>#REF!</v>
      </c>
      <c r="F157" s="15" t="e">
        <f t="shared" si="19"/>
        <v>#REF!</v>
      </c>
      <c r="G157" t="e">
        <f>IF(E157=1,(1+(#REF!)*((('Arkusz1 (5)'!B157-DATE(YEAR(B157),1,1)+1)/365)+((DATE(YEAR(B156),12,31)-'Arkusz1 (5)'!B156)/366))),IF(F157=1,(1+(#REF!)*((('Arkusz1 (5)'!B157-DATE(YEAR(B157),1,1)+1)/366)+((DATE(YEAR(B156),12,31)-'Arkusz1 (5)'!B156)/365))),0))</f>
        <v>#REF!</v>
      </c>
      <c r="H157" t="e">
        <f t="shared" si="20"/>
        <v>#REF!</v>
      </c>
      <c r="I157" t="e">
        <f t="shared" si="21"/>
        <v>#REF!</v>
      </c>
      <c r="J157" t="e">
        <f t="shared" si="22"/>
        <v>#REF!</v>
      </c>
      <c r="K157" t="e">
        <f ca="1">PRODUCT($J$3:J157)</f>
        <v>#REF!</v>
      </c>
      <c r="L157" t="e">
        <f t="shared" ca="1" si="23"/>
        <v>#REF!</v>
      </c>
      <c r="M157" t="e">
        <f ca="1">SUM($L$3:L157)</f>
        <v>#REF!</v>
      </c>
      <c r="O157" t="e">
        <f ca="1">(Q156*'Arkusz1 (5)'!J157)-Q156</f>
        <v>#REF!</v>
      </c>
      <c r="P157" s="16" t="e">
        <f t="shared" ca="1" si="24"/>
        <v>#REF!</v>
      </c>
      <c r="Q157" s="17" t="e">
        <f t="shared" ca="1" si="25"/>
        <v>#REF!</v>
      </c>
    </row>
    <row r="158" spans="1:17" x14ac:dyDescent="0.35">
      <c r="A158">
        <v>156</v>
      </c>
      <c r="B158" s="14" t="e">
        <f t="shared" si="26"/>
        <v>#REF!</v>
      </c>
      <c r="C158" s="15" t="e">
        <f>(1+(#REF!)*('Arkusz1 (5)'!B158-'Arkusz1 (5)'!B157)/365)</f>
        <v>#REF!</v>
      </c>
      <c r="D158" s="15" t="e">
        <f>(1+(#REF!)*('Arkusz1 (5)'!B158-'Arkusz1 (5)'!B157)/366)</f>
        <v>#REF!</v>
      </c>
      <c r="E158" s="15" t="e">
        <f t="shared" si="18"/>
        <v>#REF!</v>
      </c>
      <c r="F158" s="15" t="e">
        <f t="shared" si="19"/>
        <v>#REF!</v>
      </c>
      <c r="G158" t="e">
        <f>IF(E158=1,(1+(#REF!)*((('Arkusz1 (5)'!B158-DATE(YEAR(B158),1,1)+1)/365)+((DATE(YEAR(B157),12,31)-'Arkusz1 (5)'!B157)/366))),IF(F158=1,(1+(#REF!)*((('Arkusz1 (5)'!B158-DATE(YEAR(B158),1,1)+1)/366)+((DATE(YEAR(B157),12,31)-'Arkusz1 (5)'!B157)/365))),0))</f>
        <v>#REF!</v>
      </c>
      <c r="H158" t="e">
        <f t="shared" si="20"/>
        <v>#REF!</v>
      </c>
      <c r="I158" t="e">
        <f t="shared" si="21"/>
        <v>#REF!</v>
      </c>
      <c r="J158" t="e">
        <f t="shared" si="22"/>
        <v>#REF!</v>
      </c>
      <c r="K158" t="e">
        <f ca="1">PRODUCT($J$3:J158)</f>
        <v>#REF!</v>
      </c>
      <c r="L158" t="e">
        <f t="shared" ca="1" si="23"/>
        <v>#REF!</v>
      </c>
      <c r="M158" t="e">
        <f ca="1">SUM($L$3:L158)</f>
        <v>#REF!</v>
      </c>
      <c r="O158" t="e">
        <f ca="1">(Q157*'Arkusz1 (5)'!J158)-Q157</f>
        <v>#REF!</v>
      </c>
      <c r="P158" s="16" t="e">
        <f t="shared" ca="1" si="24"/>
        <v>#REF!</v>
      </c>
      <c r="Q158" s="17" t="e">
        <f t="shared" ca="1" si="25"/>
        <v>#REF!</v>
      </c>
    </row>
    <row r="159" spans="1:17" x14ac:dyDescent="0.35">
      <c r="A159">
        <v>157</v>
      </c>
      <c r="B159" s="14" t="e">
        <f t="shared" si="26"/>
        <v>#REF!</v>
      </c>
      <c r="C159" s="15" t="e">
        <f>(1+(#REF!)*('Arkusz1 (5)'!B159-'Arkusz1 (5)'!B158)/365)</f>
        <v>#REF!</v>
      </c>
      <c r="D159" s="15" t="e">
        <f>(1+(#REF!)*('Arkusz1 (5)'!B159-'Arkusz1 (5)'!B158)/366)</f>
        <v>#REF!</v>
      </c>
      <c r="E159" s="15" t="e">
        <f t="shared" si="18"/>
        <v>#REF!</v>
      </c>
      <c r="F159" s="15" t="e">
        <f t="shared" si="19"/>
        <v>#REF!</v>
      </c>
      <c r="G159" t="e">
        <f>IF(E159=1,(1+(#REF!)*((('Arkusz1 (5)'!B159-DATE(YEAR(B159),1,1)+1)/365)+((DATE(YEAR(B158),12,31)-'Arkusz1 (5)'!B158)/366))),IF(F159=1,(1+(#REF!)*((('Arkusz1 (5)'!B159-DATE(YEAR(B159),1,1)+1)/366)+((DATE(YEAR(B158),12,31)-'Arkusz1 (5)'!B158)/365))),0))</f>
        <v>#REF!</v>
      </c>
      <c r="H159" t="e">
        <f t="shared" si="20"/>
        <v>#REF!</v>
      </c>
      <c r="I159" t="e">
        <f t="shared" si="21"/>
        <v>#REF!</v>
      </c>
      <c r="J159" t="e">
        <f t="shared" si="22"/>
        <v>#REF!</v>
      </c>
      <c r="K159" t="e">
        <f ca="1">PRODUCT($J$3:J159)</f>
        <v>#REF!</v>
      </c>
      <c r="L159" t="e">
        <f t="shared" ca="1" si="23"/>
        <v>#REF!</v>
      </c>
      <c r="M159" t="e">
        <f ca="1">SUM($L$3:L159)</f>
        <v>#REF!</v>
      </c>
      <c r="O159" t="e">
        <f ca="1">(Q158*'Arkusz1 (5)'!J159)-Q158</f>
        <v>#REF!</v>
      </c>
      <c r="P159" s="16" t="e">
        <f t="shared" ca="1" si="24"/>
        <v>#REF!</v>
      </c>
      <c r="Q159" s="17" t="e">
        <f t="shared" ca="1" si="25"/>
        <v>#REF!</v>
      </c>
    </row>
    <row r="160" spans="1:17" x14ac:dyDescent="0.35">
      <c r="A160">
        <v>158</v>
      </c>
      <c r="B160" s="14" t="e">
        <f t="shared" si="26"/>
        <v>#REF!</v>
      </c>
      <c r="C160" s="15" t="e">
        <f>(1+(#REF!)*('Arkusz1 (5)'!B160-'Arkusz1 (5)'!B159)/365)</f>
        <v>#REF!</v>
      </c>
      <c r="D160" s="15" t="e">
        <f>(1+(#REF!)*('Arkusz1 (5)'!B160-'Arkusz1 (5)'!B159)/366)</f>
        <v>#REF!</v>
      </c>
      <c r="E160" s="15" t="e">
        <f t="shared" si="18"/>
        <v>#REF!</v>
      </c>
      <c r="F160" s="15" t="e">
        <f t="shared" si="19"/>
        <v>#REF!</v>
      </c>
      <c r="G160" t="e">
        <f>IF(E160=1,(1+(#REF!)*((('Arkusz1 (5)'!B160-DATE(YEAR(B160),1,1)+1)/365)+((DATE(YEAR(B159),12,31)-'Arkusz1 (5)'!B159)/366))),IF(F160=1,(1+(#REF!)*((('Arkusz1 (5)'!B160-DATE(YEAR(B160),1,1)+1)/366)+((DATE(YEAR(B159),12,31)-'Arkusz1 (5)'!B159)/365))),0))</f>
        <v>#REF!</v>
      </c>
      <c r="H160" t="e">
        <f t="shared" si="20"/>
        <v>#REF!</v>
      </c>
      <c r="I160" t="e">
        <f t="shared" si="21"/>
        <v>#REF!</v>
      </c>
      <c r="J160" t="e">
        <f t="shared" si="22"/>
        <v>#REF!</v>
      </c>
      <c r="K160" t="e">
        <f ca="1">PRODUCT($J$3:J160)</f>
        <v>#REF!</v>
      </c>
      <c r="L160" t="e">
        <f t="shared" ca="1" si="23"/>
        <v>#REF!</v>
      </c>
      <c r="M160" t="e">
        <f ca="1">SUM($L$3:L160)</f>
        <v>#REF!</v>
      </c>
      <c r="O160" t="e">
        <f ca="1">(Q159*'Arkusz1 (5)'!J160)-Q159</f>
        <v>#REF!</v>
      </c>
      <c r="P160" s="16" t="e">
        <f t="shared" ca="1" si="24"/>
        <v>#REF!</v>
      </c>
      <c r="Q160" s="17" t="e">
        <f t="shared" ca="1" si="25"/>
        <v>#REF!</v>
      </c>
    </row>
    <row r="161" spans="1:17" x14ac:dyDescent="0.35">
      <c r="A161">
        <v>159</v>
      </c>
      <c r="B161" s="14" t="e">
        <f t="shared" si="26"/>
        <v>#REF!</v>
      </c>
      <c r="C161" s="15" t="e">
        <f>(1+(#REF!)*('Arkusz1 (5)'!B161-'Arkusz1 (5)'!B160)/365)</f>
        <v>#REF!</v>
      </c>
      <c r="D161" s="15" t="e">
        <f>(1+(#REF!)*('Arkusz1 (5)'!B161-'Arkusz1 (5)'!B160)/366)</f>
        <v>#REF!</v>
      </c>
      <c r="E161" s="15" t="e">
        <f t="shared" si="18"/>
        <v>#REF!</v>
      </c>
      <c r="F161" s="15" t="e">
        <f t="shared" si="19"/>
        <v>#REF!</v>
      </c>
      <c r="G161" t="e">
        <f>IF(E161=1,(1+(#REF!)*((('Arkusz1 (5)'!B161-DATE(YEAR(B161),1,1)+1)/365)+((DATE(YEAR(B160),12,31)-'Arkusz1 (5)'!B160)/366))),IF(F161=1,(1+(#REF!)*((('Arkusz1 (5)'!B161-DATE(YEAR(B161),1,1)+1)/366)+((DATE(YEAR(B160),12,31)-'Arkusz1 (5)'!B160)/365))),0))</f>
        <v>#REF!</v>
      </c>
      <c r="H161" t="e">
        <f t="shared" si="20"/>
        <v>#REF!</v>
      </c>
      <c r="I161" t="e">
        <f t="shared" si="21"/>
        <v>#REF!</v>
      </c>
      <c r="J161" t="e">
        <f t="shared" si="22"/>
        <v>#REF!</v>
      </c>
      <c r="K161" t="e">
        <f ca="1">PRODUCT($J$3:J161)</f>
        <v>#REF!</v>
      </c>
      <c r="L161" t="e">
        <f t="shared" ca="1" si="23"/>
        <v>#REF!</v>
      </c>
      <c r="M161" t="e">
        <f ca="1">SUM($L$3:L161)</f>
        <v>#REF!</v>
      </c>
      <c r="O161" t="e">
        <f ca="1">(Q160*'Arkusz1 (5)'!J161)-Q160</f>
        <v>#REF!</v>
      </c>
      <c r="P161" s="16" t="e">
        <f t="shared" ca="1" si="24"/>
        <v>#REF!</v>
      </c>
      <c r="Q161" s="17" t="e">
        <f t="shared" ca="1" si="25"/>
        <v>#REF!</v>
      </c>
    </row>
    <row r="162" spans="1:17" x14ac:dyDescent="0.35">
      <c r="A162">
        <v>160</v>
      </c>
      <c r="B162" s="14" t="e">
        <f t="shared" si="26"/>
        <v>#REF!</v>
      </c>
      <c r="C162" s="15" t="e">
        <f>(1+(#REF!)*('Arkusz1 (5)'!B162-'Arkusz1 (5)'!B161)/365)</f>
        <v>#REF!</v>
      </c>
      <c r="D162" s="15" t="e">
        <f>(1+(#REF!)*('Arkusz1 (5)'!B162-'Arkusz1 (5)'!B161)/366)</f>
        <v>#REF!</v>
      </c>
      <c r="E162" s="15" t="e">
        <f t="shared" si="18"/>
        <v>#REF!</v>
      </c>
      <c r="F162" s="15" t="e">
        <f t="shared" si="19"/>
        <v>#REF!</v>
      </c>
      <c r="G162" t="e">
        <f>IF(E162=1,(1+(#REF!)*((('Arkusz1 (5)'!B162-DATE(YEAR(B162),1,1)+1)/365)+((DATE(YEAR(B161),12,31)-'Arkusz1 (5)'!B161)/366))),IF(F162=1,(1+(#REF!)*((('Arkusz1 (5)'!B162-DATE(YEAR(B162),1,1)+1)/366)+((DATE(YEAR(B161),12,31)-'Arkusz1 (5)'!B161)/365))),0))</f>
        <v>#REF!</v>
      </c>
      <c r="H162" t="e">
        <f t="shared" si="20"/>
        <v>#REF!</v>
      </c>
      <c r="I162" t="e">
        <f t="shared" si="21"/>
        <v>#REF!</v>
      </c>
      <c r="J162" t="e">
        <f t="shared" si="22"/>
        <v>#REF!</v>
      </c>
      <c r="K162" t="e">
        <f ca="1">PRODUCT($J$3:J162)</f>
        <v>#REF!</v>
      </c>
      <c r="L162" t="e">
        <f t="shared" ca="1" si="23"/>
        <v>#REF!</v>
      </c>
      <c r="M162" t="e">
        <f ca="1">SUM($L$3:L162)</f>
        <v>#REF!</v>
      </c>
      <c r="O162" t="e">
        <f ca="1">(Q161*'Arkusz1 (5)'!J162)-Q161</f>
        <v>#REF!</v>
      </c>
      <c r="P162" s="16" t="e">
        <f t="shared" ca="1" si="24"/>
        <v>#REF!</v>
      </c>
      <c r="Q162" s="17" t="e">
        <f t="shared" ca="1" si="25"/>
        <v>#REF!</v>
      </c>
    </row>
    <row r="163" spans="1:17" x14ac:dyDescent="0.35">
      <c r="A163">
        <v>161</v>
      </c>
      <c r="B163" s="14" t="e">
        <f t="shared" si="26"/>
        <v>#REF!</v>
      </c>
      <c r="C163" s="15" t="e">
        <f>(1+(#REF!)*('Arkusz1 (5)'!B163-'Arkusz1 (5)'!B162)/365)</f>
        <v>#REF!</v>
      </c>
      <c r="D163" s="15" t="e">
        <f>(1+(#REF!)*('Arkusz1 (5)'!B163-'Arkusz1 (5)'!B162)/366)</f>
        <v>#REF!</v>
      </c>
      <c r="E163" s="15" t="e">
        <f t="shared" si="18"/>
        <v>#REF!</v>
      </c>
      <c r="F163" s="15" t="e">
        <f t="shared" si="19"/>
        <v>#REF!</v>
      </c>
      <c r="G163" t="e">
        <f>IF(E163=1,(1+(#REF!)*((('Arkusz1 (5)'!B163-DATE(YEAR(B163),1,1)+1)/365)+((DATE(YEAR(B162),12,31)-'Arkusz1 (5)'!B162)/366))),IF(F163=1,(1+(#REF!)*((('Arkusz1 (5)'!B163-DATE(YEAR(B163),1,1)+1)/366)+((DATE(YEAR(B162),12,31)-'Arkusz1 (5)'!B162)/365))),0))</f>
        <v>#REF!</v>
      </c>
      <c r="H163" t="e">
        <f t="shared" si="20"/>
        <v>#REF!</v>
      </c>
      <c r="I163" t="e">
        <f t="shared" si="21"/>
        <v>#REF!</v>
      </c>
      <c r="J163" t="e">
        <f t="shared" si="22"/>
        <v>#REF!</v>
      </c>
      <c r="K163" t="e">
        <f ca="1">PRODUCT($J$3:J163)</f>
        <v>#REF!</v>
      </c>
      <c r="L163" t="e">
        <f t="shared" ca="1" si="23"/>
        <v>#REF!</v>
      </c>
      <c r="M163" t="e">
        <f ca="1">SUM($L$3:L163)</f>
        <v>#REF!</v>
      </c>
      <c r="O163" t="e">
        <f ca="1">(Q162*'Arkusz1 (5)'!J163)-Q162</f>
        <v>#REF!</v>
      </c>
      <c r="P163" s="16" t="e">
        <f t="shared" ca="1" si="24"/>
        <v>#REF!</v>
      </c>
      <c r="Q163" s="17" t="e">
        <f t="shared" ca="1" si="25"/>
        <v>#REF!</v>
      </c>
    </row>
    <row r="164" spans="1:17" x14ac:dyDescent="0.35">
      <c r="A164">
        <v>162</v>
      </c>
      <c r="B164" s="14" t="e">
        <f t="shared" si="26"/>
        <v>#REF!</v>
      </c>
      <c r="C164" s="15" t="e">
        <f>(1+(#REF!)*('Arkusz1 (5)'!B164-'Arkusz1 (5)'!B163)/365)</f>
        <v>#REF!</v>
      </c>
      <c r="D164" s="15" t="e">
        <f>(1+(#REF!)*('Arkusz1 (5)'!B164-'Arkusz1 (5)'!B163)/366)</f>
        <v>#REF!</v>
      </c>
      <c r="E164" s="15" t="e">
        <f t="shared" si="18"/>
        <v>#REF!</v>
      </c>
      <c r="F164" s="15" t="e">
        <f t="shared" si="19"/>
        <v>#REF!</v>
      </c>
      <c r="G164" t="e">
        <f>IF(E164=1,(1+(#REF!)*((('Arkusz1 (5)'!B164-DATE(YEAR(B164),1,1)+1)/365)+((DATE(YEAR(B163),12,31)-'Arkusz1 (5)'!B163)/366))),IF(F164=1,(1+(#REF!)*((('Arkusz1 (5)'!B164-DATE(YEAR(B164),1,1)+1)/366)+((DATE(YEAR(B163),12,31)-'Arkusz1 (5)'!B163)/365))),0))</f>
        <v>#REF!</v>
      </c>
      <c r="H164" t="e">
        <f t="shared" si="20"/>
        <v>#REF!</v>
      </c>
      <c r="I164" t="e">
        <f t="shared" si="21"/>
        <v>#REF!</v>
      </c>
      <c r="J164" t="e">
        <f t="shared" si="22"/>
        <v>#REF!</v>
      </c>
      <c r="K164" t="e">
        <f ca="1">PRODUCT($J$3:J164)</f>
        <v>#REF!</v>
      </c>
      <c r="L164" t="e">
        <f t="shared" ca="1" si="23"/>
        <v>#REF!</v>
      </c>
      <c r="M164" t="e">
        <f ca="1">SUM($L$3:L164)</f>
        <v>#REF!</v>
      </c>
      <c r="O164" t="e">
        <f ca="1">(Q163*'Arkusz1 (5)'!J164)-Q163</f>
        <v>#REF!</v>
      </c>
      <c r="P164" s="16" t="e">
        <f t="shared" ca="1" si="24"/>
        <v>#REF!</v>
      </c>
      <c r="Q164" s="17" t="e">
        <f t="shared" ca="1" si="25"/>
        <v>#REF!</v>
      </c>
    </row>
    <row r="165" spans="1:17" x14ac:dyDescent="0.35">
      <c r="A165">
        <v>163</v>
      </c>
      <c r="B165" s="14" t="e">
        <f t="shared" si="26"/>
        <v>#REF!</v>
      </c>
      <c r="C165" s="15" t="e">
        <f>(1+(#REF!)*('Arkusz1 (5)'!B165-'Arkusz1 (5)'!B164)/365)</f>
        <v>#REF!</v>
      </c>
      <c r="D165" s="15" t="e">
        <f>(1+(#REF!)*('Arkusz1 (5)'!B165-'Arkusz1 (5)'!B164)/366)</f>
        <v>#REF!</v>
      </c>
      <c r="E165" s="15" t="e">
        <f t="shared" si="18"/>
        <v>#REF!</v>
      </c>
      <c r="F165" s="15" t="e">
        <f t="shared" si="19"/>
        <v>#REF!</v>
      </c>
      <c r="G165" t="e">
        <f>IF(E165=1,(1+(#REF!)*((('Arkusz1 (5)'!B165-DATE(YEAR(B165),1,1)+1)/365)+((DATE(YEAR(B164),12,31)-'Arkusz1 (5)'!B164)/366))),IF(F165=1,(1+(#REF!)*((('Arkusz1 (5)'!B165-DATE(YEAR(B165),1,1)+1)/366)+((DATE(YEAR(B164),12,31)-'Arkusz1 (5)'!B164)/365))),0))</f>
        <v>#REF!</v>
      </c>
      <c r="H165" t="e">
        <f t="shared" si="20"/>
        <v>#REF!</v>
      </c>
      <c r="I165" t="e">
        <f t="shared" si="21"/>
        <v>#REF!</v>
      </c>
      <c r="J165" t="e">
        <f t="shared" si="22"/>
        <v>#REF!</v>
      </c>
      <c r="K165" t="e">
        <f ca="1">PRODUCT($J$3:J165)</f>
        <v>#REF!</v>
      </c>
      <c r="L165" t="e">
        <f t="shared" ca="1" si="23"/>
        <v>#REF!</v>
      </c>
      <c r="M165" t="e">
        <f ca="1">SUM($L$3:L165)</f>
        <v>#REF!</v>
      </c>
      <c r="O165" t="e">
        <f ca="1">(Q164*'Arkusz1 (5)'!J165)-Q164</f>
        <v>#REF!</v>
      </c>
      <c r="P165" s="16" t="e">
        <f t="shared" ca="1" si="24"/>
        <v>#REF!</v>
      </c>
      <c r="Q165" s="17" t="e">
        <f t="shared" ca="1" si="25"/>
        <v>#REF!</v>
      </c>
    </row>
    <row r="166" spans="1:17" x14ac:dyDescent="0.35">
      <c r="A166">
        <v>164</v>
      </c>
      <c r="B166" s="14" t="e">
        <f t="shared" si="26"/>
        <v>#REF!</v>
      </c>
      <c r="C166" s="15" t="e">
        <f>(1+(#REF!)*('Arkusz1 (5)'!B166-'Arkusz1 (5)'!B165)/365)</f>
        <v>#REF!</v>
      </c>
      <c r="D166" s="15" t="e">
        <f>(1+(#REF!)*('Arkusz1 (5)'!B166-'Arkusz1 (5)'!B165)/366)</f>
        <v>#REF!</v>
      </c>
      <c r="E166" s="15" t="e">
        <f t="shared" si="18"/>
        <v>#REF!</v>
      </c>
      <c r="F166" s="15" t="e">
        <f t="shared" si="19"/>
        <v>#REF!</v>
      </c>
      <c r="G166" t="e">
        <f>IF(E166=1,(1+(#REF!)*((('Arkusz1 (5)'!B166-DATE(YEAR(B166),1,1)+1)/365)+((DATE(YEAR(B165),12,31)-'Arkusz1 (5)'!B165)/366))),IF(F166=1,(1+(#REF!)*((('Arkusz1 (5)'!B166-DATE(YEAR(B166),1,1)+1)/366)+((DATE(YEAR(B165),12,31)-'Arkusz1 (5)'!B165)/365))),0))</f>
        <v>#REF!</v>
      </c>
      <c r="H166" t="e">
        <f t="shared" si="20"/>
        <v>#REF!</v>
      </c>
      <c r="I166" t="e">
        <f t="shared" si="21"/>
        <v>#REF!</v>
      </c>
      <c r="J166" t="e">
        <f t="shared" si="22"/>
        <v>#REF!</v>
      </c>
      <c r="K166" t="e">
        <f ca="1">PRODUCT($J$3:J166)</f>
        <v>#REF!</v>
      </c>
      <c r="L166" t="e">
        <f t="shared" ca="1" si="23"/>
        <v>#REF!</v>
      </c>
      <c r="M166" t="e">
        <f ca="1">SUM($L$3:L166)</f>
        <v>#REF!</v>
      </c>
      <c r="O166" t="e">
        <f ca="1">(Q165*'Arkusz1 (5)'!J166)-Q165</f>
        <v>#REF!</v>
      </c>
      <c r="P166" s="16" t="e">
        <f t="shared" ca="1" si="24"/>
        <v>#REF!</v>
      </c>
      <c r="Q166" s="17" t="e">
        <f t="shared" ca="1" si="25"/>
        <v>#REF!</v>
      </c>
    </row>
    <row r="167" spans="1:17" x14ac:dyDescent="0.35">
      <c r="A167">
        <v>165</v>
      </c>
      <c r="B167" s="14" t="e">
        <f t="shared" si="26"/>
        <v>#REF!</v>
      </c>
      <c r="C167" s="15" t="e">
        <f>(1+(#REF!)*('Arkusz1 (5)'!B167-'Arkusz1 (5)'!B166)/365)</f>
        <v>#REF!</v>
      </c>
      <c r="D167" s="15" t="e">
        <f>(1+(#REF!)*('Arkusz1 (5)'!B167-'Arkusz1 (5)'!B166)/366)</f>
        <v>#REF!</v>
      </c>
      <c r="E167" s="15" t="e">
        <f t="shared" si="18"/>
        <v>#REF!</v>
      </c>
      <c r="F167" s="15" t="e">
        <f t="shared" si="19"/>
        <v>#REF!</v>
      </c>
      <c r="G167" t="e">
        <f>IF(E167=1,(1+(#REF!)*((('Arkusz1 (5)'!B167-DATE(YEAR(B167),1,1)+1)/365)+((DATE(YEAR(B166),12,31)-'Arkusz1 (5)'!B166)/366))),IF(F167=1,(1+(#REF!)*((('Arkusz1 (5)'!B167-DATE(YEAR(B167),1,1)+1)/366)+((DATE(YEAR(B166),12,31)-'Arkusz1 (5)'!B166)/365))),0))</f>
        <v>#REF!</v>
      </c>
      <c r="H167" t="e">
        <f t="shared" si="20"/>
        <v>#REF!</v>
      </c>
      <c r="I167" t="e">
        <f t="shared" si="21"/>
        <v>#REF!</v>
      </c>
      <c r="J167" t="e">
        <f t="shared" si="22"/>
        <v>#REF!</v>
      </c>
      <c r="K167" t="e">
        <f ca="1">PRODUCT($J$3:J167)</f>
        <v>#REF!</v>
      </c>
      <c r="L167" t="e">
        <f t="shared" ca="1" si="23"/>
        <v>#REF!</v>
      </c>
      <c r="M167" t="e">
        <f ca="1">SUM($L$3:L167)</f>
        <v>#REF!</v>
      </c>
      <c r="O167" t="e">
        <f ca="1">(Q166*'Arkusz1 (5)'!J167)-Q166</f>
        <v>#REF!</v>
      </c>
      <c r="P167" s="16" t="e">
        <f t="shared" ca="1" si="24"/>
        <v>#REF!</v>
      </c>
      <c r="Q167" s="17" t="e">
        <f t="shared" ca="1" si="25"/>
        <v>#REF!</v>
      </c>
    </row>
    <row r="168" spans="1:17" x14ac:dyDescent="0.35">
      <c r="A168">
        <v>166</v>
      </c>
      <c r="B168" s="14" t="e">
        <f t="shared" si="26"/>
        <v>#REF!</v>
      </c>
      <c r="C168" s="15" t="e">
        <f>(1+(#REF!)*('Arkusz1 (5)'!B168-'Arkusz1 (5)'!B167)/365)</f>
        <v>#REF!</v>
      </c>
      <c r="D168" s="15" t="e">
        <f>(1+(#REF!)*('Arkusz1 (5)'!B168-'Arkusz1 (5)'!B167)/366)</f>
        <v>#REF!</v>
      </c>
      <c r="E168" s="15" t="e">
        <f t="shared" si="18"/>
        <v>#REF!</v>
      </c>
      <c r="F168" s="15" t="e">
        <f t="shared" si="19"/>
        <v>#REF!</v>
      </c>
      <c r="G168" t="e">
        <f>IF(E168=1,(1+(#REF!)*((('Arkusz1 (5)'!B168-DATE(YEAR(B168),1,1)+1)/365)+((DATE(YEAR(B167),12,31)-'Arkusz1 (5)'!B167)/366))),IF(F168=1,(1+(#REF!)*((('Arkusz1 (5)'!B168-DATE(YEAR(B168),1,1)+1)/366)+((DATE(YEAR(B167),12,31)-'Arkusz1 (5)'!B167)/365))),0))</f>
        <v>#REF!</v>
      </c>
      <c r="H168" t="e">
        <f t="shared" si="20"/>
        <v>#REF!</v>
      </c>
      <c r="I168" t="e">
        <f t="shared" si="21"/>
        <v>#REF!</v>
      </c>
      <c r="J168" t="e">
        <f t="shared" si="22"/>
        <v>#REF!</v>
      </c>
      <c r="K168" t="e">
        <f ca="1">PRODUCT($J$3:J168)</f>
        <v>#REF!</v>
      </c>
      <c r="L168" t="e">
        <f t="shared" ca="1" si="23"/>
        <v>#REF!</v>
      </c>
      <c r="M168" t="e">
        <f ca="1">SUM($L$3:L168)</f>
        <v>#REF!</v>
      </c>
      <c r="O168" t="e">
        <f ca="1">(Q167*'Arkusz1 (5)'!J168)-Q167</f>
        <v>#REF!</v>
      </c>
      <c r="P168" s="16" t="e">
        <f t="shared" ca="1" si="24"/>
        <v>#REF!</v>
      </c>
      <c r="Q168" s="17" t="e">
        <f t="shared" ca="1" si="25"/>
        <v>#REF!</v>
      </c>
    </row>
    <row r="169" spans="1:17" x14ac:dyDescent="0.35">
      <c r="A169">
        <v>167</v>
      </c>
      <c r="B169" s="14" t="e">
        <f t="shared" si="26"/>
        <v>#REF!</v>
      </c>
      <c r="C169" s="15" t="e">
        <f>(1+(#REF!)*('Arkusz1 (5)'!B169-'Arkusz1 (5)'!B168)/365)</f>
        <v>#REF!</v>
      </c>
      <c r="D169" s="15" t="e">
        <f>(1+(#REF!)*('Arkusz1 (5)'!B169-'Arkusz1 (5)'!B168)/366)</f>
        <v>#REF!</v>
      </c>
      <c r="E169" s="15" t="e">
        <f t="shared" si="18"/>
        <v>#REF!</v>
      </c>
      <c r="F169" s="15" t="e">
        <f t="shared" si="19"/>
        <v>#REF!</v>
      </c>
      <c r="G169" t="e">
        <f>IF(E169=1,(1+(#REF!)*((('Arkusz1 (5)'!B169-DATE(YEAR(B169),1,1)+1)/365)+((DATE(YEAR(B168),12,31)-'Arkusz1 (5)'!B168)/366))),IF(F169=1,(1+(#REF!)*((('Arkusz1 (5)'!B169-DATE(YEAR(B169),1,1)+1)/366)+((DATE(YEAR(B168),12,31)-'Arkusz1 (5)'!B168)/365))),0))</f>
        <v>#REF!</v>
      </c>
      <c r="H169" t="e">
        <f t="shared" si="20"/>
        <v>#REF!</v>
      </c>
      <c r="I169" t="e">
        <f t="shared" si="21"/>
        <v>#REF!</v>
      </c>
      <c r="J169" t="e">
        <f t="shared" si="22"/>
        <v>#REF!</v>
      </c>
      <c r="K169" t="e">
        <f ca="1">PRODUCT($J$3:J169)</f>
        <v>#REF!</v>
      </c>
      <c r="L169" t="e">
        <f t="shared" ca="1" si="23"/>
        <v>#REF!</v>
      </c>
      <c r="M169" t="e">
        <f ca="1">SUM($L$3:L169)</f>
        <v>#REF!</v>
      </c>
      <c r="O169" t="e">
        <f ca="1">(Q168*'Arkusz1 (5)'!J169)-Q168</f>
        <v>#REF!</v>
      </c>
      <c r="P169" s="16" t="e">
        <f t="shared" ca="1" si="24"/>
        <v>#REF!</v>
      </c>
      <c r="Q169" s="17" t="e">
        <f t="shared" ca="1" si="25"/>
        <v>#REF!</v>
      </c>
    </row>
    <row r="170" spans="1:17" x14ac:dyDescent="0.35">
      <c r="A170">
        <v>168</v>
      </c>
      <c r="B170" s="14" t="e">
        <f t="shared" si="26"/>
        <v>#REF!</v>
      </c>
      <c r="C170" s="15" t="e">
        <f>(1+(#REF!)*('Arkusz1 (5)'!B170-'Arkusz1 (5)'!B169)/365)</f>
        <v>#REF!</v>
      </c>
      <c r="D170" s="15" t="e">
        <f>(1+(#REF!)*('Arkusz1 (5)'!B170-'Arkusz1 (5)'!B169)/366)</f>
        <v>#REF!</v>
      </c>
      <c r="E170" s="15" t="e">
        <f t="shared" si="18"/>
        <v>#REF!</v>
      </c>
      <c r="F170" s="15" t="e">
        <f t="shared" si="19"/>
        <v>#REF!</v>
      </c>
      <c r="G170" t="e">
        <f>IF(E170=1,(1+(#REF!)*((('Arkusz1 (5)'!B170-DATE(YEAR(B170),1,1)+1)/365)+((DATE(YEAR(B169),12,31)-'Arkusz1 (5)'!B169)/366))),IF(F170=1,(1+(#REF!)*((('Arkusz1 (5)'!B170-DATE(YEAR(B170),1,1)+1)/366)+((DATE(YEAR(B169),12,31)-'Arkusz1 (5)'!B169)/365))),0))</f>
        <v>#REF!</v>
      </c>
      <c r="H170" t="e">
        <f t="shared" si="20"/>
        <v>#REF!</v>
      </c>
      <c r="I170" t="e">
        <f t="shared" si="21"/>
        <v>#REF!</v>
      </c>
      <c r="J170" t="e">
        <f t="shared" si="22"/>
        <v>#REF!</v>
      </c>
      <c r="K170" t="e">
        <f ca="1">PRODUCT($J$3:J170)</f>
        <v>#REF!</v>
      </c>
      <c r="L170" t="e">
        <f t="shared" ca="1" si="23"/>
        <v>#REF!</v>
      </c>
      <c r="M170" t="e">
        <f ca="1">SUM($L$3:L170)</f>
        <v>#REF!</v>
      </c>
      <c r="O170" t="e">
        <f ca="1">(Q169*'Arkusz1 (5)'!J170)-Q169</f>
        <v>#REF!</v>
      </c>
      <c r="P170" s="16" t="e">
        <f t="shared" ca="1" si="24"/>
        <v>#REF!</v>
      </c>
      <c r="Q170" s="17" t="e">
        <f t="shared" ca="1" si="25"/>
        <v>#REF!</v>
      </c>
    </row>
    <row r="171" spans="1:17" x14ac:dyDescent="0.35">
      <c r="A171">
        <v>169</v>
      </c>
      <c r="B171" s="14" t="e">
        <f t="shared" si="26"/>
        <v>#REF!</v>
      </c>
      <c r="C171" s="15" t="e">
        <f>(1+(#REF!)*('Arkusz1 (5)'!B171-'Arkusz1 (5)'!B170)/365)</f>
        <v>#REF!</v>
      </c>
      <c r="D171" s="15" t="e">
        <f>(1+(#REF!)*('Arkusz1 (5)'!B171-'Arkusz1 (5)'!B170)/366)</f>
        <v>#REF!</v>
      </c>
      <c r="E171" s="15" t="e">
        <f t="shared" si="18"/>
        <v>#REF!</v>
      </c>
      <c r="F171" s="15" t="e">
        <f t="shared" si="19"/>
        <v>#REF!</v>
      </c>
      <c r="G171" t="e">
        <f>IF(E171=1,(1+(#REF!)*((('Arkusz1 (5)'!B171-DATE(YEAR(B171),1,1)+1)/365)+((DATE(YEAR(B170),12,31)-'Arkusz1 (5)'!B170)/366))),IF(F171=1,(1+(#REF!)*((('Arkusz1 (5)'!B171-DATE(YEAR(B171),1,1)+1)/366)+((DATE(YEAR(B170),12,31)-'Arkusz1 (5)'!B170)/365))),0))</f>
        <v>#REF!</v>
      </c>
      <c r="H171" t="e">
        <f t="shared" si="20"/>
        <v>#REF!</v>
      </c>
      <c r="I171" t="e">
        <f t="shared" si="21"/>
        <v>#REF!</v>
      </c>
      <c r="J171" t="e">
        <f t="shared" si="22"/>
        <v>#REF!</v>
      </c>
      <c r="K171" t="e">
        <f ca="1">PRODUCT($J$3:J171)</f>
        <v>#REF!</v>
      </c>
      <c r="L171" t="e">
        <f t="shared" ca="1" si="23"/>
        <v>#REF!</v>
      </c>
      <c r="M171" t="e">
        <f ca="1">SUM($L$3:L171)</f>
        <v>#REF!</v>
      </c>
      <c r="O171" t="e">
        <f ca="1">(Q170*'Arkusz1 (5)'!J171)-Q170</f>
        <v>#REF!</v>
      </c>
      <c r="P171" s="16" t="e">
        <f t="shared" ca="1" si="24"/>
        <v>#REF!</v>
      </c>
      <c r="Q171" s="17" t="e">
        <f t="shared" ca="1" si="25"/>
        <v>#REF!</v>
      </c>
    </row>
    <row r="172" spans="1:17" x14ac:dyDescent="0.35">
      <c r="A172">
        <v>170</v>
      </c>
      <c r="B172" s="14" t="e">
        <f t="shared" si="26"/>
        <v>#REF!</v>
      </c>
      <c r="C172" s="15" t="e">
        <f>(1+(#REF!)*('Arkusz1 (5)'!B172-'Arkusz1 (5)'!B171)/365)</f>
        <v>#REF!</v>
      </c>
      <c r="D172" s="15" t="e">
        <f>(1+(#REF!)*('Arkusz1 (5)'!B172-'Arkusz1 (5)'!B171)/366)</f>
        <v>#REF!</v>
      </c>
      <c r="E172" s="15" t="e">
        <f t="shared" si="18"/>
        <v>#REF!</v>
      </c>
      <c r="F172" s="15" t="e">
        <f t="shared" si="19"/>
        <v>#REF!</v>
      </c>
      <c r="G172" t="e">
        <f>IF(E172=1,(1+(#REF!)*((('Arkusz1 (5)'!B172-DATE(YEAR(B172),1,1)+1)/365)+((DATE(YEAR(B171),12,31)-'Arkusz1 (5)'!B171)/366))),IF(F172=1,(1+(#REF!)*((('Arkusz1 (5)'!B172-DATE(YEAR(B172),1,1)+1)/366)+((DATE(YEAR(B171),12,31)-'Arkusz1 (5)'!B171)/365))),0))</f>
        <v>#REF!</v>
      </c>
      <c r="H172" t="e">
        <f t="shared" si="20"/>
        <v>#REF!</v>
      </c>
      <c r="I172" t="e">
        <f t="shared" si="21"/>
        <v>#REF!</v>
      </c>
      <c r="J172" t="e">
        <f t="shared" si="22"/>
        <v>#REF!</v>
      </c>
      <c r="K172" t="e">
        <f ca="1">PRODUCT($J$3:J172)</f>
        <v>#REF!</v>
      </c>
      <c r="L172" t="e">
        <f t="shared" ca="1" si="23"/>
        <v>#REF!</v>
      </c>
      <c r="M172" t="e">
        <f ca="1">SUM($L$3:L172)</f>
        <v>#REF!</v>
      </c>
      <c r="O172" t="e">
        <f ca="1">(Q171*'Arkusz1 (5)'!J172)-Q171</f>
        <v>#REF!</v>
      </c>
      <c r="P172" s="16" t="e">
        <f t="shared" ca="1" si="24"/>
        <v>#REF!</v>
      </c>
      <c r="Q172" s="17" t="e">
        <f t="shared" ca="1" si="25"/>
        <v>#REF!</v>
      </c>
    </row>
    <row r="173" spans="1:17" x14ac:dyDescent="0.35">
      <c r="A173">
        <v>171</v>
      </c>
      <c r="B173" s="14" t="e">
        <f t="shared" si="26"/>
        <v>#REF!</v>
      </c>
      <c r="C173" s="15" t="e">
        <f>(1+(#REF!)*('Arkusz1 (5)'!B173-'Arkusz1 (5)'!B172)/365)</f>
        <v>#REF!</v>
      </c>
      <c r="D173" s="15" t="e">
        <f>(1+(#REF!)*('Arkusz1 (5)'!B173-'Arkusz1 (5)'!B172)/366)</f>
        <v>#REF!</v>
      </c>
      <c r="E173" s="15" t="e">
        <f t="shared" si="18"/>
        <v>#REF!</v>
      </c>
      <c r="F173" s="15" t="e">
        <f t="shared" si="19"/>
        <v>#REF!</v>
      </c>
      <c r="G173" t="e">
        <f>IF(E173=1,(1+(#REF!)*((('Arkusz1 (5)'!B173-DATE(YEAR(B173),1,1)+1)/365)+((DATE(YEAR(B172),12,31)-'Arkusz1 (5)'!B172)/366))),IF(F173=1,(1+(#REF!)*((('Arkusz1 (5)'!B173-DATE(YEAR(B173),1,1)+1)/366)+((DATE(YEAR(B172),12,31)-'Arkusz1 (5)'!B172)/365))),0))</f>
        <v>#REF!</v>
      </c>
      <c r="H173" t="e">
        <f t="shared" si="20"/>
        <v>#REF!</v>
      </c>
      <c r="I173" t="e">
        <f t="shared" si="21"/>
        <v>#REF!</v>
      </c>
      <c r="J173" t="e">
        <f t="shared" si="22"/>
        <v>#REF!</v>
      </c>
      <c r="K173" t="e">
        <f ca="1">PRODUCT($J$3:J173)</f>
        <v>#REF!</v>
      </c>
      <c r="L173" t="e">
        <f t="shared" ca="1" si="23"/>
        <v>#REF!</v>
      </c>
      <c r="M173" t="e">
        <f ca="1">SUM($L$3:L173)</f>
        <v>#REF!</v>
      </c>
      <c r="O173" t="e">
        <f ca="1">(Q172*'Arkusz1 (5)'!J173)-Q172</f>
        <v>#REF!</v>
      </c>
      <c r="P173" s="16" t="e">
        <f t="shared" ca="1" si="24"/>
        <v>#REF!</v>
      </c>
      <c r="Q173" s="17" t="e">
        <f t="shared" ca="1" si="25"/>
        <v>#REF!</v>
      </c>
    </row>
    <row r="174" spans="1:17" x14ac:dyDescent="0.35">
      <c r="A174">
        <v>172</v>
      </c>
      <c r="B174" s="14" t="e">
        <f t="shared" si="26"/>
        <v>#REF!</v>
      </c>
      <c r="C174" s="15" t="e">
        <f>(1+(#REF!)*('Arkusz1 (5)'!B174-'Arkusz1 (5)'!B173)/365)</f>
        <v>#REF!</v>
      </c>
      <c r="D174" s="15" t="e">
        <f>(1+(#REF!)*('Arkusz1 (5)'!B174-'Arkusz1 (5)'!B173)/366)</f>
        <v>#REF!</v>
      </c>
      <c r="E174" s="15" t="e">
        <f t="shared" si="18"/>
        <v>#REF!</v>
      </c>
      <c r="F174" s="15" t="e">
        <f t="shared" si="19"/>
        <v>#REF!</v>
      </c>
      <c r="G174" t="e">
        <f>IF(E174=1,(1+(#REF!)*((('Arkusz1 (5)'!B174-DATE(YEAR(B174),1,1)+1)/365)+((DATE(YEAR(B173),12,31)-'Arkusz1 (5)'!B173)/366))),IF(F174=1,(1+(#REF!)*((('Arkusz1 (5)'!B174-DATE(YEAR(B174),1,1)+1)/366)+((DATE(YEAR(B173),12,31)-'Arkusz1 (5)'!B173)/365))),0))</f>
        <v>#REF!</v>
      </c>
      <c r="H174" t="e">
        <f t="shared" si="20"/>
        <v>#REF!</v>
      </c>
      <c r="I174" t="e">
        <f t="shared" si="21"/>
        <v>#REF!</v>
      </c>
      <c r="J174" t="e">
        <f t="shared" si="22"/>
        <v>#REF!</v>
      </c>
      <c r="K174" t="e">
        <f ca="1">PRODUCT($J$3:J174)</f>
        <v>#REF!</v>
      </c>
      <c r="L174" t="e">
        <f t="shared" ca="1" si="23"/>
        <v>#REF!</v>
      </c>
      <c r="M174" t="e">
        <f ca="1">SUM($L$3:L174)</f>
        <v>#REF!</v>
      </c>
      <c r="O174" t="e">
        <f ca="1">(Q173*'Arkusz1 (5)'!J174)-Q173</f>
        <v>#REF!</v>
      </c>
      <c r="P174" s="16" t="e">
        <f t="shared" ca="1" si="24"/>
        <v>#REF!</v>
      </c>
      <c r="Q174" s="17" t="e">
        <f t="shared" ca="1" si="25"/>
        <v>#REF!</v>
      </c>
    </row>
    <row r="175" spans="1:17" x14ac:dyDescent="0.35">
      <c r="A175">
        <v>173</v>
      </c>
      <c r="B175" s="14" t="e">
        <f t="shared" si="26"/>
        <v>#REF!</v>
      </c>
      <c r="C175" s="15" t="e">
        <f>(1+(#REF!)*('Arkusz1 (5)'!B175-'Arkusz1 (5)'!B174)/365)</f>
        <v>#REF!</v>
      </c>
      <c r="D175" s="15" t="e">
        <f>(1+(#REF!)*('Arkusz1 (5)'!B175-'Arkusz1 (5)'!B174)/366)</f>
        <v>#REF!</v>
      </c>
      <c r="E175" s="15" t="e">
        <f t="shared" si="18"/>
        <v>#REF!</v>
      </c>
      <c r="F175" s="15" t="e">
        <f t="shared" si="19"/>
        <v>#REF!</v>
      </c>
      <c r="G175" t="e">
        <f>IF(E175=1,(1+(#REF!)*((('Arkusz1 (5)'!B175-DATE(YEAR(B175),1,1)+1)/365)+((DATE(YEAR(B174),12,31)-'Arkusz1 (5)'!B174)/366))),IF(F175=1,(1+(#REF!)*((('Arkusz1 (5)'!B175-DATE(YEAR(B175),1,1)+1)/366)+((DATE(YEAR(B174),12,31)-'Arkusz1 (5)'!B174)/365))),0))</f>
        <v>#REF!</v>
      </c>
      <c r="H175" t="e">
        <f t="shared" si="20"/>
        <v>#REF!</v>
      </c>
      <c r="I175" t="e">
        <f t="shared" si="21"/>
        <v>#REF!</v>
      </c>
      <c r="J175" t="e">
        <f t="shared" si="22"/>
        <v>#REF!</v>
      </c>
      <c r="K175" t="e">
        <f ca="1">PRODUCT($J$3:J175)</f>
        <v>#REF!</v>
      </c>
      <c r="L175" t="e">
        <f t="shared" ca="1" si="23"/>
        <v>#REF!</v>
      </c>
      <c r="M175" t="e">
        <f ca="1">SUM($L$3:L175)</f>
        <v>#REF!</v>
      </c>
      <c r="O175" t="e">
        <f ca="1">(Q174*'Arkusz1 (5)'!J175)-Q174</f>
        <v>#REF!</v>
      </c>
      <c r="P175" s="16" t="e">
        <f t="shared" ca="1" si="24"/>
        <v>#REF!</v>
      </c>
      <c r="Q175" s="17" t="e">
        <f t="shared" ca="1" si="25"/>
        <v>#REF!</v>
      </c>
    </row>
    <row r="176" spans="1:17" x14ac:dyDescent="0.35">
      <c r="A176">
        <v>174</v>
      </c>
      <c r="B176" s="14" t="e">
        <f t="shared" si="26"/>
        <v>#REF!</v>
      </c>
      <c r="C176" s="15" t="e">
        <f>(1+(#REF!)*('Arkusz1 (5)'!B176-'Arkusz1 (5)'!B175)/365)</f>
        <v>#REF!</v>
      </c>
      <c r="D176" s="15" t="e">
        <f>(1+(#REF!)*('Arkusz1 (5)'!B176-'Arkusz1 (5)'!B175)/366)</f>
        <v>#REF!</v>
      </c>
      <c r="E176" s="15" t="e">
        <f t="shared" si="18"/>
        <v>#REF!</v>
      </c>
      <c r="F176" s="15" t="e">
        <f t="shared" si="19"/>
        <v>#REF!</v>
      </c>
      <c r="G176" t="e">
        <f>IF(E176=1,(1+(#REF!)*((('Arkusz1 (5)'!B176-DATE(YEAR(B176),1,1)+1)/365)+((DATE(YEAR(B175),12,31)-'Arkusz1 (5)'!B175)/366))),IF(F176=1,(1+(#REF!)*((('Arkusz1 (5)'!B176-DATE(YEAR(B176),1,1)+1)/366)+((DATE(YEAR(B175),12,31)-'Arkusz1 (5)'!B175)/365))),0))</f>
        <v>#REF!</v>
      </c>
      <c r="H176" t="e">
        <f t="shared" si="20"/>
        <v>#REF!</v>
      </c>
      <c r="I176" t="e">
        <f t="shared" si="21"/>
        <v>#REF!</v>
      </c>
      <c r="J176" t="e">
        <f t="shared" si="22"/>
        <v>#REF!</v>
      </c>
      <c r="K176" t="e">
        <f ca="1">PRODUCT($J$3:J176)</f>
        <v>#REF!</v>
      </c>
      <c r="L176" t="e">
        <f t="shared" ca="1" si="23"/>
        <v>#REF!</v>
      </c>
      <c r="M176" t="e">
        <f ca="1">SUM($L$3:L176)</f>
        <v>#REF!</v>
      </c>
      <c r="O176" t="e">
        <f ca="1">(Q175*'Arkusz1 (5)'!J176)-Q175</f>
        <v>#REF!</v>
      </c>
      <c r="P176" s="16" t="e">
        <f t="shared" ca="1" si="24"/>
        <v>#REF!</v>
      </c>
      <c r="Q176" s="17" t="e">
        <f t="shared" ca="1" si="25"/>
        <v>#REF!</v>
      </c>
    </row>
    <row r="177" spans="1:17" x14ac:dyDescent="0.35">
      <c r="A177">
        <v>175</v>
      </c>
      <c r="B177" s="14" t="e">
        <f t="shared" si="26"/>
        <v>#REF!</v>
      </c>
      <c r="C177" s="15" t="e">
        <f>(1+(#REF!)*('Arkusz1 (5)'!B177-'Arkusz1 (5)'!B176)/365)</f>
        <v>#REF!</v>
      </c>
      <c r="D177" s="15" t="e">
        <f>(1+(#REF!)*('Arkusz1 (5)'!B177-'Arkusz1 (5)'!B176)/366)</f>
        <v>#REF!</v>
      </c>
      <c r="E177" s="15" t="e">
        <f t="shared" si="18"/>
        <v>#REF!</v>
      </c>
      <c r="F177" s="15" t="e">
        <f t="shared" si="19"/>
        <v>#REF!</v>
      </c>
      <c r="G177" t="e">
        <f>IF(E177=1,(1+(#REF!)*((('Arkusz1 (5)'!B177-DATE(YEAR(B177),1,1)+1)/365)+((DATE(YEAR(B176),12,31)-'Arkusz1 (5)'!B176)/366))),IF(F177=1,(1+(#REF!)*((('Arkusz1 (5)'!B177-DATE(YEAR(B177),1,1)+1)/366)+((DATE(YEAR(B176),12,31)-'Arkusz1 (5)'!B176)/365))),0))</f>
        <v>#REF!</v>
      </c>
      <c r="H177" t="e">
        <f t="shared" si="20"/>
        <v>#REF!</v>
      </c>
      <c r="I177" t="e">
        <f t="shared" si="21"/>
        <v>#REF!</v>
      </c>
      <c r="J177" t="e">
        <f t="shared" si="22"/>
        <v>#REF!</v>
      </c>
      <c r="K177" t="e">
        <f ca="1">PRODUCT($J$3:J177)</f>
        <v>#REF!</v>
      </c>
      <c r="L177" t="e">
        <f t="shared" ca="1" si="23"/>
        <v>#REF!</v>
      </c>
      <c r="M177" t="e">
        <f ca="1">SUM($L$3:L177)</f>
        <v>#REF!</v>
      </c>
      <c r="O177" t="e">
        <f ca="1">(Q176*'Arkusz1 (5)'!J177)-Q176</f>
        <v>#REF!</v>
      </c>
      <c r="P177" s="16" t="e">
        <f t="shared" ca="1" si="24"/>
        <v>#REF!</v>
      </c>
      <c r="Q177" s="17" t="e">
        <f t="shared" ca="1" si="25"/>
        <v>#REF!</v>
      </c>
    </row>
    <row r="178" spans="1:17" x14ac:dyDescent="0.35">
      <c r="A178">
        <v>176</v>
      </c>
      <c r="B178" s="14" t="e">
        <f t="shared" si="26"/>
        <v>#REF!</v>
      </c>
      <c r="C178" s="15" t="e">
        <f>(1+(#REF!)*('Arkusz1 (5)'!B178-'Arkusz1 (5)'!B177)/365)</f>
        <v>#REF!</v>
      </c>
      <c r="D178" s="15" t="e">
        <f>(1+(#REF!)*('Arkusz1 (5)'!B178-'Arkusz1 (5)'!B177)/366)</f>
        <v>#REF!</v>
      </c>
      <c r="E178" s="15" t="e">
        <f t="shared" si="18"/>
        <v>#REF!</v>
      </c>
      <c r="F178" s="15" t="e">
        <f t="shared" si="19"/>
        <v>#REF!</v>
      </c>
      <c r="G178" t="e">
        <f>IF(E178=1,(1+(#REF!)*((('Arkusz1 (5)'!B178-DATE(YEAR(B178),1,1)+1)/365)+((DATE(YEAR(B177),12,31)-'Arkusz1 (5)'!B177)/366))),IF(F178=1,(1+(#REF!)*((('Arkusz1 (5)'!B178-DATE(YEAR(B178),1,1)+1)/366)+((DATE(YEAR(B177),12,31)-'Arkusz1 (5)'!B177)/365))),0))</f>
        <v>#REF!</v>
      </c>
      <c r="H178" t="e">
        <f t="shared" si="20"/>
        <v>#REF!</v>
      </c>
      <c r="I178" t="e">
        <f t="shared" si="21"/>
        <v>#REF!</v>
      </c>
      <c r="J178" t="e">
        <f t="shared" si="22"/>
        <v>#REF!</v>
      </c>
      <c r="K178" t="e">
        <f ca="1">PRODUCT($J$3:J178)</f>
        <v>#REF!</v>
      </c>
      <c r="L178" t="e">
        <f t="shared" ca="1" si="23"/>
        <v>#REF!</v>
      </c>
      <c r="M178" t="e">
        <f ca="1">SUM($L$3:L178)</f>
        <v>#REF!</v>
      </c>
      <c r="O178" t="e">
        <f ca="1">(Q177*'Arkusz1 (5)'!J178)-Q177</f>
        <v>#REF!</v>
      </c>
      <c r="P178" s="16" t="e">
        <f t="shared" ca="1" si="24"/>
        <v>#REF!</v>
      </c>
      <c r="Q178" s="17" t="e">
        <f t="shared" ca="1" si="25"/>
        <v>#REF!</v>
      </c>
    </row>
    <row r="179" spans="1:17" x14ac:dyDescent="0.35">
      <c r="A179">
        <v>177</v>
      </c>
      <c r="B179" s="14" t="e">
        <f t="shared" si="26"/>
        <v>#REF!</v>
      </c>
      <c r="C179" s="15" t="e">
        <f>(1+(#REF!)*('Arkusz1 (5)'!B179-'Arkusz1 (5)'!B178)/365)</f>
        <v>#REF!</v>
      </c>
      <c r="D179" s="15" t="e">
        <f>(1+(#REF!)*('Arkusz1 (5)'!B179-'Arkusz1 (5)'!B178)/366)</f>
        <v>#REF!</v>
      </c>
      <c r="E179" s="15" t="e">
        <f t="shared" si="18"/>
        <v>#REF!</v>
      </c>
      <c r="F179" s="15" t="e">
        <f t="shared" si="19"/>
        <v>#REF!</v>
      </c>
      <c r="G179" t="e">
        <f>IF(E179=1,(1+(#REF!)*((('Arkusz1 (5)'!B179-DATE(YEAR(B179),1,1)+1)/365)+((DATE(YEAR(B178),12,31)-'Arkusz1 (5)'!B178)/366))),IF(F179=1,(1+(#REF!)*((('Arkusz1 (5)'!B179-DATE(YEAR(B179),1,1)+1)/366)+((DATE(YEAR(B178),12,31)-'Arkusz1 (5)'!B178)/365))),0))</f>
        <v>#REF!</v>
      </c>
      <c r="H179" t="e">
        <f t="shared" si="20"/>
        <v>#REF!</v>
      </c>
      <c r="I179" t="e">
        <f t="shared" si="21"/>
        <v>#REF!</v>
      </c>
      <c r="J179" t="e">
        <f t="shared" si="22"/>
        <v>#REF!</v>
      </c>
      <c r="K179" t="e">
        <f ca="1">PRODUCT($J$3:J179)</f>
        <v>#REF!</v>
      </c>
      <c r="L179" t="e">
        <f t="shared" ca="1" si="23"/>
        <v>#REF!</v>
      </c>
      <c r="M179" t="e">
        <f ca="1">SUM($L$3:L179)</f>
        <v>#REF!</v>
      </c>
      <c r="O179" t="e">
        <f ca="1">(Q178*'Arkusz1 (5)'!J179)-Q178</f>
        <v>#REF!</v>
      </c>
      <c r="P179" s="16" t="e">
        <f t="shared" ca="1" si="24"/>
        <v>#REF!</v>
      </c>
      <c r="Q179" s="17" t="e">
        <f t="shared" ca="1" si="25"/>
        <v>#REF!</v>
      </c>
    </row>
    <row r="180" spans="1:17" x14ac:dyDescent="0.35">
      <c r="A180">
        <v>178</v>
      </c>
      <c r="B180" s="14" t="e">
        <f t="shared" si="26"/>
        <v>#REF!</v>
      </c>
      <c r="C180" s="15" t="e">
        <f>(1+(#REF!)*('Arkusz1 (5)'!B180-'Arkusz1 (5)'!B179)/365)</f>
        <v>#REF!</v>
      </c>
      <c r="D180" s="15" t="e">
        <f>(1+(#REF!)*('Arkusz1 (5)'!B180-'Arkusz1 (5)'!B179)/366)</f>
        <v>#REF!</v>
      </c>
      <c r="E180" s="15" t="e">
        <f t="shared" si="18"/>
        <v>#REF!</v>
      </c>
      <c r="F180" s="15" t="e">
        <f t="shared" si="19"/>
        <v>#REF!</v>
      </c>
      <c r="G180" t="e">
        <f>IF(E180=1,(1+(#REF!)*((('Arkusz1 (5)'!B180-DATE(YEAR(B180),1,1)+1)/365)+((DATE(YEAR(B179),12,31)-'Arkusz1 (5)'!B179)/366))),IF(F180=1,(1+(#REF!)*((('Arkusz1 (5)'!B180-DATE(YEAR(B180),1,1)+1)/366)+((DATE(YEAR(B179),12,31)-'Arkusz1 (5)'!B179)/365))),0))</f>
        <v>#REF!</v>
      </c>
      <c r="H180" t="e">
        <f t="shared" si="20"/>
        <v>#REF!</v>
      </c>
      <c r="I180" t="e">
        <f t="shared" si="21"/>
        <v>#REF!</v>
      </c>
      <c r="J180" t="e">
        <f t="shared" si="22"/>
        <v>#REF!</v>
      </c>
      <c r="K180" t="e">
        <f ca="1">PRODUCT($J$3:J180)</f>
        <v>#REF!</v>
      </c>
      <c r="L180" t="e">
        <f t="shared" ca="1" si="23"/>
        <v>#REF!</v>
      </c>
      <c r="M180" t="e">
        <f ca="1">SUM($L$3:L180)</f>
        <v>#REF!</v>
      </c>
      <c r="O180" t="e">
        <f ca="1">(Q179*'Arkusz1 (5)'!J180)-Q179</f>
        <v>#REF!</v>
      </c>
      <c r="P180" s="16" t="e">
        <f t="shared" ca="1" si="24"/>
        <v>#REF!</v>
      </c>
      <c r="Q180" s="17" t="e">
        <f t="shared" ca="1" si="25"/>
        <v>#REF!</v>
      </c>
    </row>
    <row r="181" spans="1:17" x14ac:dyDescent="0.35">
      <c r="A181">
        <v>179</v>
      </c>
      <c r="B181" s="14" t="e">
        <f t="shared" si="26"/>
        <v>#REF!</v>
      </c>
      <c r="C181" s="15" t="e">
        <f>(1+(#REF!)*('Arkusz1 (5)'!B181-'Arkusz1 (5)'!B180)/365)</f>
        <v>#REF!</v>
      </c>
      <c r="D181" s="15" t="e">
        <f>(1+(#REF!)*('Arkusz1 (5)'!B181-'Arkusz1 (5)'!B180)/366)</f>
        <v>#REF!</v>
      </c>
      <c r="E181" s="15" t="e">
        <f t="shared" si="18"/>
        <v>#REF!</v>
      </c>
      <c r="F181" s="15" t="e">
        <f t="shared" si="19"/>
        <v>#REF!</v>
      </c>
      <c r="G181" t="e">
        <f>IF(E181=1,(1+(#REF!)*((('Arkusz1 (5)'!B181-DATE(YEAR(B181),1,1)+1)/365)+((DATE(YEAR(B180),12,31)-'Arkusz1 (5)'!B180)/366))),IF(F181=1,(1+(#REF!)*((('Arkusz1 (5)'!B181-DATE(YEAR(B181),1,1)+1)/366)+((DATE(YEAR(B180),12,31)-'Arkusz1 (5)'!B180)/365))),0))</f>
        <v>#REF!</v>
      </c>
      <c r="H181" t="e">
        <f t="shared" si="20"/>
        <v>#REF!</v>
      </c>
      <c r="I181" t="e">
        <f t="shared" si="21"/>
        <v>#REF!</v>
      </c>
      <c r="J181" t="e">
        <f t="shared" si="22"/>
        <v>#REF!</v>
      </c>
      <c r="K181" t="e">
        <f ca="1">PRODUCT($J$3:J181)</f>
        <v>#REF!</v>
      </c>
      <c r="L181" t="e">
        <f t="shared" ca="1" si="23"/>
        <v>#REF!</v>
      </c>
      <c r="M181" t="e">
        <f ca="1">SUM($L$3:L181)</f>
        <v>#REF!</v>
      </c>
      <c r="O181" t="e">
        <f ca="1">(Q180*'Arkusz1 (5)'!J181)-Q180</f>
        <v>#REF!</v>
      </c>
      <c r="P181" s="16" t="e">
        <f t="shared" ca="1" si="24"/>
        <v>#REF!</v>
      </c>
      <c r="Q181" s="17" t="e">
        <f t="shared" ca="1" si="25"/>
        <v>#REF!</v>
      </c>
    </row>
    <row r="182" spans="1:17" x14ac:dyDescent="0.35">
      <c r="A182">
        <v>180</v>
      </c>
      <c r="B182" s="14" t="e">
        <f t="shared" si="26"/>
        <v>#REF!</v>
      </c>
      <c r="C182" s="15" t="e">
        <f>(1+(#REF!)*('Arkusz1 (5)'!B182-'Arkusz1 (5)'!B181)/365)</f>
        <v>#REF!</v>
      </c>
      <c r="D182" s="15" t="e">
        <f>(1+(#REF!)*('Arkusz1 (5)'!B182-'Arkusz1 (5)'!B181)/366)</f>
        <v>#REF!</v>
      </c>
      <c r="E182" s="15" t="e">
        <f t="shared" si="18"/>
        <v>#REF!</v>
      </c>
      <c r="F182" s="15" t="e">
        <f t="shared" si="19"/>
        <v>#REF!</v>
      </c>
      <c r="G182" t="e">
        <f>IF(E182=1,(1+(#REF!)*((('Arkusz1 (5)'!B182-DATE(YEAR(B182),1,1)+1)/365)+((DATE(YEAR(B181),12,31)-'Arkusz1 (5)'!B181)/366))),IF(F182=1,(1+(#REF!)*((('Arkusz1 (5)'!B182-DATE(YEAR(B182),1,1)+1)/366)+((DATE(YEAR(B181),12,31)-'Arkusz1 (5)'!B181)/365))),0))</f>
        <v>#REF!</v>
      </c>
      <c r="H182" t="e">
        <f t="shared" si="20"/>
        <v>#REF!</v>
      </c>
      <c r="I182" t="e">
        <f t="shared" si="21"/>
        <v>#REF!</v>
      </c>
      <c r="J182" t="e">
        <f t="shared" si="22"/>
        <v>#REF!</v>
      </c>
      <c r="K182" t="e">
        <f ca="1">PRODUCT($J$3:J182)</f>
        <v>#REF!</v>
      </c>
      <c r="L182" t="e">
        <f t="shared" ca="1" si="23"/>
        <v>#REF!</v>
      </c>
      <c r="M182" t="e">
        <f ca="1">SUM($L$3:L182)</f>
        <v>#REF!</v>
      </c>
      <c r="O182" t="e">
        <f ca="1">(Q181*'Arkusz1 (5)'!J182)-Q181</f>
        <v>#REF!</v>
      </c>
      <c r="P182" s="16" t="e">
        <f t="shared" ca="1" si="24"/>
        <v>#REF!</v>
      </c>
      <c r="Q182" s="17" t="e">
        <f t="shared" ca="1" si="25"/>
        <v>#REF!</v>
      </c>
    </row>
  </sheetData>
  <pageMargins left="0.7" right="0.7" top="0.75" bottom="0.75" header="0.3" footer="0.3"/>
  <pageSetup paperSize="9" orientation="portrait" horizontalDpi="30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Arkusz34"/>
  <dimension ref="A1:Q182"/>
  <sheetViews>
    <sheetView topLeftCell="B1" workbookViewId="0">
      <pane ySplit="1" topLeftCell="A2" activePane="bottomLeft" state="frozen"/>
      <selection pane="bottomLeft" activeCell="N2" sqref="N2"/>
    </sheetView>
  </sheetViews>
  <sheetFormatPr defaultRowHeight="14.5" x14ac:dyDescent="0.35"/>
  <cols>
    <col min="1" max="1" width="4" bestFit="1" customWidth="1"/>
    <col min="2" max="2" width="16.1796875" customWidth="1"/>
    <col min="3" max="3" width="16.1796875" style="15" customWidth="1"/>
    <col min="4" max="11" width="16.1796875" customWidth="1"/>
    <col min="12" max="12" width="17.453125" customWidth="1"/>
    <col min="13" max="13" width="12.1796875" customWidth="1"/>
    <col min="15" max="15" width="15.1796875" customWidth="1"/>
    <col min="16" max="16" width="16.81640625" customWidth="1"/>
    <col min="17" max="17" width="16.1796875" customWidth="1"/>
  </cols>
  <sheetData>
    <row r="1" spans="1:17" x14ac:dyDescent="0.35">
      <c r="A1" s="1" t="s">
        <v>6</v>
      </c>
      <c r="B1" s="2"/>
      <c r="C1" s="3" t="s">
        <v>7</v>
      </c>
      <c r="D1" s="2" t="s">
        <v>8</v>
      </c>
      <c r="E1" s="2" t="s">
        <v>9</v>
      </c>
      <c r="F1" s="2" t="s">
        <v>10</v>
      </c>
      <c r="G1" s="2" t="s">
        <v>11</v>
      </c>
      <c r="H1" s="2" t="s">
        <v>12</v>
      </c>
      <c r="I1" s="2" t="s">
        <v>13</v>
      </c>
      <c r="J1" s="2" t="s">
        <v>14</v>
      </c>
      <c r="K1" s="2" t="s">
        <v>15</v>
      </c>
      <c r="L1" s="4" t="s">
        <v>16</v>
      </c>
      <c r="M1" s="5" t="s">
        <v>17</v>
      </c>
      <c r="N1" s="4" t="s">
        <v>18</v>
      </c>
      <c r="O1" s="6" t="s">
        <v>19</v>
      </c>
      <c r="P1" s="7" t="s">
        <v>20</v>
      </c>
      <c r="Q1" s="7" t="s">
        <v>21</v>
      </c>
    </row>
    <row r="2" spans="1:17" x14ac:dyDescent="0.35">
      <c r="A2" s="8">
        <v>0</v>
      </c>
      <c r="B2" s="9">
        <f ca="1">'Symulacja Pożyczka'!B10</f>
        <v>46083</v>
      </c>
      <c r="C2" s="10"/>
      <c r="D2" s="9"/>
      <c r="E2" s="9"/>
      <c r="F2" s="9"/>
      <c r="G2" s="11"/>
      <c r="H2" s="11"/>
      <c r="I2" s="11"/>
      <c r="J2" s="11"/>
      <c r="K2" s="11"/>
      <c r="L2" s="7"/>
      <c r="M2" s="12"/>
      <c r="N2" s="13">
        <f ca="1">'Symulacja Pożyczka'!B3/VLOOKUP('Symulacja Pożyczka'!B4,'Arkusz1 (+3)'!$A$1:$O$182,13,1)</f>
        <v>13320.053506348993</v>
      </c>
      <c r="O2" s="7"/>
    </row>
    <row r="3" spans="1:17" x14ac:dyDescent="0.35">
      <c r="A3">
        <v>1</v>
      </c>
      <c r="B3" s="14">
        <f ca="1">'Symulacja Pożyczka'!B11</f>
        <v>46098</v>
      </c>
      <c r="C3" s="15">
        <f ca="1">(1+(('Symulacja Pożyczka'!$B$5+'Symulacja Pożyczka'!$C$19)/100)*('Arkusz1 (+3)'!B3-'Arkusz1 (+3)'!B2)/365)</f>
        <v>1.0022602739726028</v>
      </c>
      <c r="D3" s="15">
        <f ca="1">(1+(('Symulacja Pożyczka'!$B$5+'Symulacja Pożyczka'!$C$19)/100)*('Arkusz1 (+3)'!B3-'Arkusz1 (+3)'!B2)/366)</f>
        <v>1.0022540983606558</v>
      </c>
      <c r="E3" s="15">
        <f ca="1">IF(AND(MOD(YEAR(B2),4)=0,MOD(YEAR(B3),4)&lt;&gt;0),1,0)</f>
        <v>0</v>
      </c>
      <c r="F3" s="15">
        <f ca="1">IF(AND(MOD(YEAR(B3),4)=0,MOD(YEAR(B2),4)&lt;&gt;0),1,0)</f>
        <v>0</v>
      </c>
      <c r="G3">
        <f ca="1">IF(E3=1,(1+(('Symulacja Pożyczka'!$B$5+'Symulacja Pożyczka'!$C$19)/100)*(((Arkusz1!B3-DATE(YEAR(B3),1,1)+1)/365)+((DATE(YEAR(B2),12,31)-Arkusz1!B2)/366))),IF(F3=1,(1+(('Symulacja Pożyczka'!$B$5+'Symulacja Pożyczka'!$C$19)/100)*(((Arkusz1!B3-DATE(YEAR(B3),1,1)+1)/366)+((DATE(YEAR(B2),12,31)-Arkusz1!B2)/365))),0))</f>
        <v>0</v>
      </c>
      <c r="H3">
        <f ca="1">IF(MOD(YEAR(B3),4)=0,1,0)</f>
        <v>0</v>
      </c>
      <c r="I3">
        <f ca="1">IF(H3=0,C3,IF(H3=1,D3,"blad"))</f>
        <v>1.0022602739726028</v>
      </c>
      <c r="J3">
        <f ca="1">IF(OR(E3=1,F3=1),G3,I3)</f>
        <v>1.0022602739726028</v>
      </c>
      <c r="K3">
        <f ca="1">J3</f>
        <v>1.0022602739726028</v>
      </c>
      <c r="L3">
        <f ca="1">1/K3</f>
        <v>0.99774482334449532</v>
      </c>
      <c r="O3">
        <f ca="1">('Symulacja Pożyczka'!$B$3*'Arkusz1 (+3)'!J3)-'Symulacja Pożyczka'!$B$3</f>
        <v>2780.1369863012806</v>
      </c>
      <c r="P3" s="16">
        <f ca="1">$N$2-O3</f>
        <v>10539.916520047713</v>
      </c>
      <c r="Q3" s="17">
        <f ca="1">'Symulacja Pożyczka'!B3-P3</f>
        <v>1219460.0834799523</v>
      </c>
    </row>
    <row r="4" spans="1:17" x14ac:dyDescent="0.35">
      <c r="A4">
        <v>2</v>
      </c>
      <c r="B4" s="14">
        <f ca="1">DATE(YEAR((B3)),MONTH((B3))+1,IF(AND(DAY(B3)&gt;28,MONTH((B3))+1=2),IF(MOD(YEAR(B3),4)=0,29,28),DAY(B3)))</f>
        <v>46129</v>
      </c>
      <c r="C4" s="15">
        <f ca="1">(1+(('Symulacja Pożyczka'!$B$5+'Symulacja Pożyczka'!$C$19)/100)*('Arkusz1 (+3)'!B4-'Arkusz1 (+3)'!B3)/365)</f>
        <v>1.0046712328767122</v>
      </c>
      <c r="D4" s="15">
        <f ca="1">(1+(('Symulacja Pożyczka'!$B$5+'Symulacja Pożyczka'!$C$19)/100)*('Arkusz1 (+3)'!B4-'Arkusz1 (+3)'!B3)/366)</f>
        <v>1.0046584699453551</v>
      </c>
      <c r="E4" s="15">
        <f t="shared" ref="E4:E67" ca="1" si="0">IF(AND(MOD(YEAR(B3),4)=0,MOD(YEAR(B4),4)&lt;&gt;0),1,0)</f>
        <v>0</v>
      </c>
      <c r="F4" s="15">
        <f t="shared" ref="F4:F67" ca="1" si="1">IF(AND(MOD(YEAR(B4),4)=0,MOD(YEAR(B3),4)&lt;&gt;0),1,0)</f>
        <v>0</v>
      </c>
      <c r="G4">
        <f ca="1">IF(E4=1,(1+(('Symulacja Pożyczka'!$B$5+'Symulacja Pożyczka'!$C$19)/100)*(((Arkusz1!B4-DATE(YEAR(B4),1,1)+1)/365)+((DATE(YEAR(B3),12,31)-Arkusz1!B3)/366))),IF(F4=1,(1+(('Symulacja Pożyczka'!$B$5+'Symulacja Pożyczka'!$C$19)/100)*(((Arkusz1!B4-DATE(YEAR(B4),1,1)+1)/366)+((DATE(YEAR(B3),12,31)-Arkusz1!B3)/365))),0))</f>
        <v>0</v>
      </c>
      <c r="H4">
        <f t="shared" ref="H4:H67" ca="1" si="2">IF(MOD(YEAR(B4),4)=0,1,0)</f>
        <v>0</v>
      </c>
      <c r="I4">
        <f ca="1">IF(H4=0,C4,IF(H4=1,D4,"blad"))</f>
        <v>1.0046712328767122</v>
      </c>
      <c r="J4">
        <f t="shared" ref="J4:J67" ca="1" si="3">IF(OR(E4=1,F4=1),G4,I4)</f>
        <v>1.0046712328767122</v>
      </c>
      <c r="K4">
        <f ca="1">PRODUCT($J$3:J4)</f>
        <v>1.0069420651154062</v>
      </c>
      <c r="L4">
        <f t="shared" ref="L4:L67" ca="1" si="4">1/K4</f>
        <v>0.99310579490528028</v>
      </c>
      <c r="M4">
        <f ca="1">L3+L4</f>
        <v>1.9908506182497756</v>
      </c>
      <c r="O4">
        <f ca="1">(Q3*'Arkusz1 (+3)'!J4)-Q3</f>
        <v>5696.3820337897632</v>
      </c>
      <c r="P4" s="16">
        <f ca="1">$N$2-O4</f>
        <v>7623.6714725592301</v>
      </c>
      <c r="Q4" s="17">
        <f ca="1">Q3-P4</f>
        <v>1211836.4120073931</v>
      </c>
    </row>
    <row r="5" spans="1:17" x14ac:dyDescent="0.35">
      <c r="A5">
        <v>3</v>
      </c>
      <c r="B5" s="14">
        <f ca="1">DATE(YEAR((B4)),MONTH((B4))+1,IF(AND(DAY(B4)&gt;28,MONTH((B4))+1=2),IF(MOD(YEAR(B4),4)=0,29,28),IF(AND(OR(DAY(B4)=28,DAY(B4)=29),MONTH((B4))=2),DAY(B3),DAY(B4))))</f>
        <v>46159</v>
      </c>
      <c r="C5" s="15">
        <f ca="1">(1+(('Symulacja Pożyczka'!$B$5+'Symulacja Pożyczka'!$C$19)/100)*('Arkusz1 (+3)'!B5-'Arkusz1 (+3)'!B4)/365)</f>
        <v>1.0045205479452055</v>
      </c>
      <c r="D5" s="15">
        <f ca="1">(1+(('Symulacja Pożyczka'!$B$5+'Symulacja Pożyczka'!$C$19)/100)*('Arkusz1 (+3)'!B5-'Arkusz1 (+3)'!B4)/366)</f>
        <v>1.0045081967213114</v>
      </c>
      <c r="E5" s="15">
        <f t="shared" ca="1" si="0"/>
        <v>0</v>
      </c>
      <c r="F5" s="15">
        <f t="shared" ca="1" si="1"/>
        <v>0</v>
      </c>
      <c r="G5">
        <f ca="1">IF(E5=1,(1+(('Symulacja Pożyczka'!$B$5+'Symulacja Pożyczka'!$C$19)/100)*(((Arkusz1!B5-DATE(YEAR(B5),1,1)+1)/365)+((DATE(YEAR(B4),12,31)-Arkusz1!B4)/366))),IF(F5=1,(1+(('Symulacja Pożyczka'!$B$5+'Symulacja Pożyczka'!$C$19)/100)*(((Arkusz1!B5-DATE(YEAR(B5),1,1)+1)/366)+((DATE(YEAR(B4),12,31)-Arkusz1!B4)/365))),0))</f>
        <v>0</v>
      </c>
      <c r="H5">
        <f t="shared" ca="1" si="2"/>
        <v>0</v>
      </c>
      <c r="I5">
        <f t="shared" ref="I5:I67" ca="1" si="5">IF(H5=0,C5,IF(H5=1,D5,"blad"))</f>
        <v>1.0045205479452055</v>
      </c>
      <c r="J5">
        <f t="shared" ca="1" si="3"/>
        <v>1.0045205479452055</v>
      </c>
      <c r="K5">
        <f ca="1">PRODUCT($J$3:J5)</f>
        <v>1.0114939949988047</v>
      </c>
      <c r="L5">
        <f t="shared" ca="1" si="4"/>
        <v>0.98863661568369643</v>
      </c>
      <c r="M5">
        <f ca="1">SUM($L$3:L5)</f>
        <v>2.9794872339334719</v>
      </c>
      <c r="O5">
        <f ca="1">(Q4*'Arkusz1 (+3)'!J5)-Q4</f>
        <v>5478.1646022251807</v>
      </c>
      <c r="P5" s="16">
        <f t="shared" ref="P5:P68" ca="1" si="6">$N$2-O5</f>
        <v>7841.8889041238126</v>
      </c>
      <c r="Q5" s="17">
        <f t="shared" ref="Q5:Q68" ca="1" si="7">Q4-P5</f>
        <v>1203994.5231032693</v>
      </c>
    </row>
    <row r="6" spans="1:17" x14ac:dyDescent="0.35">
      <c r="A6">
        <v>4</v>
      </c>
      <c r="B6" s="14">
        <f t="shared" ref="B6:B69" ca="1" si="8">DATE(YEAR((B5)),MONTH((B5))+1,IF(AND(DAY(B5)&gt;28,MONTH((B5))+1=2),IF(MOD(YEAR(B5),4)=0,29,28),IF(AND(OR(DAY(B5)=28,DAY(B5)=29),MONTH((B5))=2),DAY(B4),DAY(B5))))</f>
        <v>46190</v>
      </c>
      <c r="C6" s="15">
        <f ca="1">(1+(('Symulacja Pożyczka'!$B$5+'Symulacja Pożyczka'!$C$19)/100)*('Arkusz1 (+3)'!B6-'Arkusz1 (+3)'!B5)/365)</f>
        <v>1.0046712328767122</v>
      </c>
      <c r="D6" s="15">
        <f ca="1">(1+(('Symulacja Pożyczka'!$B$5+'Symulacja Pożyczka'!$C$19)/100)*('Arkusz1 (+3)'!B6-'Arkusz1 (+3)'!B5)/366)</f>
        <v>1.0046584699453551</v>
      </c>
      <c r="E6" s="15">
        <f t="shared" ca="1" si="0"/>
        <v>0</v>
      </c>
      <c r="F6" s="15">
        <f t="shared" ca="1" si="1"/>
        <v>0</v>
      </c>
      <c r="G6">
        <f ca="1">IF(E6=1,(1+(('Symulacja Pożyczka'!$B$5+'Symulacja Pożyczka'!$C$19)/100)*(((Arkusz1!B6-DATE(YEAR(B6),1,1)+1)/365)+((DATE(YEAR(B5),12,31)-Arkusz1!B5)/366))),IF(F6=1,(1+(('Symulacja Pożyczka'!$B$5+'Symulacja Pożyczka'!$C$19)/100)*(((Arkusz1!B6-DATE(YEAR(B6),1,1)+1)/366)+((DATE(YEAR(B5),12,31)-Arkusz1!B5)/365))),0))</f>
        <v>0</v>
      </c>
      <c r="H6">
        <f t="shared" ca="1" si="2"/>
        <v>0</v>
      </c>
      <c r="I6">
        <f t="shared" ca="1" si="5"/>
        <v>1.0046712328767122</v>
      </c>
      <c r="J6">
        <f t="shared" ca="1" si="3"/>
        <v>1.0046712328767122</v>
      </c>
      <c r="K6">
        <f ca="1">PRODUCT($J$3:J6)</f>
        <v>1.0162189190028401</v>
      </c>
      <c r="L6">
        <f t="shared" ca="1" si="4"/>
        <v>0.98403993598273598</v>
      </c>
      <c r="M6">
        <f ca="1">SUM($L$3:L6)</f>
        <v>3.9635271699162078</v>
      </c>
      <c r="O6">
        <f ca="1">(Q5*'Arkusz1 (+3)'!J6)-Q5</f>
        <v>5624.1387997013517</v>
      </c>
      <c r="P6" s="16">
        <f t="shared" ca="1" si="6"/>
        <v>7695.9147066476417</v>
      </c>
      <c r="Q6" s="17">
        <f t="shared" ca="1" si="7"/>
        <v>1196298.6083966217</v>
      </c>
    </row>
    <row r="7" spans="1:17" x14ac:dyDescent="0.35">
      <c r="A7">
        <v>5</v>
      </c>
      <c r="B7" s="14">
        <f t="shared" ca="1" si="8"/>
        <v>46220</v>
      </c>
      <c r="C7" s="15">
        <f ca="1">(1+(('Symulacja Pożyczka'!$B$5+'Symulacja Pożyczka'!$C$19)/100)*('Arkusz1 (+3)'!B7-'Arkusz1 (+3)'!B6)/365)</f>
        <v>1.0045205479452055</v>
      </c>
      <c r="D7" s="15">
        <f ca="1">(1+(('Symulacja Pożyczka'!$B$5+'Symulacja Pożyczka'!$C$19)/100)*('Arkusz1 (+3)'!B7-'Arkusz1 (+3)'!B6)/366)</f>
        <v>1.0045081967213114</v>
      </c>
      <c r="E7" s="15">
        <f t="shared" ca="1" si="0"/>
        <v>0</v>
      </c>
      <c r="F7" s="15">
        <f t="shared" ca="1" si="1"/>
        <v>0</v>
      </c>
      <c r="G7">
        <f ca="1">IF(E7=1,(1+(('Symulacja Pożyczka'!$B$5+'Symulacja Pożyczka'!$C$19)/100)*(((Arkusz1!B7-DATE(YEAR(B7),1,1)+1)/365)+((DATE(YEAR(B6),12,31)-Arkusz1!B6)/366))),IF(F7=1,(1+(('Symulacja Pożyczka'!$B$5+'Symulacja Pożyczka'!$C$19)/100)*(((Arkusz1!B7-DATE(YEAR(B7),1,1)+1)/366)+((DATE(YEAR(B6),12,31)-Arkusz1!B6)/365))),0))</f>
        <v>0</v>
      </c>
      <c r="H7">
        <f t="shared" ca="1" si="2"/>
        <v>0</v>
      </c>
      <c r="I7">
        <f t="shared" ca="1" si="5"/>
        <v>1.0045205479452055</v>
      </c>
      <c r="J7">
        <f t="shared" ca="1" si="3"/>
        <v>1.0045205479452055</v>
      </c>
      <c r="K7">
        <f ca="1">PRODUCT($J$3:J7)</f>
        <v>1.0208127853490174</v>
      </c>
      <c r="L7">
        <f t="shared" ca="1" si="4"/>
        <v>0.97961155498076813</v>
      </c>
      <c r="M7">
        <f ca="1">SUM($L$3:L7)</f>
        <v>4.9431387248969756</v>
      </c>
      <c r="O7">
        <f ca="1">(Q6*'Arkusz1 (+3)'!J7)-Q6</f>
        <v>5407.9252160396427</v>
      </c>
      <c r="P7" s="16">
        <f t="shared" ca="1" si="6"/>
        <v>7912.1282903093506</v>
      </c>
      <c r="Q7" s="17">
        <f t="shared" ca="1" si="7"/>
        <v>1188386.4801063123</v>
      </c>
    </row>
    <row r="8" spans="1:17" x14ac:dyDescent="0.35">
      <c r="A8">
        <v>6</v>
      </c>
      <c r="B8" s="14">
        <f t="shared" ca="1" si="8"/>
        <v>46251</v>
      </c>
      <c r="C8" s="15">
        <f ca="1">(1+(('Symulacja Pożyczka'!$B$5+'Symulacja Pożyczka'!$C$19)/100)*('Arkusz1 (+3)'!B8-'Arkusz1 (+3)'!B7)/365)</f>
        <v>1.0046712328767122</v>
      </c>
      <c r="D8" s="15">
        <f ca="1">(1+(('Symulacja Pożyczka'!$B$5+'Symulacja Pożyczka'!$C$19)/100)*('Arkusz1 (+3)'!B8-'Arkusz1 (+3)'!B7)/366)</f>
        <v>1.0046584699453551</v>
      </c>
      <c r="E8" s="15">
        <f t="shared" ca="1" si="0"/>
        <v>0</v>
      </c>
      <c r="F8" s="15">
        <f t="shared" ca="1" si="1"/>
        <v>0</v>
      </c>
      <c r="G8">
        <f ca="1">IF(E8=1,(1+(('Symulacja Pożyczka'!$B$5+'Symulacja Pożyczka'!$C$19)/100)*(((Arkusz1!B8-DATE(YEAR(B8),1,1)+1)/365)+((DATE(YEAR(B7),12,31)-Arkusz1!B7)/366))),IF(F8=1,(1+(('Symulacja Pożyczka'!$B$5+'Symulacja Pożyczka'!$C$19)/100)*(((Arkusz1!B8-DATE(YEAR(B8),1,1)+1)/366)+((DATE(YEAR(B7),12,31)-Arkusz1!B7)/365))),0))</f>
        <v>0</v>
      </c>
      <c r="H8">
        <f t="shared" ca="1" si="2"/>
        <v>0</v>
      </c>
      <c r="I8">
        <f t="shared" ca="1" si="5"/>
        <v>1.0046712328767122</v>
      </c>
      <c r="J8">
        <f t="shared" ca="1" si="3"/>
        <v>1.0046712328767122</v>
      </c>
      <c r="K8">
        <f ca="1">PRODUCT($J$3:J8)</f>
        <v>1.025581239592908</v>
      </c>
      <c r="L8">
        <f t="shared" ca="1" si="4"/>
        <v>0.97505683742512472</v>
      </c>
      <c r="M8">
        <f ca="1">SUM($L$3:L8)</f>
        <v>5.9181955623221008</v>
      </c>
      <c r="O8">
        <f ca="1">(Q7*'Arkusz1 (+3)'!J8)-Q7</f>
        <v>5551.2299961128738</v>
      </c>
      <c r="P8" s="16">
        <f t="shared" ca="1" si="6"/>
        <v>7768.8235102361195</v>
      </c>
      <c r="Q8" s="17">
        <f t="shared" ca="1" si="7"/>
        <v>1180617.6565960762</v>
      </c>
    </row>
    <row r="9" spans="1:17" x14ac:dyDescent="0.35">
      <c r="A9">
        <v>7</v>
      </c>
      <c r="B9" s="14">
        <f t="shared" ca="1" si="8"/>
        <v>46282</v>
      </c>
      <c r="C9" s="15">
        <f ca="1">(1+(('Symulacja Pożyczka'!$B$5+'Symulacja Pożyczka'!$C$19)/100)*('Arkusz1 (+3)'!B9-'Arkusz1 (+3)'!B8)/365)</f>
        <v>1.0046712328767122</v>
      </c>
      <c r="D9" s="15">
        <f ca="1">(1+(('Symulacja Pożyczka'!$B$5+'Symulacja Pożyczka'!$C$19)/100)*('Arkusz1 (+3)'!B9-'Arkusz1 (+3)'!B8)/366)</f>
        <v>1.0046584699453551</v>
      </c>
      <c r="E9" s="15">
        <f t="shared" ca="1" si="0"/>
        <v>0</v>
      </c>
      <c r="F9" s="15">
        <f t="shared" ca="1" si="1"/>
        <v>0</v>
      </c>
      <c r="G9">
        <f ca="1">IF(E9=1,(1+(('Symulacja Pożyczka'!$B$5+'Symulacja Pożyczka'!$C$19)/100)*(((Arkusz1!B9-DATE(YEAR(B9),1,1)+1)/365)+((DATE(YEAR(B8),12,31)-Arkusz1!B8)/366))),IF(F9=1,(1+(('Symulacja Pożyczka'!$B$5+'Symulacja Pożyczka'!$C$19)/100)*(((Arkusz1!B9-DATE(YEAR(B9),1,1)+1)/366)+((DATE(YEAR(B8),12,31)-Arkusz1!B8)/365))),0))</f>
        <v>0</v>
      </c>
      <c r="H9">
        <f t="shared" ca="1" si="2"/>
        <v>0</v>
      </c>
      <c r="I9">
        <f t="shared" ca="1" si="5"/>
        <v>1.0046712328767122</v>
      </c>
      <c r="J9">
        <f t="shared" ca="1" si="3"/>
        <v>1.0046712328767122</v>
      </c>
      <c r="K9">
        <f ca="1">PRODUCT($J$3:J9)</f>
        <v>1.0303719683970336</v>
      </c>
      <c r="L9">
        <f t="shared" ca="1" si="4"/>
        <v>0.97052329709213292</v>
      </c>
      <c r="M9">
        <f ca="1">SUM($L$3:L9)</f>
        <v>6.8887188594142339</v>
      </c>
      <c r="O9">
        <f ca="1">(Q8*'Arkusz1 (+3)'!J9)-Q8</f>
        <v>5514.9400123185478</v>
      </c>
      <c r="P9" s="16">
        <f t="shared" ca="1" si="6"/>
        <v>7805.1134940304455</v>
      </c>
      <c r="Q9" s="17">
        <f t="shared" ca="1" si="7"/>
        <v>1172812.5431020458</v>
      </c>
    </row>
    <row r="10" spans="1:17" x14ac:dyDescent="0.35">
      <c r="A10">
        <v>8</v>
      </c>
      <c r="B10" s="14">
        <f t="shared" ca="1" si="8"/>
        <v>46312</v>
      </c>
      <c r="C10" s="15">
        <f ca="1">(1+(('Symulacja Pożyczka'!$B$5+'Symulacja Pożyczka'!$C$19)/100)*('Arkusz1 (+3)'!B10-'Arkusz1 (+3)'!B9)/365)</f>
        <v>1.0045205479452055</v>
      </c>
      <c r="D10" s="15">
        <f ca="1">(1+(('Symulacja Pożyczka'!$B$5+'Symulacja Pożyczka'!$C$19)/100)*('Arkusz1 (+3)'!B10-'Arkusz1 (+3)'!B9)/366)</f>
        <v>1.0045081967213114</v>
      </c>
      <c r="E10" s="15">
        <f t="shared" ca="1" si="0"/>
        <v>0</v>
      </c>
      <c r="F10" s="15">
        <f t="shared" ca="1" si="1"/>
        <v>0</v>
      </c>
      <c r="G10">
        <f ca="1">IF(E10=1,(1+(('Symulacja Pożyczka'!$B$5+'Symulacja Pożyczka'!$C$19)/100)*(((Arkusz1!B10-DATE(YEAR(B10),1,1)+1)/365)+((DATE(YEAR(B9),12,31)-Arkusz1!B9)/366))),IF(F10=1,(1+(('Symulacja Pożyczka'!$B$5+'Symulacja Pożyczka'!$C$19)/100)*(((Arkusz1!B10-DATE(YEAR(B10),1,1)+1)/366)+((DATE(YEAR(B9),12,31)-Arkusz1!B9)/365))),0))</f>
        <v>0</v>
      </c>
      <c r="H10">
        <f t="shared" ca="1" si="2"/>
        <v>0</v>
      </c>
      <c r="I10">
        <f t="shared" ca="1" si="5"/>
        <v>1.0045205479452055</v>
      </c>
      <c r="J10">
        <f t="shared" ca="1" si="3"/>
        <v>1.0045205479452055</v>
      </c>
      <c r="K10">
        <f ca="1">PRODUCT($J$3:J10)</f>
        <v>1.0350298142815682</v>
      </c>
      <c r="L10">
        <f t="shared" ca="1" si="4"/>
        <v>0.96615574373006541</v>
      </c>
      <c r="M10">
        <f ca="1">SUM($L$3:L10)</f>
        <v>7.8548746031442995</v>
      </c>
      <c r="O10">
        <f ca="1">(Q9*'Arkusz1 (+3)'!J10)-Q9</f>
        <v>5301.7553318312857</v>
      </c>
      <c r="P10" s="16">
        <f t="shared" ca="1" si="6"/>
        <v>8018.2981745177076</v>
      </c>
      <c r="Q10" s="17">
        <f t="shared" ca="1" si="7"/>
        <v>1164794.2449275281</v>
      </c>
    </row>
    <row r="11" spans="1:17" x14ac:dyDescent="0.35">
      <c r="A11">
        <v>9</v>
      </c>
      <c r="B11" s="14">
        <f t="shared" ca="1" si="8"/>
        <v>46343</v>
      </c>
      <c r="C11" s="15">
        <f ca="1">(1+(('Symulacja Pożyczka'!$B$5+'Symulacja Pożyczka'!$C$19)/100)*('Arkusz1 (+3)'!B11-'Arkusz1 (+3)'!B10)/365)</f>
        <v>1.0046712328767122</v>
      </c>
      <c r="D11" s="15">
        <f ca="1">(1+(('Symulacja Pożyczka'!$B$5+'Symulacja Pożyczka'!$C$19)/100)*('Arkusz1 (+3)'!B11-'Arkusz1 (+3)'!B10)/366)</f>
        <v>1.0046584699453551</v>
      </c>
      <c r="E11" s="15">
        <f t="shared" ca="1" si="0"/>
        <v>0</v>
      </c>
      <c r="F11" s="15">
        <f t="shared" ca="1" si="1"/>
        <v>0</v>
      </c>
      <c r="G11">
        <f ca="1">IF(E11=1,(1+(('Symulacja Pożyczka'!$B$5+'Symulacja Pożyczka'!$C$19)/100)*(((Arkusz1!B11-DATE(YEAR(B11),1,1)+1)/365)+((DATE(YEAR(B10),12,31)-Arkusz1!B10)/366))),IF(F11=1,(1+(('Symulacja Pożyczka'!$B$5+'Symulacja Pożyczka'!$C$19)/100)*(((Arkusz1!B11-DATE(YEAR(B11),1,1)+1)/366)+((DATE(YEAR(B10),12,31)-Arkusz1!B10)/365))),0))</f>
        <v>0</v>
      </c>
      <c r="H11">
        <f t="shared" ca="1" si="2"/>
        <v>0</v>
      </c>
      <c r="I11">
        <f t="shared" ca="1" si="5"/>
        <v>1.0046712328767122</v>
      </c>
      <c r="J11">
        <f t="shared" ca="1" si="3"/>
        <v>1.0046712328767122</v>
      </c>
      <c r="K11">
        <f ca="1">PRODUCT($J$3:J11)</f>
        <v>1.0398646795784177</v>
      </c>
      <c r="L11">
        <f t="shared" ca="1" si="4"/>
        <v>0.96166358915606254</v>
      </c>
      <c r="M11">
        <f ca="1">SUM($L$3:L11)</f>
        <v>8.8165381923003618</v>
      </c>
      <c r="O11">
        <f ca="1">(Q10*'Arkusz1 (+3)'!J11)-Q10</f>
        <v>5441.0251715106424</v>
      </c>
      <c r="P11" s="16">
        <f t="shared" ca="1" si="6"/>
        <v>7879.0283348383509</v>
      </c>
      <c r="Q11" s="17">
        <f t="shared" ca="1" si="7"/>
        <v>1156915.2165926897</v>
      </c>
    </row>
    <row r="12" spans="1:17" x14ac:dyDescent="0.35">
      <c r="A12">
        <v>10</v>
      </c>
      <c r="B12" s="14">
        <f t="shared" ca="1" si="8"/>
        <v>46373</v>
      </c>
      <c r="C12" s="15">
        <f ca="1">(1+(('Symulacja Pożyczka'!$B$5+'Symulacja Pożyczka'!$C$19)/100)*('Arkusz1 (+3)'!B12-'Arkusz1 (+3)'!B11)/365)</f>
        <v>1.0045205479452055</v>
      </c>
      <c r="D12" s="15">
        <f ca="1">(1+(('Symulacja Pożyczka'!$B$5+'Symulacja Pożyczka'!$C$19)/100)*('Arkusz1 (+3)'!B12-'Arkusz1 (+3)'!B11)/366)</f>
        <v>1.0045081967213114</v>
      </c>
      <c r="E12" s="15">
        <f t="shared" ca="1" si="0"/>
        <v>0</v>
      </c>
      <c r="F12" s="15">
        <f t="shared" ca="1" si="1"/>
        <v>0</v>
      </c>
      <c r="G12">
        <f ca="1">IF(E12=1,(1+(('Symulacja Pożyczka'!$B$5+'Symulacja Pożyczka'!$C$19)/100)*(((Arkusz1!B12-DATE(YEAR(B12),1,1)+1)/365)+((DATE(YEAR(B11),12,31)-Arkusz1!B11)/366))),IF(F12=1,(1+(('Symulacja Pożyczka'!$B$5+'Symulacja Pożyczka'!$C$19)/100)*(((Arkusz1!B12-DATE(YEAR(B12),1,1)+1)/366)+((DATE(YEAR(B11),12,31)-Arkusz1!B11)/365))),0))</f>
        <v>0</v>
      </c>
      <c r="H12">
        <f t="shared" ca="1" si="2"/>
        <v>0</v>
      </c>
      <c r="I12">
        <f t="shared" ca="1" si="5"/>
        <v>1.0045205479452055</v>
      </c>
      <c r="J12">
        <f t="shared" ca="1" si="3"/>
        <v>1.0045205479452055</v>
      </c>
      <c r="K12">
        <f ca="1">PRODUCT($J$3:J12)</f>
        <v>1.0445654377189777</v>
      </c>
      <c r="L12">
        <f t="shared" ca="1" si="4"/>
        <v>0.95733590629200271</v>
      </c>
      <c r="M12">
        <f ca="1">SUM($L$3:L12)</f>
        <v>9.7738740985923638</v>
      </c>
      <c r="O12">
        <f ca="1">(Q11*'Arkusz1 (+3)'!J12)-Q11</f>
        <v>5229.8907051449642</v>
      </c>
      <c r="P12" s="16">
        <f t="shared" ca="1" si="6"/>
        <v>8090.1628012040292</v>
      </c>
      <c r="Q12" s="17">
        <f t="shared" ca="1" si="7"/>
        <v>1148825.0537914857</v>
      </c>
    </row>
    <row r="13" spans="1:17" x14ac:dyDescent="0.35">
      <c r="A13">
        <v>11</v>
      </c>
      <c r="B13" s="14">
        <f t="shared" ca="1" si="8"/>
        <v>46404</v>
      </c>
      <c r="C13" s="15">
        <f ca="1">(1+(('Symulacja Pożyczka'!$B$5+'Symulacja Pożyczka'!$C$19)/100)*('Arkusz1 (+3)'!B13-'Arkusz1 (+3)'!B12)/365)</f>
        <v>1.0046712328767122</v>
      </c>
      <c r="D13" s="15">
        <f ca="1">(1+(('Symulacja Pożyczka'!$B$5+'Symulacja Pożyczka'!$C$19)/100)*('Arkusz1 (+3)'!B13-'Arkusz1 (+3)'!B12)/366)</f>
        <v>1.0046584699453551</v>
      </c>
      <c r="E13" s="15">
        <f t="shared" ca="1" si="0"/>
        <v>0</v>
      </c>
      <c r="F13" s="15">
        <f t="shared" ca="1" si="1"/>
        <v>0</v>
      </c>
      <c r="G13">
        <f ca="1">IF(E13=1,(1+(('Symulacja Pożyczka'!$B$5+'Symulacja Pożyczka'!$C$19)/100)*(((Arkusz1!B13-DATE(YEAR(B13),1,1)+1)/365)+((DATE(YEAR(B12),12,31)-Arkusz1!B12)/366))),IF(F13=1,(1+(('Symulacja Pożyczka'!$B$5+'Symulacja Pożyczka'!$C$19)/100)*(((Arkusz1!B13-DATE(YEAR(B13),1,1)+1)/366)+((DATE(YEAR(B12),12,31)-Arkusz1!B12)/365))),0))</f>
        <v>0</v>
      </c>
      <c r="H13">
        <f t="shared" ca="1" si="2"/>
        <v>0</v>
      </c>
      <c r="I13">
        <f t="shared" ca="1" si="5"/>
        <v>1.0046712328767122</v>
      </c>
      <c r="J13">
        <f t="shared" ca="1" si="3"/>
        <v>1.0046712328767122</v>
      </c>
      <c r="K13">
        <f ca="1">PRODUCT($J$3:J13)</f>
        <v>1.049444846133528</v>
      </c>
      <c r="L13">
        <f t="shared" ca="1" si="4"/>
        <v>0.95288475967489128</v>
      </c>
      <c r="M13">
        <f ca="1">SUM($L$3:L13)</f>
        <v>10.726758858267255</v>
      </c>
      <c r="O13">
        <f ca="1">(Q12*'Arkusz1 (+3)'!J13)-Q12</f>
        <v>5366.4293608614244</v>
      </c>
      <c r="P13" s="16">
        <f t="shared" ca="1" si="6"/>
        <v>7953.624145487569</v>
      </c>
      <c r="Q13" s="17">
        <f t="shared" ca="1" si="7"/>
        <v>1140871.4296459982</v>
      </c>
    </row>
    <row r="14" spans="1:17" x14ac:dyDescent="0.35">
      <c r="A14">
        <v>12</v>
      </c>
      <c r="B14" s="14">
        <f t="shared" ca="1" si="8"/>
        <v>46435</v>
      </c>
      <c r="C14" s="15">
        <f ca="1">(1+(('Symulacja Pożyczka'!$B$5+'Symulacja Pożyczka'!$C$19)/100)*('Arkusz1 (+3)'!B14-'Arkusz1 (+3)'!B13)/365)</f>
        <v>1.0046712328767122</v>
      </c>
      <c r="D14" s="15">
        <f ca="1">(1+(('Symulacja Pożyczka'!$B$5+'Symulacja Pożyczka'!$C$19)/100)*('Arkusz1 (+3)'!B14-'Arkusz1 (+3)'!B13)/366)</f>
        <v>1.0046584699453551</v>
      </c>
      <c r="E14" s="15">
        <f t="shared" ca="1" si="0"/>
        <v>0</v>
      </c>
      <c r="F14" s="15">
        <f t="shared" ca="1" si="1"/>
        <v>0</v>
      </c>
      <c r="G14">
        <f ca="1">IF(E14=1,(1+(('Symulacja Pożyczka'!$B$5+'Symulacja Pożyczka'!$C$19)/100)*(((Arkusz1!B14-DATE(YEAR(B14),1,1)+1)/365)+((DATE(YEAR(B13),12,31)-Arkusz1!B13)/366))),IF(F14=1,(1+(('Symulacja Pożyczka'!$B$5+'Symulacja Pożyczka'!$C$19)/100)*(((Arkusz1!B14-DATE(YEAR(B14),1,1)+1)/366)+((DATE(YEAR(B13),12,31)-Arkusz1!B13)/365))),0))</f>
        <v>0</v>
      </c>
      <c r="H14">
        <f t="shared" ca="1" si="2"/>
        <v>0</v>
      </c>
      <c r="I14">
        <f t="shared" ca="1" si="5"/>
        <v>1.0046712328767122</v>
      </c>
      <c r="J14">
        <f t="shared" ca="1" si="3"/>
        <v>1.0046712328767122</v>
      </c>
      <c r="K14">
        <f ca="1">PRODUCT($J$3:J14)</f>
        <v>1.0543470474010832</v>
      </c>
      <c r="L14">
        <f t="shared" ca="1" si="4"/>
        <v>0.9484543087259113</v>
      </c>
      <c r="M14">
        <f ca="1">SUM($L$3:L14)</f>
        <v>11.675213166993165</v>
      </c>
      <c r="O14">
        <f ca="1">(Q13*'Arkusz1 (+3)'!J14)-Q13</f>
        <v>5329.2761302641593</v>
      </c>
      <c r="P14" s="16">
        <f t="shared" ca="1" si="6"/>
        <v>7990.777376084834</v>
      </c>
      <c r="Q14" s="17">
        <f t="shared" ca="1" si="7"/>
        <v>1132880.6522699133</v>
      </c>
    </row>
    <row r="15" spans="1:17" x14ac:dyDescent="0.35">
      <c r="A15">
        <v>13</v>
      </c>
      <c r="B15" s="14">
        <f t="shared" ca="1" si="8"/>
        <v>46463</v>
      </c>
      <c r="C15" s="15">
        <f ca="1">(1+(('Symulacja Pożyczka'!$B$5+'Symulacja Pożyczka'!$C$19)/100)*('Arkusz1 (+3)'!B15-'Arkusz1 (+3)'!B14)/365)</f>
        <v>1.0042191780821919</v>
      </c>
      <c r="D15" s="15">
        <f ca="1">(1+(('Symulacja Pożyczka'!$B$5+'Symulacja Pożyczka'!$C$19)/100)*('Arkusz1 (+3)'!B15-'Arkusz1 (+3)'!B14)/366)</f>
        <v>1.004207650273224</v>
      </c>
      <c r="E15" s="15">
        <f t="shared" ca="1" si="0"/>
        <v>0</v>
      </c>
      <c r="F15" s="15">
        <f t="shared" ca="1" si="1"/>
        <v>0</v>
      </c>
      <c r="G15">
        <f ca="1">IF(E15=1,(1+(('Symulacja Pożyczka'!$B$5+'Symulacja Pożyczka'!$C$19)/100)*(((Arkusz1!B15-DATE(YEAR(B15),1,1)+1)/365)+((DATE(YEAR(B14),12,31)-Arkusz1!B14)/366))),IF(F15=1,(1+(('Symulacja Pożyczka'!$B$5+'Symulacja Pożyczka'!$C$19)/100)*(((Arkusz1!B15-DATE(YEAR(B15),1,1)+1)/366)+((DATE(YEAR(B14),12,31)-Arkusz1!B14)/365))),0))</f>
        <v>0</v>
      </c>
      <c r="H15">
        <f t="shared" ca="1" si="2"/>
        <v>0</v>
      </c>
      <c r="I15">
        <f t="shared" ca="1" si="5"/>
        <v>1.0042191780821919</v>
      </c>
      <c r="J15">
        <f t="shared" ca="1" si="3"/>
        <v>1.0042191780821919</v>
      </c>
      <c r="K15">
        <f ca="1">PRODUCT($J$3:J15)</f>
        <v>1.0587955253545016</v>
      </c>
      <c r="L15">
        <f t="shared" ca="1" si="4"/>
        <v>0.94446942403273193</v>
      </c>
      <c r="M15">
        <f ca="1">SUM($L$3:L15)</f>
        <v>12.619682591025898</v>
      </c>
      <c r="O15">
        <f ca="1">(Q14*'Arkusz1 (+3)'!J15)-Q14</f>
        <v>4779.8252177964896</v>
      </c>
      <c r="P15" s="16">
        <f t="shared" ca="1" si="6"/>
        <v>8540.2282885525037</v>
      </c>
      <c r="Q15" s="17">
        <f t="shared" ca="1" si="7"/>
        <v>1124340.4239813609</v>
      </c>
    </row>
    <row r="16" spans="1:17" x14ac:dyDescent="0.35">
      <c r="A16">
        <v>14</v>
      </c>
      <c r="B16" s="14">
        <f t="shared" ca="1" si="8"/>
        <v>46494</v>
      </c>
      <c r="C16" s="15">
        <f ca="1">(1+(('Symulacja Pożyczka'!$B$5+'Symulacja Pożyczka'!$C$19)/100)*('Arkusz1 (+3)'!B16-'Arkusz1 (+3)'!B15)/365)</f>
        <v>1.0046712328767122</v>
      </c>
      <c r="D16" s="15">
        <f ca="1">(1+(('Symulacja Pożyczka'!$B$5+'Symulacja Pożyczka'!$C$19)/100)*('Arkusz1 (+3)'!B16-'Arkusz1 (+3)'!B15)/366)</f>
        <v>1.0046584699453551</v>
      </c>
      <c r="E16" s="15">
        <f t="shared" ca="1" si="0"/>
        <v>0</v>
      </c>
      <c r="F16" s="15">
        <f t="shared" ca="1" si="1"/>
        <v>0</v>
      </c>
      <c r="G16">
        <f ca="1">IF(E16=1,(1+(('Symulacja Pożyczka'!$B$5+'Symulacja Pożyczka'!$C$19)/100)*(((Arkusz1!B16-DATE(YEAR(B16),1,1)+1)/365)+((DATE(YEAR(B15),12,31)-Arkusz1!B15)/366))),IF(F16=1,(1+(('Symulacja Pożyczka'!$B$5+'Symulacja Pożyczka'!$C$19)/100)*(((Arkusz1!B16-DATE(YEAR(B16),1,1)+1)/366)+((DATE(YEAR(B15),12,31)-Arkusz1!B15)/365))),0))</f>
        <v>0</v>
      </c>
      <c r="H16">
        <f t="shared" ca="1" si="2"/>
        <v>0</v>
      </c>
      <c r="I16">
        <f t="shared" ca="1" si="5"/>
        <v>1.0046712328767122</v>
      </c>
      <c r="J16">
        <f t="shared" ca="1" si="3"/>
        <v>1.0046712328767122</v>
      </c>
      <c r="K16">
        <f ca="1">PRODUCT($J$3:J16)</f>
        <v>1.0637414058222534</v>
      </c>
      <c r="L16">
        <f t="shared" ca="1" si="4"/>
        <v>0.94007810030391514</v>
      </c>
      <c r="M16">
        <f ca="1">SUM($L$3:L16)</f>
        <v>13.559760691329814</v>
      </c>
      <c r="O16">
        <f ca="1">(Q15*'Arkusz1 (+3)'!J16)-Q15</f>
        <v>5252.0559531182516</v>
      </c>
      <c r="P16" s="16">
        <f t="shared" ca="1" si="6"/>
        <v>8067.9975532307417</v>
      </c>
      <c r="Q16" s="17">
        <f t="shared" ca="1" si="7"/>
        <v>1116272.4264281301</v>
      </c>
    </row>
    <row r="17" spans="1:17" x14ac:dyDescent="0.35">
      <c r="A17">
        <v>15</v>
      </c>
      <c r="B17" s="14">
        <f t="shared" ca="1" si="8"/>
        <v>46524</v>
      </c>
      <c r="C17" s="15">
        <f ca="1">(1+(('Symulacja Pożyczka'!$B$5+'Symulacja Pożyczka'!$C$19)/100)*('Arkusz1 (+3)'!B17-'Arkusz1 (+3)'!B16)/365)</f>
        <v>1.0045205479452055</v>
      </c>
      <c r="D17" s="15">
        <f ca="1">(1+(('Symulacja Pożyczka'!$B$5+'Symulacja Pożyczka'!$C$19)/100)*('Arkusz1 (+3)'!B17-'Arkusz1 (+3)'!B16)/366)</f>
        <v>1.0045081967213114</v>
      </c>
      <c r="E17" s="15">
        <f t="shared" ca="1" si="0"/>
        <v>0</v>
      </c>
      <c r="F17" s="15">
        <f t="shared" ca="1" si="1"/>
        <v>0</v>
      </c>
      <c r="G17">
        <f ca="1">IF(E17=1,(1+(('Symulacja Pożyczka'!$B$5+'Symulacja Pożyczka'!$C$19)/100)*(((Arkusz1!B17-DATE(YEAR(B17),1,1)+1)/365)+((DATE(YEAR(B16),12,31)-Arkusz1!B16)/366))),IF(F17=1,(1+(('Symulacja Pożyczka'!$B$5+'Symulacja Pożyczka'!$C$19)/100)*(((Arkusz1!B17-DATE(YEAR(B17),1,1)+1)/366)+((DATE(YEAR(B16),12,31)-Arkusz1!B16)/365))),0))</f>
        <v>0</v>
      </c>
      <c r="H17">
        <f t="shared" ca="1" si="2"/>
        <v>0</v>
      </c>
      <c r="I17">
        <f t="shared" ca="1" si="5"/>
        <v>1.0045205479452055</v>
      </c>
      <c r="J17">
        <f t="shared" ca="1" si="3"/>
        <v>1.0045205479452055</v>
      </c>
      <c r="K17">
        <f ca="1">PRODUCT($J$3:J17)</f>
        <v>1.0685500998485733</v>
      </c>
      <c r="L17">
        <f t="shared" ca="1" si="4"/>
        <v>0.93584755655510421</v>
      </c>
      <c r="M17">
        <f ca="1">SUM($L$3:L17)</f>
        <v>14.495608247884919</v>
      </c>
      <c r="O17">
        <f ca="1">(Q16*'Arkusz1 (+3)'!J17)-Q16</f>
        <v>5046.1630235791672</v>
      </c>
      <c r="P17" s="16">
        <f t="shared" ca="1" si="6"/>
        <v>8273.8904827698261</v>
      </c>
      <c r="Q17" s="17">
        <f t="shared" ca="1" si="7"/>
        <v>1107998.5359453603</v>
      </c>
    </row>
    <row r="18" spans="1:17" x14ac:dyDescent="0.35">
      <c r="A18">
        <v>16</v>
      </c>
      <c r="B18" s="14">
        <f t="shared" ca="1" si="8"/>
        <v>46555</v>
      </c>
      <c r="C18" s="15">
        <f ca="1">(1+(('Symulacja Pożyczka'!$B$5+'Symulacja Pożyczka'!$C$19)/100)*('Arkusz1 (+3)'!B18-'Arkusz1 (+3)'!B17)/365)</f>
        <v>1.0046712328767122</v>
      </c>
      <c r="D18" s="15">
        <f ca="1">(1+(('Symulacja Pożyczka'!$B$5+'Symulacja Pożyczka'!$C$19)/100)*('Arkusz1 (+3)'!B18-'Arkusz1 (+3)'!B17)/366)</f>
        <v>1.0046584699453551</v>
      </c>
      <c r="E18" s="15">
        <f t="shared" ca="1" si="0"/>
        <v>0</v>
      </c>
      <c r="F18" s="15">
        <f t="shared" ca="1" si="1"/>
        <v>0</v>
      </c>
      <c r="G18">
        <f ca="1">IF(E18=1,(1+(('Symulacja Pożyczka'!$B$5+'Symulacja Pożyczka'!$C$19)/100)*(((Arkusz1!B18-DATE(YEAR(B18),1,1)+1)/365)+((DATE(YEAR(B17),12,31)-Arkusz1!B17)/366))),IF(F18=1,(1+(('Symulacja Pożyczka'!$B$5+'Symulacja Pożyczka'!$C$19)/100)*(((Arkusz1!B18-DATE(YEAR(B18),1,1)+1)/366)+((DATE(YEAR(B17),12,31)-Arkusz1!B17)/365))),0))</f>
        <v>0</v>
      </c>
      <c r="H18">
        <f t="shared" ca="1" si="2"/>
        <v>0</v>
      </c>
      <c r="I18">
        <f t="shared" ca="1" si="5"/>
        <v>1.0046712328767122</v>
      </c>
      <c r="J18">
        <f t="shared" ca="1" si="3"/>
        <v>1.0046712328767122</v>
      </c>
      <c r="K18">
        <f ca="1">PRODUCT($J$3:J18)</f>
        <v>1.0735415462054001</v>
      </c>
      <c r="L18">
        <f t="shared" ca="1" si="4"/>
        <v>0.93149632031909324</v>
      </c>
      <c r="M18">
        <f ca="1">SUM($L$3:L18)</f>
        <v>15.427104568204012</v>
      </c>
      <c r="O18">
        <f ca="1">(Q17*'Arkusz1 (+3)'!J18)-Q17</f>
        <v>5175.7191884568892</v>
      </c>
      <c r="P18" s="16">
        <f t="shared" ca="1" si="6"/>
        <v>8144.3343178921041</v>
      </c>
      <c r="Q18" s="17">
        <f t="shared" ca="1" si="7"/>
        <v>1099854.2016274682</v>
      </c>
    </row>
    <row r="19" spans="1:17" x14ac:dyDescent="0.35">
      <c r="A19">
        <v>17</v>
      </c>
      <c r="B19" s="14">
        <f t="shared" ca="1" si="8"/>
        <v>46585</v>
      </c>
      <c r="C19" s="15">
        <f ca="1">(1+(('Symulacja Pożyczka'!$B$5+'Symulacja Pożyczka'!$C$19)/100)*('Arkusz1 (+3)'!B19-'Arkusz1 (+3)'!B18)/365)</f>
        <v>1.0045205479452055</v>
      </c>
      <c r="D19" s="15">
        <f ca="1">(1+(('Symulacja Pożyczka'!$B$5+'Symulacja Pożyczka'!$C$19)/100)*('Arkusz1 (+3)'!B19-'Arkusz1 (+3)'!B18)/366)</f>
        <v>1.0045081967213114</v>
      </c>
      <c r="E19" s="15">
        <f t="shared" ca="1" si="0"/>
        <v>0</v>
      </c>
      <c r="F19" s="15">
        <f t="shared" ca="1" si="1"/>
        <v>0</v>
      </c>
      <c r="G19">
        <f ca="1">IF(E19=1,(1+(('Symulacja Pożyczka'!$B$5+'Symulacja Pożyczka'!$C$19)/100)*(((Arkusz1!B19-DATE(YEAR(B19),1,1)+1)/365)+((DATE(YEAR(B18),12,31)-Arkusz1!B18)/366))),IF(F19=1,(1+(('Symulacja Pożyczka'!$B$5+'Symulacja Pożyczka'!$C$19)/100)*(((Arkusz1!B19-DATE(YEAR(B19),1,1)+1)/366)+((DATE(YEAR(B18),12,31)-Arkusz1!B18)/365))),0))</f>
        <v>0</v>
      </c>
      <c r="H19">
        <f t="shared" ca="1" si="2"/>
        <v>0</v>
      </c>
      <c r="I19">
        <f t="shared" ca="1" si="5"/>
        <v>1.0045205479452055</v>
      </c>
      <c r="J19">
        <f t="shared" ca="1" si="3"/>
        <v>1.0045205479452055</v>
      </c>
      <c r="K19">
        <f ca="1">PRODUCT($J$3:J19)</f>
        <v>1.0783945422361916</v>
      </c>
      <c r="L19">
        <f t="shared" ca="1" si="4"/>
        <v>0.92730439633565809</v>
      </c>
      <c r="M19">
        <f ca="1">SUM($L$3:L19)</f>
        <v>16.354408964539669</v>
      </c>
      <c r="O19">
        <f ca="1">(Q18*'Arkusz1 (+3)'!J19)-Q18</f>
        <v>4971.9436511925887</v>
      </c>
      <c r="P19" s="16">
        <f t="shared" ca="1" si="6"/>
        <v>8348.1098551564046</v>
      </c>
      <c r="Q19" s="17">
        <f t="shared" ca="1" si="7"/>
        <v>1091506.0917723118</v>
      </c>
    </row>
    <row r="20" spans="1:17" x14ac:dyDescent="0.35">
      <c r="A20">
        <v>18</v>
      </c>
      <c r="B20" s="14">
        <f t="shared" ca="1" si="8"/>
        <v>46616</v>
      </c>
      <c r="C20" s="15">
        <f ca="1">(1+(('Symulacja Pożyczka'!$B$5+'Symulacja Pożyczka'!$C$19)/100)*('Arkusz1 (+3)'!B20-'Arkusz1 (+3)'!B19)/365)</f>
        <v>1.0046712328767122</v>
      </c>
      <c r="D20" s="15">
        <f ca="1">(1+(('Symulacja Pożyczka'!$B$5+'Symulacja Pożyczka'!$C$19)/100)*('Arkusz1 (+3)'!B20-'Arkusz1 (+3)'!B19)/366)</f>
        <v>1.0046584699453551</v>
      </c>
      <c r="E20" s="15">
        <f t="shared" ca="1" si="0"/>
        <v>0</v>
      </c>
      <c r="F20" s="15">
        <f t="shared" ca="1" si="1"/>
        <v>0</v>
      </c>
      <c r="G20">
        <f ca="1">IF(E20=1,(1+(('Symulacja Pożyczka'!$B$5+'Symulacja Pożyczka'!$C$19)/100)*(((Arkusz1!B20-DATE(YEAR(B20),1,1)+1)/365)+((DATE(YEAR(B19),12,31)-Arkusz1!B19)/366))),IF(F20=1,(1+(('Symulacja Pożyczka'!$B$5+'Symulacja Pożyczka'!$C$19)/100)*(((Arkusz1!B20-DATE(YEAR(B20),1,1)+1)/366)+((DATE(YEAR(B19),12,31)-Arkusz1!B19)/365))),0))</f>
        <v>0</v>
      </c>
      <c r="H20">
        <f t="shared" ca="1" si="2"/>
        <v>0</v>
      </c>
      <c r="I20">
        <f t="shared" ca="1" si="5"/>
        <v>1.0046712328767122</v>
      </c>
      <c r="J20">
        <f t="shared" ca="1" si="3"/>
        <v>1.0046712328767122</v>
      </c>
      <c r="K20">
        <f ca="1">PRODUCT($J$3:J20)</f>
        <v>1.0834319742759524</v>
      </c>
      <c r="L20">
        <f t="shared" ca="1" si="4"/>
        <v>0.92299288164196081</v>
      </c>
      <c r="M20">
        <f ca="1">SUM($L$3:L20)</f>
        <v>17.277401846181629</v>
      </c>
      <c r="O20">
        <f ca="1">(Q19*'Arkusz1 (+3)'!J20)-Q19</f>
        <v>5098.6791410185397</v>
      </c>
      <c r="P20" s="16">
        <f t="shared" ca="1" si="6"/>
        <v>8221.3743653304537</v>
      </c>
      <c r="Q20" s="17">
        <f t="shared" ca="1" si="7"/>
        <v>1083284.7174069814</v>
      </c>
    </row>
    <row r="21" spans="1:17" x14ac:dyDescent="0.35">
      <c r="A21">
        <v>19</v>
      </c>
      <c r="B21" s="14">
        <f t="shared" ca="1" si="8"/>
        <v>46647</v>
      </c>
      <c r="C21" s="15">
        <f ca="1">(1+(('Symulacja Pożyczka'!$B$5+'Symulacja Pożyczka'!$C$19)/100)*('Arkusz1 (+3)'!B21-'Arkusz1 (+3)'!B20)/365)</f>
        <v>1.0046712328767122</v>
      </c>
      <c r="D21" s="15">
        <f ca="1">(1+(('Symulacja Pożyczka'!$B$5+'Symulacja Pożyczka'!$C$19)/100)*('Arkusz1 (+3)'!B21-'Arkusz1 (+3)'!B20)/366)</f>
        <v>1.0046584699453551</v>
      </c>
      <c r="E21" s="15">
        <f t="shared" ca="1" si="0"/>
        <v>0</v>
      </c>
      <c r="F21" s="15">
        <f t="shared" ca="1" si="1"/>
        <v>0</v>
      </c>
      <c r="G21">
        <f ca="1">IF(E21=1,(1+(('Symulacja Pożyczka'!$B$5+'Symulacja Pożyczka'!$C$19)/100)*(((Arkusz1!B21-DATE(YEAR(B21),1,1)+1)/365)+((DATE(YEAR(B20),12,31)-Arkusz1!B20)/366))),IF(F21=1,(1+(('Symulacja Pożyczka'!$B$5+'Symulacja Pożyczka'!$C$19)/100)*(((Arkusz1!B21-DATE(YEAR(B21),1,1)+1)/366)+((DATE(YEAR(B20),12,31)-Arkusz1!B20)/365))),0))</f>
        <v>0</v>
      </c>
      <c r="H21">
        <f t="shared" ca="1" si="2"/>
        <v>0</v>
      </c>
      <c r="I21">
        <f t="shared" ca="1" si="5"/>
        <v>1.0046712328767122</v>
      </c>
      <c r="J21">
        <f t="shared" ca="1" si="3"/>
        <v>1.0046712328767122</v>
      </c>
      <c r="K21">
        <f ca="1">PRODUCT($J$3:J21)</f>
        <v>1.0884929373338714</v>
      </c>
      <c r="L21">
        <f t="shared" ca="1" si="4"/>
        <v>0.91870141339582423</v>
      </c>
      <c r="M21">
        <f ca="1">SUM($L$3:L21)</f>
        <v>18.196103259577452</v>
      </c>
      <c r="O21">
        <f ca="1">(Q20*'Arkusz1 (+3)'!J21)-Q20</f>
        <v>5060.2751867913175</v>
      </c>
      <c r="P21" s="16">
        <f t="shared" ca="1" si="6"/>
        <v>8259.7783195576758</v>
      </c>
      <c r="Q21" s="17">
        <f t="shared" ca="1" si="7"/>
        <v>1075024.9390874237</v>
      </c>
    </row>
    <row r="22" spans="1:17" x14ac:dyDescent="0.35">
      <c r="A22">
        <v>20</v>
      </c>
      <c r="B22" s="14">
        <f t="shared" ca="1" si="8"/>
        <v>46677</v>
      </c>
      <c r="C22" s="15">
        <f ca="1">(1+(('Symulacja Pożyczka'!$B$5+'Symulacja Pożyczka'!$C$19)/100)*('Arkusz1 (+3)'!B22-'Arkusz1 (+3)'!B21)/365)</f>
        <v>1.0045205479452055</v>
      </c>
      <c r="D22" s="15">
        <f ca="1">(1+(('Symulacja Pożyczka'!$B$5+'Symulacja Pożyczka'!$C$19)/100)*('Arkusz1 (+3)'!B22-'Arkusz1 (+3)'!B21)/366)</f>
        <v>1.0045081967213114</v>
      </c>
      <c r="E22" s="15">
        <f t="shared" ca="1" si="0"/>
        <v>0</v>
      </c>
      <c r="F22" s="15">
        <f t="shared" ca="1" si="1"/>
        <v>0</v>
      </c>
      <c r="G22">
        <f ca="1">IF(E22=1,(1+(('Symulacja Pożyczka'!$B$5+'Symulacja Pożyczka'!$C$19)/100)*(((Arkusz1!B22-DATE(YEAR(B22),1,1)+1)/365)+((DATE(YEAR(B21),12,31)-Arkusz1!B21)/366))),IF(F22=1,(1+(('Symulacja Pożyczka'!$B$5+'Symulacja Pożyczka'!$C$19)/100)*(((Arkusz1!B22-DATE(YEAR(B22),1,1)+1)/366)+((DATE(YEAR(B21),12,31)-Arkusz1!B21)/365))),0))</f>
        <v>0</v>
      </c>
      <c r="H22">
        <f t="shared" ca="1" si="2"/>
        <v>0</v>
      </c>
      <c r="I22">
        <f t="shared" ca="1" si="5"/>
        <v>1.0045205479452055</v>
      </c>
      <c r="J22">
        <f t="shared" ca="1" si="3"/>
        <v>1.0045205479452055</v>
      </c>
      <c r="K22">
        <f ca="1">PRODUCT($J$3:J22)</f>
        <v>1.0934135218451069</v>
      </c>
      <c r="L22">
        <f t="shared" ca="1" si="4"/>
        <v>0.91456706911080266</v>
      </c>
      <c r="M22">
        <f ca="1">SUM($L$3:L22)</f>
        <v>19.110670328688254</v>
      </c>
      <c r="O22">
        <f ca="1">(Q21*'Arkusz1 (+3)'!J22)-Q21</f>
        <v>4859.7017794363201</v>
      </c>
      <c r="P22" s="16">
        <f t="shared" ca="1" si="6"/>
        <v>8460.3517269126733</v>
      </c>
      <c r="Q22" s="17">
        <f t="shared" ca="1" si="7"/>
        <v>1066564.5873605111</v>
      </c>
    </row>
    <row r="23" spans="1:17" x14ac:dyDescent="0.35">
      <c r="A23">
        <v>21</v>
      </c>
      <c r="B23" s="14">
        <f t="shared" ca="1" si="8"/>
        <v>46708</v>
      </c>
      <c r="C23" s="15">
        <f ca="1">(1+(('Symulacja Pożyczka'!$B$5+'Symulacja Pożyczka'!$C$19)/100)*('Arkusz1 (+3)'!B23-'Arkusz1 (+3)'!B22)/365)</f>
        <v>1.0046712328767122</v>
      </c>
      <c r="D23" s="15">
        <f ca="1">(1+(('Symulacja Pożyczka'!$B$5+'Symulacja Pożyczka'!$C$19)/100)*('Arkusz1 (+3)'!B23-'Arkusz1 (+3)'!B22)/366)</f>
        <v>1.0046584699453551</v>
      </c>
      <c r="E23" s="15">
        <f t="shared" ca="1" si="0"/>
        <v>0</v>
      </c>
      <c r="F23" s="15">
        <f t="shared" ca="1" si="1"/>
        <v>0</v>
      </c>
      <c r="G23">
        <f ca="1">IF(E23=1,(1+(('Symulacja Pożyczka'!$B$5+'Symulacja Pożyczka'!$C$19)/100)*(((Arkusz1!B23-DATE(YEAR(B23),1,1)+1)/365)+((DATE(YEAR(B22),12,31)-Arkusz1!B22)/366))),IF(F23=1,(1+(('Symulacja Pożyczka'!$B$5+'Symulacja Pożyczka'!$C$19)/100)*(((Arkusz1!B23-DATE(YEAR(B23),1,1)+1)/366)+((DATE(YEAR(B22),12,31)-Arkusz1!B22)/365))),0))</f>
        <v>0</v>
      </c>
      <c r="H23">
        <f t="shared" ca="1" si="2"/>
        <v>0</v>
      </c>
      <c r="I23">
        <f t="shared" ca="1" si="5"/>
        <v>1.0046712328767122</v>
      </c>
      <c r="J23">
        <f t="shared" ca="1" si="3"/>
        <v>1.0046712328767122</v>
      </c>
      <c r="K23">
        <f ca="1">PRODUCT($J$3:J23)</f>
        <v>1.0985211110361914</v>
      </c>
      <c r="L23">
        <f t="shared" ca="1" si="4"/>
        <v>0.91031477679727035</v>
      </c>
      <c r="M23">
        <f ca="1">SUM($L$3:L23)</f>
        <v>20.020985105485526</v>
      </c>
      <c r="O23">
        <f ca="1">(Q22*'Arkusz1 (+3)'!J23)-Q22</f>
        <v>4982.1715656153392</v>
      </c>
      <c r="P23" s="16">
        <f t="shared" ca="1" si="6"/>
        <v>8337.8819407336541</v>
      </c>
      <c r="Q23" s="17">
        <f t="shared" ca="1" si="7"/>
        <v>1058226.7054197774</v>
      </c>
    </row>
    <row r="24" spans="1:17" x14ac:dyDescent="0.35">
      <c r="A24">
        <v>22</v>
      </c>
      <c r="B24" s="14">
        <f t="shared" ca="1" si="8"/>
        <v>46738</v>
      </c>
      <c r="C24" s="15">
        <f ca="1">(1+(('Symulacja Pożyczka'!$B$5+'Symulacja Pożyczka'!$C$19)/100)*('Arkusz1 (+3)'!B24-'Arkusz1 (+3)'!B23)/365)</f>
        <v>1.0045205479452055</v>
      </c>
      <c r="D24" s="15">
        <f ca="1">(1+(('Symulacja Pożyczka'!$B$5+'Symulacja Pożyczka'!$C$19)/100)*('Arkusz1 (+3)'!B24-'Arkusz1 (+3)'!B23)/366)</f>
        <v>1.0045081967213114</v>
      </c>
      <c r="E24" s="15">
        <f t="shared" ca="1" si="0"/>
        <v>0</v>
      </c>
      <c r="F24" s="15">
        <f t="shared" ca="1" si="1"/>
        <v>0</v>
      </c>
      <c r="G24">
        <f ca="1">IF(E24=1,(1+(('Symulacja Pożyczka'!$B$5+'Symulacja Pożyczka'!$C$19)/100)*(((Arkusz1!B24-DATE(YEAR(B24),1,1)+1)/365)+((DATE(YEAR(B23),12,31)-Arkusz1!B23)/366))),IF(F24=1,(1+(('Symulacja Pożyczka'!$B$5+'Symulacja Pożyczka'!$C$19)/100)*(((Arkusz1!B24-DATE(YEAR(B24),1,1)+1)/366)+((DATE(YEAR(B23),12,31)-Arkusz1!B23)/365))),0))</f>
        <v>0</v>
      </c>
      <c r="H24">
        <f t="shared" ca="1" si="2"/>
        <v>0</v>
      </c>
      <c r="I24">
        <f t="shared" ca="1" si="5"/>
        <v>1.0045205479452055</v>
      </c>
      <c r="J24">
        <f t="shared" ca="1" si="3"/>
        <v>1.0045205479452055</v>
      </c>
      <c r="K24">
        <f ca="1">PRODUCT($J$3:J24)</f>
        <v>1.1034870283874509</v>
      </c>
      <c r="L24">
        <f t="shared" ca="1" si="4"/>
        <v>0.90621817409246874</v>
      </c>
      <c r="M24">
        <f ca="1">SUM($L$3:L24)</f>
        <v>20.927203279577995</v>
      </c>
      <c r="O24">
        <f ca="1">(Q23*'Arkusz1 (+3)'!J24)-Q23</f>
        <v>4783.7645587469451</v>
      </c>
      <c r="P24" s="16">
        <f t="shared" ca="1" si="6"/>
        <v>8536.2889476020482</v>
      </c>
      <c r="Q24" s="17">
        <f t="shared" ca="1" si="7"/>
        <v>1049690.4164721754</v>
      </c>
    </row>
    <row r="25" spans="1:17" x14ac:dyDescent="0.35">
      <c r="A25">
        <v>23</v>
      </c>
      <c r="B25" s="14">
        <f t="shared" ca="1" si="8"/>
        <v>46769</v>
      </c>
      <c r="C25" s="15">
        <f ca="1">(1+(('Symulacja Pożyczka'!$B$5+'Symulacja Pożyczka'!$C$19)/100)*('Arkusz1 (+3)'!B25-'Arkusz1 (+3)'!B24)/365)</f>
        <v>1.0046712328767122</v>
      </c>
      <c r="D25" s="15">
        <f ca="1">(1+(('Symulacja Pożyczka'!$B$5+'Symulacja Pożyczka'!$C$19)/100)*('Arkusz1 (+3)'!B25-'Arkusz1 (+3)'!B24)/366)</f>
        <v>1.0046584699453551</v>
      </c>
      <c r="E25" s="15">
        <f t="shared" ca="1" si="0"/>
        <v>0</v>
      </c>
      <c r="F25" s="15">
        <f t="shared" ca="1" si="1"/>
        <v>1</v>
      </c>
      <c r="G25">
        <f ca="1">IF(E25=1,(1+(('Symulacja Pożyczka'!$B$5+'Symulacja Pożyczka'!$C$19)/100)*(((Arkusz1!B25-DATE(YEAR(B25),1,1)+1)/365)+((DATE(YEAR(B24),12,31)-Arkusz1!B24)/366))),IF(F25=1,(1+(('Symulacja Pożyczka'!$B$5+'Symulacja Pożyczka'!$C$19)/100)*(((Arkusz1!B25-DATE(YEAR(B25),1,1)+1)/366)+((DATE(YEAR(B24),12,31)-Arkusz1!B24)/365))),0))</f>
        <v>1.0046642338498391</v>
      </c>
      <c r="H25">
        <f t="shared" ca="1" si="2"/>
        <v>1</v>
      </c>
      <c r="I25">
        <f t="shared" ca="1" si="5"/>
        <v>1.0046584699453551</v>
      </c>
      <c r="J25">
        <f t="shared" ca="1" si="3"/>
        <v>1.0046642338498391</v>
      </c>
      <c r="K25">
        <f ca="1">PRODUCT($J$3:J25)</f>
        <v>1.1086339499381139</v>
      </c>
      <c r="L25">
        <f t="shared" ca="1" si="4"/>
        <v>0.90201098392830381</v>
      </c>
      <c r="M25">
        <f ca="1">SUM($L$3:L25)</f>
        <v>21.829214263506298</v>
      </c>
      <c r="O25">
        <f ca="1">(Q24*'Arkusz1 (+3)'!J25)-Q24</f>
        <v>4896.0015723612159</v>
      </c>
      <c r="P25" s="16">
        <f t="shared" ca="1" si="6"/>
        <v>8424.0519339877774</v>
      </c>
      <c r="Q25" s="17">
        <f t="shared" ca="1" si="7"/>
        <v>1041266.3645381876</v>
      </c>
    </row>
    <row r="26" spans="1:17" x14ac:dyDescent="0.35">
      <c r="A26">
        <v>24</v>
      </c>
      <c r="B26" s="14">
        <f t="shared" ca="1" si="8"/>
        <v>46800</v>
      </c>
      <c r="C26" s="15">
        <f ca="1">(1+(('Symulacja Pożyczka'!$B$5+'Symulacja Pożyczka'!$C$19)/100)*('Arkusz1 (+3)'!B26-'Arkusz1 (+3)'!B25)/365)</f>
        <v>1.0046712328767122</v>
      </c>
      <c r="D26" s="15">
        <f ca="1">(1+(('Symulacja Pożyczka'!$B$5+'Symulacja Pożyczka'!$C$19)/100)*('Arkusz1 (+3)'!B26-'Arkusz1 (+3)'!B25)/366)</f>
        <v>1.0046584699453551</v>
      </c>
      <c r="E26" s="15">
        <f t="shared" ca="1" si="0"/>
        <v>0</v>
      </c>
      <c r="F26" s="15">
        <f t="shared" ca="1" si="1"/>
        <v>0</v>
      </c>
      <c r="G26">
        <f ca="1">IF(E26=1,(1+(('Symulacja Pożyczka'!$B$5+'Symulacja Pożyczka'!$C$19)/100)*(((Arkusz1!B26-DATE(YEAR(B26),1,1)+1)/365)+((DATE(YEAR(B25),12,31)-Arkusz1!B25)/366))),IF(F26=1,(1+(('Symulacja Pożyczka'!$B$5+'Symulacja Pożyczka'!$C$19)/100)*(((Arkusz1!B26-DATE(YEAR(B26),1,1)+1)/366)+((DATE(YEAR(B25),12,31)-Arkusz1!B25)/365))),0))</f>
        <v>0</v>
      </c>
      <c r="H26">
        <f t="shared" ca="1" si="2"/>
        <v>1</v>
      </c>
      <c r="I26">
        <f t="shared" ca="1" si="5"/>
        <v>1.0046584699453551</v>
      </c>
      <c r="J26">
        <f t="shared" ca="1" si="3"/>
        <v>1.0046584699453551</v>
      </c>
      <c r="K26">
        <f ca="1">PRODUCT($J$3:J26)</f>
        <v>1.113798487874301</v>
      </c>
      <c r="L26">
        <f t="shared" ca="1" si="4"/>
        <v>0.89782847695233725</v>
      </c>
      <c r="M26">
        <f ca="1">SUM($L$3:L26)</f>
        <v>22.727042740458636</v>
      </c>
      <c r="O26">
        <f ca="1">(Q25*'Arkusz1 (+3)'!J26)-Q25</f>
        <v>4850.7080643103691</v>
      </c>
      <c r="P26" s="16">
        <f t="shared" ca="1" si="6"/>
        <v>8469.3454420386242</v>
      </c>
      <c r="Q26" s="17">
        <f t="shared" ca="1" si="7"/>
        <v>1032797.019096149</v>
      </c>
    </row>
    <row r="27" spans="1:17" x14ac:dyDescent="0.35">
      <c r="A27">
        <v>25</v>
      </c>
      <c r="B27" s="14">
        <f t="shared" ca="1" si="8"/>
        <v>46829</v>
      </c>
      <c r="C27" s="15">
        <f ca="1">(1+(('Symulacja Pożyczka'!$B$5+'Symulacja Pożyczka'!$C$19)/100)*('Arkusz1 (+3)'!B27-'Arkusz1 (+3)'!B26)/365)</f>
        <v>1.0043698630136986</v>
      </c>
      <c r="D27" s="15">
        <f ca="1">(1+(('Symulacja Pożyczka'!$B$5+'Symulacja Pożyczka'!$C$19)/100)*('Arkusz1 (+3)'!B27-'Arkusz1 (+3)'!B26)/366)</f>
        <v>1.0043579234972677</v>
      </c>
      <c r="E27" s="15">
        <f t="shared" ca="1" si="0"/>
        <v>0</v>
      </c>
      <c r="F27" s="15">
        <f t="shared" ca="1" si="1"/>
        <v>0</v>
      </c>
      <c r="G27">
        <f ca="1">IF(E27=1,(1+(('Symulacja Pożyczka'!$B$5+'Symulacja Pożyczka'!$C$19)/100)*(((Arkusz1!B27-DATE(YEAR(B27),1,1)+1)/365)+((DATE(YEAR(B26),12,31)-Arkusz1!B26)/366))),IF(F27=1,(1+(('Symulacja Pożyczka'!$B$5+'Symulacja Pożyczka'!$C$19)/100)*(((Arkusz1!B27-DATE(YEAR(B27),1,1)+1)/366)+((DATE(YEAR(B26),12,31)-Arkusz1!B26)/365))),0))</f>
        <v>0</v>
      </c>
      <c r="H27">
        <f t="shared" ca="1" si="2"/>
        <v>1</v>
      </c>
      <c r="I27">
        <f t="shared" ca="1" si="5"/>
        <v>1.0043579234972677</v>
      </c>
      <c r="J27">
        <f t="shared" ca="1" si="3"/>
        <v>1.0043579234972677</v>
      </c>
      <c r="K27">
        <f ca="1">PRODUCT($J$3:J27)</f>
        <v>1.1186523364758296</v>
      </c>
      <c r="L27">
        <f t="shared" ca="1" si="4"/>
        <v>0.89393278625812511</v>
      </c>
      <c r="M27">
        <f ca="1">SUM($L$3:L27)</f>
        <v>23.620975526716762</v>
      </c>
      <c r="O27">
        <f ca="1">(Q26*'Arkusz1 (+3)'!J27)-Q26</f>
        <v>4500.8503974271007</v>
      </c>
      <c r="P27" s="16">
        <f t="shared" ca="1" si="6"/>
        <v>8819.2031089218926</v>
      </c>
      <c r="Q27" s="17">
        <f t="shared" ca="1" si="7"/>
        <v>1023977.8159872271</v>
      </c>
    </row>
    <row r="28" spans="1:17" x14ac:dyDescent="0.35">
      <c r="A28">
        <v>26</v>
      </c>
      <c r="B28" s="14">
        <f t="shared" ca="1" si="8"/>
        <v>46860</v>
      </c>
      <c r="C28" s="15">
        <f ca="1">(1+(('Symulacja Pożyczka'!$B$5+'Symulacja Pożyczka'!$C$19)/100)*('Arkusz1 (+3)'!B28-'Arkusz1 (+3)'!B27)/365)</f>
        <v>1.0046712328767122</v>
      </c>
      <c r="D28" s="15">
        <f ca="1">(1+(('Symulacja Pożyczka'!$B$5+'Symulacja Pożyczka'!$C$19)/100)*('Arkusz1 (+3)'!B28-'Arkusz1 (+3)'!B27)/366)</f>
        <v>1.0046584699453551</v>
      </c>
      <c r="E28" s="15">
        <f t="shared" ca="1" si="0"/>
        <v>0</v>
      </c>
      <c r="F28" s="15">
        <f t="shared" ca="1" si="1"/>
        <v>0</v>
      </c>
      <c r="G28">
        <f ca="1">IF(E28=1,(1+(('Symulacja Pożyczka'!$B$5+'Symulacja Pożyczka'!$C$19)/100)*(((Arkusz1!B28-DATE(YEAR(B28),1,1)+1)/365)+((DATE(YEAR(B27),12,31)-Arkusz1!B27)/366))),IF(F28=1,(1+(('Symulacja Pożyczka'!$B$5+'Symulacja Pożyczka'!$C$19)/100)*(((Arkusz1!B28-DATE(YEAR(B28),1,1)+1)/366)+((DATE(YEAR(B27),12,31)-Arkusz1!B27)/365))),0))</f>
        <v>0</v>
      </c>
      <c r="H28">
        <f t="shared" ca="1" si="2"/>
        <v>1</v>
      </c>
      <c r="I28">
        <f t="shared" ca="1" si="5"/>
        <v>1.0046584699453551</v>
      </c>
      <c r="J28">
        <f t="shared" ca="1" si="3"/>
        <v>1.0046584699453551</v>
      </c>
      <c r="K28">
        <f ca="1">PRODUCT($J$3:J28)</f>
        <v>1.1238635447646035</v>
      </c>
      <c r="L28">
        <f t="shared" ca="1" si="4"/>
        <v>0.88978773682836465</v>
      </c>
      <c r="M28">
        <f ca="1">SUM($L$3:L28)</f>
        <v>24.510763263545126</v>
      </c>
      <c r="O28">
        <f ca="1">(Q27*'Arkusz1 (+3)'!J28)-Q27</f>
        <v>4770.1698804869084</v>
      </c>
      <c r="P28" s="16">
        <f t="shared" ca="1" si="6"/>
        <v>8549.883625862085</v>
      </c>
      <c r="Q28" s="17">
        <f t="shared" ca="1" si="7"/>
        <v>1015427.9323613651</v>
      </c>
    </row>
    <row r="29" spans="1:17" x14ac:dyDescent="0.35">
      <c r="A29">
        <v>27</v>
      </c>
      <c r="B29" s="14">
        <f t="shared" ca="1" si="8"/>
        <v>46890</v>
      </c>
      <c r="C29" s="15">
        <f ca="1">(1+(('Symulacja Pożyczka'!$B$5+'Symulacja Pożyczka'!$C$19)/100)*('Arkusz1 (+3)'!B29-'Arkusz1 (+3)'!B28)/365)</f>
        <v>1.0045205479452055</v>
      </c>
      <c r="D29" s="15">
        <f ca="1">(1+(('Symulacja Pożyczka'!$B$5+'Symulacja Pożyczka'!$C$19)/100)*('Arkusz1 (+3)'!B29-'Arkusz1 (+3)'!B28)/366)</f>
        <v>1.0045081967213114</v>
      </c>
      <c r="E29" s="15">
        <f t="shared" ca="1" si="0"/>
        <v>0</v>
      </c>
      <c r="F29" s="15">
        <f t="shared" ca="1" si="1"/>
        <v>0</v>
      </c>
      <c r="G29">
        <f ca="1">IF(E29=1,(1+(('Symulacja Pożyczka'!$B$5+'Symulacja Pożyczka'!$C$19)/100)*(((Arkusz1!B29-DATE(YEAR(B29),1,1)+1)/365)+((DATE(YEAR(B28),12,31)-Arkusz1!B28)/366))),IF(F29=1,(1+(('Symulacja Pożyczka'!$B$5+'Symulacja Pożyczka'!$C$19)/100)*(((Arkusz1!B29-DATE(YEAR(B29),1,1)+1)/366)+((DATE(YEAR(B28),12,31)-Arkusz1!B28)/365))),0))</f>
        <v>0</v>
      </c>
      <c r="H29">
        <f t="shared" ca="1" si="2"/>
        <v>1</v>
      </c>
      <c r="I29">
        <f t="shared" ca="1" si="5"/>
        <v>1.0045081967213114</v>
      </c>
      <c r="J29">
        <f t="shared" ca="1" si="3"/>
        <v>1.0045081967213114</v>
      </c>
      <c r="K29">
        <f ca="1">PRODUCT($J$3:J29)</f>
        <v>1.1289301427123126</v>
      </c>
      <c r="L29">
        <f t="shared" ca="1" si="4"/>
        <v>0.88579440141216237</v>
      </c>
      <c r="M29">
        <f ca="1">SUM($L$3:L29)</f>
        <v>25.396557664957289</v>
      </c>
      <c r="O29">
        <f ca="1">(Q28*'Arkusz1 (+3)'!J29)-Q28</f>
        <v>4577.7488753995858</v>
      </c>
      <c r="P29" s="16">
        <f t="shared" ca="1" si="6"/>
        <v>8742.3046309494075</v>
      </c>
      <c r="Q29" s="17">
        <f t="shared" ca="1" si="7"/>
        <v>1006685.6277304157</v>
      </c>
    </row>
    <row r="30" spans="1:17" x14ac:dyDescent="0.35">
      <c r="A30">
        <v>28</v>
      </c>
      <c r="B30" s="14">
        <f t="shared" ca="1" si="8"/>
        <v>46921</v>
      </c>
      <c r="C30" s="15">
        <f ca="1">(1+(('Symulacja Pożyczka'!$B$5+'Symulacja Pożyczka'!$C$19)/100)*('Arkusz1 (+3)'!B30-'Arkusz1 (+3)'!B29)/365)</f>
        <v>1.0046712328767122</v>
      </c>
      <c r="D30" s="15">
        <f ca="1">(1+(('Symulacja Pożyczka'!$B$5+'Symulacja Pożyczka'!$C$19)/100)*('Arkusz1 (+3)'!B30-'Arkusz1 (+3)'!B29)/366)</f>
        <v>1.0046584699453551</v>
      </c>
      <c r="E30" s="15">
        <f t="shared" ca="1" si="0"/>
        <v>0</v>
      </c>
      <c r="F30" s="15">
        <f t="shared" ca="1" si="1"/>
        <v>0</v>
      </c>
      <c r="G30">
        <f ca="1">IF(E30=1,(1+(('Symulacja Pożyczka'!$B$5+'Symulacja Pożyczka'!$C$19)/100)*(((Arkusz1!B30-DATE(YEAR(B30),1,1)+1)/365)+((DATE(YEAR(B29),12,31)-Arkusz1!B29)/366))),IF(F30=1,(1+(('Symulacja Pożyczka'!$B$5+'Symulacja Pożyczka'!$C$19)/100)*(((Arkusz1!B30-DATE(YEAR(B30),1,1)+1)/366)+((DATE(YEAR(B29),12,31)-Arkusz1!B29)/365))),0))</f>
        <v>0</v>
      </c>
      <c r="H30">
        <f t="shared" ca="1" si="2"/>
        <v>1</v>
      </c>
      <c r="I30">
        <f t="shared" ca="1" si="5"/>
        <v>1.0046584699453551</v>
      </c>
      <c r="J30">
        <f t="shared" ca="1" si="3"/>
        <v>1.0046584699453551</v>
      </c>
      <c r="K30">
        <f ca="1">PRODUCT($J$3:J30)</f>
        <v>1.1341892298525433</v>
      </c>
      <c r="L30">
        <f t="shared" ca="1" si="4"/>
        <v>0.88168708860867129</v>
      </c>
      <c r="M30">
        <f ca="1">SUM($L$3:L30)</f>
        <v>26.278244753565961</v>
      </c>
      <c r="O30">
        <f ca="1">(Q29*'Arkusz1 (+3)'!J30)-Q29</f>
        <v>4689.6147412031423</v>
      </c>
      <c r="P30" s="16">
        <f t="shared" ca="1" si="6"/>
        <v>8630.438765145851</v>
      </c>
      <c r="Q30" s="17">
        <f t="shared" ca="1" si="7"/>
        <v>998055.18896526983</v>
      </c>
    </row>
    <row r="31" spans="1:17" x14ac:dyDescent="0.35">
      <c r="A31">
        <v>29</v>
      </c>
      <c r="B31" s="14">
        <f t="shared" ca="1" si="8"/>
        <v>46951</v>
      </c>
      <c r="C31" s="15">
        <f ca="1">(1+(('Symulacja Pożyczka'!$B$5+'Symulacja Pożyczka'!$C$19)/100)*('Arkusz1 (+3)'!B31-'Arkusz1 (+3)'!B30)/365)</f>
        <v>1.0045205479452055</v>
      </c>
      <c r="D31" s="15">
        <f ca="1">(1+(('Symulacja Pożyczka'!$B$5+'Symulacja Pożyczka'!$C$19)/100)*('Arkusz1 (+3)'!B31-'Arkusz1 (+3)'!B30)/366)</f>
        <v>1.0045081967213114</v>
      </c>
      <c r="E31" s="15">
        <f t="shared" ca="1" si="0"/>
        <v>0</v>
      </c>
      <c r="F31" s="15">
        <f t="shared" ca="1" si="1"/>
        <v>0</v>
      </c>
      <c r="G31">
        <f ca="1">IF(E31=1,(1+(('Symulacja Pożyczka'!$B$5+'Symulacja Pożyczka'!$C$19)/100)*(((Arkusz1!B31-DATE(YEAR(B31),1,1)+1)/365)+((DATE(YEAR(B30),12,31)-Arkusz1!B30)/366))),IF(F31=1,(1+(('Symulacja Pożyczka'!$B$5+'Symulacja Pożyczka'!$C$19)/100)*(((Arkusz1!B31-DATE(YEAR(B31),1,1)+1)/366)+((DATE(YEAR(B30),12,31)-Arkusz1!B30)/365))),0))</f>
        <v>0</v>
      </c>
      <c r="H31">
        <f t="shared" ca="1" si="2"/>
        <v>1</v>
      </c>
      <c r="I31">
        <f t="shared" ca="1" si="5"/>
        <v>1.0045081967213114</v>
      </c>
      <c r="J31">
        <f t="shared" ca="1" si="3"/>
        <v>1.0045081967213114</v>
      </c>
      <c r="K31">
        <f ca="1">PRODUCT($J$3:J31)</f>
        <v>1.1393023780199112</v>
      </c>
      <c r="L31">
        <f t="shared" ca="1" si="4"/>
        <v>0.87773010861083567</v>
      </c>
      <c r="M31">
        <f ca="1">SUM($L$3:L31)</f>
        <v>27.155974862176798</v>
      </c>
      <c r="O31">
        <f ca="1">(Q30*'Arkusz1 (+3)'!J31)-Q30</f>
        <v>4499.4291305810912</v>
      </c>
      <c r="P31" s="16">
        <f t="shared" ca="1" si="6"/>
        <v>8820.6243757679022</v>
      </c>
      <c r="Q31" s="17">
        <f t="shared" ca="1" si="7"/>
        <v>989234.56458950194</v>
      </c>
    </row>
    <row r="32" spans="1:17" x14ac:dyDescent="0.35">
      <c r="A32">
        <v>30</v>
      </c>
      <c r="B32" s="14">
        <f t="shared" ca="1" si="8"/>
        <v>46982</v>
      </c>
      <c r="C32" s="15">
        <f ca="1">(1+(('Symulacja Pożyczka'!$B$5+'Symulacja Pożyczka'!$C$19)/100)*('Arkusz1 (+3)'!B32-'Arkusz1 (+3)'!B31)/365)</f>
        <v>1.0046712328767122</v>
      </c>
      <c r="D32" s="15">
        <f ca="1">(1+(('Symulacja Pożyczka'!$B$5+'Symulacja Pożyczka'!$C$19)/100)*('Arkusz1 (+3)'!B32-'Arkusz1 (+3)'!B31)/366)</f>
        <v>1.0046584699453551</v>
      </c>
      <c r="E32" s="15">
        <f t="shared" ca="1" si="0"/>
        <v>0</v>
      </c>
      <c r="F32" s="15">
        <f t="shared" ca="1" si="1"/>
        <v>0</v>
      </c>
      <c r="G32">
        <f ca="1">IF(E32=1,(1+(('Symulacja Pożyczka'!$B$5+'Symulacja Pożyczka'!$C$19)/100)*(((Arkusz1!B32-DATE(YEAR(B32),1,1)+1)/365)+((DATE(YEAR(B31),12,31)-Arkusz1!B31)/366))),IF(F32=1,(1+(('Symulacja Pożyczka'!$B$5+'Symulacja Pożyczka'!$C$19)/100)*(((Arkusz1!B32-DATE(YEAR(B32),1,1)+1)/366)+((DATE(YEAR(B31),12,31)-Arkusz1!B31)/365))),0))</f>
        <v>0</v>
      </c>
      <c r="H32">
        <f t="shared" ca="1" si="2"/>
        <v>1</v>
      </c>
      <c r="I32">
        <f t="shared" ca="1" si="5"/>
        <v>1.0046584699453551</v>
      </c>
      <c r="J32">
        <f t="shared" ca="1" si="3"/>
        <v>1.0046584699453551</v>
      </c>
      <c r="K32">
        <f ca="1">PRODUCT($J$3:J32)</f>
        <v>1.1446097839065885</v>
      </c>
      <c r="L32">
        <f t="shared" ca="1" si="4"/>
        <v>0.87366018887849195</v>
      </c>
      <c r="M32">
        <f ca="1">SUM($L$3:L32)</f>
        <v>28.029635051055291</v>
      </c>
      <c r="O32">
        <f ca="1">(Q31*'Arkusz1 (+3)'!J32)-Q31</f>
        <v>4608.3194880466908</v>
      </c>
      <c r="P32" s="16">
        <f t="shared" ca="1" si="6"/>
        <v>8711.7340183023025</v>
      </c>
      <c r="Q32" s="17">
        <f t="shared" ca="1" si="7"/>
        <v>980522.83057119965</v>
      </c>
    </row>
    <row r="33" spans="1:17" x14ac:dyDescent="0.35">
      <c r="A33">
        <v>31</v>
      </c>
      <c r="B33" s="14">
        <f t="shared" ca="1" si="8"/>
        <v>47013</v>
      </c>
      <c r="C33" s="15">
        <f ca="1">(1+(('Symulacja Pożyczka'!$B$5+'Symulacja Pożyczka'!$C$19)/100)*('Arkusz1 (+3)'!B33-'Arkusz1 (+3)'!B32)/365)</f>
        <v>1.0046712328767122</v>
      </c>
      <c r="D33" s="15">
        <f ca="1">(1+(('Symulacja Pożyczka'!$B$5+'Symulacja Pożyczka'!$C$19)/100)*('Arkusz1 (+3)'!B33-'Arkusz1 (+3)'!B32)/366)</f>
        <v>1.0046584699453551</v>
      </c>
      <c r="E33" s="15">
        <f t="shared" ca="1" si="0"/>
        <v>0</v>
      </c>
      <c r="F33" s="15">
        <f t="shared" ca="1" si="1"/>
        <v>0</v>
      </c>
      <c r="G33">
        <f ca="1">IF(E33=1,(1+(('Symulacja Pożyczka'!$B$5+'Symulacja Pożyczka'!$C$19)/100)*(((Arkusz1!B33-DATE(YEAR(B33),1,1)+1)/365)+((DATE(YEAR(B32),12,31)-Arkusz1!B32)/366))),IF(F33=1,(1+(('Symulacja Pożyczka'!$B$5+'Symulacja Pożyczka'!$C$19)/100)*(((Arkusz1!B33-DATE(YEAR(B33),1,1)+1)/366)+((DATE(YEAR(B32),12,31)-Arkusz1!B32)/365))),0))</f>
        <v>0</v>
      </c>
      <c r="H33">
        <f t="shared" ca="1" si="2"/>
        <v>1</v>
      </c>
      <c r="I33">
        <f t="shared" ca="1" si="5"/>
        <v>1.0046584699453551</v>
      </c>
      <c r="J33">
        <f t="shared" ca="1" si="3"/>
        <v>1.0046584699453551</v>
      </c>
      <c r="K33">
        <f ca="1">PRODUCT($J$3:J33)</f>
        <v>1.1499419141840768</v>
      </c>
      <c r="L33">
        <f t="shared" ca="1" si="4"/>
        <v>0.86960914083172136</v>
      </c>
      <c r="M33">
        <f ca="1">SUM($L$3:L33)</f>
        <v>28.899244191887011</v>
      </c>
      <c r="O33">
        <f ca="1">(Q32*'Arkusz1 (+3)'!J33)-Q32</f>
        <v>4567.736136950436</v>
      </c>
      <c r="P33" s="16">
        <f t="shared" ca="1" si="6"/>
        <v>8752.3173693985573</v>
      </c>
      <c r="Q33" s="17">
        <f t="shared" ca="1" si="7"/>
        <v>971770.51320180111</v>
      </c>
    </row>
    <row r="34" spans="1:17" x14ac:dyDescent="0.35">
      <c r="A34">
        <v>32</v>
      </c>
      <c r="B34" s="14">
        <f t="shared" ca="1" si="8"/>
        <v>47043</v>
      </c>
      <c r="C34" s="15">
        <f ca="1">(1+(('Symulacja Pożyczka'!$B$5+'Symulacja Pożyczka'!$C$19)/100)*('Arkusz1 (+3)'!B34-'Arkusz1 (+3)'!B33)/365)</f>
        <v>1.0045205479452055</v>
      </c>
      <c r="D34" s="15">
        <f ca="1">(1+(('Symulacja Pożyczka'!$B$5+'Symulacja Pożyczka'!$C$19)/100)*('Arkusz1 (+3)'!B34-'Arkusz1 (+3)'!B33)/366)</f>
        <v>1.0045081967213114</v>
      </c>
      <c r="E34" s="15">
        <f t="shared" ca="1" si="0"/>
        <v>0</v>
      </c>
      <c r="F34" s="15">
        <f t="shared" ca="1" si="1"/>
        <v>0</v>
      </c>
      <c r="G34">
        <f ca="1">IF(E34=1,(1+(('Symulacja Pożyczka'!$B$5+'Symulacja Pożyczka'!$C$19)/100)*(((Arkusz1!B34-DATE(YEAR(B34),1,1)+1)/365)+((DATE(YEAR(B33),12,31)-Arkusz1!B33)/366))),IF(F34=1,(1+(('Symulacja Pożyczka'!$B$5+'Symulacja Pożyczka'!$C$19)/100)*(((Arkusz1!B34-DATE(YEAR(B34),1,1)+1)/366)+((DATE(YEAR(B33),12,31)-Arkusz1!B33)/365))),0))</f>
        <v>0</v>
      </c>
      <c r="H34">
        <f t="shared" ca="1" si="2"/>
        <v>1</v>
      </c>
      <c r="I34">
        <f t="shared" ca="1" si="5"/>
        <v>1.0045081967213114</v>
      </c>
      <c r="J34">
        <f t="shared" ca="1" si="3"/>
        <v>1.0045081967213114</v>
      </c>
      <c r="K34">
        <f ca="1">PRODUCT($J$3:J34)</f>
        <v>1.1551260785513</v>
      </c>
      <c r="L34">
        <f t="shared" ca="1" si="4"/>
        <v>0.86570636622986541</v>
      </c>
      <c r="M34">
        <f ca="1">SUM($L$3:L34)</f>
        <v>29.764950558116876</v>
      </c>
      <c r="O34">
        <f ca="1">(Q33*'Arkusz1 (+3)'!J34)-Q33</f>
        <v>4380.9326414834941</v>
      </c>
      <c r="P34" s="16">
        <f t="shared" ca="1" si="6"/>
        <v>8939.1208648654992</v>
      </c>
      <c r="Q34" s="17">
        <f t="shared" ca="1" si="7"/>
        <v>962831.39233693562</v>
      </c>
    </row>
    <row r="35" spans="1:17" x14ac:dyDescent="0.35">
      <c r="A35">
        <v>33</v>
      </c>
      <c r="B35" s="14">
        <f t="shared" ca="1" si="8"/>
        <v>47074</v>
      </c>
      <c r="C35" s="15">
        <f ca="1">(1+(('Symulacja Pożyczka'!$B$5+'Symulacja Pożyczka'!$C$19)/100)*('Arkusz1 (+3)'!B35-'Arkusz1 (+3)'!B34)/365)</f>
        <v>1.0046712328767122</v>
      </c>
      <c r="D35" s="15">
        <f ca="1">(1+(('Symulacja Pożyczka'!$B$5+'Symulacja Pożyczka'!$C$19)/100)*('Arkusz1 (+3)'!B35-'Arkusz1 (+3)'!B34)/366)</f>
        <v>1.0046584699453551</v>
      </c>
      <c r="E35" s="15">
        <f t="shared" ca="1" si="0"/>
        <v>0</v>
      </c>
      <c r="F35" s="15">
        <f t="shared" ca="1" si="1"/>
        <v>0</v>
      </c>
      <c r="G35">
        <f ca="1">IF(E35=1,(1+(('Symulacja Pożyczka'!$B$5+'Symulacja Pożyczka'!$C$19)/100)*(((Arkusz1!B35-DATE(YEAR(B35),1,1)+1)/365)+((DATE(YEAR(B34),12,31)-Arkusz1!B34)/366))),IF(F35=1,(1+(('Symulacja Pożyczka'!$B$5+'Symulacja Pożyczka'!$C$19)/100)*(((Arkusz1!B35-DATE(YEAR(B35),1,1)+1)/366)+((DATE(YEAR(B34),12,31)-Arkusz1!B34)/365))),0))</f>
        <v>0</v>
      </c>
      <c r="H35">
        <f t="shared" ca="1" si="2"/>
        <v>1</v>
      </c>
      <c r="I35">
        <f t="shared" ca="1" si="5"/>
        <v>1.0046584699453551</v>
      </c>
      <c r="J35">
        <f t="shared" ca="1" si="3"/>
        <v>1.0046584699453551</v>
      </c>
      <c r="K35">
        <f ca="1">PRODUCT($J$3:J35)</f>
        <v>1.1605071986713271</v>
      </c>
      <c r="L35">
        <f t="shared" ca="1" si="4"/>
        <v>0.8616921990185904</v>
      </c>
      <c r="M35">
        <f ca="1">SUM($L$3:L35)</f>
        <v>30.626642757135468</v>
      </c>
      <c r="O35">
        <f ca="1">(Q34*'Arkusz1 (+3)'!J35)-Q34</f>
        <v>4485.3211036460707</v>
      </c>
      <c r="P35" s="16">
        <f t="shared" ca="1" si="6"/>
        <v>8834.7324027029226</v>
      </c>
      <c r="Q35" s="17">
        <f t="shared" ca="1" si="7"/>
        <v>953996.65993423271</v>
      </c>
    </row>
    <row r="36" spans="1:17" x14ac:dyDescent="0.35">
      <c r="A36">
        <v>34</v>
      </c>
      <c r="B36" s="14">
        <f t="shared" ca="1" si="8"/>
        <v>47104</v>
      </c>
      <c r="C36" s="15">
        <f ca="1">(1+(('Symulacja Pożyczka'!$B$5+'Symulacja Pożyczka'!$C$19)/100)*('Arkusz1 (+3)'!B36-'Arkusz1 (+3)'!B35)/365)</f>
        <v>1.0045205479452055</v>
      </c>
      <c r="D36" s="15">
        <f ca="1">(1+(('Symulacja Pożyczka'!$B$5+'Symulacja Pożyczka'!$C$19)/100)*('Arkusz1 (+3)'!B36-'Arkusz1 (+3)'!B35)/366)</f>
        <v>1.0045081967213114</v>
      </c>
      <c r="E36" s="15">
        <f t="shared" ca="1" si="0"/>
        <v>0</v>
      </c>
      <c r="F36" s="15">
        <f t="shared" ca="1" si="1"/>
        <v>0</v>
      </c>
      <c r="G36">
        <f ca="1">IF(E36=1,(1+(('Symulacja Pożyczka'!$B$5+'Symulacja Pożyczka'!$C$19)/100)*(((Arkusz1!B36-DATE(YEAR(B36),1,1)+1)/365)+((DATE(YEAR(B35),12,31)-Arkusz1!B35)/366))),IF(F36=1,(1+(('Symulacja Pożyczka'!$B$5+'Symulacja Pożyczka'!$C$19)/100)*(((Arkusz1!B36-DATE(YEAR(B36),1,1)+1)/366)+((DATE(YEAR(B35),12,31)-Arkusz1!B35)/365))),0))</f>
        <v>0</v>
      </c>
      <c r="H36">
        <f t="shared" ca="1" si="2"/>
        <v>1</v>
      </c>
      <c r="I36">
        <f t="shared" ca="1" si="5"/>
        <v>1.0045081967213114</v>
      </c>
      <c r="J36">
        <f t="shared" ca="1" si="3"/>
        <v>1.0045081967213114</v>
      </c>
      <c r="K36">
        <f ca="1">PRODUCT($J$3:J36)</f>
        <v>1.1657389934194355</v>
      </c>
      <c r="L36">
        <f t="shared" ca="1" si="4"/>
        <v>0.85782495536734416</v>
      </c>
      <c r="M36">
        <f ca="1">SUM($L$3:L36)</f>
        <v>31.484467712502813</v>
      </c>
      <c r="O36">
        <f ca="1">(Q35*'Arkusz1 (+3)'!J36)-Q35</f>
        <v>4300.8046144575346</v>
      </c>
      <c r="P36" s="16">
        <f t="shared" ca="1" si="6"/>
        <v>9019.2488918914587</v>
      </c>
      <c r="Q36" s="17">
        <f t="shared" ca="1" si="7"/>
        <v>944977.41104234126</v>
      </c>
    </row>
    <row r="37" spans="1:17" x14ac:dyDescent="0.35">
      <c r="A37">
        <v>35</v>
      </c>
      <c r="B37" s="14">
        <f t="shared" ca="1" si="8"/>
        <v>47135</v>
      </c>
      <c r="C37" s="15">
        <f ca="1">(1+(('Symulacja Pożyczka'!$B$5+'Symulacja Pożyczka'!$C$19)/100)*('Arkusz1 (+3)'!B37-'Arkusz1 (+3)'!B36)/365)</f>
        <v>1.0046712328767122</v>
      </c>
      <c r="D37" s="15">
        <f ca="1">(1+(('Symulacja Pożyczka'!$B$5+'Symulacja Pożyczka'!$C$19)/100)*('Arkusz1 (+3)'!B37-'Arkusz1 (+3)'!B36)/366)</f>
        <v>1.0046584699453551</v>
      </c>
      <c r="E37" s="15">
        <f t="shared" ca="1" si="0"/>
        <v>1</v>
      </c>
      <c r="F37" s="15">
        <f t="shared" ca="1" si="1"/>
        <v>0</v>
      </c>
      <c r="G37">
        <f ca="1">IF(E37=1,(1+(('Symulacja Pożyczka'!$B$5+'Symulacja Pożyczka'!$C$19)/100)*(((Arkusz1!B37-DATE(YEAR(B37),1,1)+1)/365)+((DATE(YEAR(B36),12,31)-Arkusz1!B36)/366))),IF(F37=1,(1+(('Symulacja Pożyczka'!$B$5+'Symulacja Pożyczka'!$C$19)/100)*(((Arkusz1!B37-DATE(YEAR(B37),1,1)+1)/366)+((DATE(YEAR(B36),12,31)-Arkusz1!B36)/365))),0))</f>
        <v>1.0046654689722285</v>
      </c>
      <c r="H37">
        <f t="shared" ca="1" si="2"/>
        <v>0</v>
      </c>
      <c r="I37">
        <f t="shared" ca="1" si="5"/>
        <v>1.0046712328767122</v>
      </c>
      <c r="J37">
        <f t="shared" ca="1" si="3"/>
        <v>1.0046654689722285</v>
      </c>
      <c r="K37">
        <f ca="1">PRODUCT($J$3:J37)</f>
        <v>1.1711777125229508</v>
      </c>
      <c r="L37">
        <f t="shared" ca="1" si="4"/>
        <v>0.85384138487898664</v>
      </c>
      <c r="M37">
        <f ca="1">SUM($L$3:L37)</f>
        <v>32.338309097381803</v>
      </c>
      <c r="O37">
        <f ca="1">(Q36*'Arkusz1 (+3)'!J37)-Q36</f>
        <v>4408.7627906749258</v>
      </c>
      <c r="P37" s="16">
        <f t="shared" ca="1" si="6"/>
        <v>8911.2907156740675</v>
      </c>
      <c r="Q37" s="17">
        <f t="shared" ca="1" si="7"/>
        <v>936066.12032666721</v>
      </c>
    </row>
    <row r="38" spans="1:17" x14ac:dyDescent="0.35">
      <c r="A38">
        <v>36</v>
      </c>
      <c r="B38" s="14">
        <f t="shared" ca="1" si="8"/>
        <v>47166</v>
      </c>
      <c r="C38" s="15">
        <f ca="1">(1+(('Symulacja Pożyczka'!$B$5+'Symulacja Pożyczka'!$C$19)/100)*('Arkusz1 (+3)'!B38-'Arkusz1 (+3)'!B37)/365)</f>
        <v>1.0046712328767122</v>
      </c>
      <c r="D38" s="15">
        <f ca="1">(1+(('Symulacja Pożyczka'!$B$5+'Symulacja Pożyczka'!$C$19)/100)*('Arkusz1 (+3)'!B38-'Arkusz1 (+3)'!B37)/366)</f>
        <v>1.0046584699453551</v>
      </c>
      <c r="E38" s="15">
        <f t="shared" ca="1" si="0"/>
        <v>0</v>
      </c>
      <c r="F38" s="15">
        <f t="shared" ca="1" si="1"/>
        <v>0</v>
      </c>
      <c r="G38">
        <f ca="1">IF(E38=1,(1+(('Symulacja Pożyczka'!$B$5+'Symulacja Pożyczka'!$C$19)/100)*(((Arkusz1!B38-DATE(YEAR(B38),1,1)+1)/365)+((DATE(YEAR(B37),12,31)-Arkusz1!B37)/366))),IF(F38=1,(1+(('Symulacja Pożyczka'!$B$5+'Symulacja Pożyczka'!$C$19)/100)*(((Arkusz1!B38-DATE(YEAR(B38),1,1)+1)/366)+((DATE(YEAR(B37),12,31)-Arkusz1!B37)/365))),0))</f>
        <v>0</v>
      </c>
      <c r="H38">
        <f t="shared" ca="1" si="2"/>
        <v>0</v>
      </c>
      <c r="I38">
        <f t="shared" ca="1" si="5"/>
        <v>1.0046712328767122</v>
      </c>
      <c r="J38">
        <f t="shared" ca="1" si="3"/>
        <v>1.0046712328767122</v>
      </c>
      <c r="K38">
        <f ca="1">PRODUCT($J$3:J38)</f>
        <v>1.1766485563581606</v>
      </c>
      <c r="L38">
        <f t="shared" ca="1" si="4"/>
        <v>0.84987143747925487</v>
      </c>
      <c r="M38">
        <f ca="1">SUM($L$3:L38)</f>
        <v>33.188180534861061</v>
      </c>
      <c r="O38">
        <f ca="1">(Q37*'Arkusz1 (+3)'!J38)-Q37</f>
        <v>4372.5828360463493</v>
      </c>
      <c r="P38" s="16">
        <f t="shared" ca="1" si="6"/>
        <v>8947.4706703026441</v>
      </c>
      <c r="Q38" s="17">
        <f t="shared" ca="1" si="7"/>
        <v>927118.64965636458</v>
      </c>
    </row>
    <row r="39" spans="1:17" x14ac:dyDescent="0.35">
      <c r="A39">
        <v>37</v>
      </c>
      <c r="B39" s="14">
        <f t="shared" ca="1" si="8"/>
        <v>47194</v>
      </c>
      <c r="C39" s="15">
        <f ca="1">(1+(('Symulacja Pożyczka'!$B$5+'Symulacja Pożyczka'!$C$19)/100)*('Arkusz1 (+3)'!B39-'Arkusz1 (+3)'!B38)/365)</f>
        <v>1.0042191780821919</v>
      </c>
      <c r="D39" s="15">
        <f ca="1">(1+(('Symulacja Pożyczka'!$B$5+'Symulacja Pożyczka'!$C$19)/100)*('Arkusz1 (+3)'!B39-'Arkusz1 (+3)'!B38)/366)</f>
        <v>1.004207650273224</v>
      </c>
      <c r="E39" s="15">
        <f t="shared" ca="1" si="0"/>
        <v>0</v>
      </c>
      <c r="F39" s="15">
        <f t="shared" ca="1" si="1"/>
        <v>0</v>
      </c>
      <c r="G39">
        <f ca="1">IF(E39=1,(1+(('Symulacja Pożyczka'!$B$5+'Symulacja Pożyczka'!$C$19)/100)*(((Arkusz1!B39-DATE(YEAR(B39),1,1)+1)/365)+((DATE(YEAR(B38),12,31)-Arkusz1!B38)/366))),IF(F39=1,(1+(('Symulacja Pożyczka'!$B$5+'Symulacja Pożyczka'!$C$19)/100)*(((Arkusz1!B39-DATE(YEAR(B39),1,1)+1)/366)+((DATE(YEAR(B38),12,31)-Arkusz1!B38)/365))),0))</f>
        <v>0</v>
      </c>
      <c r="H39">
        <f t="shared" ca="1" si="2"/>
        <v>0</v>
      </c>
      <c r="I39">
        <f t="shared" ca="1" si="5"/>
        <v>1.0042191780821919</v>
      </c>
      <c r="J39">
        <f t="shared" ca="1" si="3"/>
        <v>1.0042191780821919</v>
      </c>
      <c r="K39">
        <f ca="1">PRODUCT($J$3:J39)</f>
        <v>1.1816130461575896</v>
      </c>
      <c r="L39">
        <f t="shared" ca="1" si="4"/>
        <v>0.84630074392952481</v>
      </c>
      <c r="M39">
        <f ca="1">SUM($L$3:L39)</f>
        <v>34.034481278790587</v>
      </c>
      <c r="O39">
        <f ca="1">(Q38*'Arkusz1 (+3)'!J39)-Q38</f>
        <v>3911.6786862214794</v>
      </c>
      <c r="P39" s="16">
        <f t="shared" ca="1" si="6"/>
        <v>9408.3748201275139</v>
      </c>
      <c r="Q39" s="17">
        <f t="shared" ca="1" si="7"/>
        <v>917710.27483623708</v>
      </c>
    </row>
    <row r="40" spans="1:17" x14ac:dyDescent="0.35">
      <c r="A40">
        <v>38</v>
      </c>
      <c r="B40" s="14">
        <f t="shared" ca="1" si="8"/>
        <v>47225</v>
      </c>
      <c r="C40" s="15">
        <f ca="1">(1+(('Symulacja Pożyczka'!$B$5+'Symulacja Pożyczka'!$C$19)/100)*('Arkusz1 (+3)'!B40-'Arkusz1 (+3)'!B39)/365)</f>
        <v>1.0046712328767122</v>
      </c>
      <c r="D40" s="15">
        <f ca="1">(1+(('Symulacja Pożyczka'!$B$5+'Symulacja Pożyczka'!$C$19)/100)*('Arkusz1 (+3)'!B40-'Arkusz1 (+3)'!B39)/366)</f>
        <v>1.0046584699453551</v>
      </c>
      <c r="E40" s="15">
        <f t="shared" ca="1" si="0"/>
        <v>0</v>
      </c>
      <c r="F40" s="15">
        <f t="shared" ca="1" si="1"/>
        <v>0</v>
      </c>
      <c r="G40">
        <f ca="1">IF(E40=1,(1+(('Symulacja Pożyczka'!$B$5+'Symulacja Pożyczka'!$C$19)/100)*(((Arkusz1!B40-DATE(YEAR(B40),1,1)+1)/365)+((DATE(YEAR(B39),12,31)-Arkusz1!B39)/366))),IF(F40=1,(1+(('Symulacja Pożyczka'!$B$5+'Symulacja Pożyczka'!$C$19)/100)*(((Arkusz1!B40-DATE(YEAR(B40),1,1)+1)/366)+((DATE(YEAR(B39),12,31)-Arkusz1!B39)/365))),0))</f>
        <v>0</v>
      </c>
      <c r="H40">
        <f t="shared" ca="1" si="2"/>
        <v>0</v>
      </c>
      <c r="I40">
        <f t="shared" ca="1" si="5"/>
        <v>1.0046712328767122</v>
      </c>
      <c r="J40">
        <f t="shared" ca="1" si="3"/>
        <v>1.0046712328767122</v>
      </c>
      <c r="K40">
        <f ca="1">PRODUCT($J$3:J40)</f>
        <v>1.187132635866353</v>
      </c>
      <c r="L40">
        <f t="shared" ca="1" si="4"/>
        <v>0.84236585684481147</v>
      </c>
      <c r="M40">
        <f ca="1">SUM($L$3:L40)</f>
        <v>34.876847135635401</v>
      </c>
      <c r="O40">
        <f ca="1">(Q39*'Arkusz1 (+3)'!J40)-Q39</f>
        <v>4286.838407111587</v>
      </c>
      <c r="P40" s="16">
        <f t="shared" ca="1" si="6"/>
        <v>9033.2150992374063</v>
      </c>
      <c r="Q40" s="17">
        <f t="shared" ca="1" si="7"/>
        <v>908677.05973699968</v>
      </c>
    </row>
    <row r="41" spans="1:17" x14ac:dyDescent="0.35">
      <c r="A41">
        <v>39</v>
      </c>
      <c r="B41" s="14">
        <f t="shared" ca="1" si="8"/>
        <v>47255</v>
      </c>
      <c r="C41" s="15">
        <f ca="1">(1+(('Symulacja Pożyczka'!$B$5+'Symulacja Pożyczka'!$C$19)/100)*('Arkusz1 (+3)'!B41-'Arkusz1 (+3)'!B40)/365)</f>
        <v>1.0045205479452055</v>
      </c>
      <c r="D41" s="15">
        <f ca="1">(1+(('Symulacja Pożyczka'!$B$5+'Symulacja Pożyczka'!$C$19)/100)*('Arkusz1 (+3)'!B41-'Arkusz1 (+3)'!B40)/366)</f>
        <v>1.0045081967213114</v>
      </c>
      <c r="E41" s="15">
        <f t="shared" ca="1" si="0"/>
        <v>0</v>
      </c>
      <c r="F41" s="15">
        <f t="shared" ca="1" si="1"/>
        <v>0</v>
      </c>
      <c r="G41">
        <f ca="1">IF(E41=1,(1+(('Symulacja Pożyczka'!$B$5+'Symulacja Pożyczka'!$C$19)/100)*(((Arkusz1!B41-DATE(YEAR(B41),1,1)+1)/365)+((DATE(YEAR(B40),12,31)-Arkusz1!B40)/366))),IF(F41=1,(1+(('Symulacja Pożyczka'!$B$5+'Symulacja Pożyczka'!$C$19)/100)*(((Arkusz1!B41-DATE(YEAR(B41),1,1)+1)/366)+((DATE(YEAR(B40),12,31)-Arkusz1!B40)/365))),0))</f>
        <v>0</v>
      </c>
      <c r="H41">
        <f t="shared" ca="1" si="2"/>
        <v>0</v>
      </c>
      <c r="I41">
        <f t="shared" ca="1" si="5"/>
        <v>1.0045205479452055</v>
      </c>
      <c r="J41">
        <f t="shared" ca="1" si="3"/>
        <v>1.0045205479452055</v>
      </c>
      <c r="K41">
        <f ca="1">PRODUCT($J$3:J41)</f>
        <v>1.1924991258641051</v>
      </c>
      <c r="L41">
        <f t="shared" ca="1" si="4"/>
        <v>0.83857503817907042</v>
      </c>
      <c r="M41">
        <f ca="1">SUM($L$3:L41)</f>
        <v>35.715422173814474</v>
      </c>
      <c r="O41">
        <f ca="1">(Q40*'Arkusz1 (+3)'!J41)-Q40</f>
        <v>4107.7182152494788</v>
      </c>
      <c r="P41" s="16">
        <f t="shared" ca="1" si="6"/>
        <v>9212.3352910995145</v>
      </c>
      <c r="Q41" s="17">
        <f t="shared" ca="1" si="7"/>
        <v>899464.72444590018</v>
      </c>
    </row>
    <row r="42" spans="1:17" x14ac:dyDescent="0.35">
      <c r="A42">
        <v>40</v>
      </c>
      <c r="B42" s="14">
        <f t="shared" ca="1" si="8"/>
        <v>47286</v>
      </c>
      <c r="C42" s="15">
        <f ca="1">(1+(('Symulacja Pożyczka'!$B$5+'Symulacja Pożyczka'!$C$19)/100)*('Arkusz1 (+3)'!B42-'Arkusz1 (+3)'!B41)/365)</f>
        <v>1.0046712328767122</v>
      </c>
      <c r="D42" s="15">
        <f ca="1">(1+(('Symulacja Pożyczka'!$B$5+'Symulacja Pożyczka'!$C$19)/100)*('Arkusz1 (+3)'!B42-'Arkusz1 (+3)'!B41)/366)</f>
        <v>1.0046584699453551</v>
      </c>
      <c r="E42" s="15">
        <f t="shared" ca="1" si="0"/>
        <v>0</v>
      </c>
      <c r="F42" s="15">
        <f t="shared" ca="1" si="1"/>
        <v>0</v>
      </c>
      <c r="G42">
        <f ca="1">IF(E42=1,(1+(('Symulacja Pożyczka'!$B$5+'Symulacja Pożyczka'!$C$19)/100)*(((Arkusz1!B42-DATE(YEAR(B42),1,1)+1)/365)+((DATE(YEAR(B41),12,31)-Arkusz1!B41)/366))),IF(F42=1,(1+(('Symulacja Pożyczka'!$B$5+'Symulacja Pożyczka'!$C$19)/100)*(((Arkusz1!B42-DATE(YEAR(B42),1,1)+1)/366)+((DATE(YEAR(B41),12,31)-Arkusz1!B41)/365))),0))</f>
        <v>0</v>
      </c>
      <c r="H42">
        <f t="shared" ca="1" si="2"/>
        <v>0</v>
      </c>
      <c r="I42">
        <f t="shared" ca="1" si="5"/>
        <v>1.0046712328767122</v>
      </c>
      <c r="J42">
        <f t="shared" ca="1" si="3"/>
        <v>1.0046712328767122</v>
      </c>
      <c r="K42">
        <f ca="1">PRODUCT($J$3:J42)</f>
        <v>1.1980695669862922</v>
      </c>
      <c r="L42">
        <f t="shared" ca="1" si="4"/>
        <v>0.83467607187074266</v>
      </c>
      <c r="M42">
        <f ca="1">SUM($L$3:L42)</f>
        <v>36.55009824568522</v>
      </c>
      <c r="O42">
        <f ca="1">(Q41*'Arkusz1 (+3)'!J42)-Q41</f>
        <v>4201.6091922746273</v>
      </c>
      <c r="P42" s="16">
        <f t="shared" ca="1" si="6"/>
        <v>9118.444314074366</v>
      </c>
      <c r="Q42" s="17">
        <f t="shared" ca="1" si="7"/>
        <v>890346.28013182583</v>
      </c>
    </row>
    <row r="43" spans="1:17" x14ac:dyDescent="0.35">
      <c r="A43">
        <v>41</v>
      </c>
      <c r="B43" s="14">
        <f t="shared" ca="1" si="8"/>
        <v>47316</v>
      </c>
      <c r="C43" s="15">
        <f ca="1">(1+(('Symulacja Pożyczka'!$B$5+'Symulacja Pożyczka'!$C$19)/100)*('Arkusz1 (+3)'!B43-'Arkusz1 (+3)'!B42)/365)</f>
        <v>1.0045205479452055</v>
      </c>
      <c r="D43" s="15">
        <f ca="1">(1+(('Symulacja Pożyczka'!$B$5+'Symulacja Pożyczka'!$C$19)/100)*('Arkusz1 (+3)'!B43-'Arkusz1 (+3)'!B42)/366)</f>
        <v>1.0045081967213114</v>
      </c>
      <c r="E43" s="15">
        <f t="shared" ca="1" si="0"/>
        <v>0</v>
      </c>
      <c r="F43" s="15">
        <f t="shared" ca="1" si="1"/>
        <v>0</v>
      </c>
      <c r="G43">
        <f ca="1">IF(E43=1,(1+(('Symulacja Pożyczka'!$B$5+'Symulacja Pożyczka'!$C$19)/100)*(((Arkusz1!B43-DATE(YEAR(B43),1,1)+1)/365)+((DATE(YEAR(B42),12,31)-Arkusz1!B42)/366))),IF(F43=1,(1+(('Symulacja Pożyczka'!$B$5+'Symulacja Pożyczka'!$C$19)/100)*(((Arkusz1!B43-DATE(YEAR(B43),1,1)+1)/366)+((DATE(YEAR(B42),12,31)-Arkusz1!B42)/365))),0))</f>
        <v>0</v>
      </c>
      <c r="H43">
        <f t="shared" ca="1" si="2"/>
        <v>0</v>
      </c>
      <c r="I43">
        <f t="shared" ca="1" si="5"/>
        <v>1.0045205479452055</v>
      </c>
      <c r="J43">
        <f t="shared" ca="1" si="3"/>
        <v>1.0045205479452055</v>
      </c>
      <c r="K43">
        <f ca="1">PRODUCT($J$3:J43)</f>
        <v>1.2034854979055454</v>
      </c>
      <c r="L43">
        <f t="shared" ca="1" si="4"/>
        <v>0.83091985881036701</v>
      </c>
      <c r="M43">
        <f ca="1">SUM($L$3:L43)</f>
        <v>37.381018104495588</v>
      </c>
      <c r="O43">
        <f ca="1">(Q42*'Arkusz1 (+3)'!J43)-Q42</f>
        <v>4024.8530471712584</v>
      </c>
      <c r="P43" s="16">
        <f t="shared" ca="1" si="6"/>
        <v>9295.200459177735</v>
      </c>
      <c r="Q43" s="17">
        <f t="shared" ca="1" si="7"/>
        <v>881051.07967264811</v>
      </c>
    </row>
    <row r="44" spans="1:17" x14ac:dyDescent="0.35">
      <c r="A44">
        <v>42</v>
      </c>
      <c r="B44" s="14">
        <f t="shared" ca="1" si="8"/>
        <v>47347</v>
      </c>
      <c r="C44" s="15">
        <f ca="1">(1+(('Symulacja Pożyczka'!$B$5+'Symulacja Pożyczka'!$C$19)/100)*('Arkusz1 (+3)'!B44-'Arkusz1 (+3)'!B43)/365)</f>
        <v>1.0046712328767122</v>
      </c>
      <c r="D44" s="15">
        <f ca="1">(1+(('Symulacja Pożyczka'!$B$5+'Symulacja Pożyczka'!$C$19)/100)*('Arkusz1 (+3)'!B44-'Arkusz1 (+3)'!B43)/366)</f>
        <v>1.0046584699453551</v>
      </c>
      <c r="E44" s="15">
        <f t="shared" ca="1" si="0"/>
        <v>0</v>
      </c>
      <c r="F44" s="15">
        <f t="shared" ca="1" si="1"/>
        <v>0</v>
      </c>
      <c r="G44">
        <f ca="1">IF(E44=1,(1+(('Symulacja Pożyczka'!$B$5+'Symulacja Pożyczka'!$C$19)/100)*(((Arkusz1!B44-DATE(YEAR(B44),1,1)+1)/365)+((DATE(YEAR(B43),12,31)-Arkusz1!B43)/366))),IF(F44=1,(1+(('Symulacja Pożyczka'!$B$5+'Symulacja Pożyczka'!$C$19)/100)*(((Arkusz1!B44-DATE(YEAR(B44),1,1)+1)/366)+((DATE(YEAR(B43),12,31)-Arkusz1!B43)/365))),0))</f>
        <v>0</v>
      </c>
      <c r="H44">
        <f t="shared" ca="1" si="2"/>
        <v>0</v>
      </c>
      <c r="I44">
        <f t="shared" ca="1" si="5"/>
        <v>1.0046712328767122</v>
      </c>
      <c r="J44">
        <f t="shared" ca="1" si="3"/>
        <v>1.0046712328767122</v>
      </c>
      <c r="K44">
        <f ca="1">PRODUCT($J$3:J44)</f>
        <v>1.2091072589300083</v>
      </c>
      <c r="L44">
        <f t="shared" ca="1" si="4"/>
        <v>0.82705648536503173</v>
      </c>
      <c r="M44">
        <f ca="1">SUM($L$3:L44)</f>
        <v>38.208074589860622</v>
      </c>
      <c r="O44">
        <f ca="1">(Q43*'Arkusz1 (+3)'!J44)-Q43</f>
        <v>4115.5947694296483</v>
      </c>
      <c r="P44" s="16">
        <f t="shared" ca="1" si="6"/>
        <v>9204.458736919345</v>
      </c>
      <c r="Q44" s="17">
        <f t="shared" ca="1" si="7"/>
        <v>871846.62093572877</v>
      </c>
    </row>
    <row r="45" spans="1:17" x14ac:dyDescent="0.35">
      <c r="A45">
        <v>43</v>
      </c>
      <c r="B45" s="14">
        <f t="shared" ca="1" si="8"/>
        <v>47378</v>
      </c>
      <c r="C45" s="15">
        <f ca="1">(1+(('Symulacja Pożyczka'!$B$5+'Symulacja Pożyczka'!$C$19)/100)*('Arkusz1 (+3)'!B45-'Arkusz1 (+3)'!B44)/365)</f>
        <v>1.0046712328767122</v>
      </c>
      <c r="D45" s="15">
        <f ca="1">(1+(('Symulacja Pożyczka'!$B$5+'Symulacja Pożyczka'!$C$19)/100)*('Arkusz1 (+3)'!B45-'Arkusz1 (+3)'!B44)/366)</f>
        <v>1.0046584699453551</v>
      </c>
      <c r="E45" s="15">
        <f t="shared" ca="1" si="0"/>
        <v>0</v>
      </c>
      <c r="F45" s="15">
        <f t="shared" ca="1" si="1"/>
        <v>0</v>
      </c>
      <c r="G45">
        <f ca="1">IF(E45=1,(1+(('Symulacja Pożyczka'!$B$5+'Symulacja Pożyczka'!$C$19)/100)*(((Arkusz1!B45-DATE(YEAR(B45),1,1)+1)/365)+((DATE(YEAR(B44),12,31)-Arkusz1!B44)/366))),IF(F45=1,(1+(('Symulacja Pożyczka'!$B$5+'Symulacja Pożyczka'!$C$19)/100)*(((Arkusz1!B45-DATE(YEAR(B45),1,1)+1)/366)+((DATE(YEAR(B44),12,31)-Arkusz1!B44)/365))),0))</f>
        <v>0</v>
      </c>
      <c r="H45">
        <f t="shared" ca="1" si="2"/>
        <v>0</v>
      </c>
      <c r="I45">
        <f t="shared" ca="1" si="5"/>
        <v>1.0046712328767122</v>
      </c>
      <c r="J45">
        <f t="shared" ca="1" si="3"/>
        <v>1.0046712328767122</v>
      </c>
      <c r="K45">
        <f ca="1">PRODUCT($J$3:J45)</f>
        <v>1.2147552805093935</v>
      </c>
      <c r="L45">
        <f t="shared" ca="1" si="4"/>
        <v>0.82321107472828736</v>
      </c>
      <c r="M45">
        <f ca="1">SUM($L$3:L45)</f>
        <v>39.031285664588907</v>
      </c>
      <c r="O45">
        <f ca="1">(Q44*'Arkusz1 (+3)'!J45)-Q44</f>
        <v>4072.5985991654452</v>
      </c>
      <c r="P45" s="16">
        <f t="shared" ca="1" si="6"/>
        <v>9247.4549071835481</v>
      </c>
      <c r="Q45" s="17">
        <f t="shared" ca="1" si="7"/>
        <v>862599.16602854524</v>
      </c>
    </row>
    <row r="46" spans="1:17" x14ac:dyDescent="0.35">
      <c r="A46">
        <v>44</v>
      </c>
      <c r="B46" s="14">
        <f t="shared" ca="1" si="8"/>
        <v>47408</v>
      </c>
      <c r="C46" s="15">
        <f ca="1">(1+(('Symulacja Pożyczka'!$B$5+'Symulacja Pożyczka'!$C$19)/100)*('Arkusz1 (+3)'!B46-'Arkusz1 (+3)'!B45)/365)</f>
        <v>1.0045205479452055</v>
      </c>
      <c r="D46" s="15">
        <f ca="1">(1+(('Symulacja Pożyczka'!$B$5+'Symulacja Pożyczka'!$C$19)/100)*('Arkusz1 (+3)'!B46-'Arkusz1 (+3)'!B45)/366)</f>
        <v>1.0045081967213114</v>
      </c>
      <c r="E46" s="15">
        <f t="shared" ca="1" si="0"/>
        <v>0</v>
      </c>
      <c r="F46" s="15">
        <f t="shared" ca="1" si="1"/>
        <v>0</v>
      </c>
      <c r="G46">
        <f ca="1">IF(E46=1,(1+(('Symulacja Pożyczka'!$B$5+'Symulacja Pożyczka'!$C$19)/100)*(((Arkusz1!B46-DATE(YEAR(B46),1,1)+1)/365)+((DATE(YEAR(B45),12,31)-Arkusz1!B45)/366))),IF(F46=1,(1+(('Symulacja Pożyczka'!$B$5+'Symulacja Pożyczka'!$C$19)/100)*(((Arkusz1!B46-DATE(YEAR(B46),1,1)+1)/366)+((DATE(YEAR(B45),12,31)-Arkusz1!B45)/365))),0))</f>
        <v>0</v>
      </c>
      <c r="H46">
        <f t="shared" ca="1" si="2"/>
        <v>0</v>
      </c>
      <c r="I46">
        <f t="shared" ca="1" si="5"/>
        <v>1.0045205479452055</v>
      </c>
      <c r="J46">
        <f t="shared" ca="1" si="3"/>
        <v>1.0045205479452055</v>
      </c>
      <c r="K46">
        <f ca="1">PRODUCT($J$3:J46)</f>
        <v>1.2202466399966279</v>
      </c>
      <c r="L46">
        <f t="shared" ca="1" si="4"/>
        <v>0.81950645650027232</v>
      </c>
      <c r="M46">
        <f ca="1">SUM($L$3:L46)</f>
        <v>39.850792121089178</v>
      </c>
      <c r="O46">
        <f ca="1">(Q45*'Arkusz1 (+3)'!J46)-Q45</f>
        <v>3899.4208875263575</v>
      </c>
      <c r="P46" s="16">
        <f t="shared" ca="1" si="6"/>
        <v>9420.6326188226358</v>
      </c>
      <c r="Q46" s="17">
        <f t="shared" ca="1" si="7"/>
        <v>853178.53340972262</v>
      </c>
    </row>
    <row r="47" spans="1:17" x14ac:dyDescent="0.35">
      <c r="A47">
        <v>45</v>
      </c>
      <c r="B47" s="14">
        <f t="shared" ca="1" si="8"/>
        <v>47439</v>
      </c>
      <c r="C47" s="15">
        <f ca="1">(1+(('Symulacja Pożyczka'!$B$5+'Symulacja Pożyczka'!$C$19)/100)*('Arkusz1 (+3)'!B47-'Arkusz1 (+3)'!B46)/365)</f>
        <v>1.0046712328767122</v>
      </c>
      <c r="D47" s="15">
        <f ca="1">(1+(('Symulacja Pożyczka'!$B$5+'Symulacja Pożyczka'!$C$19)/100)*('Arkusz1 (+3)'!B47-'Arkusz1 (+3)'!B46)/366)</f>
        <v>1.0046584699453551</v>
      </c>
      <c r="E47" s="15">
        <f t="shared" ca="1" si="0"/>
        <v>0</v>
      </c>
      <c r="F47" s="15">
        <f t="shared" ca="1" si="1"/>
        <v>0</v>
      </c>
      <c r="G47">
        <f ca="1">IF(E47=1,(1+(('Symulacja Pożyczka'!$B$5+'Symulacja Pożyczka'!$C$19)/100)*(((Arkusz1!B47-DATE(YEAR(B47),1,1)+1)/365)+((DATE(YEAR(B46),12,31)-Arkusz1!B46)/366))),IF(F47=1,(1+(('Symulacja Pożyczka'!$B$5+'Symulacja Pożyczka'!$C$19)/100)*(((Arkusz1!B47-DATE(YEAR(B47),1,1)+1)/366)+((DATE(YEAR(B46),12,31)-Arkusz1!B46)/365))),0))</f>
        <v>0</v>
      </c>
      <c r="H47">
        <f t="shared" ca="1" si="2"/>
        <v>0</v>
      </c>
      <c r="I47">
        <f t="shared" ca="1" si="5"/>
        <v>1.0046712328767122</v>
      </c>
      <c r="J47">
        <f t="shared" ca="1" si="3"/>
        <v>1.0046712328767122</v>
      </c>
      <c r="K47">
        <f ca="1">PRODUCT($J$3:J47)</f>
        <v>1.2259466962190777</v>
      </c>
      <c r="L47">
        <f t="shared" ca="1" si="4"/>
        <v>0.81569614982778926</v>
      </c>
      <c r="M47">
        <f ca="1">SUM($L$3:L47)</f>
        <v>40.666488270916965</v>
      </c>
      <c r="O47">
        <f ca="1">(Q46*'Arkusz1 (+3)'!J47)-Q46</f>
        <v>3985.3956149686128</v>
      </c>
      <c r="P47" s="16">
        <f t="shared" ca="1" si="6"/>
        <v>9334.6578913803805</v>
      </c>
      <c r="Q47" s="17">
        <f t="shared" ca="1" si="7"/>
        <v>843843.87551834225</v>
      </c>
    </row>
    <row r="48" spans="1:17" x14ac:dyDescent="0.35">
      <c r="A48">
        <v>46</v>
      </c>
      <c r="B48" s="14">
        <f t="shared" ca="1" si="8"/>
        <v>47469</v>
      </c>
      <c r="C48" s="15">
        <f ca="1">(1+(('Symulacja Pożyczka'!$B$5+'Symulacja Pożyczka'!$C$19)/100)*('Arkusz1 (+3)'!B48-'Arkusz1 (+3)'!B47)/365)</f>
        <v>1.0045205479452055</v>
      </c>
      <c r="D48" s="15">
        <f ca="1">(1+(('Symulacja Pożyczka'!$B$5+'Symulacja Pożyczka'!$C$19)/100)*('Arkusz1 (+3)'!B48-'Arkusz1 (+3)'!B47)/366)</f>
        <v>1.0045081967213114</v>
      </c>
      <c r="E48" s="15">
        <f t="shared" ca="1" si="0"/>
        <v>0</v>
      </c>
      <c r="F48" s="15">
        <f t="shared" ca="1" si="1"/>
        <v>0</v>
      </c>
      <c r="G48">
        <f ca="1">IF(E48=1,(1+(('Symulacja Pożyczka'!$B$5+'Symulacja Pożyczka'!$C$19)/100)*(((Arkusz1!B48-DATE(YEAR(B48),1,1)+1)/365)+((DATE(YEAR(B47),12,31)-Arkusz1!B47)/366))),IF(F48=1,(1+(('Symulacja Pożyczka'!$B$5+'Symulacja Pożyczka'!$C$19)/100)*(((Arkusz1!B48-DATE(YEAR(B48),1,1)+1)/366)+((DATE(YEAR(B47),12,31)-Arkusz1!B47)/365))),0))</f>
        <v>0</v>
      </c>
      <c r="H48">
        <f t="shared" ca="1" si="2"/>
        <v>0</v>
      </c>
      <c r="I48">
        <f t="shared" ca="1" si="5"/>
        <v>1.0045205479452055</v>
      </c>
      <c r="J48">
        <f t="shared" ca="1" si="3"/>
        <v>1.0045205479452055</v>
      </c>
      <c r="K48">
        <f ca="1">PRODUCT($J$3:J48)</f>
        <v>1.2314886470376023</v>
      </c>
      <c r="L48">
        <f t="shared" ca="1" si="4"/>
        <v>0.81202535029904011</v>
      </c>
      <c r="M48">
        <f ca="1">SUM($L$3:L48)</f>
        <v>41.478513621216003</v>
      </c>
      <c r="O48">
        <f ca="1">(Q47*'Arkusz1 (+3)'!J48)-Q47</f>
        <v>3814.6366975486744</v>
      </c>
      <c r="P48" s="16">
        <f t="shared" ca="1" si="6"/>
        <v>9505.4168088003189</v>
      </c>
      <c r="Q48" s="17">
        <f t="shared" ca="1" si="7"/>
        <v>834338.45870954194</v>
      </c>
    </row>
    <row r="49" spans="1:17" x14ac:dyDescent="0.35">
      <c r="A49">
        <v>47</v>
      </c>
      <c r="B49" s="14">
        <f t="shared" ca="1" si="8"/>
        <v>47500</v>
      </c>
      <c r="C49" s="15">
        <f ca="1">(1+(('Symulacja Pożyczka'!$B$5+'Symulacja Pożyczka'!$C$19)/100)*('Arkusz1 (+3)'!B49-'Arkusz1 (+3)'!B48)/365)</f>
        <v>1.0046712328767122</v>
      </c>
      <c r="D49" s="15">
        <f ca="1">(1+(('Symulacja Pożyczka'!$B$5+'Symulacja Pożyczka'!$C$19)/100)*('Arkusz1 (+3)'!B49-'Arkusz1 (+3)'!B48)/366)</f>
        <v>1.0046584699453551</v>
      </c>
      <c r="E49" s="15">
        <f t="shared" ca="1" si="0"/>
        <v>0</v>
      </c>
      <c r="F49" s="15">
        <f t="shared" ca="1" si="1"/>
        <v>0</v>
      </c>
      <c r="G49">
        <f ca="1">IF(E49=1,(1+(('Symulacja Pożyczka'!$B$5+'Symulacja Pożyczka'!$C$19)/100)*(((Arkusz1!B49-DATE(YEAR(B49),1,1)+1)/365)+((DATE(YEAR(B48),12,31)-Arkusz1!B48)/366))),IF(F49=1,(1+(('Symulacja Pożyczka'!$B$5+'Symulacja Pożyczka'!$C$19)/100)*(((Arkusz1!B49-DATE(YEAR(B49),1,1)+1)/366)+((DATE(YEAR(B48),12,31)-Arkusz1!B48)/365))),0))</f>
        <v>0</v>
      </c>
      <c r="H49">
        <f t="shared" ca="1" si="2"/>
        <v>0</v>
      </c>
      <c r="I49">
        <f t="shared" ca="1" si="5"/>
        <v>1.0046712328767122</v>
      </c>
      <c r="J49">
        <f t="shared" ca="1" si="3"/>
        <v>1.0046712328767122</v>
      </c>
      <c r="K49">
        <f ca="1">PRODUCT($J$3:J49)</f>
        <v>1.2372412172929421</v>
      </c>
      <c r="L49">
        <f t="shared" ca="1" si="4"/>
        <v>0.80824982713393523</v>
      </c>
      <c r="M49">
        <f ca="1">SUM($L$3:L49)</f>
        <v>42.286763448349937</v>
      </c>
      <c r="O49">
        <f ca="1">(Q48*'Arkusz1 (+3)'!J49)-Q48</f>
        <v>3897.3892386293737</v>
      </c>
      <c r="P49" s="16">
        <f t="shared" ca="1" si="6"/>
        <v>9422.6642677196196</v>
      </c>
      <c r="Q49" s="17">
        <f t="shared" ca="1" si="7"/>
        <v>824915.79444182233</v>
      </c>
    </row>
    <row r="50" spans="1:17" x14ac:dyDescent="0.35">
      <c r="A50">
        <v>48</v>
      </c>
      <c r="B50" s="14">
        <f t="shared" ca="1" si="8"/>
        <v>47531</v>
      </c>
      <c r="C50" s="15">
        <f ca="1">(1+(('Symulacja Pożyczka'!$B$5+'Symulacja Pożyczka'!$C$19)/100)*('Arkusz1 (+3)'!B50-'Arkusz1 (+3)'!B49)/365)</f>
        <v>1.0046712328767122</v>
      </c>
      <c r="D50" s="15">
        <f ca="1">(1+(('Symulacja Pożyczka'!$B$5+'Symulacja Pożyczka'!$C$19)/100)*('Arkusz1 (+3)'!B50-'Arkusz1 (+3)'!B49)/366)</f>
        <v>1.0046584699453551</v>
      </c>
      <c r="E50" s="15">
        <f t="shared" ca="1" si="0"/>
        <v>0</v>
      </c>
      <c r="F50" s="15">
        <f t="shared" ca="1" si="1"/>
        <v>0</v>
      </c>
      <c r="G50">
        <f ca="1">IF(E50=1,(1+(('Symulacja Pożyczka'!$B$5+'Symulacja Pożyczka'!$C$19)/100)*(((Arkusz1!B50-DATE(YEAR(B50),1,1)+1)/365)+((DATE(YEAR(B49),12,31)-Arkusz1!B49)/366))),IF(F50=1,(1+(('Symulacja Pożyczka'!$B$5+'Symulacja Pożyczka'!$C$19)/100)*(((Arkusz1!B50-DATE(YEAR(B50),1,1)+1)/366)+((DATE(YEAR(B49),12,31)-Arkusz1!B49)/365))),0))</f>
        <v>0</v>
      </c>
      <c r="H50">
        <f t="shared" ca="1" si="2"/>
        <v>0</v>
      </c>
      <c r="I50">
        <f t="shared" ca="1" si="5"/>
        <v>1.0046712328767122</v>
      </c>
      <c r="J50">
        <f t="shared" ca="1" si="3"/>
        <v>1.0046712328767122</v>
      </c>
      <c r="K50">
        <f ca="1">PRODUCT($J$3:J50)</f>
        <v>1.2430206591435844</v>
      </c>
      <c r="L50">
        <f t="shared" ca="1" si="4"/>
        <v>0.80449185831632064</v>
      </c>
      <c r="M50">
        <f ca="1">SUM($L$3:L50)</f>
        <v>43.091255306666255</v>
      </c>
      <c r="O50">
        <f ca="1">(Q49*'Arkusz1 (+3)'!J50)-Q49</f>
        <v>3853.3737795158522</v>
      </c>
      <c r="P50" s="16">
        <f t="shared" ca="1" si="6"/>
        <v>9466.6797268331411</v>
      </c>
      <c r="Q50" s="17">
        <f t="shared" ca="1" si="7"/>
        <v>815449.11471498921</v>
      </c>
    </row>
    <row r="51" spans="1:17" x14ac:dyDescent="0.35">
      <c r="A51">
        <v>49</v>
      </c>
      <c r="B51" s="14">
        <f t="shared" ca="1" si="8"/>
        <v>47559</v>
      </c>
      <c r="C51" s="15">
        <f ca="1">(1+(('Symulacja Pożyczka'!$B$5+'Symulacja Pożyczka'!$C$19)/100)*('Arkusz1 (+3)'!B51-'Arkusz1 (+3)'!B50)/365)</f>
        <v>1.0042191780821919</v>
      </c>
      <c r="D51" s="15">
        <f ca="1">(1+(('Symulacja Pożyczka'!$B$5+'Symulacja Pożyczka'!$C$19)/100)*('Arkusz1 (+3)'!B51-'Arkusz1 (+3)'!B50)/366)</f>
        <v>1.004207650273224</v>
      </c>
      <c r="E51" s="15">
        <f t="shared" ca="1" si="0"/>
        <v>0</v>
      </c>
      <c r="F51" s="15">
        <f t="shared" ca="1" si="1"/>
        <v>0</v>
      </c>
      <c r="G51">
        <f ca="1">IF(E51=1,(1+(('Symulacja Pożyczka'!$B$5+'Symulacja Pożyczka'!$C$19)/100)*(((Arkusz1!B51-DATE(YEAR(B51),1,1)+1)/365)+((DATE(YEAR(B50),12,31)-Arkusz1!B50)/366))),IF(F51=1,(1+(('Symulacja Pożyczka'!$B$5+'Symulacja Pożyczka'!$C$19)/100)*(((Arkusz1!B51-DATE(YEAR(B51),1,1)+1)/366)+((DATE(YEAR(B50),12,31)-Arkusz1!B50)/365))),0))</f>
        <v>0</v>
      </c>
      <c r="H51">
        <f t="shared" ca="1" si="2"/>
        <v>0</v>
      </c>
      <c r="I51">
        <f t="shared" ca="1" si="5"/>
        <v>1.0042191780821919</v>
      </c>
      <c r="J51">
        <f t="shared" ca="1" si="3"/>
        <v>1.0042191780821919</v>
      </c>
      <c r="K51">
        <f ca="1">PRODUCT($J$3:J51)</f>
        <v>1.2482651846643547</v>
      </c>
      <c r="L51">
        <f t="shared" ca="1" si="4"/>
        <v>0.80111182486347199</v>
      </c>
      <c r="M51">
        <f ca="1">SUM($L$3:L51)</f>
        <v>43.892367131529724</v>
      </c>
      <c r="O51">
        <f ca="1">(Q50*'Arkusz1 (+3)'!J51)-Q50</f>
        <v>3440.5250319482293</v>
      </c>
      <c r="P51" s="16">
        <f t="shared" ca="1" si="6"/>
        <v>9879.528474400764</v>
      </c>
      <c r="Q51" s="17">
        <f t="shared" ca="1" si="7"/>
        <v>805569.58624058845</v>
      </c>
    </row>
    <row r="52" spans="1:17" x14ac:dyDescent="0.35">
      <c r="A52">
        <v>50</v>
      </c>
      <c r="B52" s="14">
        <f t="shared" ca="1" si="8"/>
        <v>47590</v>
      </c>
      <c r="C52" s="15">
        <f ca="1">(1+(('Symulacja Pożyczka'!$B$5+'Symulacja Pożyczka'!$C$19)/100)*('Arkusz1 (+3)'!B52-'Arkusz1 (+3)'!B51)/365)</f>
        <v>1.0046712328767122</v>
      </c>
      <c r="D52" s="15">
        <f ca="1">(1+(('Symulacja Pożyczka'!$B$5+'Symulacja Pożyczka'!$C$19)/100)*('Arkusz1 (+3)'!B52-'Arkusz1 (+3)'!B51)/366)</f>
        <v>1.0046584699453551</v>
      </c>
      <c r="E52" s="15">
        <f t="shared" ca="1" si="0"/>
        <v>0</v>
      </c>
      <c r="F52" s="15">
        <f t="shared" ca="1" si="1"/>
        <v>0</v>
      </c>
      <c r="G52">
        <f ca="1">IF(E52=1,(1+(('Symulacja Pożyczka'!$B$5+'Symulacja Pożyczka'!$C$19)/100)*(((Arkusz1!B52-DATE(YEAR(B52),1,1)+1)/365)+((DATE(YEAR(B51),12,31)-Arkusz1!B51)/366))),IF(F52=1,(1+(('Symulacja Pożyczka'!$B$5+'Symulacja Pożyczka'!$C$19)/100)*(((Arkusz1!B52-DATE(YEAR(B52),1,1)+1)/366)+((DATE(YEAR(B51),12,31)-Arkusz1!B51)/365))),0))</f>
        <v>0</v>
      </c>
      <c r="H52">
        <f t="shared" ca="1" si="2"/>
        <v>0</v>
      </c>
      <c r="I52">
        <f t="shared" ca="1" si="5"/>
        <v>1.0046712328767122</v>
      </c>
      <c r="J52">
        <f t="shared" ca="1" si="3"/>
        <v>1.0046712328767122</v>
      </c>
      <c r="K52">
        <f ca="1">PRODUCT($J$3:J52)</f>
        <v>1.254096122033814</v>
      </c>
      <c r="L52">
        <f t="shared" ca="1" si="4"/>
        <v>0.79738704428673535</v>
      </c>
      <c r="M52">
        <f ca="1">SUM($L$3:L52)</f>
        <v>44.689754175816461</v>
      </c>
      <c r="O52">
        <f ca="1">(Q51*'Arkusz1 (+3)'!J52)-Q51</f>
        <v>3763.0031357265543</v>
      </c>
      <c r="P52" s="16">
        <f t="shared" ca="1" si="6"/>
        <v>9557.050370622439</v>
      </c>
      <c r="Q52" s="17">
        <f t="shared" ca="1" si="7"/>
        <v>796012.53586996603</v>
      </c>
    </row>
    <row r="53" spans="1:17" x14ac:dyDescent="0.35">
      <c r="A53">
        <v>51</v>
      </c>
      <c r="B53" s="14">
        <f t="shared" ca="1" si="8"/>
        <v>47620</v>
      </c>
      <c r="C53" s="15">
        <f ca="1">(1+(('Symulacja Pożyczka'!$B$5+'Symulacja Pożyczka'!$C$19)/100)*('Arkusz1 (+3)'!B53-'Arkusz1 (+3)'!B52)/365)</f>
        <v>1.0045205479452055</v>
      </c>
      <c r="D53" s="15">
        <f ca="1">(1+(('Symulacja Pożyczka'!$B$5+'Symulacja Pożyczka'!$C$19)/100)*('Arkusz1 (+3)'!B53-'Arkusz1 (+3)'!B52)/366)</f>
        <v>1.0045081967213114</v>
      </c>
      <c r="E53" s="15">
        <f t="shared" ca="1" si="0"/>
        <v>0</v>
      </c>
      <c r="F53" s="15">
        <f t="shared" ca="1" si="1"/>
        <v>0</v>
      </c>
      <c r="G53">
        <f ca="1">IF(E53=1,(1+(('Symulacja Pożyczka'!$B$5+'Symulacja Pożyczka'!$C$19)/100)*(((Arkusz1!B53-DATE(YEAR(B53),1,1)+1)/365)+((DATE(YEAR(B52),12,31)-Arkusz1!B52)/366))),IF(F53=1,(1+(('Symulacja Pożyczka'!$B$5+'Symulacja Pożyczka'!$C$19)/100)*(((Arkusz1!B53-DATE(YEAR(B53),1,1)+1)/366)+((DATE(YEAR(B52),12,31)-Arkusz1!B52)/365))),0))</f>
        <v>0</v>
      </c>
      <c r="H53">
        <f t="shared" ca="1" si="2"/>
        <v>0</v>
      </c>
      <c r="I53">
        <f t="shared" ca="1" si="5"/>
        <v>1.0045205479452055</v>
      </c>
      <c r="J53">
        <f t="shared" ca="1" si="3"/>
        <v>1.0045205479452055</v>
      </c>
      <c r="K53">
        <f ca="1">PRODUCT($J$3:J53)</f>
        <v>1.2597653236813642</v>
      </c>
      <c r="L53">
        <f t="shared" ca="1" si="4"/>
        <v>0.79379863947813556</v>
      </c>
      <c r="M53">
        <f ca="1">SUM($L$3:L53)</f>
        <v>45.483552815294594</v>
      </c>
      <c r="O53">
        <f ca="1">(Q52*'Arkusz1 (+3)'!J53)-Q52</f>
        <v>3598.4128333848203</v>
      </c>
      <c r="P53" s="16">
        <f t="shared" ca="1" si="6"/>
        <v>9721.6406729641731</v>
      </c>
      <c r="Q53" s="17">
        <f t="shared" ca="1" si="7"/>
        <v>786290.89519700187</v>
      </c>
    </row>
    <row r="54" spans="1:17" x14ac:dyDescent="0.35">
      <c r="A54">
        <v>52</v>
      </c>
      <c r="B54" s="14">
        <f t="shared" ca="1" si="8"/>
        <v>47651</v>
      </c>
      <c r="C54" s="15">
        <f ca="1">(1+(('Symulacja Pożyczka'!$B$5+'Symulacja Pożyczka'!$C$19)/100)*('Arkusz1 (+3)'!B54-'Arkusz1 (+3)'!B53)/365)</f>
        <v>1.0046712328767122</v>
      </c>
      <c r="D54" s="15">
        <f ca="1">(1+(('Symulacja Pożyczka'!$B$5+'Symulacja Pożyczka'!$C$19)/100)*('Arkusz1 (+3)'!B54-'Arkusz1 (+3)'!B53)/366)</f>
        <v>1.0046584699453551</v>
      </c>
      <c r="E54" s="15">
        <f t="shared" ca="1" si="0"/>
        <v>0</v>
      </c>
      <c r="F54" s="15">
        <f t="shared" ca="1" si="1"/>
        <v>0</v>
      </c>
      <c r="G54">
        <f ca="1">IF(E54=1,(1+(('Symulacja Pożyczka'!$B$5+'Symulacja Pożyczka'!$C$19)/100)*(((Arkusz1!B54-DATE(YEAR(B54),1,1)+1)/365)+((DATE(YEAR(B53),12,31)-Arkusz1!B53)/366))),IF(F54=1,(1+(('Symulacja Pożyczka'!$B$5+'Symulacja Pożyczka'!$C$19)/100)*(((Arkusz1!B54-DATE(YEAR(B54),1,1)+1)/366)+((DATE(YEAR(B53),12,31)-Arkusz1!B53)/365))),0))</f>
        <v>0</v>
      </c>
      <c r="H54">
        <f t="shared" ca="1" si="2"/>
        <v>0</v>
      </c>
      <c r="I54">
        <f t="shared" ca="1" si="5"/>
        <v>1.0046712328767122</v>
      </c>
      <c r="J54">
        <f t="shared" ca="1" si="3"/>
        <v>1.0046712328767122</v>
      </c>
      <c r="K54">
        <f ca="1">PRODUCT($J$3:J54)</f>
        <v>1.2656499808782866</v>
      </c>
      <c r="L54">
        <f t="shared" ca="1" si="4"/>
        <v>0.79010786165860714</v>
      </c>
      <c r="M54">
        <f ca="1">SUM($L$3:L54)</f>
        <v>46.273660676953199</v>
      </c>
      <c r="O54">
        <f ca="1">(Q53*'Arkusz1 (+3)'!J54)-Q53</f>
        <v>3672.94788030372</v>
      </c>
      <c r="P54" s="16">
        <f t="shared" ca="1" si="6"/>
        <v>9647.1056260452733</v>
      </c>
      <c r="Q54" s="17">
        <f t="shared" ca="1" si="7"/>
        <v>776643.78957095661</v>
      </c>
    </row>
    <row r="55" spans="1:17" x14ac:dyDescent="0.35">
      <c r="A55">
        <v>53</v>
      </c>
      <c r="B55" s="14">
        <f t="shared" ca="1" si="8"/>
        <v>47681</v>
      </c>
      <c r="C55" s="15">
        <f ca="1">(1+(('Symulacja Pożyczka'!$B$5+'Symulacja Pożyczka'!$C$19)/100)*('Arkusz1 (+3)'!B55-'Arkusz1 (+3)'!B54)/365)</f>
        <v>1.0045205479452055</v>
      </c>
      <c r="D55" s="15">
        <f ca="1">(1+(('Symulacja Pożyczka'!$B$5+'Symulacja Pożyczka'!$C$19)/100)*('Arkusz1 (+3)'!B55-'Arkusz1 (+3)'!B54)/366)</f>
        <v>1.0045081967213114</v>
      </c>
      <c r="E55" s="15">
        <f t="shared" ca="1" si="0"/>
        <v>0</v>
      </c>
      <c r="F55" s="15">
        <f t="shared" ca="1" si="1"/>
        <v>0</v>
      </c>
      <c r="G55">
        <f ca="1">IF(E55=1,(1+(('Symulacja Pożyczka'!$B$5+'Symulacja Pożyczka'!$C$19)/100)*(((Arkusz1!B55-DATE(YEAR(B55),1,1)+1)/365)+((DATE(YEAR(B54),12,31)-Arkusz1!B54)/366))),IF(F55=1,(1+(('Symulacja Pożyczka'!$B$5+'Symulacja Pożyczka'!$C$19)/100)*(((Arkusz1!B55-DATE(YEAR(B55),1,1)+1)/366)+((DATE(YEAR(B54),12,31)-Arkusz1!B54)/365))),0))</f>
        <v>0</v>
      </c>
      <c r="H55">
        <f t="shared" ca="1" si="2"/>
        <v>0</v>
      </c>
      <c r="I55">
        <f t="shared" ca="1" si="5"/>
        <v>1.0045205479452055</v>
      </c>
      <c r="J55">
        <f t="shared" ca="1" si="3"/>
        <v>1.0045205479452055</v>
      </c>
      <c r="K55">
        <f ca="1">PRODUCT($J$3:J55)</f>
        <v>1.2713714122986954</v>
      </c>
      <c r="L55">
        <f t="shared" ca="1" si="4"/>
        <v>0.78655221466082526</v>
      </c>
      <c r="M55">
        <f ca="1">SUM($L$3:L55)</f>
        <v>47.060212891614022</v>
      </c>
      <c r="O55">
        <f ca="1">(Q54*'Arkusz1 (+3)'!J55)-Q54</f>
        <v>3510.8554871015949</v>
      </c>
      <c r="P55" s="16">
        <f t="shared" ca="1" si="6"/>
        <v>9809.1980192473984</v>
      </c>
      <c r="Q55" s="17">
        <f t="shared" ca="1" si="7"/>
        <v>766834.59155170922</v>
      </c>
    </row>
    <row r="56" spans="1:17" x14ac:dyDescent="0.35">
      <c r="A56">
        <v>54</v>
      </c>
      <c r="B56" s="14">
        <f t="shared" ca="1" si="8"/>
        <v>47712</v>
      </c>
      <c r="C56" s="15">
        <f ca="1">(1+(('Symulacja Pożyczka'!$B$5+'Symulacja Pożyczka'!$C$19)/100)*('Arkusz1 (+3)'!B56-'Arkusz1 (+3)'!B55)/365)</f>
        <v>1.0046712328767122</v>
      </c>
      <c r="D56" s="15">
        <f ca="1">(1+(('Symulacja Pożyczka'!$B$5+'Symulacja Pożyczka'!$C$19)/100)*('Arkusz1 (+3)'!B56-'Arkusz1 (+3)'!B55)/366)</f>
        <v>1.0046584699453551</v>
      </c>
      <c r="E56" s="15">
        <f t="shared" ca="1" si="0"/>
        <v>0</v>
      </c>
      <c r="F56" s="15">
        <f t="shared" ca="1" si="1"/>
        <v>0</v>
      </c>
      <c r="G56">
        <f ca="1">IF(E56=1,(1+(('Symulacja Pożyczka'!$B$5+'Symulacja Pożyczka'!$C$19)/100)*(((Arkusz1!B56-DATE(YEAR(B56),1,1)+1)/365)+((DATE(YEAR(B55),12,31)-Arkusz1!B55)/366))),IF(F56=1,(1+(('Symulacja Pożyczka'!$B$5+'Symulacja Pożyczka'!$C$19)/100)*(((Arkusz1!B56-DATE(YEAR(B56),1,1)+1)/366)+((DATE(YEAR(B55),12,31)-Arkusz1!B55)/365))),0))</f>
        <v>0</v>
      </c>
      <c r="H56">
        <f t="shared" ca="1" si="2"/>
        <v>0</v>
      </c>
      <c r="I56">
        <f t="shared" ca="1" si="5"/>
        <v>1.0046712328767122</v>
      </c>
      <c r="J56">
        <f t="shared" ca="1" si="3"/>
        <v>1.0046712328767122</v>
      </c>
      <c r="K56">
        <f ca="1">PRODUCT($J$3:J56)</f>
        <v>1.2773102842383373</v>
      </c>
      <c r="L56">
        <f t="shared" ca="1" si="4"/>
        <v>0.78289512919431481</v>
      </c>
      <c r="M56">
        <f ca="1">SUM($L$3:L56)</f>
        <v>47.843108020808337</v>
      </c>
      <c r="O56">
        <f ca="1">(Q55*'Arkusz1 (+3)'!J56)-Q55</f>
        <v>3582.06295505655</v>
      </c>
      <c r="P56" s="16">
        <f t="shared" ca="1" si="6"/>
        <v>9737.9905512924433</v>
      </c>
      <c r="Q56" s="17">
        <f t="shared" ca="1" si="7"/>
        <v>757096.60100041679</v>
      </c>
    </row>
    <row r="57" spans="1:17" x14ac:dyDescent="0.35">
      <c r="A57">
        <v>55</v>
      </c>
      <c r="B57" s="14">
        <f t="shared" ca="1" si="8"/>
        <v>47743</v>
      </c>
      <c r="C57" s="15">
        <f ca="1">(1+(('Symulacja Pożyczka'!$B$5+'Symulacja Pożyczka'!$C$19)/100)*('Arkusz1 (+3)'!B57-'Arkusz1 (+3)'!B56)/365)</f>
        <v>1.0046712328767122</v>
      </c>
      <c r="D57" s="15">
        <f ca="1">(1+(('Symulacja Pożyczka'!$B$5+'Symulacja Pożyczka'!$C$19)/100)*('Arkusz1 (+3)'!B57-'Arkusz1 (+3)'!B56)/366)</f>
        <v>1.0046584699453551</v>
      </c>
      <c r="E57" s="15">
        <f t="shared" ca="1" si="0"/>
        <v>0</v>
      </c>
      <c r="F57" s="15">
        <f t="shared" ca="1" si="1"/>
        <v>0</v>
      </c>
      <c r="G57">
        <f ca="1">IF(E57=1,(1+(('Symulacja Pożyczka'!$B$5+'Symulacja Pożyczka'!$C$19)/100)*(((Arkusz1!B57-DATE(YEAR(B57),1,1)+1)/365)+((DATE(YEAR(B56),12,31)-Arkusz1!B56)/366))),IF(F57=1,(1+(('Symulacja Pożyczka'!$B$5+'Symulacja Pożyczka'!$C$19)/100)*(((Arkusz1!B57-DATE(YEAR(B57),1,1)+1)/366)+((DATE(YEAR(B56),12,31)-Arkusz1!B56)/365))),0))</f>
        <v>0</v>
      </c>
      <c r="H57">
        <f t="shared" ca="1" si="2"/>
        <v>0</v>
      </c>
      <c r="I57">
        <f t="shared" ca="1" si="5"/>
        <v>1.0046712328767122</v>
      </c>
      <c r="J57">
        <f t="shared" ca="1" si="3"/>
        <v>1.0046712328767122</v>
      </c>
      <c r="K57">
        <f ca="1">PRODUCT($J$3:J57)</f>
        <v>1.2832768980318341</v>
      </c>
      <c r="L57">
        <f t="shared" ca="1" si="4"/>
        <v>0.77925504739756724</v>
      </c>
      <c r="M57">
        <f ca="1">SUM($L$3:L57)</f>
        <v>48.622363068205907</v>
      </c>
      <c r="O57">
        <f ca="1">(Q56*'Arkusz1 (+3)'!J57)-Q56</f>
        <v>3536.5745334401727</v>
      </c>
      <c r="P57" s="16">
        <f t="shared" ca="1" si="6"/>
        <v>9783.4789729088207</v>
      </c>
      <c r="Q57" s="17">
        <f t="shared" ca="1" si="7"/>
        <v>747313.12202750798</v>
      </c>
    </row>
    <row r="58" spans="1:17" x14ac:dyDescent="0.35">
      <c r="A58">
        <v>56</v>
      </c>
      <c r="B58" s="14">
        <f t="shared" ca="1" si="8"/>
        <v>47773</v>
      </c>
      <c r="C58" s="15">
        <f ca="1">(1+(('Symulacja Pożyczka'!$B$5+'Symulacja Pożyczka'!$C$19)/100)*('Arkusz1 (+3)'!B58-'Arkusz1 (+3)'!B57)/365)</f>
        <v>1.0045205479452055</v>
      </c>
      <c r="D58" s="15">
        <f ca="1">(1+(('Symulacja Pożyczka'!$B$5+'Symulacja Pożyczka'!$C$19)/100)*('Arkusz1 (+3)'!B58-'Arkusz1 (+3)'!B57)/366)</f>
        <v>1.0045081967213114</v>
      </c>
      <c r="E58" s="15">
        <f t="shared" ca="1" si="0"/>
        <v>0</v>
      </c>
      <c r="F58" s="15">
        <f t="shared" ca="1" si="1"/>
        <v>0</v>
      </c>
      <c r="G58">
        <f ca="1">IF(E58=1,(1+(('Symulacja Pożyczka'!$B$5+'Symulacja Pożyczka'!$C$19)/100)*(((Arkusz1!B58-DATE(YEAR(B58),1,1)+1)/365)+((DATE(YEAR(B57),12,31)-Arkusz1!B57)/366))),IF(F58=1,(1+(('Symulacja Pożyczka'!$B$5+'Symulacja Pożyczka'!$C$19)/100)*(((Arkusz1!B58-DATE(YEAR(B58),1,1)+1)/366)+((DATE(YEAR(B57),12,31)-Arkusz1!B57)/365))),0))</f>
        <v>0</v>
      </c>
      <c r="H58">
        <f t="shared" ca="1" si="2"/>
        <v>0</v>
      </c>
      <c r="I58">
        <f t="shared" ca="1" si="5"/>
        <v>1.0045205479452055</v>
      </c>
      <c r="J58">
        <f t="shared" ca="1" si="3"/>
        <v>1.0045205479452055</v>
      </c>
      <c r="K58">
        <f ca="1">PRODUCT($J$3:J58)</f>
        <v>1.2890780127763617</v>
      </c>
      <c r="L58">
        <f t="shared" ca="1" si="4"/>
        <v>0.77574824028395484</v>
      </c>
      <c r="M58">
        <f ca="1">SUM($L$3:L58)</f>
        <v>49.39811130848986</v>
      </c>
      <c r="O58">
        <f ca="1">(Q57*'Arkusz1 (+3)'!J58)-Q57</f>
        <v>3378.26479820651</v>
      </c>
      <c r="P58" s="16">
        <f t="shared" ca="1" si="6"/>
        <v>9941.7887081424833</v>
      </c>
      <c r="Q58" s="17">
        <f t="shared" ca="1" si="7"/>
        <v>737371.33331936551</v>
      </c>
    </row>
    <row r="59" spans="1:17" x14ac:dyDescent="0.35">
      <c r="A59">
        <v>57</v>
      </c>
      <c r="B59" s="14">
        <f t="shared" ca="1" si="8"/>
        <v>47804</v>
      </c>
      <c r="C59" s="15">
        <f ca="1">(1+(('Symulacja Pożyczka'!$B$5+'Symulacja Pożyczka'!$C$19)/100)*('Arkusz1 (+3)'!B59-'Arkusz1 (+3)'!B58)/365)</f>
        <v>1.0046712328767122</v>
      </c>
      <c r="D59" s="15">
        <f ca="1">(1+(('Symulacja Pożyczka'!$B$5+'Symulacja Pożyczka'!$C$19)/100)*('Arkusz1 (+3)'!B59-'Arkusz1 (+3)'!B58)/366)</f>
        <v>1.0046584699453551</v>
      </c>
      <c r="E59" s="15">
        <f t="shared" ca="1" si="0"/>
        <v>0</v>
      </c>
      <c r="F59" s="15">
        <f t="shared" ca="1" si="1"/>
        <v>0</v>
      </c>
      <c r="G59">
        <f ca="1">IF(E59=1,(1+(('Symulacja Pożyczka'!$B$5+'Symulacja Pożyczka'!$C$19)/100)*(((Arkusz1!B59-DATE(YEAR(B59),1,1)+1)/365)+((DATE(YEAR(B58),12,31)-Arkusz1!B58)/366))),IF(F59=1,(1+(('Symulacja Pożyczka'!$B$5+'Symulacja Pożyczka'!$C$19)/100)*(((Arkusz1!B59-DATE(YEAR(B59),1,1)+1)/366)+((DATE(YEAR(B58),12,31)-Arkusz1!B58)/365))),0))</f>
        <v>0</v>
      </c>
      <c r="H59">
        <f t="shared" ca="1" si="2"/>
        <v>0</v>
      </c>
      <c r="I59">
        <f t="shared" ca="1" si="5"/>
        <v>1.0046712328767122</v>
      </c>
      <c r="J59">
        <f t="shared" ca="1" si="3"/>
        <v>1.0046712328767122</v>
      </c>
      <c r="K59">
        <f ca="1">PRODUCT($J$3:J59)</f>
        <v>1.2950995963702896</v>
      </c>
      <c r="L59">
        <f t="shared" ca="1" si="4"/>
        <v>0.77214138804664112</v>
      </c>
      <c r="M59">
        <f ca="1">SUM($L$3:L59)</f>
        <v>50.170252696536501</v>
      </c>
      <c r="O59">
        <f ca="1">(Q58*'Arkusz1 (+3)'!J59)-Q58</f>
        <v>3444.4332145465305</v>
      </c>
      <c r="P59" s="16">
        <f t="shared" ca="1" si="6"/>
        <v>9875.6202918024628</v>
      </c>
      <c r="Q59" s="17">
        <f t="shared" ca="1" si="7"/>
        <v>727495.71302756306</v>
      </c>
    </row>
    <row r="60" spans="1:17" x14ac:dyDescent="0.35">
      <c r="A60">
        <v>58</v>
      </c>
      <c r="B60" s="14">
        <f t="shared" ca="1" si="8"/>
        <v>47834</v>
      </c>
      <c r="C60" s="15">
        <f ca="1">(1+(('Symulacja Pożyczka'!$B$5+'Symulacja Pożyczka'!$C$19)/100)*('Arkusz1 (+3)'!B60-'Arkusz1 (+3)'!B59)/365)</f>
        <v>1.0045205479452055</v>
      </c>
      <c r="D60" s="15">
        <f ca="1">(1+(('Symulacja Pożyczka'!$B$5+'Symulacja Pożyczka'!$C$19)/100)*('Arkusz1 (+3)'!B60-'Arkusz1 (+3)'!B59)/366)</f>
        <v>1.0045081967213114</v>
      </c>
      <c r="E60" s="15">
        <f t="shared" ca="1" si="0"/>
        <v>0</v>
      </c>
      <c r="F60" s="15">
        <f t="shared" ca="1" si="1"/>
        <v>0</v>
      </c>
      <c r="G60">
        <f ca="1">IF(E60=1,(1+(('Symulacja Pożyczka'!$B$5+'Symulacja Pożyczka'!$C$19)/100)*(((Arkusz1!B60-DATE(YEAR(B60),1,1)+1)/365)+((DATE(YEAR(B59),12,31)-Arkusz1!B59)/366))),IF(F60=1,(1+(('Symulacja Pożyczka'!$B$5+'Symulacja Pożyczka'!$C$19)/100)*(((Arkusz1!B60-DATE(YEAR(B60),1,1)+1)/366)+((DATE(YEAR(B59),12,31)-Arkusz1!B59)/365))),0))</f>
        <v>0</v>
      </c>
      <c r="H60">
        <f t="shared" ca="1" si="2"/>
        <v>0</v>
      </c>
      <c r="I60">
        <f t="shared" ca="1" si="5"/>
        <v>1.0045205479452055</v>
      </c>
      <c r="J60">
        <f t="shared" ca="1" si="3"/>
        <v>1.0045205479452055</v>
      </c>
      <c r="K60">
        <f ca="1">PRODUCT($J$3:J60)</f>
        <v>1.3009541561894977</v>
      </c>
      <c r="L60">
        <f t="shared" ca="1" si="4"/>
        <v>0.76866659385524072</v>
      </c>
      <c r="M60">
        <f ca="1">SUM($L$3:L60)</f>
        <v>50.938919290391745</v>
      </c>
      <c r="O60">
        <f ca="1">(Q59*'Arkusz1 (+3)'!J60)-Q59</f>
        <v>3288.679250672576</v>
      </c>
      <c r="P60" s="16">
        <f t="shared" ca="1" si="6"/>
        <v>10031.374255676417</v>
      </c>
      <c r="Q60" s="17">
        <f t="shared" ca="1" si="7"/>
        <v>717464.33877188666</v>
      </c>
    </row>
    <row r="61" spans="1:17" x14ac:dyDescent="0.35">
      <c r="A61">
        <v>59</v>
      </c>
      <c r="B61" s="14">
        <f t="shared" ca="1" si="8"/>
        <v>47865</v>
      </c>
      <c r="C61" s="15">
        <f ca="1">(1+(('Symulacja Pożyczka'!$B$5+'Symulacja Pożyczka'!$C$19)/100)*('Arkusz1 (+3)'!B61-'Arkusz1 (+3)'!B60)/365)</f>
        <v>1.0046712328767122</v>
      </c>
      <c r="D61" s="15">
        <f ca="1">(1+(('Symulacja Pożyczka'!$B$5+'Symulacja Pożyczka'!$C$19)/100)*('Arkusz1 (+3)'!B61-'Arkusz1 (+3)'!B60)/366)</f>
        <v>1.0046584699453551</v>
      </c>
      <c r="E61" s="15">
        <f t="shared" ca="1" si="0"/>
        <v>0</v>
      </c>
      <c r="F61" s="15">
        <f t="shared" ca="1" si="1"/>
        <v>0</v>
      </c>
      <c r="G61">
        <f ca="1">IF(E61=1,(1+(('Symulacja Pożyczka'!$B$5+'Symulacja Pożyczka'!$C$19)/100)*(((Arkusz1!B61-DATE(YEAR(B61),1,1)+1)/365)+((DATE(YEAR(B60),12,31)-Arkusz1!B60)/366))),IF(F61=1,(1+(('Symulacja Pożyczka'!$B$5+'Symulacja Pożyczka'!$C$19)/100)*(((Arkusz1!B61-DATE(YEAR(B61),1,1)+1)/366)+((DATE(YEAR(B60),12,31)-Arkusz1!B60)/365))),0))</f>
        <v>0</v>
      </c>
      <c r="H61">
        <f t="shared" ca="1" si="2"/>
        <v>0</v>
      </c>
      <c r="I61">
        <f t="shared" ca="1" si="5"/>
        <v>1.0046712328767122</v>
      </c>
      <c r="J61">
        <f t="shared" ca="1" si="3"/>
        <v>1.0046712328767122</v>
      </c>
      <c r="K61">
        <f ca="1">PRODUCT($J$3:J61)</f>
        <v>1.3070312160149855</v>
      </c>
      <c r="L61">
        <f t="shared" ca="1" si="4"/>
        <v>0.76509266783153451</v>
      </c>
      <c r="M61">
        <f ca="1">SUM($L$3:L61)</f>
        <v>51.704011958223276</v>
      </c>
      <c r="O61">
        <f ca="1">(Q60*'Arkusz1 (+3)'!J61)-Q60</f>
        <v>3351.4430071398383</v>
      </c>
      <c r="P61" s="16">
        <f t="shared" ca="1" si="6"/>
        <v>9968.610499209155</v>
      </c>
      <c r="Q61" s="17">
        <f t="shared" ca="1" si="7"/>
        <v>707495.72827267752</v>
      </c>
    </row>
    <row r="62" spans="1:17" x14ac:dyDescent="0.35">
      <c r="A62">
        <v>60</v>
      </c>
      <c r="B62" s="14">
        <f t="shared" ca="1" si="8"/>
        <v>47896</v>
      </c>
      <c r="C62" s="15">
        <f ca="1">(1+(('Symulacja Pożyczka'!$B$5+'Symulacja Pożyczka'!$C$19)/100)*('Arkusz1 (+3)'!B62-'Arkusz1 (+3)'!B61)/365)</f>
        <v>1.0046712328767122</v>
      </c>
      <c r="D62" s="15">
        <f ca="1">(1+(('Symulacja Pożyczka'!$B$5+'Symulacja Pożyczka'!$C$19)/100)*('Arkusz1 (+3)'!B62-'Arkusz1 (+3)'!B61)/366)</f>
        <v>1.0046584699453551</v>
      </c>
      <c r="E62" s="15">
        <f t="shared" ca="1" si="0"/>
        <v>0</v>
      </c>
      <c r="F62" s="15">
        <f t="shared" ca="1" si="1"/>
        <v>0</v>
      </c>
      <c r="G62">
        <f ca="1">IF(E62=1,(1+(('Symulacja Pożyczka'!$B$5+'Symulacja Pożyczka'!$C$19)/100)*(((Arkusz1!B62-DATE(YEAR(B62),1,1)+1)/365)+((DATE(YEAR(B61),12,31)-Arkusz1!B61)/366))),IF(F62=1,(1+(('Symulacja Pożyczka'!$B$5+'Symulacja Pożyczka'!$C$19)/100)*(((Arkusz1!B62-DATE(YEAR(B62),1,1)+1)/366)+((DATE(YEAR(B61),12,31)-Arkusz1!B61)/365))),0))</f>
        <v>0</v>
      </c>
      <c r="H62">
        <f t="shared" ca="1" si="2"/>
        <v>0</v>
      </c>
      <c r="I62">
        <f t="shared" ca="1" si="5"/>
        <v>1.0046712328767122</v>
      </c>
      <c r="J62">
        <f t="shared" ca="1" si="3"/>
        <v>1.0046712328767122</v>
      </c>
      <c r="K62">
        <f ca="1">PRODUCT($J$3:J62)</f>
        <v>1.313136663202124</v>
      </c>
      <c r="L62">
        <f t="shared" ca="1" si="4"/>
        <v>0.76153535882660484</v>
      </c>
      <c r="M62">
        <f ca="1">SUM($L$3:L62)</f>
        <v>52.465547317049882</v>
      </c>
      <c r="O62">
        <f ca="1">(Q61*'Arkusz1 (+3)'!J62)-Q61</f>
        <v>3304.8773060408421</v>
      </c>
      <c r="P62" s="16">
        <f t="shared" ca="1" si="6"/>
        <v>10015.176200308151</v>
      </c>
      <c r="Q62" s="17">
        <f t="shared" ca="1" si="7"/>
        <v>697480.55207236938</v>
      </c>
    </row>
    <row r="63" spans="1:17" x14ac:dyDescent="0.35">
      <c r="A63">
        <v>61</v>
      </c>
      <c r="B63" s="14">
        <f t="shared" ca="1" si="8"/>
        <v>47924</v>
      </c>
      <c r="C63" s="15">
        <f ca="1">(1+(('Symulacja Pożyczka'!$B$5+'Symulacja Pożyczka'!$C$19)/100)*('Arkusz1 (+3)'!B63-'Arkusz1 (+3)'!B62)/365)</f>
        <v>1.0042191780821919</v>
      </c>
      <c r="D63" s="15">
        <f ca="1">(1+(('Symulacja Pożyczka'!$B$5+'Symulacja Pożyczka'!$C$19)/100)*('Arkusz1 (+3)'!B63-'Arkusz1 (+3)'!B62)/366)</f>
        <v>1.004207650273224</v>
      </c>
      <c r="E63" s="15">
        <f t="shared" ca="1" si="0"/>
        <v>0</v>
      </c>
      <c r="F63" s="15">
        <f t="shared" ca="1" si="1"/>
        <v>0</v>
      </c>
      <c r="G63">
        <f ca="1">IF(E63=1,(1+(('Symulacja Pożyczka'!$B$5+'Symulacja Pożyczka'!$C$19)/100)*(((Arkusz1!B63-DATE(YEAR(B63),1,1)+1)/365)+((DATE(YEAR(B62),12,31)-Arkusz1!B62)/366))),IF(F63=1,(1+(('Symulacja Pożyczka'!$B$5+'Symulacja Pożyczka'!$C$19)/100)*(((Arkusz1!B63-DATE(YEAR(B63),1,1)+1)/366)+((DATE(YEAR(B62),12,31)-Arkusz1!B62)/365))),0))</f>
        <v>0</v>
      </c>
      <c r="H63">
        <f t="shared" ca="1" si="2"/>
        <v>0</v>
      </c>
      <c r="I63">
        <f t="shared" ca="1" si="5"/>
        <v>1.0042191780821919</v>
      </c>
      <c r="J63">
        <f t="shared" ca="1" si="3"/>
        <v>1.0042191780821919</v>
      </c>
      <c r="K63">
        <f ca="1">PRODUCT($J$3:J63)</f>
        <v>1.318677020630429</v>
      </c>
      <c r="L63">
        <f t="shared" ca="1" si="4"/>
        <v>0.75833580501912679</v>
      </c>
      <c r="M63">
        <f ca="1">SUM($L$3:L63)</f>
        <v>53.223883122069012</v>
      </c>
      <c r="O63">
        <f ca="1">(Q62*'Arkusz1 (+3)'!J63)-Q62</f>
        <v>2942.7946580587886</v>
      </c>
      <c r="P63" s="16">
        <f t="shared" ca="1" si="6"/>
        <v>10377.258848290205</v>
      </c>
      <c r="Q63" s="17">
        <f t="shared" ca="1" si="7"/>
        <v>687103.29322407919</v>
      </c>
    </row>
    <row r="64" spans="1:17" x14ac:dyDescent="0.35">
      <c r="A64">
        <v>62</v>
      </c>
      <c r="B64" s="14">
        <f t="shared" ca="1" si="8"/>
        <v>47955</v>
      </c>
      <c r="C64" s="15">
        <f ca="1">(1+(('Symulacja Pożyczka'!$B$5+'Symulacja Pożyczka'!$C$19)/100)*('Arkusz1 (+3)'!B64-'Arkusz1 (+3)'!B63)/365)</f>
        <v>1.0046712328767122</v>
      </c>
      <c r="D64" s="15">
        <f ca="1">(1+(('Symulacja Pożyczka'!$B$5+'Symulacja Pożyczka'!$C$19)/100)*('Arkusz1 (+3)'!B64-'Arkusz1 (+3)'!B63)/366)</f>
        <v>1.0046584699453551</v>
      </c>
      <c r="E64" s="15">
        <f t="shared" ca="1" si="0"/>
        <v>0</v>
      </c>
      <c r="F64" s="15">
        <f t="shared" ca="1" si="1"/>
        <v>0</v>
      </c>
      <c r="G64">
        <f ca="1">IF(E64=1,(1+(('Symulacja Pożyczka'!$B$5+'Symulacja Pożyczka'!$C$19)/100)*(((Arkusz1!B64-DATE(YEAR(B64),1,1)+1)/365)+((DATE(YEAR(B63),12,31)-Arkusz1!B63)/366))),IF(F64=1,(1+(('Symulacja Pożyczka'!$B$5+'Symulacja Pożyczka'!$C$19)/100)*(((Arkusz1!B64-DATE(YEAR(B64),1,1)+1)/366)+((DATE(YEAR(B63),12,31)-Arkusz1!B63)/365))),0))</f>
        <v>0</v>
      </c>
      <c r="H64">
        <f t="shared" ca="1" si="2"/>
        <v>0</v>
      </c>
      <c r="I64">
        <f t="shared" ca="1" si="5"/>
        <v>1.0046712328767122</v>
      </c>
      <c r="J64">
        <f t="shared" ca="1" si="3"/>
        <v>1.0046712328767122</v>
      </c>
      <c r="K64">
        <f ca="1">PRODUCT($J$3:J64)</f>
        <v>1.3248368680829627</v>
      </c>
      <c r="L64">
        <f t="shared" ca="1" si="4"/>
        <v>0.75480991214186144</v>
      </c>
      <c r="M64">
        <f ca="1">SUM($L$3:L64)</f>
        <v>53.97869303421087</v>
      </c>
      <c r="O64">
        <f ca="1">(Q63*'Arkusz1 (+3)'!J64)-Q63</f>
        <v>3209.6194930055644</v>
      </c>
      <c r="P64" s="16">
        <f t="shared" ca="1" si="6"/>
        <v>10110.434013343429</v>
      </c>
      <c r="Q64" s="17">
        <f t="shared" ca="1" si="7"/>
        <v>676992.85921073577</v>
      </c>
    </row>
    <row r="65" spans="1:17" x14ac:dyDescent="0.35">
      <c r="A65">
        <v>63</v>
      </c>
      <c r="B65" s="14">
        <f t="shared" ca="1" si="8"/>
        <v>47985</v>
      </c>
      <c r="C65" s="15">
        <f ca="1">(1+(('Symulacja Pożyczka'!$B$5+'Symulacja Pożyczka'!$C$19)/100)*('Arkusz1 (+3)'!B65-'Arkusz1 (+3)'!B64)/365)</f>
        <v>1.0045205479452055</v>
      </c>
      <c r="D65" s="15">
        <f ca="1">(1+(('Symulacja Pożyczka'!$B$5+'Symulacja Pożyczka'!$C$19)/100)*('Arkusz1 (+3)'!B65-'Arkusz1 (+3)'!B64)/366)</f>
        <v>1.0045081967213114</v>
      </c>
      <c r="E65" s="15">
        <f t="shared" ca="1" si="0"/>
        <v>0</v>
      </c>
      <c r="F65" s="15">
        <f t="shared" ca="1" si="1"/>
        <v>0</v>
      </c>
      <c r="G65">
        <f ca="1">IF(E65=1,(1+(('Symulacja Pożyczka'!$B$5+'Symulacja Pożyczka'!$C$19)/100)*(((Arkusz1!B65-DATE(YEAR(B65),1,1)+1)/365)+((DATE(YEAR(B64),12,31)-Arkusz1!B64)/366))),IF(F65=1,(1+(('Symulacja Pożyczka'!$B$5+'Symulacja Pożyczka'!$C$19)/100)*(((Arkusz1!B65-DATE(YEAR(B65),1,1)+1)/366)+((DATE(YEAR(B64),12,31)-Arkusz1!B64)/365))),0))</f>
        <v>0</v>
      </c>
      <c r="H65">
        <f t="shared" ca="1" si="2"/>
        <v>0</v>
      </c>
      <c r="I65">
        <f t="shared" ca="1" si="5"/>
        <v>1.0045205479452055</v>
      </c>
      <c r="J65">
        <f t="shared" ca="1" si="3"/>
        <v>1.0045205479452055</v>
      </c>
      <c r="K65">
        <f ca="1">PRODUCT($J$3:J65)</f>
        <v>1.3308258566647078</v>
      </c>
      <c r="L65">
        <f t="shared" ca="1" si="4"/>
        <v>0.75141311313726822</v>
      </c>
      <c r="M65">
        <f ca="1">SUM($L$3:L65)</f>
        <v>54.730106147348138</v>
      </c>
      <c r="O65">
        <f ca="1">(Q64*'Arkusz1 (+3)'!J65)-Q64</f>
        <v>3060.3786786239361</v>
      </c>
      <c r="P65" s="16">
        <f t="shared" ca="1" si="6"/>
        <v>10259.674827725057</v>
      </c>
      <c r="Q65" s="17">
        <f t="shared" ca="1" si="7"/>
        <v>666733.18438301072</v>
      </c>
    </row>
    <row r="66" spans="1:17" x14ac:dyDescent="0.35">
      <c r="A66">
        <v>64</v>
      </c>
      <c r="B66" s="14">
        <f t="shared" ca="1" si="8"/>
        <v>48016</v>
      </c>
      <c r="C66" s="15">
        <f ca="1">(1+(('Symulacja Pożyczka'!$B$5+'Symulacja Pożyczka'!$C$19)/100)*('Arkusz1 (+3)'!B66-'Arkusz1 (+3)'!B65)/365)</f>
        <v>1.0046712328767122</v>
      </c>
      <c r="D66" s="15">
        <f ca="1">(1+(('Symulacja Pożyczka'!$B$5+'Symulacja Pożyczka'!$C$19)/100)*('Arkusz1 (+3)'!B66-'Arkusz1 (+3)'!B65)/366)</f>
        <v>1.0046584699453551</v>
      </c>
      <c r="E66" s="15">
        <f t="shared" ca="1" si="0"/>
        <v>0</v>
      </c>
      <c r="F66" s="15">
        <f t="shared" ca="1" si="1"/>
        <v>0</v>
      </c>
      <c r="G66">
        <f ca="1">IF(E66=1,(1+(('Symulacja Pożyczka'!$B$5+'Symulacja Pożyczka'!$C$19)/100)*(((Arkusz1!B66-DATE(YEAR(B66),1,1)+1)/365)+((DATE(YEAR(B65),12,31)-Arkusz1!B65)/366))),IF(F66=1,(1+(('Symulacja Pożyczka'!$B$5+'Symulacja Pożyczka'!$C$19)/100)*(((Arkusz1!B66-DATE(YEAR(B66),1,1)+1)/366)+((DATE(YEAR(B65),12,31)-Arkusz1!B65)/365))),0))</f>
        <v>0</v>
      </c>
      <c r="H66">
        <f t="shared" ca="1" si="2"/>
        <v>0</v>
      </c>
      <c r="I66">
        <f t="shared" ca="1" si="5"/>
        <v>1.0046712328767122</v>
      </c>
      <c r="J66">
        <f t="shared" ca="1" si="3"/>
        <v>1.0046712328767122</v>
      </c>
      <c r="K66">
        <f ca="1">PRODUCT($J$3:J66)</f>
        <v>1.3370424541595387</v>
      </c>
      <c r="L66">
        <f t="shared" ca="1" si="4"/>
        <v>0.74791940741223306</v>
      </c>
      <c r="M66">
        <f ca="1">SUM($L$3:L66)</f>
        <v>55.478025554760372</v>
      </c>
      <c r="O66">
        <f ca="1">(Q65*'Arkusz1 (+3)'!J66)-Q65</f>
        <v>3114.4659708850086</v>
      </c>
      <c r="P66" s="16">
        <f t="shared" ca="1" si="6"/>
        <v>10205.587535463985</v>
      </c>
      <c r="Q66" s="17">
        <f t="shared" ca="1" si="7"/>
        <v>656527.59684754675</v>
      </c>
    </row>
    <row r="67" spans="1:17" x14ac:dyDescent="0.35">
      <c r="A67">
        <v>65</v>
      </c>
      <c r="B67" s="14">
        <f t="shared" ca="1" si="8"/>
        <v>48046</v>
      </c>
      <c r="C67" s="15">
        <f ca="1">(1+(('Symulacja Pożyczka'!$B$5+'Symulacja Pożyczka'!$C$19)/100)*('Arkusz1 (+3)'!B67-'Arkusz1 (+3)'!B66)/365)</f>
        <v>1.0045205479452055</v>
      </c>
      <c r="D67" s="15">
        <f ca="1">(1+(('Symulacja Pożyczka'!$B$5+'Symulacja Pożyczka'!$C$19)/100)*('Arkusz1 (+3)'!B67-'Arkusz1 (+3)'!B66)/366)</f>
        <v>1.0045081967213114</v>
      </c>
      <c r="E67" s="15">
        <f t="shared" ca="1" si="0"/>
        <v>0</v>
      </c>
      <c r="F67" s="15">
        <f t="shared" ca="1" si="1"/>
        <v>0</v>
      </c>
      <c r="G67">
        <f ca="1">IF(E67=1,(1+(('Symulacja Pożyczka'!$B$5+'Symulacja Pożyczka'!$C$19)/100)*(((Arkusz1!B67-DATE(YEAR(B67),1,1)+1)/365)+((DATE(YEAR(B66),12,31)-Arkusz1!B66)/366))),IF(F67=1,(1+(('Symulacja Pożyczka'!$B$5+'Symulacja Pożyczka'!$C$19)/100)*(((Arkusz1!B67-DATE(YEAR(B67),1,1)+1)/366)+((DATE(YEAR(B66),12,31)-Arkusz1!B66)/365))),0))</f>
        <v>0</v>
      </c>
      <c r="H67">
        <f t="shared" ca="1" si="2"/>
        <v>0</v>
      </c>
      <c r="I67">
        <f t="shared" ca="1" si="5"/>
        <v>1.0045205479452055</v>
      </c>
      <c r="J67">
        <f t="shared" ca="1" si="3"/>
        <v>1.0045205479452055</v>
      </c>
      <c r="K67">
        <f ca="1">PRODUCT($J$3:J67)</f>
        <v>1.3430866186783421</v>
      </c>
      <c r="L67">
        <f t="shared" ca="1" si="4"/>
        <v>0.74455361708840873</v>
      </c>
      <c r="M67">
        <f ca="1">SUM($L$3:L67)</f>
        <v>56.222579171848778</v>
      </c>
      <c r="O67">
        <f ca="1">(Q66*'Arkusz1 (+3)'!J67)-Q66</f>
        <v>2967.8644788998645</v>
      </c>
      <c r="P67" s="16">
        <f t="shared" ca="1" si="6"/>
        <v>10352.189027449129</v>
      </c>
      <c r="Q67" s="17">
        <f t="shared" ca="1" si="7"/>
        <v>646175.40782009764</v>
      </c>
    </row>
    <row r="68" spans="1:17" x14ac:dyDescent="0.35">
      <c r="A68">
        <v>66</v>
      </c>
      <c r="B68" s="14">
        <f t="shared" ca="1" si="8"/>
        <v>48077</v>
      </c>
      <c r="C68" s="15">
        <f ca="1">(1+(('Symulacja Pożyczka'!$B$5+'Symulacja Pożyczka'!$C$19)/100)*('Arkusz1 (+3)'!B68-'Arkusz1 (+3)'!B67)/365)</f>
        <v>1.0046712328767122</v>
      </c>
      <c r="D68" s="15">
        <f ca="1">(1+(('Symulacja Pożyczka'!$B$5+'Symulacja Pożyczka'!$C$19)/100)*('Arkusz1 (+3)'!B68-'Arkusz1 (+3)'!B67)/366)</f>
        <v>1.0046584699453551</v>
      </c>
      <c r="E68" s="15">
        <f t="shared" ref="E68:E131" ca="1" si="9">IF(AND(MOD(YEAR(B67),4)=0,MOD(YEAR(B68),4)&lt;&gt;0),1,0)</f>
        <v>0</v>
      </c>
      <c r="F68" s="15">
        <f t="shared" ref="F68:F131" ca="1" si="10">IF(AND(MOD(YEAR(B68),4)=0,MOD(YEAR(B67),4)&lt;&gt;0),1,0)</f>
        <v>0</v>
      </c>
      <c r="G68">
        <f ca="1">IF(E68=1,(1+(('Symulacja Pożyczka'!$B$5+'Symulacja Pożyczka'!$C$19)/100)*(((Arkusz1!B68-DATE(YEAR(B68),1,1)+1)/365)+((DATE(YEAR(B67),12,31)-Arkusz1!B67)/366))),IF(F68=1,(1+(('Symulacja Pożyczka'!$B$5+'Symulacja Pożyczka'!$C$19)/100)*(((Arkusz1!B68-DATE(YEAR(B68),1,1)+1)/366)+((DATE(YEAR(B67),12,31)-Arkusz1!B67)/365))),0))</f>
        <v>0</v>
      </c>
      <c r="H68">
        <f t="shared" ref="H68:H131" ca="1" si="11">IF(MOD(YEAR(B68),4)=0,1,0)</f>
        <v>0</v>
      </c>
      <c r="I68">
        <f t="shared" ref="I68:I131" ca="1" si="12">IF(H68=0,C68,IF(H68=1,D68,"blad"))</f>
        <v>1.0046712328767122</v>
      </c>
      <c r="J68">
        <f t="shared" ref="J68:J131" ca="1" si="13">IF(OR(E68=1,F68=1),G68,I68)</f>
        <v>1.0046712328767122</v>
      </c>
      <c r="K68">
        <f ca="1">PRODUCT($J$3:J68)</f>
        <v>1.3493604890477846</v>
      </c>
      <c r="L68">
        <f t="shared" ref="L68:L131" ca="1" si="14">1/K68</f>
        <v>0.74109180468569891</v>
      </c>
      <c r="M68">
        <f ca="1">SUM($L$3:L68)</f>
        <v>56.96367097653448</v>
      </c>
      <c r="O68">
        <f ca="1">(Q67*'Arkusz1 (+3)'!J68)-Q67</f>
        <v>3018.4358091321774</v>
      </c>
      <c r="P68" s="16">
        <f t="shared" ca="1" si="6"/>
        <v>10301.617697216816</v>
      </c>
      <c r="Q68" s="17">
        <f t="shared" ca="1" si="7"/>
        <v>635873.79012288083</v>
      </c>
    </row>
    <row r="69" spans="1:17" x14ac:dyDescent="0.35">
      <c r="A69">
        <v>67</v>
      </c>
      <c r="B69" s="14">
        <f t="shared" ca="1" si="8"/>
        <v>48108</v>
      </c>
      <c r="C69" s="15">
        <f ca="1">(1+(('Symulacja Pożyczka'!$B$5+'Symulacja Pożyczka'!$C$19)/100)*('Arkusz1 (+3)'!B69-'Arkusz1 (+3)'!B68)/365)</f>
        <v>1.0046712328767122</v>
      </c>
      <c r="D69" s="15">
        <f ca="1">(1+(('Symulacja Pożyczka'!$B$5+'Symulacja Pożyczka'!$C$19)/100)*('Arkusz1 (+3)'!B69-'Arkusz1 (+3)'!B68)/366)</f>
        <v>1.0046584699453551</v>
      </c>
      <c r="E69" s="15">
        <f t="shared" ca="1" si="9"/>
        <v>0</v>
      </c>
      <c r="F69" s="15">
        <f t="shared" ca="1" si="10"/>
        <v>0</v>
      </c>
      <c r="G69">
        <f ca="1">IF(E69=1,(1+(('Symulacja Pożyczka'!$B$5+'Symulacja Pożyczka'!$C$19)/100)*(((Arkusz1!B69-DATE(YEAR(B69),1,1)+1)/365)+((DATE(YEAR(B68),12,31)-Arkusz1!B68)/366))),IF(F69=1,(1+(('Symulacja Pożyczka'!$B$5+'Symulacja Pożyczka'!$C$19)/100)*(((Arkusz1!B69-DATE(YEAR(B69),1,1)+1)/366)+((DATE(YEAR(B68),12,31)-Arkusz1!B68)/365))),0))</f>
        <v>0</v>
      </c>
      <c r="H69">
        <f t="shared" ca="1" si="11"/>
        <v>0</v>
      </c>
      <c r="I69">
        <f t="shared" ca="1" si="12"/>
        <v>1.0046712328767122</v>
      </c>
      <c r="J69">
        <f t="shared" ca="1" si="13"/>
        <v>1.0046712328767122</v>
      </c>
      <c r="K69">
        <f ca="1">PRODUCT($J$3:J69)</f>
        <v>1.3556636661267611</v>
      </c>
      <c r="L69">
        <f t="shared" ca="1" si="14"/>
        <v>0.73764608802792475</v>
      </c>
      <c r="M69">
        <f ca="1">SUM($L$3:L69)</f>
        <v>57.701317064562403</v>
      </c>
      <c r="O69">
        <f ca="1">(Q68*'Arkusz1 (+3)'!J69)-Q68</f>
        <v>2970.3145538616227</v>
      </c>
      <c r="P69" s="16">
        <f t="shared" ref="P69:P132" ca="1" si="15">$N$2-O69</f>
        <v>10349.738952487371</v>
      </c>
      <c r="Q69" s="17">
        <f t="shared" ref="Q69:Q132" ca="1" si="16">Q68-P69</f>
        <v>625524.05117039348</v>
      </c>
    </row>
    <row r="70" spans="1:17" x14ac:dyDescent="0.35">
      <c r="A70">
        <v>68</v>
      </c>
      <c r="B70" s="14">
        <f t="shared" ref="B70:B133" ca="1" si="17">DATE(YEAR((B69)),MONTH((B69))+1,IF(AND(DAY(B69)&gt;28,MONTH((B69))+1=2),IF(MOD(YEAR(B69),4)=0,29,28),IF(AND(OR(DAY(B69)=28,DAY(B69)=29),MONTH((B69))=2),DAY(B68),DAY(B69))))</f>
        <v>48138</v>
      </c>
      <c r="C70" s="15">
        <f ca="1">(1+(('Symulacja Pożyczka'!$B$5+'Symulacja Pożyczka'!$C$19)/100)*('Arkusz1 (+3)'!B70-'Arkusz1 (+3)'!B69)/365)</f>
        <v>1.0045205479452055</v>
      </c>
      <c r="D70" s="15">
        <f ca="1">(1+(('Symulacja Pożyczka'!$B$5+'Symulacja Pożyczka'!$C$19)/100)*('Arkusz1 (+3)'!B70-'Arkusz1 (+3)'!B69)/366)</f>
        <v>1.0045081967213114</v>
      </c>
      <c r="E70" s="15">
        <f t="shared" ca="1" si="9"/>
        <v>0</v>
      </c>
      <c r="F70" s="15">
        <f t="shared" ca="1" si="10"/>
        <v>0</v>
      </c>
      <c r="G70">
        <f ca="1">IF(E70=1,(1+(('Symulacja Pożyczka'!$B$5+'Symulacja Pożyczka'!$C$19)/100)*(((Arkusz1!B70-DATE(YEAR(B70),1,1)+1)/365)+((DATE(YEAR(B69),12,31)-Arkusz1!B69)/366))),IF(F70=1,(1+(('Symulacja Pożyczka'!$B$5+'Symulacja Pożyczka'!$C$19)/100)*(((Arkusz1!B70-DATE(YEAR(B70),1,1)+1)/366)+((DATE(YEAR(B69),12,31)-Arkusz1!B69)/365))),0))</f>
        <v>0</v>
      </c>
      <c r="H70">
        <f t="shared" ca="1" si="11"/>
        <v>0</v>
      </c>
      <c r="I70">
        <f t="shared" ca="1" si="12"/>
        <v>1.0045205479452055</v>
      </c>
      <c r="J70">
        <f t="shared" ca="1" si="13"/>
        <v>1.0045205479452055</v>
      </c>
      <c r="K70">
        <f ca="1">PRODUCT($J$3:J70)</f>
        <v>1.3617920087270603</v>
      </c>
      <c r="L70">
        <f t="shared" ca="1" si="14"/>
        <v>0.734326529742786</v>
      </c>
      <c r="M70">
        <f ca="1">SUM($L$3:L70)</f>
        <v>58.435643594305191</v>
      </c>
      <c r="O70">
        <f ca="1">(Q69*'Arkusz1 (+3)'!J70)-Q69</f>
        <v>2827.7114641949302</v>
      </c>
      <c r="P70" s="16">
        <f t="shared" ca="1" si="15"/>
        <v>10492.342042154063</v>
      </c>
      <c r="Q70" s="17">
        <f t="shared" ca="1" si="16"/>
        <v>615031.70912823942</v>
      </c>
    </row>
    <row r="71" spans="1:17" x14ac:dyDescent="0.35">
      <c r="A71">
        <v>69</v>
      </c>
      <c r="B71" s="14">
        <f t="shared" ca="1" si="17"/>
        <v>48169</v>
      </c>
      <c r="C71" s="15">
        <f ca="1">(1+(('Symulacja Pożyczka'!$B$5+'Symulacja Pożyczka'!$C$19)/100)*('Arkusz1 (+3)'!B71-'Arkusz1 (+3)'!B70)/365)</f>
        <v>1.0046712328767122</v>
      </c>
      <c r="D71" s="15">
        <f ca="1">(1+(('Symulacja Pożyczka'!$B$5+'Symulacja Pożyczka'!$C$19)/100)*('Arkusz1 (+3)'!B71-'Arkusz1 (+3)'!B70)/366)</f>
        <v>1.0046584699453551</v>
      </c>
      <c r="E71" s="15">
        <f t="shared" ca="1" si="9"/>
        <v>0</v>
      </c>
      <c r="F71" s="15">
        <f t="shared" ca="1" si="10"/>
        <v>0</v>
      </c>
      <c r="G71">
        <f ca="1">IF(E71=1,(1+(('Symulacja Pożyczka'!$B$5+'Symulacja Pożyczka'!$C$19)/100)*(((Arkusz1!B71-DATE(YEAR(B71),1,1)+1)/365)+((DATE(YEAR(B70),12,31)-Arkusz1!B70)/366))),IF(F71=1,(1+(('Symulacja Pożyczka'!$B$5+'Symulacja Pożyczka'!$C$19)/100)*(((Arkusz1!B71-DATE(YEAR(B71),1,1)+1)/366)+((DATE(YEAR(B70),12,31)-Arkusz1!B70)/365))),0))</f>
        <v>0</v>
      </c>
      <c r="H71">
        <f t="shared" ca="1" si="11"/>
        <v>0</v>
      </c>
      <c r="I71">
        <f t="shared" ca="1" si="12"/>
        <v>1.0046712328767122</v>
      </c>
      <c r="J71">
        <f t="shared" ca="1" si="13"/>
        <v>1.0046712328767122</v>
      </c>
      <c r="K71">
        <f ca="1">PRODUCT($J$3:J71)</f>
        <v>1.36815325632947</v>
      </c>
      <c r="L71">
        <f t="shared" ca="1" si="14"/>
        <v>0.73091226832499412</v>
      </c>
      <c r="M71">
        <f ca="1">SUM($L$3:L71)</f>
        <v>59.166555862630183</v>
      </c>
      <c r="O71">
        <f ca="1">(Q70*'Arkusz1 (+3)'!J71)-Q70</f>
        <v>2872.9563399003819</v>
      </c>
      <c r="P71" s="16">
        <f t="shared" ca="1" si="15"/>
        <v>10447.097166448611</v>
      </c>
      <c r="Q71" s="17">
        <f t="shared" ca="1" si="16"/>
        <v>604584.61196179083</v>
      </c>
    </row>
    <row r="72" spans="1:17" x14ac:dyDescent="0.35">
      <c r="A72">
        <v>70</v>
      </c>
      <c r="B72" s="14">
        <f t="shared" ca="1" si="17"/>
        <v>48199</v>
      </c>
      <c r="C72" s="15">
        <f ca="1">(1+(('Symulacja Pożyczka'!$B$5+'Symulacja Pożyczka'!$C$19)/100)*('Arkusz1 (+3)'!B72-'Arkusz1 (+3)'!B71)/365)</f>
        <v>1.0045205479452055</v>
      </c>
      <c r="D72" s="15">
        <f ca="1">(1+(('Symulacja Pożyczka'!$B$5+'Symulacja Pożyczka'!$C$19)/100)*('Arkusz1 (+3)'!B72-'Arkusz1 (+3)'!B71)/366)</f>
        <v>1.0045081967213114</v>
      </c>
      <c r="E72" s="15">
        <f t="shared" ca="1" si="9"/>
        <v>0</v>
      </c>
      <c r="F72" s="15">
        <f t="shared" ca="1" si="10"/>
        <v>0</v>
      </c>
      <c r="G72">
        <f ca="1">IF(E72=1,(1+(('Symulacja Pożyczka'!$B$5+'Symulacja Pożyczka'!$C$19)/100)*(((Arkusz1!B72-DATE(YEAR(B72),1,1)+1)/365)+((DATE(YEAR(B71),12,31)-Arkusz1!B71)/366))),IF(F72=1,(1+(('Symulacja Pożyczka'!$B$5+'Symulacja Pożyczka'!$C$19)/100)*(((Arkusz1!B72-DATE(YEAR(B72),1,1)+1)/366)+((DATE(YEAR(B71),12,31)-Arkusz1!B71)/365))),0))</f>
        <v>0</v>
      </c>
      <c r="H72">
        <f t="shared" ca="1" si="11"/>
        <v>0</v>
      </c>
      <c r="I72">
        <f t="shared" ca="1" si="12"/>
        <v>1.0045205479452055</v>
      </c>
      <c r="J72">
        <f t="shared" ca="1" si="13"/>
        <v>1.0045205479452055</v>
      </c>
      <c r="K72">
        <f ca="1">PRODUCT($J$3:J72)</f>
        <v>1.3743380587210965</v>
      </c>
      <c r="L72">
        <f t="shared" ca="1" si="14"/>
        <v>0.72762301360595338</v>
      </c>
      <c r="M72">
        <f ca="1">SUM($L$3:L72)</f>
        <v>59.89417887623614</v>
      </c>
      <c r="O72">
        <f ca="1">(Q71*'Arkusz1 (+3)'!J72)-Q71</f>
        <v>2733.0537253067596</v>
      </c>
      <c r="P72" s="16">
        <f t="shared" ca="1" si="15"/>
        <v>10586.999781042234</v>
      </c>
      <c r="Q72" s="17">
        <f t="shared" ca="1" si="16"/>
        <v>593997.61218074861</v>
      </c>
    </row>
    <row r="73" spans="1:17" x14ac:dyDescent="0.35">
      <c r="A73">
        <v>71</v>
      </c>
      <c r="B73" s="14">
        <f t="shared" ca="1" si="17"/>
        <v>48230</v>
      </c>
      <c r="C73" s="15">
        <f ca="1">(1+(('Symulacja Pożyczka'!$B$5+'Symulacja Pożyczka'!$C$19)/100)*('Arkusz1 (+3)'!B73-'Arkusz1 (+3)'!B72)/365)</f>
        <v>1.0046712328767122</v>
      </c>
      <c r="D73" s="15">
        <f ca="1">(1+(('Symulacja Pożyczka'!$B$5+'Symulacja Pożyczka'!$C$19)/100)*('Arkusz1 (+3)'!B73-'Arkusz1 (+3)'!B72)/366)</f>
        <v>1.0046584699453551</v>
      </c>
      <c r="E73" s="15">
        <f t="shared" ca="1" si="9"/>
        <v>0</v>
      </c>
      <c r="F73" s="15">
        <f t="shared" ca="1" si="10"/>
        <v>1</v>
      </c>
      <c r="G73">
        <f ca="1">IF(E73=1,(1+(('Symulacja Pożyczka'!$B$5+'Symulacja Pożyczka'!$C$19)/100)*(((Arkusz1!B73-DATE(YEAR(B73),1,1)+1)/365)+((DATE(YEAR(B72),12,31)-Arkusz1!B72)/366))),IF(F73=1,(1+(('Symulacja Pożyczka'!$B$5+'Symulacja Pożyczka'!$C$19)/100)*(((Arkusz1!B73-DATE(YEAR(B73),1,1)+1)/366)+((DATE(YEAR(B72),12,31)-Arkusz1!B72)/365))),0))</f>
        <v>1.0046642338498391</v>
      </c>
      <c r="H73">
        <f t="shared" ca="1" si="11"/>
        <v>1</v>
      </c>
      <c r="I73">
        <f t="shared" ca="1" si="12"/>
        <v>1.0046584699453551</v>
      </c>
      <c r="J73">
        <f t="shared" ca="1" si="13"/>
        <v>1.0046642338498391</v>
      </c>
      <c r="K73">
        <f ca="1">PRODUCT($J$3:J73)</f>
        <v>1.3807482928157055</v>
      </c>
      <c r="L73">
        <f t="shared" ca="1" si="14"/>
        <v>0.72424496572126074</v>
      </c>
      <c r="M73">
        <f ca="1">SUM($L$3:L73)</f>
        <v>60.618423841957402</v>
      </c>
      <c r="O73">
        <f ca="1">(Q72*'Arkusz1 (+3)'!J73)-Q72</f>
        <v>2770.5437694570282</v>
      </c>
      <c r="P73" s="16">
        <f t="shared" ca="1" si="15"/>
        <v>10549.509736891965</v>
      </c>
      <c r="Q73" s="17">
        <f t="shared" ca="1" si="16"/>
        <v>583448.10244385665</v>
      </c>
    </row>
    <row r="74" spans="1:17" x14ac:dyDescent="0.35">
      <c r="A74">
        <v>72</v>
      </c>
      <c r="B74" s="14">
        <f t="shared" ca="1" si="17"/>
        <v>48261</v>
      </c>
      <c r="C74" s="15">
        <f ca="1">(1+(('Symulacja Pożyczka'!$B$5+'Symulacja Pożyczka'!$C$19)/100)*('Arkusz1 (+3)'!B74-'Arkusz1 (+3)'!B73)/365)</f>
        <v>1.0046712328767122</v>
      </c>
      <c r="D74" s="15">
        <f ca="1">(1+(('Symulacja Pożyczka'!$B$5+'Symulacja Pożyczka'!$C$19)/100)*('Arkusz1 (+3)'!B74-'Arkusz1 (+3)'!B73)/366)</f>
        <v>1.0046584699453551</v>
      </c>
      <c r="E74" s="15">
        <f t="shared" ca="1" si="9"/>
        <v>0</v>
      </c>
      <c r="F74" s="15">
        <f t="shared" ca="1" si="10"/>
        <v>0</v>
      </c>
      <c r="G74">
        <f ca="1">IF(E74=1,(1+(('Symulacja Pożyczka'!$B$5+'Symulacja Pożyczka'!$C$19)/100)*(((Arkusz1!B74-DATE(YEAR(B74),1,1)+1)/365)+((DATE(YEAR(B73),12,31)-Arkusz1!B73)/366))),IF(F74=1,(1+(('Symulacja Pożyczka'!$B$5+'Symulacja Pożyczka'!$C$19)/100)*(((Arkusz1!B74-DATE(YEAR(B74),1,1)+1)/366)+((DATE(YEAR(B73),12,31)-Arkusz1!B73)/365))),0))</f>
        <v>0</v>
      </c>
      <c r="H74">
        <f t="shared" ca="1" si="11"/>
        <v>1</v>
      </c>
      <c r="I74">
        <f t="shared" ca="1" si="12"/>
        <v>1.0046584699453551</v>
      </c>
      <c r="J74">
        <f t="shared" ca="1" si="13"/>
        <v>1.0046584699453551</v>
      </c>
      <c r="K74">
        <f ca="1">PRODUCT($J$3:J74)</f>
        <v>1.387180467239888</v>
      </c>
      <c r="L74">
        <f t="shared" ca="1" si="14"/>
        <v>0.72088673652515323</v>
      </c>
      <c r="M74">
        <f ca="1">SUM($L$3:L74)</f>
        <v>61.339310578482554</v>
      </c>
      <c r="O74">
        <f ca="1">(Q73*'Arkusz1 (+3)'!J74)-Q73</f>
        <v>2717.9754499092232</v>
      </c>
      <c r="P74" s="16">
        <f t="shared" ca="1" si="15"/>
        <v>10602.07805643977</v>
      </c>
      <c r="Q74" s="17">
        <f t="shared" ca="1" si="16"/>
        <v>572846.0243874169</v>
      </c>
    </row>
    <row r="75" spans="1:17" x14ac:dyDescent="0.35">
      <c r="A75">
        <v>73</v>
      </c>
      <c r="B75" s="14">
        <f t="shared" ca="1" si="17"/>
        <v>48290</v>
      </c>
      <c r="C75" s="15">
        <f ca="1">(1+(('Symulacja Pożyczka'!$B$5+'Symulacja Pożyczka'!$C$19)/100)*('Arkusz1 (+3)'!B75-'Arkusz1 (+3)'!B74)/365)</f>
        <v>1.0043698630136986</v>
      </c>
      <c r="D75" s="15">
        <f ca="1">(1+(('Symulacja Pożyczka'!$B$5+'Symulacja Pożyczka'!$C$19)/100)*('Arkusz1 (+3)'!B75-'Arkusz1 (+3)'!B74)/366)</f>
        <v>1.0043579234972677</v>
      </c>
      <c r="E75" s="15">
        <f t="shared" ca="1" si="9"/>
        <v>0</v>
      </c>
      <c r="F75" s="15">
        <f t="shared" ca="1" si="10"/>
        <v>0</v>
      </c>
      <c r="G75">
        <f ca="1">IF(E75=1,(1+(('Symulacja Pożyczka'!$B$5+'Symulacja Pożyczka'!$C$19)/100)*(((Arkusz1!B75-DATE(YEAR(B75),1,1)+1)/365)+((DATE(YEAR(B74),12,31)-Arkusz1!B74)/366))),IF(F75=1,(1+(('Symulacja Pożyczka'!$B$5+'Symulacja Pożyczka'!$C$19)/100)*(((Arkusz1!B75-DATE(YEAR(B75),1,1)+1)/366)+((DATE(YEAR(B74),12,31)-Arkusz1!B74)/365))),0))</f>
        <v>0</v>
      </c>
      <c r="H75">
        <f t="shared" ca="1" si="11"/>
        <v>1</v>
      </c>
      <c r="I75">
        <f t="shared" ca="1" si="12"/>
        <v>1.0043579234972677</v>
      </c>
      <c r="J75">
        <f t="shared" ca="1" si="13"/>
        <v>1.0043579234972677</v>
      </c>
      <c r="K75">
        <f ca="1">PRODUCT($J$3:J75)</f>
        <v>1.3932256935930234</v>
      </c>
      <c r="L75">
        <f t="shared" ca="1" si="14"/>
        <v>0.71775879859140113</v>
      </c>
      <c r="M75">
        <f ca="1">SUM($L$3:L75)</f>
        <v>62.057069377073958</v>
      </c>
      <c r="O75">
        <f ca="1">(Q74*'Arkusz1 (+3)'!J75)-Q74</f>
        <v>2496.4191499942681</v>
      </c>
      <c r="P75" s="16">
        <f t="shared" ca="1" si="15"/>
        <v>10823.634356354725</v>
      </c>
      <c r="Q75" s="17">
        <f t="shared" ca="1" si="16"/>
        <v>562022.39003106218</v>
      </c>
    </row>
    <row r="76" spans="1:17" x14ac:dyDescent="0.35">
      <c r="A76">
        <v>74</v>
      </c>
      <c r="B76" s="14">
        <f t="shared" ca="1" si="17"/>
        <v>48321</v>
      </c>
      <c r="C76" s="15">
        <f ca="1">(1+(('Symulacja Pożyczka'!$B$5+'Symulacja Pożyczka'!$C$19)/100)*('Arkusz1 (+3)'!B76-'Arkusz1 (+3)'!B75)/365)</f>
        <v>1.0046712328767122</v>
      </c>
      <c r="D76" s="15">
        <f ca="1">(1+(('Symulacja Pożyczka'!$B$5+'Symulacja Pożyczka'!$C$19)/100)*('Arkusz1 (+3)'!B76-'Arkusz1 (+3)'!B75)/366)</f>
        <v>1.0046584699453551</v>
      </c>
      <c r="E76" s="15">
        <f t="shared" ca="1" si="9"/>
        <v>0</v>
      </c>
      <c r="F76" s="15">
        <f t="shared" ca="1" si="10"/>
        <v>0</v>
      </c>
      <c r="G76">
        <f ca="1">IF(E76=1,(1+(('Symulacja Pożyczka'!$B$5+'Symulacja Pożyczka'!$C$19)/100)*(((Arkusz1!B76-DATE(YEAR(B76),1,1)+1)/365)+((DATE(YEAR(B75),12,31)-Arkusz1!B75)/366))),IF(F76=1,(1+(('Symulacja Pożyczka'!$B$5+'Symulacja Pożyczka'!$C$19)/100)*(((Arkusz1!B76-DATE(YEAR(B76),1,1)+1)/366)+((DATE(YEAR(B75),12,31)-Arkusz1!B75)/365))),0))</f>
        <v>0</v>
      </c>
      <c r="H76">
        <f t="shared" ca="1" si="11"/>
        <v>1</v>
      </c>
      <c r="I76">
        <f t="shared" ca="1" si="12"/>
        <v>1.0046584699453551</v>
      </c>
      <c r="J76">
        <f t="shared" ca="1" si="13"/>
        <v>1.0046584699453551</v>
      </c>
      <c r="K76">
        <f ca="1">PRODUCT($J$3:J76)</f>
        <v>1.3997159936137231</v>
      </c>
      <c r="L76">
        <f t="shared" ca="1" si="14"/>
        <v>0.71443064490407471</v>
      </c>
      <c r="M76">
        <f ca="1">SUM($L$3:L76)</f>
        <v>62.771500021978035</v>
      </c>
      <c r="O76">
        <f ca="1">(Q75*'Arkusz1 (+3)'!J76)-Q75</f>
        <v>2618.164412576356</v>
      </c>
      <c r="P76" s="16">
        <f t="shared" ca="1" si="15"/>
        <v>10701.889093772637</v>
      </c>
      <c r="Q76" s="17">
        <f t="shared" ca="1" si="16"/>
        <v>551320.50093728956</v>
      </c>
    </row>
    <row r="77" spans="1:17" x14ac:dyDescent="0.35">
      <c r="A77">
        <v>75</v>
      </c>
      <c r="B77" s="14">
        <f t="shared" ca="1" si="17"/>
        <v>48351</v>
      </c>
      <c r="C77" s="15">
        <f ca="1">(1+(('Symulacja Pożyczka'!$B$5+'Symulacja Pożyczka'!$C$19)/100)*('Arkusz1 (+3)'!B77-'Arkusz1 (+3)'!B76)/365)</f>
        <v>1.0045205479452055</v>
      </c>
      <c r="D77" s="15">
        <f ca="1">(1+(('Symulacja Pożyczka'!$B$5+'Symulacja Pożyczka'!$C$19)/100)*('Arkusz1 (+3)'!B77-'Arkusz1 (+3)'!B76)/366)</f>
        <v>1.0045081967213114</v>
      </c>
      <c r="E77" s="15">
        <f t="shared" ca="1" si="9"/>
        <v>0</v>
      </c>
      <c r="F77" s="15">
        <f t="shared" ca="1" si="10"/>
        <v>0</v>
      </c>
      <c r="G77">
        <f ca="1">IF(E77=1,(1+(('Symulacja Pożyczka'!$B$5+'Symulacja Pożyczka'!$C$19)/100)*(((Arkusz1!B77-DATE(YEAR(B77),1,1)+1)/365)+((DATE(YEAR(B76),12,31)-Arkusz1!B76)/366))),IF(F77=1,(1+(('Symulacja Pożyczka'!$B$5+'Symulacja Pożyczka'!$C$19)/100)*(((Arkusz1!B77-DATE(YEAR(B77),1,1)+1)/366)+((DATE(YEAR(B76),12,31)-Arkusz1!B76)/365))),0))</f>
        <v>0</v>
      </c>
      <c r="H77">
        <f t="shared" ca="1" si="11"/>
        <v>1</v>
      </c>
      <c r="I77">
        <f t="shared" ca="1" si="12"/>
        <v>1.0045081967213114</v>
      </c>
      <c r="J77">
        <f t="shared" ca="1" si="13"/>
        <v>1.0045081967213114</v>
      </c>
      <c r="K77">
        <f ca="1">PRODUCT($J$3:J77)</f>
        <v>1.4060261886668997</v>
      </c>
      <c r="L77">
        <f t="shared" ca="1" si="14"/>
        <v>0.71122430582045804</v>
      </c>
      <c r="M77">
        <f ca="1">SUM($L$3:L77)</f>
        <v>63.482724327798493</v>
      </c>
      <c r="O77">
        <f ca="1">(Q76*'Arkusz1 (+3)'!J77)-Q76</f>
        <v>2485.4612747172359</v>
      </c>
      <c r="P77" s="16">
        <f t="shared" ca="1" si="15"/>
        <v>10834.592231631757</v>
      </c>
      <c r="Q77" s="17">
        <f t="shared" ca="1" si="16"/>
        <v>540485.90870565781</v>
      </c>
    </row>
    <row r="78" spans="1:17" x14ac:dyDescent="0.35">
      <c r="A78">
        <v>76</v>
      </c>
      <c r="B78" s="14">
        <f t="shared" ca="1" si="17"/>
        <v>48382</v>
      </c>
      <c r="C78" s="15">
        <f ca="1">(1+(('Symulacja Pożyczka'!$B$5+'Symulacja Pożyczka'!$C$19)/100)*('Arkusz1 (+3)'!B78-'Arkusz1 (+3)'!B77)/365)</f>
        <v>1.0046712328767122</v>
      </c>
      <c r="D78" s="15">
        <f ca="1">(1+(('Symulacja Pożyczka'!$B$5+'Symulacja Pożyczka'!$C$19)/100)*('Arkusz1 (+3)'!B78-'Arkusz1 (+3)'!B77)/366)</f>
        <v>1.0046584699453551</v>
      </c>
      <c r="E78" s="15">
        <f t="shared" ca="1" si="9"/>
        <v>0</v>
      </c>
      <c r="F78" s="15">
        <f t="shared" ca="1" si="10"/>
        <v>0</v>
      </c>
      <c r="G78">
        <f ca="1">IF(E78=1,(1+(('Symulacja Pożyczka'!$B$5+'Symulacja Pożyczka'!$C$19)/100)*(((Arkusz1!B78-DATE(YEAR(B78),1,1)+1)/365)+((DATE(YEAR(B77),12,31)-Arkusz1!B77)/366))),IF(F78=1,(1+(('Symulacja Pożyczka'!$B$5+'Symulacja Pożyczka'!$C$19)/100)*(((Arkusz1!B78-DATE(YEAR(B78),1,1)+1)/366)+((DATE(YEAR(B77),12,31)-Arkusz1!B77)/365))),0))</f>
        <v>0</v>
      </c>
      <c r="H78">
        <f t="shared" ca="1" si="11"/>
        <v>1</v>
      </c>
      <c r="I78">
        <f t="shared" ca="1" si="12"/>
        <v>1.0046584699453551</v>
      </c>
      <c r="J78">
        <f t="shared" ca="1" si="13"/>
        <v>1.0046584699453551</v>
      </c>
      <c r="K78">
        <f ca="1">PRODUCT($J$3:J78)</f>
        <v>1.4125761194091866</v>
      </c>
      <c r="L78">
        <f t="shared" ca="1" si="14"/>
        <v>0.70792645172159108</v>
      </c>
      <c r="M78">
        <f ca="1">SUM($L$3:L78)</f>
        <v>64.190650779520084</v>
      </c>
      <c r="O78">
        <f ca="1">(Q77*'Arkusz1 (+3)'!J78)-Q77</f>
        <v>2517.8373615932651</v>
      </c>
      <c r="P78" s="16">
        <f t="shared" ca="1" si="15"/>
        <v>10802.216144755728</v>
      </c>
      <c r="Q78" s="17">
        <f t="shared" ca="1" si="16"/>
        <v>529683.6925609021</v>
      </c>
    </row>
    <row r="79" spans="1:17" x14ac:dyDescent="0.35">
      <c r="A79">
        <v>77</v>
      </c>
      <c r="B79" s="14">
        <f t="shared" ca="1" si="17"/>
        <v>48412</v>
      </c>
      <c r="C79" s="15">
        <f ca="1">(1+(('Symulacja Pożyczka'!$B$5+'Symulacja Pożyczka'!$C$19)/100)*('Arkusz1 (+3)'!B79-'Arkusz1 (+3)'!B78)/365)</f>
        <v>1.0045205479452055</v>
      </c>
      <c r="D79" s="15">
        <f ca="1">(1+(('Symulacja Pożyczka'!$B$5+'Symulacja Pożyczka'!$C$19)/100)*('Arkusz1 (+3)'!B79-'Arkusz1 (+3)'!B78)/366)</f>
        <v>1.0045081967213114</v>
      </c>
      <c r="E79" s="15">
        <f t="shared" ca="1" si="9"/>
        <v>0</v>
      </c>
      <c r="F79" s="15">
        <f t="shared" ca="1" si="10"/>
        <v>0</v>
      </c>
      <c r="G79">
        <f ca="1">IF(E79=1,(1+(('Symulacja Pożyczka'!$B$5+'Symulacja Pożyczka'!$C$19)/100)*(((Arkusz1!B79-DATE(YEAR(B79),1,1)+1)/365)+((DATE(YEAR(B78),12,31)-Arkusz1!B78)/366))),IF(F79=1,(1+(('Symulacja Pożyczka'!$B$5+'Symulacja Pożyczka'!$C$19)/100)*(((Arkusz1!B79-DATE(YEAR(B79),1,1)+1)/366)+((DATE(YEAR(B78),12,31)-Arkusz1!B78)/365))),0))</f>
        <v>0</v>
      </c>
      <c r="H79">
        <f t="shared" ca="1" si="11"/>
        <v>1</v>
      </c>
      <c r="I79">
        <f t="shared" ca="1" si="12"/>
        <v>1.0045081967213114</v>
      </c>
      <c r="J79">
        <f t="shared" ca="1" si="13"/>
        <v>1.0045081967213114</v>
      </c>
      <c r="K79">
        <f ca="1">PRODUCT($J$3:J79)</f>
        <v>1.4189442904393099</v>
      </c>
      <c r="L79">
        <f t="shared" ca="1" si="14"/>
        <v>0.70474930322345264</v>
      </c>
      <c r="M79">
        <f ca="1">SUM($L$3:L79)</f>
        <v>64.895400082743535</v>
      </c>
      <c r="O79">
        <f ca="1">(Q78*'Arkusz1 (+3)'!J79)-Q78</f>
        <v>2387.9182861351874</v>
      </c>
      <c r="P79" s="16">
        <f t="shared" ca="1" si="15"/>
        <v>10932.135220213806</v>
      </c>
      <c r="Q79" s="17">
        <f t="shared" ca="1" si="16"/>
        <v>518751.5573406883</v>
      </c>
    </row>
    <row r="80" spans="1:17" x14ac:dyDescent="0.35">
      <c r="A80">
        <v>78</v>
      </c>
      <c r="B80" s="14">
        <f t="shared" ca="1" si="17"/>
        <v>48443</v>
      </c>
      <c r="C80" s="15">
        <f ca="1">(1+(('Symulacja Pożyczka'!$B$5+'Symulacja Pożyczka'!$C$19)/100)*('Arkusz1 (+3)'!B80-'Arkusz1 (+3)'!B79)/365)</f>
        <v>1.0046712328767122</v>
      </c>
      <c r="D80" s="15">
        <f ca="1">(1+(('Symulacja Pożyczka'!$B$5+'Symulacja Pożyczka'!$C$19)/100)*('Arkusz1 (+3)'!B80-'Arkusz1 (+3)'!B79)/366)</f>
        <v>1.0046584699453551</v>
      </c>
      <c r="E80" s="15">
        <f t="shared" ca="1" si="9"/>
        <v>0</v>
      </c>
      <c r="F80" s="15">
        <f t="shared" ca="1" si="10"/>
        <v>0</v>
      </c>
      <c r="G80">
        <f ca="1">IF(E80=1,(1+(('Symulacja Pożyczka'!$B$5+'Symulacja Pożyczka'!$C$19)/100)*(((Arkusz1!B80-DATE(YEAR(B80),1,1)+1)/365)+((DATE(YEAR(B79),12,31)-Arkusz1!B79)/366))),IF(F80=1,(1+(('Symulacja Pożyczka'!$B$5+'Symulacja Pożyczka'!$C$19)/100)*(((Arkusz1!B80-DATE(YEAR(B80),1,1)+1)/366)+((DATE(YEAR(B79),12,31)-Arkusz1!B79)/365))),0))</f>
        <v>0</v>
      </c>
      <c r="H80">
        <f t="shared" ca="1" si="11"/>
        <v>1</v>
      </c>
      <c r="I80">
        <f t="shared" ca="1" si="12"/>
        <v>1.0046584699453551</v>
      </c>
      <c r="J80">
        <f t="shared" ca="1" si="13"/>
        <v>1.0046584699453551</v>
      </c>
      <c r="K80">
        <f ca="1">PRODUCT($J$3:J80)</f>
        <v>1.4255543997704547</v>
      </c>
      <c r="L80">
        <f t="shared" ca="1" si="14"/>
        <v>0.70148147286488804</v>
      </c>
      <c r="M80">
        <f ca="1">SUM($L$3:L80)</f>
        <v>65.596881555608419</v>
      </c>
      <c r="O80">
        <f ca="1">(Q79*'Arkusz1 (+3)'!J80)-Q79</f>
        <v>2416.5885389777832</v>
      </c>
      <c r="P80" s="16">
        <f t="shared" ca="1" si="15"/>
        <v>10903.46496737121</v>
      </c>
      <c r="Q80" s="17">
        <f t="shared" ca="1" si="16"/>
        <v>507848.09237331711</v>
      </c>
    </row>
    <row r="81" spans="1:17" x14ac:dyDescent="0.35">
      <c r="A81">
        <v>79</v>
      </c>
      <c r="B81" s="14">
        <f t="shared" ca="1" si="17"/>
        <v>48474</v>
      </c>
      <c r="C81" s="15">
        <f ca="1">(1+(('Symulacja Pożyczka'!$B$5+'Symulacja Pożyczka'!$C$19)/100)*('Arkusz1 (+3)'!B81-'Arkusz1 (+3)'!B80)/365)</f>
        <v>1.0046712328767122</v>
      </c>
      <c r="D81" s="15">
        <f ca="1">(1+(('Symulacja Pożyczka'!$B$5+'Symulacja Pożyczka'!$C$19)/100)*('Arkusz1 (+3)'!B81-'Arkusz1 (+3)'!B80)/366)</f>
        <v>1.0046584699453551</v>
      </c>
      <c r="E81" s="15">
        <f t="shared" ca="1" si="9"/>
        <v>0</v>
      </c>
      <c r="F81" s="15">
        <f t="shared" ca="1" si="10"/>
        <v>0</v>
      </c>
      <c r="G81">
        <f ca="1">IF(E81=1,(1+(('Symulacja Pożyczka'!$B$5+'Symulacja Pożyczka'!$C$19)/100)*(((Arkusz1!B81-DATE(YEAR(B81),1,1)+1)/365)+((DATE(YEAR(B80),12,31)-Arkusz1!B80)/366))),IF(F81=1,(1+(('Symulacja Pożyczka'!$B$5+'Symulacja Pożyczka'!$C$19)/100)*(((Arkusz1!B81-DATE(YEAR(B81),1,1)+1)/366)+((DATE(YEAR(B80),12,31)-Arkusz1!B80)/365))),0))</f>
        <v>0</v>
      </c>
      <c r="H81">
        <f t="shared" ca="1" si="11"/>
        <v>1</v>
      </c>
      <c r="I81">
        <f t="shared" ca="1" si="12"/>
        <v>1.0046584699453551</v>
      </c>
      <c r="J81">
        <f t="shared" ca="1" si="13"/>
        <v>1.0046584699453551</v>
      </c>
      <c r="K81">
        <f ca="1">PRODUCT($J$3:J81)</f>
        <v>1.4321953020972542</v>
      </c>
      <c r="L81">
        <f t="shared" ca="1" si="14"/>
        <v>0.69822879500835999</v>
      </c>
      <c r="M81">
        <f ca="1">SUM($L$3:L81)</f>
        <v>66.295110350616781</v>
      </c>
      <c r="O81">
        <f ca="1">(Q80*'Arkusz1 (+3)'!J81)-Q80</f>
        <v>2365.79507512704</v>
      </c>
      <c r="P81" s="16">
        <f t="shared" ca="1" si="15"/>
        <v>10954.258431221953</v>
      </c>
      <c r="Q81" s="17">
        <f t="shared" ca="1" si="16"/>
        <v>496893.83394209517</v>
      </c>
    </row>
    <row r="82" spans="1:17" x14ac:dyDescent="0.35">
      <c r="A82">
        <v>80</v>
      </c>
      <c r="B82" s="14">
        <f t="shared" ca="1" si="17"/>
        <v>48504</v>
      </c>
      <c r="C82" s="15">
        <f ca="1">(1+(('Symulacja Pożyczka'!$B$5+'Symulacja Pożyczka'!$C$19)/100)*('Arkusz1 (+3)'!B82-'Arkusz1 (+3)'!B81)/365)</f>
        <v>1.0045205479452055</v>
      </c>
      <c r="D82" s="15">
        <f ca="1">(1+(('Symulacja Pożyczka'!$B$5+'Symulacja Pożyczka'!$C$19)/100)*('Arkusz1 (+3)'!B82-'Arkusz1 (+3)'!B81)/366)</f>
        <v>1.0045081967213114</v>
      </c>
      <c r="E82" s="15">
        <f t="shared" ca="1" si="9"/>
        <v>0</v>
      </c>
      <c r="F82" s="15">
        <f t="shared" ca="1" si="10"/>
        <v>0</v>
      </c>
      <c r="G82">
        <f ca="1">IF(E82=1,(1+(('Symulacja Pożyczka'!$B$5+'Symulacja Pożyczka'!$C$19)/100)*(((Arkusz1!B82-DATE(YEAR(B82),1,1)+1)/365)+((DATE(YEAR(B81),12,31)-Arkusz1!B81)/366))),IF(F82=1,(1+(('Symulacja Pożyczka'!$B$5+'Symulacja Pożyczka'!$C$19)/100)*(((Arkusz1!B82-DATE(YEAR(B82),1,1)+1)/366)+((DATE(YEAR(B81),12,31)-Arkusz1!B81)/365))),0))</f>
        <v>0</v>
      </c>
      <c r="H82">
        <f t="shared" ca="1" si="11"/>
        <v>1</v>
      </c>
      <c r="I82">
        <f t="shared" ca="1" si="12"/>
        <v>1.0045081967213114</v>
      </c>
      <c r="J82">
        <f t="shared" ca="1" si="13"/>
        <v>1.0045081967213114</v>
      </c>
      <c r="K82">
        <f ca="1">PRODUCT($J$3:J82)</f>
        <v>1.4386519202624466</v>
      </c>
      <c r="L82">
        <f t="shared" ca="1" si="14"/>
        <v>0.69509516924536874</v>
      </c>
      <c r="M82">
        <f ca="1">SUM($L$3:L82)</f>
        <v>66.990205519862144</v>
      </c>
      <c r="O82">
        <f ca="1">(Q81*'Arkusz1 (+3)'!J82)-Q81</f>
        <v>2240.0951530176098</v>
      </c>
      <c r="P82" s="16">
        <f t="shared" ca="1" si="15"/>
        <v>11079.958353331383</v>
      </c>
      <c r="Q82" s="17">
        <f t="shared" ca="1" si="16"/>
        <v>485813.8755887638</v>
      </c>
    </row>
    <row r="83" spans="1:17" x14ac:dyDescent="0.35">
      <c r="A83">
        <v>81</v>
      </c>
      <c r="B83" s="14">
        <f t="shared" ca="1" si="17"/>
        <v>48535</v>
      </c>
      <c r="C83" s="15">
        <f ca="1">(1+(('Symulacja Pożyczka'!$B$5+'Symulacja Pożyczka'!$C$19)/100)*('Arkusz1 (+3)'!B83-'Arkusz1 (+3)'!B82)/365)</f>
        <v>1.0046712328767122</v>
      </c>
      <c r="D83" s="15">
        <f ca="1">(1+(('Symulacja Pożyczka'!$B$5+'Symulacja Pożyczka'!$C$19)/100)*('Arkusz1 (+3)'!B83-'Arkusz1 (+3)'!B82)/366)</f>
        <v>1.0046584699453551</v>
      </c>
      <c r="E83" s="15">
        <f t="shared" ca="1" si="9"/>
        <v>0</v>
      </c>
      <c r="F83" s="15">
        <f t="shared" ca="1" si="10"/>
        <v>0</v>
      </c>
      <c r="G83">
        <f ca="1">IF(E83=1,(1+(('Symulacja Pożyczka'!$B$5+'Symulacja Pożyczka'!$C$19)/100)*(((Arkusz1!B83-DATE(YEAR(B83),1,1)+1)/365)+((DATE(YEAR(B82),12,31)-Arkusz1!B82)/366))),IF(F83=1,(1+(('Symulacja Pożyczka'!$B$5+'Symulacja Pożyczka'!$C$19)/100)*(((Arkusz1!B83-DATE(YEAR(B83),1,1)+1)/366)+((DATE(YEAR(B82),12,31)-Arkusz1!B82)/365))),0))</f>
        <v>0</v>
      </c>
      <c r="H83">
        <f t="shared" ca="1" si="11"/>
        <v>1</v>
      </c>
      <c r="I83">
        <f t="shared" ca="1" si="12"/>
        <v>1.0046584699453551</v>
      </c>
      <c r="J83">
        <f t="shared" ca="1" si="13"/>
        <v>1.0046584699453551</v>
      </c>
      <c r="K83">
        <f ca="1">PRODUCT($J$3:J83)</f>
        <v>1.4453538369948167</v>
      </c>
      <c r="L83">
        <f t="shared" ca="1" si="14"/>
        <v>0.69187210384358377</v>
      </c>
      <c r="M83">
        <f ca="1">SUM($L$3:L83)</f>
        <v>67.682077623705723</v>
      </c>
      <c r="O83">
        <f ca="1">(Q82*'Arkusz1 (+3)'!J83)-Q82</f>
        <v>2263.1493384667556</v>
      </c>
      <c r="P83" s="16">
        <f t="shared" ca="1" si="15"/>
        <v>11056.904167882238</v>
      </c>
      <c r="Q83" s="17">
        <f t="shared" ca="1" si="16"/>
        <v>474756.97142088157</v>
      </c>
    </row>
    <row r="84" spans="1:17" x14ac:dyDescent="0.35">
      <c r="A84">
        <v>82</v>
      </c>
      <c r="B84" s="14">
        <f t="shared" ca="1" si="17"/>
        <v>48565</v>
      </c>
      <c r="C84" s="15">
        <f ca="1">(1+(('Symulacja Pożyczka'!$B$5+'Symulacja Pożyczka'!$C$19)/100)*('Arkusz1 (+3)'!B84-'Arkusz1 (+3)'!B83)/365)</f>
        <v>1.0045205479452055</v>
      </c>
      <c r="D84" s="15">
        <f ca="1">(1+(('Symulacja Pożyczka'!$B$5+'Symulacja Pożyczka'!$C$19)/100)*('Arkusz1 (+3)'!B84-'Arkusz1 (+3)'!B83)/366)</f>
        <v>1.0045081967213114</v>
      </c>
      <c r="E84" s="15">
        <f t="shared" ca="1" si="9"/>
        <v>0</v>
      </c>
      <c r="F84" s="15">
        <f t="shared" ca="1" si="10"/>
        <v>0</v>
      </c>
      <c r="G84">
        <f ca="1">IF(E84=1,(1+(('Symulacja Pożyczka'!$B$5+'Symulacja Pożyczka'!$C$19)/100)*(((Arkusz1!B84-DATE(YEAR(B84),1,1)+1)/365)+((DATE(YEAR(B83),12,31)-Arkusz1!B83)/366))),IF(F84=1,(1+(('Symulacja Pożyczka'!$B$5+'Symulacja Pożyczka'!$C$19)/100)*(((Arkusz1!B84-DATE(YEAR(B84),1,1)+1)/366)+((DATE(YEAR(B83),12,31)-Arkusz1!B83)/365))),0))</f>
        <v>0</v>
      </c>
      <c r="H84">
        <f t="shared" ca="1" si="11"/>
        <v>1</v>
      </c>
      <c r="I84">
        <f t="shared" ca="1" si="12"/>
        <v>1.0045081967213114</v>
      </c>
      <c r="J84">
        <f t="shared" ca="1" si="13"/>
        <v>1.0045081967213114</v>
      </c>
      <c r="K84">
        <f ca="1">PRODUCT($J$3:J84)</f>
        <v>1.4518697764238915</v>
      </c>
      <c r="L84">
        <f t="shared" ca="1" si="14"/>
        <v>0.68876700668231106</v>
      </c>
      <c r="M84">
        <f ca="1">SUM($L$3:L84)</f>
        <v>68.370844630388035</v>
      </c>
      <c r="O84">
        <f ca="1">(Q83*'Arkusz1 (+3)'!J84)-Q83</f>
        <v>2140.2978219793295</v>
      </c>
      <c r="P84" s="16">
        <f t="shared" ca="1" si="15"/>
        <v>11179.755684369664</v>
      </c>
      <c r="Q84" s="17">
        <f t="shared" ca="1" si="16"/>
        <v>463577.21573651192</v>
      </c>
    </row>
    <row r="85" spans="1:17" x14ac:dyDescent="0.35">
      <c r="A85">
        <v>83</v>
      </c>
      <c r="B85" s="14">
        <f t="shared" ca="1" si="17"/>
        <v>48596</v>
      </c>
      <c r="C85" s="15">
        <f ca="1">(1+(('Symulacja Pożyczka'!$B$5+'Symulacja Pożyczka'!$C$19)/100)*('Arkusz1 (+3)'!B85-'Arkusz1 (+3)'!B84)/365)</f>
        <v>1.0046712328767122</v>
      </c>
      <c r="D85" s="15">
        <f ca="1">(1+(('Symulacja Pożyczka'!$B$5+'Symulacja Pożyczka'!$C$19)/100)*('Arkusz1 (+3)'!B85-'Arkusz1 (+3)'!B84)/366)</f>
        <v>1.0046584699453551</v>
      </c>
      <c r="E85" s="15">
        <f t="shared" ca="1" si="9"/>
        <v>1</v>
      </c>
      <c r="F85" s="15">
        <f t="shared" ca="1" si="10"/>
        <v>0</v>
      </c>
      <c r="G85">
        <f ca="1">IF(E85=1,(1+(('Symulacja Pożyczka'!$B$5+'Symulacja Pożyczka'!$C$19)/100)*(((Arkusz1!B85-DATE(YEAR(B85),1,1)+1)/365)+((DATE(YEAR(B84),12,31)-Arkusz1!B84)/366))),IF(F85=1,(1+(('Symulacja Pożyczka'!$B$5+'Symulacja Pożyczka'!$C$19)/100)*(((Arkusz1!B85-DATE(YEAR(B85),1,1)+1)/366)+((DATE(YEAR(B84),12,31)-Arkusz1!B84)/365))),0))</f>
        <v>1.0046654689722285</v>
      </c>
      <c r="H85">
        <f t="shared" ca="1" si="11"/>
        <v>0</v>
      </c>
      <c r="I85">
        <f t="shared" ca="1" si="12"/>
        <v>1.0046712328767122</v>
      </c>
      <c r="J85">
        <f t="shared" ca="1" si="13"/>
        <v>1.0046654689722285</v>
      </c>
      <c r="K85">
        <f ca="1">PRODUCT($J$3:J85)</f>
        <v>1.4586434298175135</v>
      </c>
      <c r="L85">
        <f t="shared" ca="1" si="14"/>
        <v>0.68556850807952907</v>
      </c>
      <c r="M85">
        <f ca="1">SUM($L$3:L85)</f>
        <v>69.056413138467562</v>
      </c>
      <c r="O85">
        <f ca="1">(Q84*'Arkusz1 (+3)'!J85)-Q84</f>
        <v>2162.8051162507618</v>
      </c>
      <c r="P85" s="16">
        <f t="shared" ca="1" si="15"/>
        <v>11157.248390098232</v>
      </c>
      <c r="Q85" s="17">
        <f t="shared" ca="1" si="16"/>
        <v>452419.9673464137</v>
      </c>
    </row>
    <row r="86" spans="1:17" x14ac:dyDescent="0.35">
      <c r="A86">
        <v>84</v>
      </c>
      <c r="B86" s="14">
        <f t="shared" ca="1" si="17"/>
        <v>48627</v>
      </c>
      <c r="C86" s="15">
        <f ca="1">(1+(('Symulacja Pożyczka'!$B$5+'Symulacja Pożyczka'!$C$19)/100)*('Arkusz1 (+3)'!B86-'Arkusz1 (+3)'!B85)/365)</f>
        <v>1.0046712328767122</v>
      </c>
      <c r="D86" s="15">
        <f ca="1">(1+(('Symulacja Pożyczka'!$B$5+'Symulacja Pożyczka'!$C$19)/100)*('Arkusz1 (+3)'!B86-'Arkusz1 (+3)'!B85)/366)</f>
        <v>1.0046584699453551</v>
      </c>
      <c r="E86" s="15">
        <f t="shared" ca="1" si="9"/>
        <v>0</v>
      </c>
      <c r="F86" s="15">
        <f t="shared" ca="1" si="10"/>
        <v>0</v>
      </c>
      <c r="G86">
        <f ca="1">IF(E86=1,(1+(('Symulacja Pożyczka'!$B$5+'Symulacja Pożyczka'!$C$19)/100)*(((Arkusz1!B86-DATE(YEAR(B86),1,1)+1)/365)+((DATE(YEAR(B85),12,31)-Arkusz1!B85)/366))),IF(F86=1,(1+(('Symulacja Pożyczka'!$B$5+'Symulacja Pożyczka'!$C$19)/100)*(((Arkusz1!B86-DATE(YEAR(B86),1,1)+1)/366)+((DATE(YEAR(B85),12,31)-Arkusz1!B85)/365))),0))</f>
        <v>0</v>
      </c>
      <c r="H86">
        <f t="shared" ca="1" si="11"/>
        <v>0</v>
      </c>
      <c r="I86">
        <f t="shared" ca="1" si="12"/>
        <v>1.0046712328767122</v>
      </c>
      <c r="J86">
        <f t="shared" ca="1" si="13"/>
        <v>1.0046712328767122</v>
      </c>
      <c r="K86">
        <f ca="1">PRODUCT($J$3:J86)</f>
        <v>1.4654570929622774</v>
      </c>
      <c r="L86">
        <f t="shared" ca="1" si="14"/>
        <v>0.68238094776190161</v>
      </c>
      <c r="M86">
        <f ca="1">SUM($L$3:L86)</f>
        <v>69.738794086229461</v>
      </c>
      <c r="O86">
        <f ca="1">(Q85*'Arkusz1 (+3)'!J86)-Q85</f>
        <v>2113.3590255496674</v>
      </c>
      <c r="P86" s="16">
        <f t="shared" ca="1" si="15"/>
        <v>11206.694480799326</v>
      </c>
      <c r="Q86" s="17">
        <f t="shared" ca="1" si="16"/>
        <v>441213.27286561439</v>
      </c>
    </row>
    <row r="87" spans="1:17" x14ac:dyDescent="0.35">
      <c r="A87">
        <v>85</v>
      </c>
      <c r="B87" s="14">
        <f t="shared" ca="1" si="17"/>
        <v>48655</v>
      </c>
      <c r="C87" s="15">
        <f ca="1">(1+(('Symulacja Pożyczka'!$B$5+'Symulacja Pożyczka'!$C$19)/100)*('Arkusz1 (+3)'!B87-'Arkusz1 (+3)'!B86)/365)</f>
        <v>1.0042191780821919</v>
      </c>
      <c r="D87" s="15">
        <f ca="1">(1+(('Symulacja Pożyczka'!$B$5+'Symulacja Pożyczka'!$C$19)/100)*('Arkusz1 (+3)'!B87-'Arkusz1 (+3)'!B86)/366)</f>
        <v>1.004207650273224</v>
      </c>
      <c r="E87" s="15">
        <f t="shared" ca="1" si="9"/>
        <v>0</v>
      </c>
      <c r="F87" s="15">
        <f t="shared" ca="1" si="10"/>
        <v>0</v>
      </c>
      <c r="G87">
        <f ca="1">IF(E87=1,(1+(('Symulacja Pożyczka'!$B$5+'Symulacja Pożyczka'!$C$19)/100)*(((Arkusz1!B87-DATE(YEAR(B87),1,1)+1)/365)+((DATE(YEAR(B86),12,31)-Arkusz1!B86)/366))),IF(F87=1,(1+(('Symulacja Pożyczka'!$B$5+'Symulacja Pożyczka'!$C$19)/100)*(((Arkusz1!B87-DATE(YEAR(B87),1,1)+1)/366)+((DATE(YEAR(B86),12,31)-Arkusz1!B86)/365))),0))</f>
        <v>0</v>
      </c>
      <c r="H87">
        <f t="shared" ca="1" si="11"/>
        <v>0</v>
      </c>
      <c r="I87">
        <f t="shared" ca="1" si="12"/>
        <v>1.0042191780821919</v>
      </c>
      <c r="J87">
        <f t="shared" ca="1" si="13"/>
        <v>1.0042191780821919</v>
      </c>
      <c r="K87">
        <f ca="1">PRODUCT($J$3:J87)</f>
        <v>1.4716401174092966</v>
      </c>
      <c r="L87">
        <f t="shared" ca="1" si="14"/>
        <v>0.6795139573664376</v>
      </c>
      <c r="M87">
        <f ca="1">SUM($L$3:L87)</f>
        <v>70.4183080435959</v>
      </c>
      <c r="O87">
        <f ca="1">(Q86*'Arkusz1 (+3)'!J87)-Q86</f>
        <v>1861.5573704467388</v>
      </c>
      <c r="P87" s="16">
        <f t="shared" ca="1" si="15"/>
        <v>11458.496135902255</v>
      </c>
      <c r="Q87" s="17">
        <f t="shared" ca="1" si="16"/>
        <v>429754.77672971215</v>
      </c>
    </row>
    <row r="88" spans="1:17" x14ac:dyDescent="0.35">
      <c r="A88">
        <v>86</v>
      </c>
      <c r="B88" s="14">
        <f t="shared" ca="1" si="17"/>
        <v>48686</v>
      </c>
      <c r="C88" s="15">
        <f ca="1">(1+(('Symulacja Pożyczka'!$B$5+'Symulacja Pożyczka'!$C$19)/100)*('Arkusz1 (+3)'!B88-'Arkusz1 (+3)'!B87)/365)</f>
        <v>1.0046712328767122</v>
      </c>
      <c r="D88" s="15">
        <f ca="1">(1+(('Symulacja Pożyczka'!$B$5+'Symulacja Pożyczka'!$C$19)/100)*('Arkusz1 (+3)'!B88-'Arkusz1 (+3)'!B87)/366)</f>
        <v>1.0046584699453551</v>
      </c>
      <c r="E88" s="15">
        <f t="shared" ca="1" si="9"/>
        <v>0</v>
      </c>
      <c r="F88" s="15">
        <f t="shared" ca="1" si="10"/>
        <v>0</v>
      </c>
      <c r="G88">
        <f ca="1">IF(E88=1,(1+(('Symulacja Pożyczka'!$B$5+'Symulacja Pożyczka'!$C$19)/100)*(((Arkusz1!B88-DATE(YEAR(B88),1,1)+1)/365)+((DATE(YEAR(B87),12,31)-Arkusz1!B87)/366))),IF(F88=1,(1+(('Symulacja Pożyczka'!$B$5+'Symulacja Pożyczka'!$C$19)/100)*(((Arkusz1!B88-DATE(YEAR(B88),1,1)+1)/366)+((DATE(YEAR(B87),12,31)-Arkusz1!B87)/365))),0))</f>
        <v>0</v>
      </c>
      <c r="H88">
        <f t="shared" ca="1" si="11"/>
        <v>0</v>
      </c>
      <c r="I88">
        <f t="shared" ca="1" si="12"/>
        <v>1.0046712328767122</v>
      </c>
      <c r="J88">
        <f t="shared" ca="1" si="13"/>
        <v>1.0046712328767122</v>
      </c>
      <c r="K88">
        <f ca="1">PRODUCT($J$3:J88)</f>
        <v>1.4785144911084276</v>
      </c>
      <c r="L88">
        <f t="shared" ca="1" si="14"/>
        <v>0.67635454776659643</v>
      </c>
      <c r="M88">
        <f ca="1">SUM($L$3:L88)</f>
        <v>71.094662591362493</v>
      </c>
      <c r="O88">
        <f ca="1">(Q87*'Arkusz1 (+3)'!J88)-Q87</f>
        <v>2007.4846419839305</v>
      </c>
      <c r="P88" s="16">
        <f t="shared" ca="1" si="15"/>
        <v>11312.568864365063</v>
      </c>
      <c r="Q88" s="17">
        <f t="shared" ca="1" si="16"/>
        <v>418442.2078653471</v>
      </c>
    </row>
    <row r="89" spans="1:17" x14ac:dyDescent="0.35">
      <c r="A89">
        <v>87</v>
      </c>
      <c r="B89" s="14">
        <f t="shared" ca="1" si="17"/>
        <v>48716</v>
      </c>
      <c r="C89" s="15">
        <f ca="1">(1+(('Symulacja Pożyczka'!$B$5+'Symulacja Pożyczka'!$C$19)/100)*('Arkusz1 (+3)'!B89-'Arkusz1 (+3)'!B88)/365)</f>
        <v>1.0045205479452055</v>
      </c>
      <c r="D89" s="15">
        <f ca="1">(1+(('Symulacja Pożyczka'!$B$5+'Symulacja Pożyczka'!$C$19)/100)*('Arkusz1 (+3)'!B89-'Arkusz1 (+3)'!B88)/366)</f>
        <v>1.0045081967213114</v>
      </c>
      <c r="E89" s="15">
        <f t="shared" ca="1" si="9"/>
        <v>0</v>
      </c>
      <c r="F89" s="15">
        <f t="shared" ca="1" si="10"/>
        <v>0</v>
      </c>
      <c r="G89">
        <f ca="1">IF(E89=1,(1+(('Symulacja Pożyczka'!$B$5+'Symulacja Pożyczka'!$C$19)/100)*(((Arkusz1!B89-DATE(YEAR(B89),1,1)+1)/365)+((DATE(YEAR(B88),12,31)-Arkusz1!B88)/366))),IF(F89=1,(1+(('Symulacja Pożyczka'!$B$5+'Symulacja Pożyczka'!$C$19)/100)*(((Arkusz1!B89-DATE(YEAR(B89),1,1)+1)/366)+((DATE(YEAR(B88),12,31)-Arkusz1!B88)/365))),0))</f>
        <v>0</v>
      </c>
      <c r="H89">
        <f t="shared" ca="1" si="11"/>
        <v>0</v>
      </c>
      <c r="I89">
        <f t="shared" ca="1" si="12"/>
        <v>1.0045205479452055</v>
      </c>
      <c r="J89">
        <f t="shared" ca="1" si="13"/>
        <v>1.0045205479452055</v>
      </c>
      <c r="K89">
        <f ca="1">PRODUCT($J$3:J89)</f>
        <v>1.4851981867531643</v>
      </c>
      <c r="L89">
        <f t="shared" ca="1" si="14"/>
        <v>0.67331081395010961</v>
      </c>
      <c r="M89">
        <f ca="1">SUM($L$3:L89)</f>
        <v>71.767973405312603</v>
      </c>
      <c r="O89">
        <f ca="1">(Q88*'Arkusz1 (+3)'!J89)-Q88</f>
        <v>1891.5880629529711</v>
      </c>
      <c r="P89" s="16">
        <f t="shared" ca="1" si="15"/>
        <v>11428.465443396022</v>
      </c>
      <c r="Q89" s="17">
        <f t="shared" ca="1" si="16"/>
        <v>407013.74242195109</v>
      </c>
    </row>
    <row r="90" spans="1:17" x14ac:dyDescent="0.35">
      <c r="A90">
        <v>88</v>
      </c>
      <c r="B90" s="14">
        <f t="shared" ca="1" si="17"/>
        <v>48747</v>
      </c>
      <c r="C90" s="15">
        <f ca="1">(1+(('Symulacja Pożyczka'!$B$5+'Symulacja Pożyczka'!$C$19)/100)*('Arkusz1 (+3)'!B90-'Arkusz1 (+3)'!B89)/365)</f>
        <v>1.0046712328767122</v>
      </c>
      <c r="D90" s="15">
        <f ca="1">(1+(('Symulacja Pożyczka'!$B$5+'Symulacja Pożyczka'!$C$19)/100)*('Arkusz1 (+3)'!B90-'Arkusz1 (+3)'!B89)/366)</f>
        <v>1.0046584699453551</v>
      </c>
      <c r="E90" s="15">
        <f t="shared" ca="1" si="9"/>
        <v>0</v>
      </c>
      <c r="F90" s="15">
        <f t="shared" ca="1" si="10"/>
        <v>0</v>
      </c>
      <c r="G90">
        <f ca="1">IF(E90=1,(1+(('Symulacja Pożyczka'!$B$5+'Symulacja Pożyczka'!$C$19)/100)*(((Arkusz1!B90-DATE(YEAR(B90),1,1)+1)/365)+((DATE(YEAR(B89),12,31)-Arkusz1!B89)/366))),IF(F90=1,(1+(('Symulacja Pożyczka'!$B$5+'Symulacja Pożyczka'!$C$19)/100)*(((Arkusz1!B90-DATE(YEAR(B90),1,1)+1)/366)+((DATE(YEAR(B89),12,31)-Arkusz1!B89)/365))),0))</f>
        <v>0</v>
      </c>
      <c r="H90">
        <f t="shared" ca="1" si="11"/>
        <v>0</v>
      </c>
      <c r="I90">
        <f t="shared" ca="1" si="12"/>
        <v>1.0046712328767122</v>
      </c>
      <c r="J90">
        <f t="shared" ca="1" si="13"/>
        <v>1.0046712328767122</v>
      </c>
      <c r="K90">
        <f ca="1">PRODUCT($J$3:J90)</f>
        <v>1.4921358933515592</v>
      </c>
      <c r="L90">
        <f t="shared" ca="1" si="14"/>
        <v>0.67018024595189607</v>
      </c>
      <c r="M90">
        <f ca="1">SUM($L$3:L90)</f>
        <v>72.4381536512645</v>
      </c>
      <c r="O90">
        <f ca="1">(Q89*'Arkusz1 (+3)'!J90)-Q89</f>
        <v>1901.2559748751228</v>
      </c>
      <c r="P90" s="16">
        <f t="shared" ca="1" si="15"/>
        <v>11418.797531473871</v>
      </c>
      <c r="Q90" s="17">
        <f t="shared" ca="1" si="16"/>
        <v>395594.94489047723</v>
      </c>
    </row>
    <row r="91" spans="1:17" x14ac:dyDescent="0.35">
      <c r="A91">
        <v>89</v>
      </c>
      <c r="B91" s="14">
        <f t="shared" ca="1" si="17"/>
        <v>48777</v>
      </c>
      <c r="C91" s="15">
        <f ca="1">(1+(('Symulacja Pożyczka'!$B$5+'Symulacja Pożyczka'!$C$19)/100)*('Arkusz1 (+3)'!B91-'Arkusz1 (+3)'!B90)/365)</f>
        <v>1.0045205479452055</v>
      </c>
      <c r="D91" s="15">
        <f ca="1">(1+(('Symulacja Pożyczka'!$B$5+'Symulacja Pożyczka'!$C$19)/100)*('Arkusz1 (+3)'!B91-'Arkusz1 (+3)'!B90)/366)</f>
        <v>1.0045081967213114</v>
      </c>
      <c r="E91" s="15">
        <f t="shared" ca="1" si="9"/>
        <v>0</v>
      </c>
      <c r="F91" s="15">
        <f t="shared" ca="1" si="10"/>
        <v>0</v>
      </c>
      <c r="G91">
        <f ca="1">IF(E91=1,(1+(('Symulacja Pożyczka'!$B$5+'Symulacja Pożyczka'!$C$19)/100)*(((Arkusz1!B91-DATE(YEAR(B91),1,1)+1)/365)+((DATE(YEAR(B90),12,31)-Arkusz1!B90)/366))),IF(F91=1,(1+(('Symulacja Pożyczka'!$B$5+'Symulacja Pożyczka'!$C$19)/100)*(((Arkusz1!B91-DATE(YEAR(B91),1,1)+1)/366)+((DATE(YEAR(B90),12,31)-Arkusz1!B90)/365))),0))</f>
        <v>0</v>
      </c>
      <c r="H91">
        <f t="shared" ca="1" si="11"/>
        <v>0</v>
      </c>
      <c r="I91">
        <f t="shared" ca="1" si="12"/>
        <v>1.0045205479452055</v>
      </c>
      <c r="J91">
        <f t="shared" ca="1" si="13"/>
        <v>1.0045205479452055</v>
      </c>
      <c r="K91">
        <f ca="1">PRODUCT($J$3:J91)</f>
        <v>1.498881165198217</v>
      </c>
      <c r="L91">
        <f t="shared" ca="1" si="14"/>
        <v>0.66716429775655806</v>
      </c>
      <c r="M91">
        <f ca="1">SUM($L$3:L91)</f>
        <v>73.105317949021057</v>
      </c>
      <c r="O91">
        <f ca="1">(Q90*'Arkusz1 (+3)'!J91)-Q90</f>
        <v>1788.3059152583592</v>
      </c>
      <c r="P91" s="16">
        <f t="shared" ca="1" si="15"/>
        <v>11531.747591090634</v>
      </c>
      <c r="Q91" s="17">
        <f t="shared" ca="1" si="16"/>
        <v>384063.19729938661</v>
      </c>
    </row>
    <row r="92" spans="1:17" x14ac:dyDescent="0.35">
      <c r="A92">
        <v>90</v>
      </c>
      <c r="B92" s="14">
        <f t="shared" ca="1" si="17"/>
        <v>48808</v>
      </c>
      <c r="C92" s="15">
        <f ca="1">(1+(('Symulacja Pożyczka'!$B$5+'Symulacja Pożyczka'!$C$19)/100)*('Arkusz1 (+3)'!B92-'Arkusz1 (+3)'!B91)/365)</f>
        <v>1.0046712328767122</v>
      </c>
      <c r="D92" s="15">
        <f ca="1">(1+(('Symulacja Pożyczka'!$B$5+'Symulacja Pożyczka'!$C$19)/100)*('Arkusz1 (+3)'!B92-'Arkusz1 (+3)'!B91)/366)</f>
        <v>1.0046584699453551</v>
      </c>
      <c r="E92" s="15">
        <f t="shared" ca="1" si="9"/>
        <v>0</v>
      </c>
      <c r="F92" s="15">
        <f t="shared" ca="1" si="10"/>
        <v>0</v>
      </c>
      <c r="G92">
        <f ca="1">IF(E92=1,(1+(('Symulacja Pożyczka'!$B$5+'Symulacja Pożyczka'!$C$19)/100)*(((Arkusz1!B92-DATE(YEAR(B92),1,1)+1)/365)+((DATE(YEAR(B91),12,31)-Arkusz1!B91)/366))),IF(F92=1,(1+(('Symulacja Pożyczka'!$B$5+'Symulacja Pożyczka'!$C$19)/100)*(((Arkusz1!B92-DATE(YEAR(B92),1,1)+1)/366)+((DATE(YEAR(B91),12,31)-Arkusz1!B91)/365))),0))</f>
        <v>0</v>
      </c>
      <c r="H92">
        <f t="shared" ca="1" si="11"/>
        <v>0</v>
      </c>
      <c r="I92">
        <f t="shared" ca="1" si="12"/>
        <v>1.0046712328767122</v>
      </c>
      <c r="J92">
        <f t="shared" ca="1" si="13"/>
        <v>1.0046712328767122</v>
      </c>
      <c r="K92">
        <f ca="1">PRODUCT($J$3:J92)</f>
        <v>1.5058827881753756</v>
      </c>
      <c r="L92">
        <f t="shared" ca="1" si="14"/>
        <v>0.66406230807091193</v>
      </c>
      <c r="M92">
        <f ca="1">SUM($L$3:L92)</f>
        <v>73.769380257091967</v>
      </c>
      <c r="O92">
        <f ca="1">(Q91*'Arkusz1 (+3)'!J92)-Q91</f>
        <v>1794.0486339601339</v>
      </c>
      <c r="P92" s="16">
        <f t="shared" ca="1" si="15"/>
        <v>11526.004872388859</v>
      </c>
      <c r="Q92" s="17">
        <f t="shared" ca="1" si="16"/>
        <v>372537.19242699776</v>
      </c>
    </row>
    <row r="93" spans="1:17" x14ac:dyDescent="0.35">
      <c r="A93">
        <v>91</v>
      </c>
      <c r="B93" s="14">
        <f t="shared" ca="1" si="17"/>
        <v>48839</v>
      </c>
      <c r="C93" s="15">
        <f ca="1">(1+(('Symulacja Pożyczka'!$B$5+'Symulacja Pożyczka'!$C$19)/100)*('Arkusz1 (+3)'!B93-'Arkusz1 (+3)'!B92)/365)</f>
        <v>1.0046712328767122</v>
      </c>
      <c r="D93" s="15">
        <f ca="1">(1+(('Symulacja Pożyczka'!$B$5+'Symulacja Pożyczka'!$C$19)/100)*('Arkusz1 (+3)'!B93-'Arkusz1 (+3)'!B92)/366)</f>
        <v>1.0046584699453551</v>
      </c>
      <c r="E93" s="15">
        <f t="shared" ca="1" si="9"/>
        <v>0</v>
      </c>
      <c r="F93" s="15">
        <f t="shared" ca="1" si="10"/>
        <v>0</v>
      </c>
      <c r="G93">
        <f ca="1">IF(E93=1,(1+(('Symulacja Pożyczka'!$B$5+'Symulacja Pożyczka'!$C$19)/100)*(((Arkusz1!B93-DATE(YEAR(B93),1,1)+1)/365)+((DATE(YEAR(B92),12,31)-Arkusz1!B92)/366))),IF(F93=1,(1+(('Symulacja Pożyczka'!$B$5+'Symulacja Pożyczka'!$C$19)/100)*(((Arkusz1!B93-DATE(YEAR(B93),1,1)+1)/366)+((DATE(YEAR(B92),12,31)-Arkusz1!B92)/365))),0))</f>
        <v>0</v>
      </c>
      <c r="H93">
        <f t="shared" ca="1" si="11"/>
        <v>0</v>
      </c>
      <c r="I93">
        <f t="shared" ca="1" si="12"/>
        <v>1.0046712328767122</v>
      </c>
      <c r="J93">
        <f t="shared" ca="1" si="13"/>
        <v>1.0046712328767122</v>
      </c>
      <c r="K93">
        <f ca="1">PRODUCT($J$3:J93)</f>
        <v>1.5129171173639755</v>
      </c>
      <c r="L93">
        <f t="shared" ca="1" si="14"/>
        <v>0.66097474112947152</v>
      </c>
      <c r="M93">
        <f ca="1">SUM($L$3:L93)</f>
        <v>74.430354998221432</v>
      </c>
      <c r="O93">
        <f ca="1">(Q92*'Arkusz1 (+3)'!J93)-Q92</f>
        <v>1740.207981063053</v>
      </c>
      <c r="P93" s="16">
        <f t="shared" ca="1" si="15"/>
        <v>11579.84552528594</v>
      </c>
      <c r="Q93" s="17">
        <f t="shared" ca="1" si="16"/>
        <v>360957.34690171183</v>
      </c>
    </row>
    <row r="94" spans="1:17" x14ac:dyDescent="0.35">
      <c r="A94">
        <v>92</v>
      </c>
      <c r="B94" s="14">
        <f t="shared" ca="1" si="17"/>
        <v>48869</v>
      </c>
      <c r="C94" s="15">
        <f ca="1">(1+(('Symulacja Pożyczka'!$B$5+'Symulacja Pożyczka'!$C$19)/100)*('Arkusz1 (+3)'!B94-'Arkusz1 (+3)'!B93)/365)</f>
        <v>1.0045205479452055</v>
      </c>
      <c r="D94" s="15">
        <f ca="1">(1+(('Symulacja Pożyczka'!$B$5+'Symulacja Pożyczka'!$C$19)/100)*('Arkusz1 (+3)'!B94-'Arkusz1 (+3)'!B93)/366)</f>
        <v>1.0045081967213114</v>
      </c>
      <c r="E94" s="15">
        <f t="shared" ca="1" si="9"/>
        <v>0</v>
      </c>
      <c r="F94" s="15">
        <f t="shared" ca="1" si="10"/>
        <v>0</v>
      </c>
      <c r="G94">
        <f ca="1">IF(E94=1,(1+(('Symulacja Pożyczka'!$B$5+'Symulacja Pożyczka'!$C$19)/100)*(((Arkusz1!B94-DATE(YEAR(B94),1,1)+1)/365)+((DATE(YEAR(B93),12,31)-Arkusz1!B93)/366))),IF(F94=1,(1+(('Symulacja Pożyczka'!$B$5+'Symulacja Pożyczka'!$C$19)/100)*(((Arkusz1!B94-DATE(YEAR(B94),1,1)+1)/366)+((DATE(YEAR(B93),12,31)-Arkusz1!B93)/365))),0))</f>
        <v>0</v>
      </c>
      <c r="H94">
        <f t="shared" ca="1" si="11"/>
        <v>0</v>
      </c>
      <c r="I94">
        <f t="shared" ca="1" si="12"/>
        <v>1.0045205479452055</v>
      </c>
      <c r="J94">
        <f t="shared" ca="1" si="13"/>
        <v>1.0045205479452055</v>
      </c>
      <c r="K94">
        <f ca="1">PRODUCT($J$3:J94)</f>
        <v>1.5197563317301415</v>
      </c>
      <c r="L94">
        <f t="shared" ca="1" si="14"/>
        <v>0.65800021958886434</v>
      </c>
      <c r="M94">
        <f ca="1">SUM($L$3:L94)</f>
        <v>75.088355217810303</v>
      </c>
      <c r="O94">
        <f ca="1">(Q93*'Arkusz1 (+3)'!J94)-Q93</f>
        <v>1631.7249928433448</v>
      </c>
      <c r="P94" s="16">
        <f t="shared" ca="1" si="15"/>
        <v>11688.328513505649</v>
      </c>
      <c r="Q94" s="17">
        <f t="shared" ca="1" si="16"/>
        <v>349269.0183882062</v>
      </c>
    </row>
    <row r="95" spans="1:17" x14ac:dyDescent="0.35">
      <c r="A95">
        <v>93</v>
      </c>
      <c r="B95" s="14">
        <f t="shared" ca="1" si="17"/>
        <v>48900</v>
      </c>
      <c r="C95" s="15">
        <f ca="1">(1+(('Symulacja Pożyczka'!$B$5+'Symulacja Pożyczka'!$C$19)/100)*('Arkusz1 (+3)'!B95-'Arkusz1 (+3)'!B94)/365)</f>
        <v>1.0046712328767122</v>
      </c>
      <c r="D95" s="15">
        <f ca="1">(1+(('Symulacja Pożyczka'!$B$5+'Symulacja Pożyczka'!$C$19)/100)*('Arkusz1 (+3)'!B95-'Arkusz1 (+3)'!B94)/366)</f>
        <v>1.0046584699453551</v>
      </c>
      <c r="E95" s="15">
        <f t="shared" ca="1" si="9"/>
        <v>0</v>
      </c>
      <c r="F95" s="15">
        <f t="shared" ca="1" si="10"/>
        <v>0</v>
      </c>
      <c r="G95">
        <f ca="1">IF(E95=1,(1+(('Symulacja Pożyczka'!$B$5+'Symulacja Pożyczka'!$C$19)/100)*(((Arkusz1!B95-DATE(YEAR(B95),1,1)+1)/365)+((DATE(YEAR(B94),12,31)-Arkusz1!B94)/366))),IF(F95=1,(1+(('Symulacja Pożyczka'!$B$5+'Symulacja Pożyczka'!$C$19)/100)*(((Arkusz1!B95-DATE(YEAR(B95),1,1)+1)/366)+((DATE(YEAR(B94),12,31)-Arkusz1!B94)/365))),0))</f>
        <v>0</v>
      </c>
      <c r="H95">
        <f t="shared" ca="1" si="11"/>
        <v>0</v>
      </c>
      <c r="I95">
        <f t="shared" ca="1" si="12"/>
        <v>1.0046712328767122</v>
      </c>
      <c r="J95">
        <f t="shared" ca="1" si="13"/>
        <v>1.0046712328767122</v>
      </c>
      <c r="K95">
        <f ca="1">PRODUCT($J$3:J95)</f>
        <v>1.5268554674715109</v>
      </c>
      <c r="L95">
        <f t="shared" ca="1" si="14"/>
        <v>0.65494083841217188</v>
      </c>
      <c r="M95">
        <f ca="1">SUM($L$3:L95)</f>
        <v>75.743296056222476</v>
      </c>
      <c r="O95">
        <f ca="1">(Q94*'Arkusz1 (+3)'!J95)-Q94</f>
        <v>1631.5169215119677</v>
      </c>
      <c r="P95" s="16">
        <f t="shared" ca="1" si="15"/>
        <v>11688.536584837026</v>
      </c>
      <c r="Q95" s="17">
        <f t="shared" ca="1" si="16"/>
        <v>337580.48180336918</v>
      </c>
    </row>
    <row r="96" spans="1:17" x14ac:dyDescent="0.35">
      <c r="A96">
        <v>94</v>
      </c>
      <c r="B96" s="14">
        <f t="shared" ca="1" si="17"/>
        <v>48930</v>
      </c>
      <c r="C96" s="15">
        <f ca="1">(1+(('Symulacja Pożyczka'!$B$5+'Symulacja Pożyczka'!$C$19)/100)*('Arkusz1 (+3)'!B96-'Arkusz1 (+3)'!B95)/365)</f>
        <v>1.0045205479452055</v>
      </c>
      <c r="D96" s="15">
        <f ca="1">(1+(('Symulacja Pożyczka'!$B$5+'Symulacja Pożyczka'!$C$19)/100)*('Arkusz1 (+3)'!B96-'Arkusz1 (+3)'!B95)/366)</f>
        <v>1.0045081967213114</v>
      </c>
      <c r="E96" s="15">
        <f t="shared" ca="1" si="9"/>
        <v>0</v>
      </c>
      <c r="F96" s="15">
        <f t="shared" ca="1" si="10"/>
        <v>0</v>
      </c>
      <c r="G96">
        <f ca="1">IF(E96=1,(1+(('Symulacja Pożyczka'!$B$5+'Symulacja Pożyczka'!$C$19)/100)*(((Arkusz1!B96-DATE(YEAR(B96),1,1)+1)/365)+((DATE(YEAR(B95),12,31)-Arkusz1!B95)/366))),IF(F96=1,(1+(('Symulacja Pożyczka'!$B$5+'Symulacja Pożyczka'!$C$19)/100)*(((Arkusz1!B96-DATE(YEAR(B96),1,1)+1)/366)+((DATE(YEAR(B95),12,31)-Arkusz1!B95)/365))),0))</f>
        <v>0</v>
      </c>
      <c r="H96">
        <f t="shared" ca="1" si="11"/>
        <v>0</v>
      </c>
      <c r="I96">
        <f t="shared" ca="1" si="12"/>
        <v>1.0045205479452055</v>
      </c>
      <c r="J96">
        <f t="shared" ca="1" si="13"/>
        <v>1.0045205479452055</v>
      </c>
      <c r="K96">
        <f ca="1">PRODUCT($J$3:J96)</f>
        <v>1.5337576908176151</v>
      </c>
      <c r="L96">
        <f t="shared" ca="1" si="14"/>
        <v>0.65199347066805591</v>
      </c>
      <c r="M96">
        <f ca="1">SUM($L$3:L96)</f>
        <v>76.395289526890537</v>
      </c>
      <c r="O96">
        <f ca="1">(Q95*'Arkusz1 (+3)'!J96)-Q95</f>
        <v>1526.0487533577252</v>
      </c>
      <c r="P96" s="16">
        <f t="shared" ca="1" si="15"/>
        <v>11794.004752991268</v>
      </c>
      <c r="Q96" s="17">
        <f t="shared" ca="1" si="16"/>
        <v>325786.47705037793</v>
      </c>
    </row>
    <row r="97" spans="1:17" x14ac:dyDescent="0.35">
      <c r="A97">
        <v>95</v>
      </c>
      <c r="B97" s="14">
        <f t="shared" ca="1" si="17"/>
        <v>48961</v>
      </c>
      <c r="C97" s="15">
        <f ca="1">(1+(('Symulacja Pożyczka'!$B$5+'Symulacja Pożyczka'!$C$19)/100)*('Arkusz1 (+3)'!B97-'Arkusz1 (+3)'!B96)/365)</f>
        <v>1.0046712328767122</v>
      </c>
      <c r="D97" s="15">
        <f ca="1">(1+(('Symulacja Pożyczka'!$B$5+'Symulacja Pożyczka'!$C$19)/100)*('Arkusz1 (+3)'!B97-'Arkusz1 (+3)'!B96)/366)</f>
        <v>1.0046584699453551</v>
      </c>
      <c r="E97" s="15">
        <f t="shared" ca="1" si="9"/>
        <v>0</v>
      </c>
      <c r="F97" s="15">
        <f t="shared" ca="1" si="10"/>
        <v>0</v>
      </c>
      <c r="G97">
        <f ca="1">IF(E97=1,(1+(('Symulacja Pożyczka'!$B$5+'Symulacja Pożyczka'!$C$19)/100)*(((Arkusz1!B97-DATE(YEAR(B97),1,1)+1)/365)+((DATE(YEAR(B96),12,31)-Arkusz1!B96)/366))),IF(F97=1,(1+(('Symulacja Pożyczka'!$B$5+'Symulacja Pożyczka'!$C$19)/100)*(((Arkusz1!B97-DATE(YEAR(B97),1,1)+1)/366)+((DATE(YEAR(B96),12,31)-Arkusz1!B96)/365))),0))</f>
        <v>0</v>
      </c>
      <c r="H97">
        <f t="shared" ca="1" si="11"/>
        <v>0</v>
      </c>
      <c r="I97">
        <f t="shared" ca="1" si="12"/>
        <v>1.0046712328767122</v>
      </c>
      <c r="J97">
        <f t="shared" ca="1" si="13"/>
        <v>1.0046712328767122</v>
      </c>
      <c r="K97">
        <f ca="1">PRODUCT($J$3:J97)</f>
        <v>1.5409222301678727</v>
      </c>
      <c r="L97">
        <f t="shared" ca="1" si="14"/>
        <v>0.64896201795405151</v>
      </c>
      <c r="M97">
        <f ca="1">SUM($L$3:L97)</f>
        <v>77.044251544844585</v>
      </c>
      <c r="O97">
        <f ca="1">(Q96*'Arkusz1 (+3)'!J97)-Q96</f>
        <v>1521.8245023859781</v>
      </c>
      <c r="P97" s="16">
        <f t="shared" ca="1" si="15"/>
        <v>11798.229003963015</v>
      </c>
      <c r="Q97" s="17">
        <f t="shared" ca="1" si="16"/>
        <v>313988.24804641493</v>
      </c>
    </row>
    <row r="98" spans="1:17" x14ac:dyDescent="0.35">
      <c r="A98">
        <v>96</v>
      </c>
      <c r="B98" s="14">
        <f t="shared" ca="1" si="17"/>
        <v>48992</v>
      </c>
      <c r="C98" s="15">
        <f ca="1">(1+(('Symulacja Pożyczka'!$B$5+'Symulacja Pożyczka'!$C$19)/100)*('Arkusz1 (+3)'!B98-'Arkusz1 (+3)'!B97)/365)</f>
        <v>1.0046712328767122</v>
      </c>
      <c r="D98" s="15">
        <f ca="1">(1+(('Symulacja Pożyczka'!$B$5+'Symulacja Pożyczka'!$C$19)/100)*('Arkusz1 (+3)'!B98-'Arkusz1 (+3)'!B97)/366)</f>
        <v>1.0046584699453551</v>
      </c>
      <c r="E98" s="15">
        <f t="shared" ca="1" si="9"/>
        <v>0</v>
      </c>
      <c r="F98" s="15">
        <f t="shared" ca="1" si="10"/>
        <v>0</v>
      </c>
      <c r="G98">
        <f ca="1">IF(E98=1,(1+(('Symulacja Pożyczka'!$B$5+'Symulacja Pożyczka'!$C$19)/100)*(((Arkusz1!B98-DATE(YEAR(B98),1,1)+1)/365)+((DATE(YEAR(B97),12,31)-Arkusz1!B97)/366))),IF(F98=1,(1+(('Symulacja Pożyczka'!$B$5+'Symulacja Pożyczka'!$C$19)/100)*(((Arkusz1!B98-DATE(YEAR(B98),1,1)+1)/366)+((DATE(YEAR(B97),12,31)-Arkusz1!B97)/365))),0))</f>
        <v>0</v>
      </c>
      <c r="H98">
        <f t="shared" ca="1" si="11"/>
        <v>0</v>
      </c>
      <c r="I98">
        <f t="shared" ca="1" si="12"/>
        <v>1.0046712328767122</v>
      </c>
      <c r="J98">
        <f t="shared" ca="1" si="13"/>
        <v>1.0046712328767122</v>
      </c>
      <c r="K98">
        <f ca="1">PRODUCT($J$3:J98)</f>
        <v>1.5481202367498896</v>
      </c>
      <c r="L98">
        <f t="shared" ca="1" si="14"/>
        <v>0.64594466002162176</v>
      </c>
      <c r="M98">
        <f ca="1">SUM($L$3:L98)</f>
        <v>77.690196204866211</v>
      </c>
      <c r="O98">
        <f ca="1">(Q97*'Arkusz1 (+3)'!J98)-Q97</f>
        <v>1466.7122271757107</v>
      </c>
      <c r="P98" s="16">
        <f t="shared" ca="1" si="15"/>
        <v>11853.341279173283</v>
      </c>
      <c r="Q98" s="17">
        <f t="shared" ca="1" si="16"/>
        <v>302134.90676724166</v>
      </c>
    </row>
    <row r="99" spans="1:17" x14ac:dyDescent="0.35">
      <c r="A99">
        <v>97</v>
      </c>
      <c r="B99" s="14">
        <f t="shared" ca="1" si="17"/>
        <v>49020</v>
      </c>
      <c r="C99" s="15">
        <f ca="1">(1+(('Symulacja Pożyczka'!$B$5+'Symulacja Pożyczka'!$C$19)/100)*('Arkusz1 (+3)'!B99-'Arkusz1 (+3)'!B98)/365)</f>
        <v>1.0042191780821919</v>
      </c>
      <c r="D99" s="15">
        <f ca="1">(1+(('Symulacja Pożyczka'!$B$5+'Symulacja Pożyczka'!$C$19)/100)*('Arkusz1 (+3)'!B99-'Arkusz1 (+3)'!B98)/366)</f>
        <v>1.004207650273224</v>
      </c>
      <c r="E99" s="15">
        <f t="shared" ca="1" si="9"/>
        <v>0</v>
      </c>
      <c r="F99" s="15">
        <f t="shared" ca="1" si="10"/>
        <v>0</v>
      </c>
      <c r="G99">
        <f ca="1">IF(E99=1,(1+(('Symulacja Pożyczka'!$B$5+'Symulacja Pożyczka'!$C$19)/100)*(((Arkusz1!B99-DATE(YEAR(B99),1,1)+1)/365)+((DATE(YEAR(B98),12,31)-Arkusz1!B98)/366))),IF(F99=1,(1+(('Symulacja Pożyczka'!$B$5+'Symulacja Pożyczka'!$C$19)/100)*(((Arkusz1!B99-DATE(YEAR(B99),1,1)+1)/366)+((DATE(YEAR(B98),12,31)-Arkusz1!B98)/365))),0))</f>
        <v>0</v>
      </c>
      <c r="H99">
        <f t="shared" ca="1" si="11"/>
        <v>0</v>
      </c>
      <c r="I99">
        <f t="shared" ca="1" si="12"/>
        <v>1.0042191780821919</v>
      </c>
      <c r="J99">
        <f t="shared" ca="1" si="13"/>
        <v>1.0042191780821919</v>
      </c>
      <c r="K99">
        <f ca="1">PRODUCT($J$3:J99)</f>
        <v>1.5546520317213823</v>
      </c>
      <c r="L99">
        <f t="shared" ca="1" si="14"/>
        <v>0.64323075491867721</v>
      </c>
      <c r="M99">
        <f ca="1">SUM($L$3:L99)</f>
        <v>78.333426959784887</v>
      </c>
      <c r="O99">
        <f ca="1">(Q98*'Arkusz1 (+3)'!J99)-Q98</f>
        <v>1274.7609764974331</v>
      </c>
      <c r="P99" s="16">
        <f t="shared" ca="1" si="15"/>
        <v>12045.29252985156</v>
      </c>
      <c r="Q99" s="17">
        <f t="shared" ca="1" si="16"/>
        <v>290089.61423739011</v>
      </c>
    </row>
    <row r="100" spans="1:17" x14ac:dyDescent="0.35">
      <c r="A100">
        <v>98</v>
      </c>
      <c r="B100" s="14">
        <f t="shared" ca="1" si="17"/>
        <v>49051</v>
      </c>
      <c r="C100" s="15">
        <f ca="1">(1+(('Symulacja Pożyczka'!$B$5+'Symulacja Pożyczka'!$C$19)/100)*('Arkusz1 (+3)'!B100-'Arkusz1 (+3)'!B99)/365)</f>
        <v>1.0046712328767122</v>
      </c>
      <c r="D100" s="15">
        <f ca="1">(1+(('Symulacja Pożyczka'!$B$5+'Symulacja Pożyczka'!$C$19)/100)*('Arkusz1 (+3)'!B100-'Arkusz1 (+3)'!B99)/366)</f>
        <v>1.0046584699453551</v>
      </c>
      <c r="E100" s="15">
        <f t="shared" ca="1" si="9"/>
        <v>0</v>
      </c>
      <c r="F100" s="15">
        <f t="shared" ca="1" si="10"/>
        <v>0</v>
      </c>
      <c r="G100">
        <f ca="1">IF(E100=1,(1+(('Symulacja Pożyczka'!$B$5+'Symulacja Pożyczka'!$C$19)/100)*(((Arkusz1!B100-DATE(YEAR(B100),1,1)+1)/365)+((DATE(YEAR(B99),12,31)-Arkusz1!B99)/366))),IF(F100=1,(1+(('Symulacja Pożyczka'!$B$5+'Symulacja Pożyczka'!$C$19)/100)*(((Arkusz1!B100-DATE(YEAR(B100),1,1)+1)/366)+((DATE(YEAR(B99),12,31)-Arkusz1!B99)/365))),0))</f>
        <v>0</v>
      </c>
      <c r="H100">
        <f t="shared" ca="1" si="11"/>
        <v>0</v>
      </c>
      <c r="I100">
        <f t="shared" ca="1" si="12"/>
        <v>1.0046712328767122</v>
      </c>
      <c r="J100">
        <f t="shared" ca="1" si="13"/>
        <v>1.0046712328767122</v>
      </c>
      <c r="K100">
        <f ca="1">PRODUCT($J$3:J100)</f>
        <v>1.5619141734038067</v>
      </c>
      <c r="L100">
        <f t="shared" ca="1" si="14"/>
        <v>0.64024004457347783</v>
      </c>
      <c r="M100">
        <f ca="1">SUM($L$3:L100)</f>
        <v>78.973667004358362</v>
      </c>
      <c r="O100">
        <f ca="1">(Q99*'Arkusz1 (+3)'!J100)-Q99</f>
        <v>1355.0761432184372</v>
      </c>
      <c r="P100" s="16">
        <f t="shared" ca="1" si="15"/>
        <v>11964.977363130556</v>
      </c>
      <c r="Q100" s="17">
        <f t="shared" ca="1" si="16"/>
        <v>278124.63687425957</v>
      </c>
    </row>
    <row r="101" spans="1:17" x14ac:dyDescent="0.35">
      <c r="A101">
        <v>99</v>
      </c>
      <c r="B101" s="14">
        <f t="shared" ca="1" si="17"/>
        <v>49081</v>
      </c>
      <c r="C101" s="15">
        <f ca="1">(1+(('Symulacja Pożyczka'!$B$5+'Symulacja Pożyczka'!$C$19)/100)*('Arkusz1 (+3)'!B101-'Arkusz1 (+3)'!B100)/365)</f>
        <v>1.0045205479452055</v>
      </c>
      <c r="D101" s="15">
        <f ca="1">(1+(('Symulacja Pożyczka'!$B$5+'Symulacja Pożyczka'!$C$19)/100)*('Arkusz1 (+3)'!B101-'Arkusz1 (+3)'!B100)/366)</f>
        <v>1.0045081967213114</v>
      </c>
      <c r="E101" s="15">
        <f t="shared" ca="1" si="9"/>
        <v>0</v>
      </c>
      <c r="F101" s="15">
        <f t="shared" ca="1" si="10"/>
        <v>0</v>
      </c>
      <c r="G101">
        <f ca="1">IF(E101=1,(1+(('Symulacja Pożyczka'!$B$5+'Symulacja Pożyczka'!$C$19)/100)*(((Arkusz1!B101-DATE(YEAR(B101),1,1)+1)/365)+((DATE(YEAR(B100),12,31)-Arkusz1!B100)/366))),IF(F101=1,(1+(('Symulacja Pożyczka'!$B$5+'Symulacja Pożyczka'!$C$19)/100)*(((Arkusz1!B101-DATE(YEAR(B101),1,1)+1)/366)+((DATE(YEAR(B100),12,31)-Arkusz1!B100)/365))),0))</f>
        <v>0</v>
      </c>
      <c r="H101">
        <f t="shared" ca="1" si="11"/>
        <v>0</v>
      </c>
      <c r="I101">
        <f t="shared" ca="1" si="12"/>
        <v>1.0045205479452055</v>
      </c>
      <c r="J101">
        <f t="shared" ca="1" si="13"/>
        <v>1.0045205479452055</v>
      </c>
      <c r="K101">
        <f ca="1">PRODUCT($J$3:J101)</f>
        <v>1.5689748813109745</v>
      </c>
      <c r="L101">
        <f t="shared" ca="1" si="14"/>
        <v>0.63735883340875332</v>
      </c>
      <c r="M101">
        <f ca="1">SUM($L$3:L101)</f>
        <v>79.611025837767116</v>
      </c>
      <c r="O101">
        <f ca="1">(Q100*'Arkusz1 (+3)'!J101)-Q100</f>
        <v>1257.2757557329605</v>
      </c>
      <c r="P101" s="16">
        <f t="shared" ca="1" si="15"/>
        <v>12062.777750616033</v>
      </c>
      <c r="Q101" s="17">
        <f t="shared" ca="1" si="16"/>
        <v>266061.85912364355</v>
      </c>
    </row>
    <row r="102" spans="1:17" x14ac:dyDescent="0.35">
      <c r="A102">
        <v>100</v>
      </c>
      <c r="B102" s="14">
        <f t="shared" ca="1" si="17"/>
        <v>49112</v>
      </c>
      <c r="C102" s="15">
        <f ca="1">(1+(('Symulacja Pożyczka'!$B$5+'Symulacja Pożyczka'!$C$19)/100)*('Arkusz1 (+3)'!B102-'Arkusz1 (+3)'!B101)/365)</f>
        <v>1.0046712328767122</v>
      </c>
      <c r="D102" s="15">
        <f ca="1">(1+(('Symulacja Pożyczka'!$B$5+'Symulacja Pożyczka'!$C$19)/100)*('Arkusz1 (+3)'!B102-'Arkusz1 (+3)'!B101)/366)</f>
        <v>1.0046584699453551</v>
      </c>
      <c r="E102" s="15">
        <f t="shared" ca="1" si="9"/>
        <v>0</v>
      </c>
      <c r="F102" s="15">
        <f t="shared" ca="1" si="10"/>
        <v>0</v>
      </c>
      <c r="G102">
        <f ca="1">IF(E102=1,(1+(('Symulacja Pożyczka'!$B$5+'Symulacja Pożyczka'!$C$19)/100)*(((Arkusz1!B102-DATE(YEAR(B102),1,1)+1)/365)+((DATE(YEAR(B101),12,31)-Arkusz1!B101)/366))),IF(F102=1,(1+(('Symulacja Pożyczka'!$B$5+'Symulacja Pożyczka'!$C$19)/100)*(((Arkusz1!B102-DATE(YEAR(B102),1,1)+1)/366)+((DATE(YEAR(B101),12,31)-Arkusz1!B101)/365))),0))</f>
        <v>0</v>
      </c>
      <c r="H102">
        <f t="shared" ca="1" si="11"/>
        <v>0</v>
      </c>
      <c r="I102">
        <f t="shared" ca="1" si="12"/>
        <v>1.0046712328767122</v>
      </c>
      <c r="J102">
        <f t="shared" ca="1" si="13"/>
        <v>1.0046712328767122</v>
      </c>
      <c r="K102">
        <f ca="1">PRODUCT($J$3:J102)</f>
        <v>1.5763039283592899</v>
      </c>
      <c r="L102">
        <f t="shared" ca="1" si="14"/>
        <v>0.63439542464431908</v>
      </c>
      <c r="M102">
        <f ca="1">SUM($L$3:L102)</f>
        <v>80.24542126241144</v>
      </c>
      <c r="O102">
        <f ca="1">(Q101*'Arkusz1 (+3)'!J102)-Q101</f>
        <v>1242.836903577554</v>
      </c>
      <c r="P102" s="16">
        <f t="shared" ca="1" si="15"/>
        <v>12077.216602771439</v>
      </c>
      <c r="Q102" s="17">
        <f t="shared" ca="1" si="16"/>
        <v>253984.64252087212</v>
      </c>
    </row>
    <row r="103" spans="1:17" x14ac:dyDescent="0.35">
      <c r="A103">
        <v>101</v>
      </c>
      <c r="B103" s="14">
        <f t="shared" ca="1" si="17"/>
        <v>49142</v>
      </c>
      <c r="C103" s="15">
        <f ca="1">(1+(('Symulacja Pożyczka'!$B$5+'Symulacja Pożyczka'!$C$19)/100)*('Arkusz1 (+3)'!B103-'Arkusz1 (+3)'!B102)/365)</f>
        <v>1.0045205479452055</v>
      </c>
      <c r="D103" s="15">
        <f ca="1">(1+(('Symulacja Pożyczka'!$B$5+'Symulacja Pożyczka'!$C$19)/100)*('Arkusz1 (+3)'!B103-'Arkusz1 (+3)'!B102)/366)</f>
        <v>1.0045081967213114</v>
      </c>
      <c r="E103" s="15">
        <f t="shared" ca="1" si="9"/>
        <v>0</v>
      </c>
      <c r="F103" s="15">
        <f t="shared" ca="1" si="10"/>
        <v>0</v>
      </c>
      <c r="G103">
        <f ca="1">IF(E103=1,(1+(('Symulacja Pożyczka'!$B$5+'Symulacja Pożyczka'!$C$19)/100)*(((Arkusz1!B103-DATE(YEAR(B103),1,1)+1)/365)+((DATE(YEAR(B102),12,31)-Arkusz1!B102)/366))),IF(F103=1,(1+(('Symulacja Pożyczka'!$B$5+'Symulacja Pożyczka'!$C$19)/100)*(((Arkusz1!B103-DATE(YEAR(B103),1,1)+1)/366)+((DATE(YEAR(B102),12,31)-Arkusz1!B102)/365))),0))</f>
        <v>0</v>
      </c>
      <c r="H103">
        <f t="shared" ca="1" si="11"/>
        <v>0</v>
      </c>
      <c r="I103">
        <f t="shared" ca="1" si="12"/>
        <v>1.0045205479452055</v>
      </c>
      <c r="J103">
        <f t="shared" ca="1" si="13"/>
        <v>1.0045205479452055</v>
      </c>
      <c r="K103">
        <f ca="1">PRODUCT($J$3:J103)</f>
        <v>1.5834296858436538</v>
      </c>
      <c r="L103">
        <f t="shared" ca="1" si="14"/>
        <v>0.6315405154648206</v>
      </c>
      <c r="M103">
        <f ca="1">SUM($L$3:L103)</f>
        <v>80.876961777876261</v>
      </c>
      <c r="O103">
        <f ca="1">(Q102*'Arkusz1 (+3)'!J103)-Q102</f>
        <v>1148.1497538614785</v>
      </c>
      <c r="P103" s="16">
        <f t="shared" ca="1" si="15"/>
        <v>12171.903752487515</v>
      </c>
      <c r="Q103" s="17">
        <f t="shared" ca="1" si="16"/>
        <v>241812.73876838462</v>
      </c>
    </row>
    <row r="104" spans="1:17" x14ac:dyDescent="0.35">
      <c r="A104">
        <v>102</v>
      </c>
      <c r="B104" s="14">
        <f t="shared" ca="1" si="17"/>
        <v>49173</v>
      </c>
      <c r="C104" s="15">
        <f ca="1">(1+(('Symulacja Pożyczka'!$B$5+'Symulacja Pożyczka'!$C$19)/100)*('Arkusz1 (+3)'!B104-'Arkusz1 (+3)'!B103)/365)</f>
        <v>1.0046712328767122</v>
      </c>
      <c r="D104" s="15">
        <f ca="1">(1+(('Symulacja Pożyczka'!$B$5+'Symulacja Pożyczka'!$C$19)/100)*('Arkusz1 (+3)'!B104-'Arkusz1 (+3)'!B103)/366)</f>
        <v>1.0046584699453551</v>
      </c>
      <c r="E104" s="15">
        <f t="shared" ca="1" si="9"/>
        <v>0</v>
      </c>
      <c r="F104" s="15">
        <f t="shared" ca="1" si="10"/>
        <v>0</v>
      </c>
      <c r="G104">
        <f ca="1">IF(E104=1,(1+(('Symulacja Pożyczka'!$B$5+'Symulacja Pożyczka'!$C$19)/100)*(((Arkusz1!B104-DATE(YEAR(B104),1,1)+1)/365)+((DATE(YEAR(B103),12,31)-Arkusz1!B103)/366))),IF(F104=1,(1+(('Symulacja Pożyczka'!$B$5+'Symulacja Pożyczka'!$C$19)/100)*(((Arkusz1!B104-DATE(YEAR(B104),1,1)+1)/366)+((DATE(YEAR(B103),12,31)-Arkusz1!B103)/365))),0))</f>
        <v>0</v>
      </c>
      <c r="H104">
        <f t="shared" ca="1" si="11"/>
        <v>0</v>
      </c>
      <c r="I104">
        <f t="shared" ca="1" si="12"/>
        <v>1.0046712328767122</v>
      </c>
      <c r="J104">
        <f t="shared" ca="1" si="13"/>
        <v>1.0046712328767122</v>
      </c>
      <c r="K104">
        <f ca="1">PRODUCT($J$3:J104)</f>
        <v>1.5908262546501288</v>
      </c>
      <c r="L104">
        <f t="shared" ca="1" si="14"/>
        <v>0.62860415905062517</v>
      </c>
      <c r="M104">
        <f ca="1">SUM($L$3:L104)</f>
        <v>81.505565936926885</v>
      </c>
      <c r="O104">
        <f ca="1">(Q103*'Arkusz1 (+3)'!J104)-Q103</f>
        <v>1129.5636153426894</v>
      </c>
      <c r="P104" s="16">
        <f t="shared" ca="1" si="15"/>
        <v>12190.489891006304</v>
      </c>
      <c r="Q104" s="17">
        <f t="shared" ca="1" si="16"/>
        <v>229622.24887737833</v>
      </c>
    </row>
    <row r="105" spans="1:17" x14ac:dyDescent="0.35">
      <c r="A105">
        <v>103</v>
      </c>
      <c r="B105" s="14">
        <f t="shared" ca="1" si="17"/>
        <v>49204</v>
      </c>
      <c r="C105" s="15">
        <f ca="1">(1+(('Symulacja Pożyczka'!$B$5+'Symulacja Pożyczka'!$C$19)/100)*('Arkusz1 (+3)'!B105-'Arkusz1 (+3)'!B104)/365)</f>
        <v>1.0046712328767122</v>
      </c>
      <c r="D105" s="15">
        <f ca="1">(1+(('Symulacja Pożyczka'!$B$5+'Symulacja Pożyczka'!$C$19)/100)*('Arkusz1 (+3)'!B105-'Arkusz1 (+3)'!B104)/366)</f>
        <v>1.0046584699453551</v>
      </c>
      <c r="E105" s="15">
        <f t="shared" ca="1" si="9"/>
        <v>0</v>
      </c>
      <c r="F105" s="15">
        <f t="shared" ca="1" si="10"/>
        <v>0</v>
      </c>
      <c r="G105">
        <f ca="1">IF(E105=1,(1+(('Symulacja Pożyczka'!$B$5+'Symulacja Pożyczka'!$C$19)/100)*(((Arkusz1!B105-DATE(YEAR(B105),1,1)+1)/365)+((DATE(YEAR(B104),12,31)-Arkusz1!B104)/366))),IF(F105=1,(1+(('Symulacja Pożyczka'!$B$5+'Symulacja Pożyczka'!$C$19)/100)*(((Arkusz1!B105-DATE(YEAR(B105),1,1)+1)/366)+((DATE(YEAR(B104),12,31)-Arkusz1!B104)/365))),0))</f>
        <v>0</v>
      </c>
      <c r="H105">
        <f t="shared" ca="1" si="11"/>
        <v>0</v>
      </c>
      <c r="I105">
        <f t="shared" ca="1" si="12"/>
        <v>1.0046712328767122</v>
      </c>
      <c r="J105">
        <f t="shared" ca="1" si="13"/>
        <v>1.0046712328767122</v>
      </c>
      <c r="K105">
        <f ca="1">PRODUCT($J$3:J105)</f>
        <v>1.5982573745519875</v>
      </c>
      <c r="L105">
        <f t="shared" ca="1" si="14"/>
        <v>0.62568145526643548</v>
      </c>
      <c r="M105">
        <f ca="1">SUM($L$3:L105)</f>
        <v>82.131247392193316</v>
      </c>
      <c r="O105">
        <f ca="1">(Q104*'Arkusz1 (+3)'!J105)-Q104</f>
        <v>1072.6189981806092</v>
      </c>
      <c r="P105" s="16">
        <f t="shared" ca="1" si="15"/>
        <v>12247.434508168384</v>
      </c>
      <c r="Q105" s="17">
        <f t="shared" ca="1" si="16"/>
        <v>217374.81436920995</v>
      </c>
    </row>
    <row r="106" spans="1:17" x14ac:dyDescent="0.35">
      <c r="A106">
        <v>104</v>
      </c>
      <c r="B106" s="14">
        <f t="shared" ca="1" si="17"/>
        <v>49234</v>
      </c>
      <c r="C106" s="15">
        <f ca="1">(1+(('Symulacja Pożyczka'!$B$5+'Symulacja Pożyczka'!$C$19)/100)*('Arkusz1 (+3)'!B106-'Arkusz1 (+3)'!B105)/365)</f>
        <v>1.0045205479452055</v>
      </c>
      <c r="D106" s="15">
        <f ca="1">(1+(('Symulacja Pożyczka'!$B$5+'Symulacja Pożyczka'!$C$19)/100)*('Arkusz1 (+3)'!B106-'Arkusz1 (+3)'!B105)/366)</f>
        <v>1.0045081967213114</v>
      </c>
      <c r="E106" s="15">
        <f t="shared" ca="1" si="9"/>
        <v>0</v>
      </c>
      <c r="F106" s="15">
        <f t="shared" ca="1" si="10"/>
        <v>0</v>
      </c>
      <c r="G106">
        <f ca="1">IF(E106=1,(1+(('Symulacja Pożyczka'!$B$5+'Symulacja Pożyczka'!$C$19)/100)*(((Arkusz1!B106-DATE(YEAR(B106),1,1)+1)/365)+((DATE(YEAR(B105),12,31)-Arkusz1!B105)/366))),IF(F106=1,(1+(('Symulacja Pożyczka'!$B$5+'Symulacja Pożyczka'!$C$19)/100)*(((Arkusz1!B106-DATE(YEAR(B106),1,1)+1)/366)+((DATE(YEAR(B105),12,31)-Arkusz1!B105)/365))),0))</f>
        <v>0</v>
      </c>
      <c r="H106">
        <f t="shared" ca="1" si="11"/>
        <v>0</v>
      </c>
      <c r="I106">
        <f t="shared" ca="1" si="12"/>
        <v>1.0045205479452055</v>
      </c>
      <c r="J106">
        <f t="shared" ca="1" si="13"/>
        <v>1.0045205479452055</v>
      </c>
      <c r="K106">
        <f ca="1">PRODUCT($J$3:J106)</f>
        <v>1.605482373642428</v>
      </c>
      <c r="L106">
        <f t="shared" ca="1" si="14"/>
        <v>0.62286576073162137</v>
      </c>
      <c r="M106">
        <f ca="1">SUM($L$3:L106)</f>
        <v>82.754113152924944</v>
      </c>
      <c r="O106">
        <f ca="1">(Q105*'Arkusz1 (+3)'!J106)-Q105</f>
        <v>982.6532704361598</v>
      </c>
      <c r="P106" s="16">
        <f t="shared" ca="1" si="15"/>
        <v>12337.400235912834</v>
      </c>
      <c r="Q106" s="17">
        <f t="shared" ca="1" si="16"/>
        <v>205037.41413329713</v>
      </c>
    </row>
    <row r="107" spans="1:17" x14ac:dyDescent="0.35">
      <c r="A107">
        <v>105</v>
      </c>
      <c r="B107" s="14">
        <f t="shared" ca="1" si="17"/>
        <v>49265</v>
      </c>
      <c r="C107" s="15">
        <f ca="1">(1+(('Symulacja Pożyczka'!$B$5+'Symulacja Pożyczka'!$C$19)/100)*('Arkusz1 (+3)'!B107-'Arkusz1 (+3)'!B106)/365)</f>
        <v>1.0046712328767122</v>
      </c>
      <c r="D107" s="15">
        <f ca="1">(1+(('Symulacja Pożyczka'!$B$5+'Symulacja Pożyczka'!$C$19)/100)*('Arkusz1 (+3)'!B107-'Arkusz1 (+3)'!B106)/366)</f>
        <v>1.0046584699453551</v>
      </c>
      <c r="E107" s="15">
        <f t="shared" ca="1" si="9"/>
        <v>0</v>
      </c>
      <c r="F107" s="15">
        <f t="shared" ca="1" si="10"/>
        <v>0</v>
      </c>
      <c r="G107">
        <f ca="1">IF(E107=1,(1+(('Symulacja Pożyczka'!$B$5+'Symulacja Pożyczka'!$C$19)/100)*(((Arkusz1!B107-DATE(YEAR(B107),1,1)+1)/365)+((DATE(YEAR(B106),12,31)-Arkusz1!B106)/366))),IF(F107=1,(1+(('Symulacja Pożyczka'!$B$5+'Symulacja Pożyczka'!$C$19)/100)*(((Arkusz1!B107-DATE(YEAR(B107),1,1)+1)/366)+((DATE(YEAR(B106),12,31)-Arkusz1!B106)/365))),0))</f>
        <v>0</v>
      </c>
      <c r="H107">
        <f t="shared" ca="1" si="11"/>
        <v>0</v>
      </c>
      <c r="I107">
        <f t="shared" ca="1" si="12"/>
        <v>1.0046712328767122</v>
      </c>
      <c r="J107">
        <f t="shared" ca="1" si="13"/>
        <v>1.0046712328767122</v>
      </c>
      <c r="K107">
        <f ca="1">PRODUCT($J$3:J107)</f>
        <v>1.6129819556891685</v>
      </c>
      <c r="L107">
        <f t="shared" ca="1" si="14"/>
        <v>0.61996973771026254</v>
      </c>
      <c r="M107">
        <f ca="1">SUM($L$3:L107)</f>
        <v>83.374082890635208</v>
      </c>
      <c r="O107">
        <f ca="1">(Q106*'Arkusz1 (+3)'!J107)-Q106</f>
        <v>957.77750985551393</v>
      </c>
      <c r="P107" s="16">
        <f t="shared" ca="1" si="15"/>
        <v>12362.275996493479</v>
      </c>
      <c r="Q107" s="17">
        <f t="shared" ca="1" si="16"/>
        <v>192675.13813680367</v>
      </c>
    </row>
    <row r="108" spans="1:17" x14ac:dyDescent="0.35">
      <c r="A108">
        <v>106</v>
      </c>
      <c r="B108" s="14">
        <f t="shared" ca="1" si="17"/>
        <v>49295</v>
      </c>
      <c r="C108" s="15">
        <f ca="1">(1+(('Symulacja Pożyczka'!$B$5+'Symulacja Pożyczka'!$C$19)/100)*('Arkusz1 (+3)'!B108-'Arkusz1 (+3)'!B107)/365)</f>
        <v>1.0045205479452055</v>
      </c>
      <c r="D108" s="15">
        <f ca="1">(1+(('Symulacja Pożyczka'!$B$5+'Symulacja Pożyczka'!$C$19)/100)*('Arkusz1 (+3)'!B108-'Arkusz1 (+3)'!B107)/366)</f>
        <v>1.0045081967213114</v>
      </c>
      <c r="E108" s="15">
        <f t="shared" ca="1" si="9"/>
        <v>0</v>
      </c>
      <c r="F108" s="15">
        <f t="shared" ca="1" si="10"/>
        <v>0</v>
      </c>
      <c r="G108">
        <f ca="1">IF(E108=1,(1+(('Symulacja Pożyczka'!$B$5+'Symulacja Pożyczka'!$C$19)/100)*(((Arkusz1!B108-DATE(YEAR(B108),1,1)+1)/365)+((DATE(YEAR(B107),12,31)-Arkusz1!B107)/366))),IF(F108=1,(1+(('Symulacja Pożyczka'!$B$5+'Symulacja Pożyczka'!$C$19)/100)*(((Arkusz1!B108-DATE(YEAR(B108),1,1)+1)/366)+((DATE(YEAR(B107),12,31)-Arkusz1!B107)/365))),0))</f>
        <v>0</v>
      </c>
      <c r="H108">
        <f t="shared" ca="1" si="11"/>
        <v>0</v>
      </c>
      <c r="I108">
        <f t="shared" ca="1" si="12"/>
        <v>1.0045205479452055</v>
      </c>
      <c r="J108">
        <f t="shared" ca="1" si="13"/>
        <v>1.0045205479452055</v>
      </c>
      <c r="K108">
        <f ca="1">PRODUCT($J$3:J108)</f>
        <v>1.6202735179546126</v>
      </c>
      <c r="L108">
        <f t="shared" ca="1" si="14"/>
        <v>0.61717974707281009</v>
      </c>
      <c r="M108">
        <f ca="1">SUM($L$3:L108)</f>
        <v>83.991262637708019</v>
      </c>
      <c r="O108">
        <f ca="1">(Q107*'Arkusz1 (+3)'!J108)-Q107</f>
        <v>870.99719979651854</v>
      </c>
      <c r="P108" s="16">
        <f t="shared" ca="1" si="15"/>
        <v>12449.056306552475</v>
      </c>
      <c r="Q108" s="17">
        <f t="shared" ca="1" si="16"/>
        <v>180226.08183025121</v>
      </c>
    </row>
    <row r="109" spans="1:17" x14ac:dyDescent="0.35">
      <c r="A109">
        <v>107</v>
      </c>
      <c r="B109" s="14">
        <f t="shared" ca="1" si="17"/>
        <v>49326</v>
      </c>
      <c r="C109" s="15">
        <f ca="1">(1+(('Symulacja Pożyczka'!$B$5+'Symulacja Pożyczka'!$C$19)/100)*('Arkusz1 (+3)'!B109-'Arkusz1 (+3)'!B108)/365)</f>
        <v>1.0046712328767122</v>
      </c>
      <c r="D109" s="15">
        <f ca="1">(1+(('Symulacja Pożyczka'!$B$5+'Symulacja Pożyczka'!$C$19)/100)*('Arkusz1 (+3)'!B109-'Arkusz1 (+3)'!B108)/366)</f>
        <v>1.0046584699453551</v>
      </c>
      <c r="E109" s="15">
        <f t="shared" ca="1" si="9"/>
        <v>0</v>
      </c>
      <c r="F109" s="15">
        <f t="shared" ca="1" si="10"/>
        <v>0</v>
      </c>
      <c r="G109">
        <f ca="1">IF(E109=1,(1+(('Symulacja Pożyczka'!$B$5+'Symulacja Pożyczka'!$C$19)/100)*(((Arkusz1!B109-DATE(YEAR(B109),1,1)+1)/365)+((DATE(YEAR(B108),12,31)-Arkusz1!B108)/366))),IF(F109=1,(1+(('Symulacja Pożyczka'!$B$5+'Symulacja Pożyczka'!$C$19)/100)*(((Arkusz1!B109-DATE(YEAR(B109),1,1)+1)/366)+((DATE(YEAR(B108),12,31)-Arkusz1!B108)/365))),0))</f>
        <v>0</v>
      </c>
      <c r="H109">
        <f t="shared" ca="1" si="11"/>
        <v>0</v>
      </c>
      <c r="I109">
        <f t="shared" ca="1" si="12"/>
        <v>1.0046712328767122</v>
      </c>
      <c r="J109">
        <f t="shared" ca="1" si="13"/>
        <v>1.0046712328767122</v>
      </c>
      <c r="K109">
        <f ca="1">PRODUCT($J$3:J109)</f>
        <v>1.6278421928809483</v>
      </c>
      <c r="L109">
        <f t="shared" ca="1" si="14"/>
        <v>0.61431016125107563</v>
      </c>
      <c r="M109">
        <f ca="1">SUM($L$3:L109)</f>
        <v>84.605572798959088</v>
      </c>
      <c r="O109">
        <f ca="1">(Q108*'Arkusz1 (+3)'!J109)-Q108</f>
        <v>841.877998686512</v>
      </c>
      <c r="P109" s="16">
        <f t="shared" ca="1" si="15"/>
        <v>12478.175507662481</v>
      </c>
      <c r="Q109" s="17">
        <f t="shared" ca="1" si="16"/>
        <v>167747.90632258874</v>
      </c>
    </row>
    <row r="110" spans="1:17" x14ac:dyDescent="0.35">
      <c r="A110">
        <v>108</v>
      </c>
      <c r="B110" s="14">
        <f t="shared" ca="1" si="17"/>
        <v>49357</v>
      </c>
      <c r="C110" s="15">
        <f ca="1">(1+(('Symulacja Pożyczka'!$B$5+'Symulacja Pożyczka'!$C$19)/100)*('Arkusz1 (+3)'!B110-'Arkusz1 (+3)'!B109)/365)</f>
        <v>1.0046712328767122</v>
      </c>
      <c r="D110" s="15">
        <f ca="1">(1+(('Symulacja Pożyczka'!$B$5+'Symulacja Pożyczka'!$C$19)/100)*('Arkusz1 (+3)'!B110-'Arkusz1 (+3)'!B109)/366)</f>
        <v>1.0046584699453551</v>
      </c>
      <c r="E110" s="15">
        <f t="shared" ca="1" si="9"/>
        <v>0</v>
      </c>
      <c r="F110" s="15">
        <f t="shared" ca="1" si="10"/>
        <v>0</v>
      </c>
      <c r="G110">
        <f ca="1">IF(E110=1,(1+(('Symulacja Pożyczka'!$B$5+'Symulacja Pożyczka'!$C$19)/100)*(((Arkusz1!B110-DATE(YEAR(B110),1,1)+1)/365)+((DATE(YEAR(B109),12,31)-Arkusz1!B109)/366))),IF(F110=1,(1+(('Symulacja Pożyczka'!$B$5+'Symulacja Pożyczka'!$C$19)/100)*(((Arkusz1!B110-DATE(YEAR(B110),1,1)+1)/366)+((DATE(YEAR(B109),12,31)-Arkusz1!B109)/365))),0))</f>
        <v>0</v>
      </c>
      <c r="H110">
        <f t="shared" ca="1" si="11"/>
        <v>0</v>
      </c>
      <c r="I110">
        <f t="shared" ca="1" si="12"/>
        <v>1.0046712328767122</v>
      </c>
      <c r="J110">
        <f t="shared" ca="1" si="13"/>
        <v>1.0046712328767122</v>
      </c>
      <c r="K110">
        <f ca="1">PRODUCT($J$3:J110)</f>
        <v>1.6354462228504332</v>
      </c>
      <c r="L110">
        <f t="shared" ca="1" si="14"/>
        <v>0.61145391760854817</v>
      </c>
      <c r="M110">
        <f ca="1">SUM($L$3:L110)</f>
        <v>85.217026716567631</v>
      </c>
      <c r="O110">
        <f ca="1">(Q109*'Arkusz1 (+3)'!J110)-Q109</f>
        <v>783.58953501371434</v>
      </c>
      <c r="P110" s="16">
        <f t="shared" ca="1" si="15"/>
        <v>12536.463971335279</v>
      </c>
      <c r="Q110" s="17">
        <f t="shared" ca="1" si="16"/>
        <v>155211.44235125347</v>
      </c>
    </row>
    <row r="111" spans="1:17" x14ac:dyDescent="0.35">
      <c r="A111">
        <v>109</v>
      </c>
      <c r="B111" s="14">
        <f t="shared" ca="1" si="17"/>
        <v>49385</v>
      </c>
      <c r="C111" s="15">
        <f ca="1">(1+(('Symulacja Pożyczka'!$B$5+'Symulacja Pożyczka'!$C$19)/100)*('Arkusz1 (+3)'!B111-'Arkusz1 (+3)'!B110)/365)</f>
        <v>1.0042191780821919</v>
      </c>
      <c r="D111" s="15">
        <f ca="1">(1+(('Symulacja Pożyczka'!$B$5+'Symulacja Pożyczka'!$C$19)/100)*('Arkusz1 (+3)'!B111-'Arkusz1 (+3)'!B110)/366)</f>
        <v>1.004207650273224</v>
      </c>
      <c r="E111" s="15">
        <f t="shared" ca="1" si="9"/>
        <v>0</v>
      </c>
      <c r="F111" s="15">
        <f t="shared" ca="1" si="10"/>
        <v>0</v>
      </c>
      <c r="G111">
        <f ca="1">IF(E111=1,(1+(('Symulacja Pożyczka'!$B$5+'Symulacja Pożyczka'!$C$19)/100)*(((Arkusz1!B111-DATE(YEAR(B111),1,1)+1)/365)+((DATE(YEAR(B110),12,31)-Arkusz1!B110)/366))),IF(F111=1,(1+(('Symulacja Pożyczka'!$B$5+'Symulacja Pożyczka'!$C$19)/100)*(((Arkusz1!B111-DATE(YEAR(B111),1,1)+1)/366)+((DATE(YEAR(B110),12,31)-Arkusz1!B110)/365))),0))</f>
        <v>0</v>
      </c>
      <c r="H111">
        <f t="shared" ca="1" si="11"/>
        <v>0</v>
      </c>
      <c r="I111">
        <f t="shared" ca="1" si="12"/>
        <v>1.0042191780821919</v>
      </c>
      <c r="J111">
        <f t="shared" ca="1" si="13"/>
        <v>1.0042191780821919</v>
      </c>
      <c r="K111">
        <f ca="1">PRODUCT($J$3:J111)</f>
        <v>1.6423464617084871</v>
      </c>
      <c r="L111">
        <f t="shared" ca="1" si="14"/>
        <v>0.60888492368396374</v>
      </c>
      <c r="M111">
        <f ca="1">SUM($L$3:L111)</f>
        <v>85.82591164025159</v>
      </c>
      <c r="O111">
        <f ca="1">(Q110*'Arkusz1 (+3)'!J111)-Q110</f>
        <v>654.86471567378612</v>
      </c>
      <c r="P111" s="16">
        <f t="shared" ca="1" si="15"/>
        <v>12665.188790675207</v>
      </c>
      <c r="Q111" s="17">
        <f t="shared" ca="1" si="16"/>
        <v>142546.25356057828</v>
      </c>
    </row>
    <row r="112" spans="1:17" x14ac:dyDescent="0.35">
      <c r="A112">
        <v>110</v>
      </c>
      <c r="B112" s="14">
        <f t="shared" ca="1" si="17"/>
        <v>49416</v>
      </c>
      <c r="C112" s="15">
        <f ca="1">(1+(('Symulacja Pożyczka'!$B$5+'Symulacja Pożyczka'!$C$19)/100)*('Arkusz1 (+3)'!B112-'Arkusz1 (+3)'!B111)/365)</f>
        <v>1.0046712328767122</v>
      </c>
      <c r="D112" s="15">
        <f ca="1">(1+(('Symulacja Pożyczka'!$B$5+'Symulacja Pożyczka'!$C$19)/100)*('Arkusz1 (+3)'!B112-'Arkusz1 (+3)'!B111)/366)</f>
        <v>1.0046584699453551</v>
      </c>
      <c r="E112" s="15">
        <f t="shared" ca="1" si="9"/>
        <v>0</v>
      </c>
      <c r="F112" s="15">
        <f t="shared" ca="1" si="10"/>
        <v>0</v>
      </c>
      <c r="G112">
        <f ca="1">IF(E112=1,(1+(('Symulacja Pożyczka'!$B$5+'Symulacja Pożyczka'!$C$19)/100)*(((Arkusz1!B112-DATE(YEAR(B112),1,1)+1)/365)+((DATE(YEAR(B111),12,31)-Arkusz1!B111)/366))),IF(F112=1,(1+(('Symulacja Pożyczka'!$B$5+'Symulacja Pożyczka'!$C$19)/100)*(((Arkusz1!B112-DATE(YEAR(B112),1,1)+1)/366)+((DATE(YEAR(B111),12,31)-Arkusz1!B111)/365))),0))</f>
        <v>0</v>
      </c>
      <c r="H112">
        <f t="shared" ca="1" si="11"/>
        <v>0</v>
      </c>
      <c r="I112">
        <f t="shared" ca="1" si="12"/>
        <v>1.0046712328767122</v>
      </c>
      <c r="J112">
        <f t="shared" ca="1" si="13"/>
        <v>1.0046712328767122</v>
      </c>
      <c r="K112">
        <f ca="1">PRODUCT($J$3:J112)</f>
        <v>1.6500182444953717</v>
      </c>
      <c r="L112">
        <f t="shared" ca="1" si="14"/>
        <v>0.60605390475899368</v>
      </c>
      <c r="M112">
        <f ca="1">SUM($L$3:L112)</f>
        <v>86.431965545010584</v>
      </c>
      <c r="O112">
        <f ca="1">(Q111*'Arkusz1 (+3)'!J112)-Q111</f>
        <v>665.86674608432804</v>
      </c>
      <c r="P112" s="16">
        <f t="shared" ca="1" si="15"/>
        <v>12654.186760264665</v>
      </c>
      <c r="Q112" s="17">
        <f t="shared" ca="1" si="16"/>
        <v>129892.06680031361</v>
      </c>
    </row>
    <row r="113" spans="1:17" x14ac:dyDescent="0.35">
      <c r="A113">
        <v>111</v>
      </c>
      <c r="B113" s="14">
        <f t="shared" ca="1" si="17"/>
        <v>49446</v>
      </c>
      <c r="C113" s="15">
        <f ca="1">(1+(('Symulacja Pożyczka'!$B$5+'Symulacja Pożyczka'!$C$19)/100)*('Arkusz1 (+3)'!B113-'Arkusz1 (+3)'!B112)/365)</f>
        <v>1.0045205479452055</v>
      </c>
      <c r="D113" s="15">
        <f ca="1">(1+(('Symulacja Pożyczka'!$B$5+'Symulacja Pożyczka'!$C$19)/100)*('Arkusz1 (+3)'!B113-'Arkusz1 (+3)'!B112)/366)</f>
        <v>1.0045081967213114</v>
      </c>
      <c r="E113" s="15">
        <f t="shared" ca="1" si="9"/>
        <v>0</v>
      </c>
      <c r="F113" s="15">
        <f t="shared" ca="1" si="10"/>
        <v>0</v>
      </c>
      <c r="G113">
        <f ca="1">IF(E113=1,(1+(('Symulacja Pożyczka'!$B$5+'Symulacja Pożyczka'!$C$19)/100)*(((Arkusz1!B113-DATE(YEAR(B113),1,1)+1)/365)+((DATE(YEAR(B112),12,31)-Arkusz1!B112)/366))),IF(F113=1,(1+(('Symulacja Pożyczka'!$B$5+'Symulacja Pożyczka'!$C$19)/100)*(((Arkusz1!B113-DATE(YEAR(B113),1,1)+1)/366)+((DATE(YEAR(B112),12,31)-Arkusz1!B112)/365))),0))</f>
        <v>0</v>
      </c>
      <c r="H113">
        <f t="shared" ca="1" si="11"/>
        <v>0</v>
      </c>
      <c r="I113">
        <f t="shared" ca="1" si="12"/>
        <v>1.0045205479452055</v>
      </c>
      <c r="J113">
        <f t="shared" ca="1" si="13"/>
        <v>1.0045205479452055</v>
      </c>
      <c r="K113">
        <f ca="1">PRODUCT($J$3:J113)</f>
        <v>1.6574772310800769</v>
      </c>
      <c r="L113">
        <f t="shared" ca="1" si="14"/>
        <v>0.60332653821637172</v>
      </c>
      <c r="M113">
        <f ca="1">SUM($L$3:L113)</f>
        <v>87.035292083226949</v>
      </c>
      <c r="O113">
        <f ca="1">(Q112*'Arkusz1 (+3)'!J113)-Q112</f>
        <v>587.18331567264977</v>
      </c>
      <c r="P113" s="16">
        <f t="shared" ca="1" si="15"/>
        <v>12732.870190676344</v>
      </c>
      <c r="Q113" s="17">
        <f t="shared" ca="1" si="16"/>
        <v>117159.19660963726</v>
      </c>
    </row>
    <row r="114" spans="1:17" x14ac:dyDescent="0.35">
      <c r="A114">
        <v>112</v>
      </c>
      <c r="B114" s="14">
        <f t="shared" ca="1" si="17"/>
        <v>49477</v>
      </c>
      <c r="C114" s="15">
        <f ca="1">(1+(('Symulacja Pożyczka'!$B$5+'Symulacja Pożyczka'!$C$19)/100)*('Arkusz1 (+3)'!B114-'Arkusz1 (+3)'!B113)/365)</f>
        <v>1.0046712328767122</v>
      </c>
      <c r="D114" s="15">
        <f ca="1">(1+(('Symulacja Pożyczka'!$B$5+'Symulacja Pożyczka'!$C$19)/100)*('Arkusz1 (+3)'!B114-'Arkusz1 (+3)'!B113)/366)</f>
        <v>1.0046584699453551</v>
      </c>
      <c r="E114" s="15">
        <f t="shared" ca="1" si="9"/>
        <v>0</v>
      </c>
      <c r="F114" s="15">
        <f t="shared" ca="1" si="10"/>
        <v>0</v>
      </c>
      <c r="G114">
        <f ca="1">IF(E114=1,(1+(('Symulacja Pożyczka'!$B$5+'Symulacja Pożyczka'!$C$19)/100)*(((Arkusz1!B114-DATE(YEAR(B114),1,1)+1)/365)+((DATE(YEAR(B113),12,31)-Arkusz1!B113)/366))),IF(F114=1,(1+(('Symulacja Pożyczka'!$B$5+'Symulacja Pożyczka'!$C$19)/100)*(((Arkusz1!B114-DATE(YEAR(B114),1,1)+1)/366)+((DATE(YEAR(B113),12,31)-Arkusz1!B113)/365))),0))</f>
        <v>0</v>
      </c>
      <c r="H114">
        <f t="shared" ca="1" si="11"/>
        <v>0</v>
      </c>
      <c r="I114">
        <f t="shared" ca="1" si="12"/>
        <v>1.0046712328767122</v>
      </c>
      <c r="J114">
        <f t="shared" ca="1" si="13"/>
        <v>1.0046712328767122</v>
      </c>
      <c r="K114">
        <f ca="1">PRODUCT($J$3:J114)</f>
        <v>1.6652196932143002</v>
      </c>
      <c r="L114">
        <f t="shared" ca="1" si="14"/>
        <v>0.60052136308197512</v>
      </c>
      <c r="M114">
        <f ca="1">SUM($L$3:L114)</f>
        <v>87.63581344630893</v>
      </c>
      <c r="O114">
        <f ca="1">(Q113*'Arkusz1 (+3)'!J114)-Q113</f>
        <v>547.27789101212693</v>
      </c>
      <c r="P114" s="16">
        <f t="shared" ca="1" si="15"/>
        <v>12772.775615336866</v>
      </c>
      <c r="Q114" s="17">
        <f t="shared" ca="1" si="16"/>
        <v>104386.4209943004</v>
      </c>
    </row>
    <row r="115" spans="1:17" x14ac:dyDescent="0.35">
      <c r="A115">
        <v>113</v>
      </c>
      <c r="B115" s="14">
        <f t="shared" ca="1" si="17"/>
        <v>49507</v>
      </c>
      <c r="C115" s="15">
        <f ca="1">(1+(('Symulacja Pożyczka'!$B$5+'Symulacja Pożyczka'!$C$19)/100)*('Arkusz1 (+3)'!B115-'Arkusz1 (+3)'!B114)/365)</f>
        <v>1.0045205479452055</v>
      </c>
      <c r="D115" s="15">
        <f ca="1">(1+(('Symulacja Pożyczka'!$B$5+'Symulacja Pożyczka'!$C$19)/100)*('Arkusz1 (+3)'!B115-'Arkusz1 (+3)'!B114)/366)</f>
        <v>1.0045081967213114</v>
      </c>
      <c r="E115" s="15">
        <f t="shared" ca="1" si="9"/>
        <v>0</v>
      </c>
      <c r="F115" s="15">
        <f t="shared" ca="1" si="10"/>
        <v>0</v>
      </c>
      <c r="G115">
        <f ca="1">IF(E115=1,(1+(('Symulacja Pożyczka'!$B$5+'Symulacja Pożyczka'!$C$19)/100)*(((Arkusz1!B115-DATE(YEAR(B115),1,1)+1)/365)+((DATE(YEAR(B114),12,31)-Arkusz1!B114)/366))),IF(F115=1,(1+(('Symulacja Pożyczka'!$B$5+'Symulacja Pożyczka'!$C$19)/100)*(((Arkusz1!B115-DATE(YEAR(B115),1,1)+1)/366)+((DATE(YEAR(B114),12,31)-Arkusz1!B114)/365))),0))</f>
        <v>0</v>
      </c>
      <c r="H115">
        <f t="shared" ca="1" si="11"/>
        <v>0</v>
      </c>
      <c r="I115">
        <f t="shared" ca="1" si="12"/>
        <v>1.0045205479452055</v>
      </c>
      <c r="J115">
        <f t="shared" ca="1" si="13"/>
        <v>1.0045205479452055</v>
      </c>
      <c r="K115">
        <f ca="1">PRODUCT($J$3:J115)</f>
        <v>1.6727473986767758</v>
      </c>
      <c r="L115">
        <f t="shared" ca="1" si="14"/>
        <v>0.59781889410860745</v>
      </c>
      <c r="M115">
        <f ca="1">SUM($L$3:L115)</f>
        <v>88.233632340417543</v>
      </c>
      <c r="O115">
        <f ca="1">(Q114*'Arkusz1 (+3)'!J115)-Q114</f>
        <v>471.88382093314431</v>
      </c>
      <c r="P115" s="16">
        <f t="shared" ca="1" si="15"/>
        <v>12848.169685415849</v>
      </c>
      <c r="Q115" s="17">
        <f t="shared" ca="1" si="16"/>
        <v>91538.251308884544</v>
      </c>
    </row>
    <row r="116" spans="1:17" x14ac:dyDescent="0.35">
      <c r="A116">
        <v>114</v>
      </c>
      <c r="B116" s="14">
        <f t="shared" ca="1" si="17"/>
        <v>49538</v>
      </c>
      <c r="C116" s="15">
        <f ca="1">(1+(('Symulacja Pożyczka'!$B$5+'Symulacja Pożyczka'!$C$19)/100)*('Arkusz1 (+3)'!B116-'Arkusz1 (+3)'!B115)/365)</f>
        <v>1.0046712328767122</v>
      </c>
      <c r="D116" s="15">
        <f ca="1">(1+(('Symulacja Pożyczka'!$B$5+'Symulacja Pożyczka'!$C$19)/100)*('Arkusz1 (+3)'!B116-'Arkusz1 (+3)'!B115)/366)</f>
        <v>1.0046584699453551</v>
      </c>
      <c r="E116" s="15">
        <f t="shared" ca="1" si="9"/>
        <v>0</v>
      </c>
      <c r="F116" s="15">
        <f t="shared" ca="1" si="10"/>
        <v>0</v>
      </c>
      <c r="G116">
        <f ca="1">IF(E116=1,(1+(('Symulacja Pożyczka'!$B$5+'Symulacja Pożyczka'!$C$19)/100)*(((Arkusz1!B116-DATE(YEAR(B116),1,1)+1)/365)+((DATE(YEAR(B115),12,31)-Arkusz1!B115)/366))),IF(F116=1,(1+(('Symulacja Pożyczka'!$B$5+'Symulacja Pożyczka'!$C$19)/100)*(((Arkusz1!B116-DATE(YEAR(B116),1,1)+1)/366)+((DATE(YEAR(B115),12,31)-Arkusz1!B115)/365))),0))</f>
        <v>0</v>
      </c>
      <c r="H116">
        <f t="shared" ca="1" si="11"/>
        <v>0</v>
      </c>
      <c r="I116">
        <f t="shared" ca="1" si="12"/>
        <v>1.0046712328767122</v>
      </c>
      <c r="J116">
        <f t="shared" ca="1" si="13"/>
        <v>1.0046712328767122</v>
      </c>
      <c r="K116">
        <f ca="1">PRODUCT($J$3:J116)</f>
        <v>1.6805611913199097</v>
      </c>
      <c r="L116">
        <f t="shared" ca="1" si="14"/>
        <v>0.59503932684212579</v>
      </c>
      <c r="M116">
        <f ca="1">SUM($L$3:L116)</f>
        <v>88.82867166725967</v>
      </c>
      <c r="O116">
        <f ca="1">(Q115*'Arkusz1 (+3)'!J116)-Q115</f>
        <v>427.59648899080639</v>
      </c>
      <c r="P116" s="16">
        <f t="shared" ca="1" si="15"/>
        <v>12892.457017358187</v>
      </c>
      <c r="Q116" s="17">
        <f t="shared" ca="1" si="16"/>
        <v>78645.794291526356</v>
      </c>
    </row>
    <row r="117" spans="1:17" x14ac:dyDescent="0.35">
      <c r="A117">
        <v>115</v>
      </c>
      <c r="B117" s="14">
        <f t="shared" ca="1" si="17"/>
        <v>49569</v>
      </c>
      <c r="C117" s="15">
        <f ca="1">(1+(('Symulacja Pożyczka'!$B$5+'Symulacja Pożyczka'!$C$19)/100)*('Arkusz1 (+3)'!B117-'Arkusz1 (+3)'!B116)/365)</f>
        <v>1.0046712328767122</v>
      </c>
      <c r="D117" s="15">
        <f ca="1">(1+(('Symulacja Pożyczka'!$B$5+'Symulacja Pożyczka'!$C$19)/100)*('Arkusz1 (+3)'!B117-'Arkusz1 (+3)'!B116)/366)</f>
        <v>1.0046584699453551</v>
      </c>
      <c r="E117" s="15">
        <f t="shared" ca="1" si="9"/>
        <v>0</v>
      </c>
      <c r="F117" s="15">
        <f t="shared" ca="1" si="10"/>
        <v>0</v>
      </c>
      <c r="G117">
        <f ca="1">IF(E117=1,(1+(('Symulacja Pożyczka'!$B$5+'Symulacja Pożyczka'!$C$19)/100)*(((Arkusz1!B117-DATE(YEAR(B117),1,1)+1)/365)+((DATE(YEAR(B116),12,31)-Arkusz1!B116)/366))),IF(F117=1,(1+(('Symulacja Pożyczka'!$B$5+'Symulacja Pożyczka'!$C$19)/100)*(((Arkusz1!B117-DATE(YEAR(B117),1,1)+1)/366)+((DATE(YEAR(B116),12,31)-Arkusz1!B116)/365))),0))</f>
        <v>0</v>
      </c>
      <c r="H117">
        <f t="shared" ca="1" si="11"/>
        <v>0</v>
      </c>
      <c r="I117">
        <f t="shared" ca="1" si="12"/>
        <v>1.0046712328767122</v>
      </c>
      <c r="J117">
        <f t="shared" ca="1" si="13"/>
        <v>1.0046712328767122</v>
      </c>
      <c r="K117">
        <f ca="1">PRODUCT($J$3:J117)</f>
        <v>1.6884114840081299</v>
      </c>
      <c r="L117">
        <f t="shared" ca="1" si="14"/>
        <v>0.59227268321232585</v>
      </c>
      <c r="M117">
        <f ca="1">SUM($L$3:L117)</f>
        <v>89.420944350471999</v>
      </c>
      <c r="O117">
        <f ca="1">(Q116*'Arkusz1 (+3)'!J117)-Q116</f>
        <v>367.37281990972406</v>
      </c>
      <c r="P117" s="16">
        <f t="shared" ca="1" si="15"/>
        <v>12952.680686439269</v>
      </c>
      <c r="Q117" s="17">
        <f t="shared" ca="1" si="16"/>
        <v>65693.113605087085</v>
      </c>
    </row>
    <row r="118" spans="1:17" x14ac:dyDescent="0.35">
      <c r="A118">
        <v>116</v>
      </c>
      <c r="B118" s="14">
        <f t="shared" ca="1" si="17"/>
        <v>49599</v>
      </c>
      <c r="C118" s="15">
        <f ca="1">(1+(('Symulacja Pożyczka'!$B$5+'Symulacja Pożyczka'!$C$19)/100)*('Arkusz1 (+3)'!B118-'Arkusz1 (+3)'!B117)/365)</f>
        <v>1.0045205479452055</v>
      </c>
      <c r="D118" s="15">
        <f ca="1">(1+(('Symulacja Pożyczka'!$B$5+'Symulacja Pożyczka'!$C$19)/100)*('Arkusz1 (+3)'!B118-'Arkusz1 (+3)'!B117)/366)</f>
        <v>1.0045081967213114</v>
      </c>
      <c r="E118" s="15">
        <f t="shared" ca="1" si="9"/>
        <v>0</v>
      </c>
      <c r="F118" s="15">
        <f t="shared" ca="1" si="10"/>
        <v>0</v>
      </c>
      <c r="G118">
        <f ca="1">IF(E118=1,(1+(('Symulacja Pożyczka'!$B$5+'Symulacja Pożyczka'!$C$19)/100)*(((Arkusz1!B118-DATE(YEAR(B118),1,1)+1)/365)+((DATE(YEAR(B117),12,31)-Arkusz1!B117)/366))),IF(F118=1,(1+(('Symulacja Pożyczka'!$B$5+'Symulacja Pożyczka'!$C$19)/100)*(((Arkusz1!B118-DATE(YEAR(B118),1,1)+1)/366)+((DATE(YEAR(B117),12,31)-Arkusz1!B117)/365))),0))</f>
        <v>0</v>
      </c>
      <c r="H118">
        <f t="shared" ca="1" si="11"/>
        <v>0</v>
      </c>
      <c r="I118">
        <f t="shared" ca="1" si="12"/>
        <v>1.0045205479452055</v>
      </c>
      <c r="J118">
        <f t="shared" ca="1" si="13"/>
        <v>1.0045205479452055</v>
      </c>
      <c r="K118">
        <f ca="1">PRODUCT($J$3:J118)</f>
        <v>1.6960440290728243</v>
      </c>
      <c r="L118">
        <f t="shared" ca="1" si="14"/>
        <v>0.58960733498567819</v>
      </c>
      <c r="M118">
        <f ca="1">SUM($L$3:L118)</f>
        <v>90.010551685457671</v>
      </c>
      <c r="O118">
        <f ca="1">(Q117*'Arkusz1 (+3)'!J118)-Q117</f>
        <v>296.96886972163338</v>
      </c>
      <c r="P118" s="16">
        <f t="shared" ca="1" si="15"/>
        <v>13023.08463662736</v>
      </c>
      <c r="Q118" s="17">
        <f t="shared" ca="1" si="16"/>
        <v>52670.028968459723</v>
      </c>
    </row>
    <row r="119" spans="1:17" x14ac:dyDescent="0.35">
      <c r="A119">
        <v>117</v>
      </c>
      <c r="B119" s="14">
        <f t="shared" ca="1" si="17"/>
        <v>49630</v>
      </c>
      <c r="C119" s="15">
        <f ca="1">(1+(('Symulacja Pożyczka'!$B$5+'Symulacja Pożyczka'!$C$19)/100)*('Arkusz1 (+3)'!B119-'Arkusz1 (+3)'!B118)/365)</f>
        <v>1.0046712328767122</v>
      </c>
      <c r="D119" s="15">
        <f ca="1">(1+(('Symulacja Pożyczka'!$B$5+'Symulacja Pożyczka'!$C$19)/100)*('Arkusz1 (+3)'!B119-'Arkusz1 (+3)'!B118)/366)</f>
        <v>1.0046584699453551</v>
      </c>
      <c r="E119" s="15">
        <f t="shared" ca="1" si="9"/>
        <v>0</v>
      </c>
      <c r="F119" s="15">
        <f t="shared" ca="1" si="10"/>
        <v>0</v>
      </c>
      <c r="G119">
        <f ca="1">IF(E119=1,(1+(('Symulacja Pożyczka'!$B$5+'Symulacja Pożyczka'!$C$19)/100)*(((Arkusz1!B119-DATE(YEAR(B119),1,1)+1)/365)+((DATE(YEAR(B118),12,31)-Arkusz1!B118)/366))),IF(F119=1,(1+(('Symulacja Pożyczka'!$B$5+'Symulacja Pożyczka'!$C$19)/100)*(((Arkusz1!B119-DATE(YEAR(B119),1,1)+1)/366)+((DATE(YEAR(B118),12,31)-Arkusz1!B118)/365))),0))</f>
        <v>0</v>
      </c>
      <c r="H119">
        <f t="shared" ca="1" si="11"/>
        <v>0</v>
      </c>
      <c r="I119">
        <f t="shared" ca="1" si="12"/>
        <v>1.0046712328767122</v>
      </c>
      <c r="J119">
        <f t="shared" ca="1" si="13"/>
        <v>1.0046712328767122</v>
      </c>
      <c r="K119">
        <f ca="1">PRODUCT($J$3:J119)</f>
        <v>1.7039666457017808</v>
      </c>
      <c r="L119">
        <f t="shared" ca="1" si="14"/>
        <v>0.5868659474775979</v>
      </c>
      <c r="M119">
        <f ca="1">SUM($L$3:L119)</f>
        <v>90.597417632935262</v>
      </c>
      <c r="O119">
        <f ca="1">(Q118*'Arkusz1 (+3)'!J119)-Q118</f>
        <v>246.03397093485546</v>
      </c>
      <c r="P119" s="16">
        <f t="shared" ca="1" si="15"/>
        <v>13074.019535414138</v>
      </c>
      <c r="Q119" s="17">
        <f t="shared" ca="1" si="16"/>
        <v>39596.009433045583</v>
      </c>
    </row>
    <row r="120" spans="1:17" x14ac:dyDescent="0.35">
      <c r="A120">
        <v>118</v>
      </c>
      <c r="B120" s="14">
        <f t="shared" ca="1" si="17"/>
        <v>49660</v>
      </c>
      <c r="C120" s="15">
        <f ca="1">(1+(('Symulacja Pożyczka'!$B$5+'Symulacja Pożyczka'!$C$19)/100)*('Arkusz1 (+3)'!B120-'Arkusz1 (+3)'!B119)/365)</f>
        <v>1.0045205479452055</v>
      </c>
      <c r="D120" s="15">
        <f ca="1">(1+(('Symulacja Pożyczka'!$B$5+'Symulacja Pożyczka'!$C$19)/100)*('Arkusz1 (+3)'!B120-'Arkusz1 (+3)'!B119)/366)</f>
        <v>1.0045081967213114</v>
      </c>
      <c r="E120" s="15">
        <f t="shared" ca="1" si="9"/>
        <v>0</v>
      </c>
      <c r="F120" s="15">
        <f t="shared" ca="1" si="10"/>
        <v>0</v>
      </c>
      <c r="G120">
        <f ca="1">IF(E120=1,(1+(('Symulacja Pożyczka'!$B$5+'Symulacja Pożyczka'!$C$19)/100)*(((Arkusz1!B120-DATE(YEAR(B120),1,1)+1)/365)+((DATE(YEAR(B119),12,31)-Arkusz1!B119)/366))),IF(F120=1,(1+(('Symulacja Pożyczka'!$B$5+'Symulacja Pożyczka'!$C$19)/100)*(((Arkusz1!B120-DATE(YEAR(B120),1,1)+1)/366)+((DATE(YEAR(B119),12,31)-Arkusz1!B119)/365))),0))</f>
        <v>0</v>
      </c>
      <c r="H120">
        <f t="shared" ca="1" si="11"/>
        <v>0</v>
      </c>
      <c r="I120">
        <f t="shared" ca="1" si="12"/>
        <v>1.0045205479452055</v>
      </c>
      <c r="J120">
        <f t="shared" ca="1" si="13"/>
        <v>1.0045205479452055</v>
      </c>
      <c r="K120">
        <f ca="1">PRODUCT($J$3:J120)</f>
        <v>1.7116695086207068</v>
      </c>
      <c r="L120">
        <f t="shared" ca="1" si="14"/>
        <v>0.58422493066773007</v>
      </c>
      <c r="M120">
        <f ca="1">SUM($L$3:L120)</f>
        <v>91.181642563602992</v>
      </c>
      <c r="O120">
        <f ca="1">(Q119*'Arkusz1 (+3)'!J120)-Q119</f>
        <v>178.99565908089426</v>
      </c>
      <c r="P120" s="16">
        <f t="shared" ca="1" si="15"/>
        <v>13141.057847268099</v>
      </c>
      <c r="Q120" s="17">
        <f t="shared" ca="1" si="16"/>
        <v>26454.951585777482</v>
      </c>
    </row>
    <row r="121" spans="1:17" x14ac:dyDescent="0.35">
      <c r="A121">
        <v>119</v>
      </c>
      <c r="B121" s="14">
        <f t="shared" ca="1" si="17"/>
        <v>49691</v>
      </c>
      <c r="C121" s="15">
        <f ca="1">(1+(('Symulacja Pożyczka'!$B$5+'Symulacja Pożyczka'!$C$19)/100)*('Arkusz1 (+3)'!B121-'Arkusz1 (+3)'!B120)/365)</f>
        <v>1.0046712328767122</v>
      </c>
      <c r="D121" s="15">
        <f ca="1">(1+(('Symulacja Pożyczka'!$B$5+'Symulacja Pożyczka'!$C$19)/100)*('Arkusz1 (+3)'!B121-'Arkusz1 (+3)'!B120)/366)</f>
        <v>1.0046584699453551</v>
      </c>
      <c r="E121" s="15">
        <f t="shared" ca="1" si="9"/>
        <v>0</v>
      </c>
      <c r="F121" s="15">
        <f t="shared" ca="1" si="10"/>
        <v>1</v>
      </c>
      <c r="G121">
        <f ca="1">IF(E121=1,(1+(('Symulacja Pożyczka'!$B$5+'Symulacja Pożyczka'!$C$19)/100)*(((Arkusz1!B121-DATE(YEAR(B121),1,1)+1)/365)+((DATE(YEAR(B120),12,31)-Arkusz1!B120)/366))),IF(F121=1,(1+(('Symulacja Pożyczka'!$B$5+'Symulacja Pożyczka'!$C$19)/100)*(((Arkusz1!B121-DATE(YEAR(B121),1,1)+1)/366)+((DATE(YEAR(B120),12,31)-Arkusz1!B120)/365))),0))</f>
        <v>1.0046642338498391</v>
      </c>
      <c r="H121">
        <f t="shared" ca="1" si="11"/>
        <v>1</v>
      </c>
      <c r="I121">
        <f t="shared" ca="1" si="12"/>
        <v>1.0046584699453551</v>
      </c>
      <c r="J121">
        <f t="shared" ca="1" si="13"/>
        <v>1.0046642338498391</v>
      </c>
      <c r="K121">
        <f ca="1">PRODUCT($J$3:J121)</f>
        <v>1.7196531354825528</v>
      </c>
      <c r="L121">
        <f t="shared" ca="1" si="14"/>
        <v>0.58151261982224656</v>
      </c>
      <c r="M121">
        <f ca="1">SUM($L$3:L121)</f>
        <v>91.763155183425241</v>
      </c>
      <c r="O121">
        <f ca="1">(Q120*'Arkusz1 (+3)'!J121)-Q120</f>
        <v>123.39208068223525</v>
      </c>
      <c r="P121" s="16">
        <f t="shared" ca="1" si="15"/>
        <v>13196.661425666758</v>
      </c>
      <c r="Q121" s="17">
        <f t="shared" ca="1" si="16"/>
        <v>13258.290160110724</v>
      </c>
    </row>
    <row r="122" spans="1:17" x14ac:dyDescent="0.35">
      <c r="A122">
        <v>120</v>
      </c>
      <c r="B122" s="14">
        <f t="shared" ca="1" si="17"/>
        <v>49722</v>
      </c>
      <c r="C122" s="15">
        <f ca="1">(1+(('Symulacja Pożyczka'!$B$5+'Symulacja Pożyczka'!$C$19)/100)*('Arkusz1 (+3)'!B122-'Arkusz1 (+3)'!B121)/365)</f>
        <v>1.0046712328767122</v>
      </c>
      <c r="D122" s="15">
        <f ca="1">(1+(('Symulacja Pożyczka'!$B$5+'Symulacja Pożyczka'!$C$19)/100)*('Arkusz1 (+3)'!B122-'Arkusz1 (+3)'!B121)/366)</f>
        <v>1.0046584699453551</v>
      </c>
      <c r="E122" s="15">
        <f t="shared" ca="1" si="9"/>
        <v>0</v>
      </c>
      <c r="F122" s="15">
        <f t="shared" ca="1" si="10"/>
        <v>0</v>
      </c>
      <c r="G122">
        <f ca="1">IF(E122=1,(1+(('Symulacja Pożyczka'!$B$5+'Symulacja Pożyczka'!$C$19)/100)*(((Arkusz1!B122-DATE(YEAR(B122),1,1)+1)/365)+((DATE(YEAR(B121),12,31)-Arkusz1!B121)/366))),IF(F122=1,(1+(('Symulacja Pożyczka'!$B$5+'Symulacja Pożyczka'!$C$19)/100)*(((Arkusz1!B122-DATE(YEAR(B122),1,1)+1)/366)+((DATE(YEAR(B121),12,31)-Arkusz1!B121)/365))),0))</f>
        <v>0</v>
      </c>
      <c r="H122">
        <f t="shared" ca="1" si="11"/>
        <v>1</v>
      </c>
      <c r="I122">
        <f t="shared" ca="1" si="12"/>
        <v>1.0046584699453551</v>
      </c>
      <c r="J122">
        <f t="shared" ca="1" si="13"/>
        <v>1.0046584699453551</v>
      </c>
      <c r="K122">
        <f ca="1">PRODUCT($J$3:J122)</f>
        <v>1.727664087930634</v>
      </c>
      <c r="L122">
        <f t="shared" ca="1" si="14"/>
        <v>0.5788162218488796</v>
      </c>
      <c r="M122">
        <f ca="1">SUM($L$3:L122)</f>
        <v>92.341971405274123</v>
      </c>
      <c r="O122">
        <f ca="1">(Q121*'Arkusz1 (+3)'!J122)-Q121</f>
        <v>61.763346237672522</v>
      </c>
      <c r="P122" s="16">
        <f t="shared" ca="1" si="15"/>
        <v>13258.290160111321</v>
      </c>
      <c r="Q122" s="17">
        <f t="shared" ca="1" si="16"/>
        <v>-5.9662852436304092E-10</v>
      </c>
    </row>
    <row r="123" spans="1:17" x14ac:dyDescent="0.35">
      <c r="A123">
        <v>121</v>
      </c>
      <c r="B123" s="14">
        <f t="shared" ca="1" si="17"/>
        <v>49751</v>
      </c>
      <c r="C123" s="15">
        <f ca="1">(1+(('Symulacja Pożyczka'!$B$5+'Symulacja Pożyczka'!$C$19)/100)*('Arkusz1 (+3)'!B123-'Arkusz1 (+3)'!B122)/365)</f>
        <v>1.0043698630136986</v>
      </c>
      <c r="D123" s="15">
        <f ca="1">(1+(('Symulacja Pożyczka'!$B$5+'Symulacja Pożyczka'!$C$19)/100)*('Arkusz1 (+3)'!B123-'Arkusz1 (+3)'!B122)/366)</f>
        <v>1.0043579234972677</v>
      </c>
      <c r="E123" s="15">
        <f t="shared" ca="1" si="9"/>
        <v>0</v>
      </c>
      <c r="F123" s="15">
        <f t="shared" ca="1" si="10"/>
        <v>0</v>
      </c>
      <c r="G123">
        <f ca="1">IF(E123=1,(1+(('Symulacja Pożyczka'!$B$5+'Symulacja Pożyczka'!$C$19)/100)*(((Arkusz1!B123-DATE(YEAR(B123),1,1)+1)/365)+((DATE(YEAR(B122),12,31)-Arkusz1!B122)/366))),IF(F123=1,(1+(('Symulacja Pożyczka'!$B$5+'Symulacja Pożyczka'!$C$19)/100)*(((Arkusz1!B123-DATE(YEAR(B123),1,1)+1)/366)+((DATE(YEAR(B122),12,31)-Arkusz1!B122)/365))),0))</f>
        <v>0</v>
      </c>
      <c r="H123">
        <f t="shared" ca="1" si="11"/>
        <v>1</v>
      </c>
      <c r="I123">
        <f t="shared" ca="1" si="12"/>
        <v>1.0043579234972677</v>
      </c>
      <c r="J123">
        <f t="shared" ca="1" si="13"/>
        <v>1.0043579234972677</v>
      </c>
      <c r="K123">
        <f ca="1">PRODUCT($J$3:J123)</f>
        <v>1.7351931158548124</v>
      </c>
      <c r="L123">
        <f t="shared" ca="1" si="14"/>
        <v>0.57630472992475401</v>
      </c>
      <c r="M123">
        <f ca="1">SUM($L$3:L123)</f>
        <v>92.91827613519888</v>
      </c>
      <c r="O123">
        <f ca="1">(Q122*'Arkusz1 (+3)'!J123)-Q122</f>
        <v>-2.6000614654618452E-12</v>
      </c>
      <c r="P123" s="16">
        <f t="shared" ca="1" si="15"/>
        <v>13320.053506348995</v>
      </c>
      <c r="Q123" s="17">
        <f t="shared" ca="1" si="16"/>
        <v>-13320.053506349592</v>
      </c>
    </row>
    <row r="124" spans="1:17" x14ac:dyDescent="0.35">
      <c r="A124">
        <v>122</v>
      </c>
      <c r="B124" s="14">
        <f t="shared" ca="1" si="17"/>
        <v>49782</v>
      </c>
      <c r="C124" s="15">
        <f ca="1">(1+(('Symulacja Pożyczka'!$B$5+'Symulacja Pożyczka'!$C$19)/100)*('Arkusz1 (+3)'!B124-'Arkusz1 (+3)'!B123)/365)</f>
        <v>1.0046712328767122</v>
      </c>
      <c r="D124" s="15">
        <f ca="1">(1+(('Symulacja Pożyczka'!$B$5+'Symulacja Pożyczka'!$C$19)/100)*('Arkusz1 (+3)'!B124-'Arkusz1 (+3)'!B123)/366)</f>
        <v>1.0046584699453551</v>
      </c>
      <c r="E124" s="15">
        <f t="shared" ca="1" si="9"/>
        <v>0</v>
      </c>
      <c r="F124" s="15">
        <f t="shared" ca="1" si="10"/>
        <v>0</v>
      </c>
      <c r="G124">
        <f ca="1">IF(E124=1,(1+(('Symulacja Pożyczka'!$B$5+'Symulacja Pożyczka'!$C$19)/100)*(((Arkusz1!B124-DATE(YEAR(B124),1,1)+1)/365)+((DATE(YEAR(B123),12,31)-Arkusz1!B123)/366))),IF(F124=1,(1+(('Symulacja Pożyczka'!$B$5+'Symulacja Pożyczka'!$C$19)/100)*(((Arkusz1!B124-DATE(YEAR(B124),1,1)+1)/366)+((DATE(YEAR(B123),12,31)-Arkusz1!B123)/365))),0))</f>
        <v>0</v>
      </c>
      <c r="H124">
        <f t="shared" ca="1" si="11"/>
        <v>1</v>
      </c>
      <c r="I124">
        <f t="shared" ca="1" si="12"/>
        <v>1.0046584699453551</v>
      </c>
      <c r="J124">
        <f t="shared" ca="1" si="13"/>
        <v>1.0046584699453551</v>
      </c>
      <c r="K124">
        <f ca="1">PRODUCT($J$3:J124)</f>
        <v>1.7432764608344091</v>
      </c>
      <c r="L124">
        <f t="shared" ca="1" si="14"/>
        <v>0.57363248025580282</v>
      </c>
      <c r="M124">
        <f ca="1">SUM($L$3:L124)</f>
        <v>93.491908615454676</v>
      </c>
      <c r="O124">
        <f ca="1">(Q123*'Arkusz1 (+3)'!J124)-Q123</f>
        <v>-62.051068929851681</v>
      </c>
      <c r="P124" s="16">
        <f t="shared" ca="1" si="15"/>
        <v>13382.104575278845</v>
      </c>
      <c r="Q124" s="17">
        <f t="shared" ca="1" si="16"/>
        <v>-26702.158081628437</v>
      </c>
    </row>
    <row r="125" spans="1:17" x14ac:dyDescent="0.35">
      <c r="A125">
        <v>123</v>
      </c>
      <c r="B125" s="14">
        <f t="shared" ca="1" si="17"/>
        <v>49812</v>
      </c>
      <c r="C125" s="15">
        <f ca="1">(1+(('Symulacja Pożyczka'!$B$5+'Symulacja Pożyczka'!$C$19)/100)*('Arkusz1 (+3)'!B125-'Arkusz1 (+3)'!B124)/365)</f>
        <v>1.0045205479452055</v>
      </c>
      <c r="D125" s="15">
        <f ca="1">(1+(('Symulacja Pożyczka'!$B$5+'Symulacja Pożyczka'!$C$19)/100)*('Arkusz1 (+3)'!B125-'Arkusz1 (+3)'!B124)/366)</f>
        <v>1.0045081967213114</v>
      </c>
      <c r="E125" s="15">
        <f t="shared" ca="1" si="9"/>
        <v>0</v>
      </c>
      <c r="F125" s="15">
        <f t="shared" ca="1" si="10"/>
        <v>0</v>
      </c>
      <c r="G125">
        <f ca="1">IF(E125=1,(1+(('Symulacja Pożyczka'!$B$5+'Symulacja Pożyczka'!$C$19)/100)*(((Arkusz1!B125-DATE(YEAR(B125),1,1)+1)/365)+((DATE(YEAR(B124),12,31)-Arkusz1!B124)/366))),IF(F125=1,(1+(('Symulacja Pożyczka'!$B$5+'Symulacja Pożyczka'!$C$19)/100)*(((Arkusz1!B125-DATE(YEAR(B125),1,1)+1)/366)+((DATE(YEAR(B124),12,31)-Arkusz1!B124)/365))),0))</f>
        <v>0</v>
      </c>
      <c r="H125">
        <f t="shared" ca="1" si="11"/>
        <v>1</v>
      </c>
      <c r="I125">
        <f t="shared" ca="1" si="12"/>
        <v>1.0045081967213114</v>
      </c>
      <c r="J125">
        <f t="shared" ca="1" si="13"/>
        <v>1.0045081967213114</v>
      </c>
      <c r="K125">
        <f ca="1">PRODUCT($J$3:J125)</f>
        <v>1.7511354940594821</v>
      </c>
      <c r="L125">
        <f t="shared" ca="1" si="14"/>
        <v>0.57105803827995061</v>
      </c>
      <c r="M125">
        <f ca="1">SUM($L$3:L125)</f>
        <v>94.062966653734634</v>
      </c>
      <c r="O125">
        <f ca="1">(Q124*'Arkusz1 (+3)'!J125)-Q124</f>
        <v>-120.37858151553519</v>
      </c>
      <c r="P125" s="16">
        <f t="shared" ca="1" si="15"/>
        <v>13440.432087864529</v>
      </c>
      <c r="Q125" s="17">
        <f t="shared" ca="1" si="16"/>
        <v>-40142.590169492963</v>
      </c>
    </row>
    <row r="126" spans="1:17" x14ac:dyDescent="0.35">
      <c r="A126">
        <v>124</v>
      </c>
      <c r="B126" s="14">
        <f t="shared" ca="1" si="17"/>
        <v>49843</v>
      </c>
      <c r="C126" s="15">
        <f ca="1">(1+(('Symulacja Pożyczka'!$B$5+'Symulacja Pożyczka'!$C$19)/100)*('Arkusz1 (+3)'!B126-'Arkusz1 (+3)'!B125)/365)</f>
        <v>1.0046712328767122</v>
      </c>
      <c r="D126" s="15">
        <f ca="1">(1+(('Symulacja Pożyczka'!$B$5+'Symulacja Pożyczka'!$C$19)/100)*('Arkusz1 (+3)'!B126-'Arkusz1 (+3)'!B125)/366)</f>
        <v>1.0046584699453551</v>
      </c>
      <c r="E126" s="15">
        <f t="shared" ca="1" si="9"/>
        <v>0</v>
      </c>
      <c r="F126" s="15">
        <f t="shared" ca="1" si="10"/>
        <v>0</v>
      </c>
      <c r="G126">
        <f ca="1">IF(E126=1,(1+(('Symulacja Pożyczka'!$B$5+'Symulacja Pożyczka'!$C$19)/100)*(((Arkusz1!B126-DATE(YEAR(B126),1,1)+1)/365)+((DATE(YEAR(B125),12,31)-Arkusz1!B125)/366))),IF(F126=1,(1+(('Symulacja Pożyczka'!$B$5+'Symulacja Pożyczka'!$C$19)/100)*(((Arkusz1!B126-DATE(YEAR(B126),1,1)+1)/366)+((DATE(YEAR(B125),12,31)-Arkusz1!B125)/365))),0))</f>
        <v>0</v>
      </c>
      <c r="H126">
        <f t="shared" ca="1" si="11"/>
        <v>1</v>
      </c>
      <c r="I126">
        <f t="shared" ca="1" si="12"/>
        <v>1.0046584699453551</v>
      </c>
      <c r="J126">
        <f t="shared" ca="1" si="13"/>
        <v>1.0046584699453551</v>
      </c>
      <c r="K126">
        <f ca="1">PRODUCT($J$3:J126)</f>
        <v>1.7592931061288029</v>
      </c>
      <c r="L126">
        <f t="shared" ca="1" si="14"/>
        <v>0.56841011683404341</v>
      </c>
      <c r="M126">
        <f ca="1">SUM($L$3:L126)</f>
        <v>94.631376770568679</v>
      </c>
      <c r="O126">
        <f ca="1">(Q125*'Arkusz1 (+3)'!J126)-Q125</f>
        <v>-187.00304983329261</v>
      </c>
      <c r="P126" s="16">
        <f t="shared" ca="1" si="15"/>
        <v>13507.056556182286</v>
      </c>
      <c r="Q126" s="17">
        <f t="shared" ca="1" si="16"/>
        <v>-53649.646725675251</v>
      </c>
    </row>
    <row r="127" spans="1:17" x14ac:dyDescent="0.35">
      <c r="A127">
        <v>125</v>
      </c>
      <c r="B127" s="14">
        <f t="shared" ca="1" si="17"/>
        <v>49873</v>
      </c>
      <c r="C127" s="15">
        <f ca="1">(1+(('Symulacja Pożyczka'!$B$5+'Symulacja Pożyczka'!$C$19)/100)*('Arkusz1 (+3)'!B127-'Arkusz1 (+3)'!B126)/365)</f>
        <v>1.0045205479452055</v>
      </c>
      <c r="D127" s="15">
        <f ca="1">(1+(('Symulacja Pożyczka'!$B$5+'Symulacja Pożyczka'!$C$19)/100)*('Arkusz1 (+3)'!B127-'Arkusz1 (+3)'!B126)/366)</f>
        <v>1.0045081967213114</v>
      </c>
      <c r="E127" s="15">
        <f t="shared" ca="1" si="9"/>
        <v>0</v>
      </c>
      <c r="F127" s="15">
        <f t="shared" ca="1" si="10"/>
        <v>0</v>
      </c>
      <c r="G127">
        <f ca="1">IF(E127=1,(1+(('Symulacja Pożyczka'!$B$5+'Symulacja Pożyczka'!$C$19)/100)*(((Arkusz1!B127-DATE(YEAR(B127),1,1)+1)/365)+((DATE(YEAR(B126),12,31)-Arkusz1!B126)/366))),IF(F127=1,(1+(('Symulacja Pożyczka'!$B$5+'Symulacja Pożyczka'!$C$19)/100)*(((Arkusz1!B127-DATE(YEAR(B127),1,1)+1)/366)+((DATE(YEAR(B126),12,31)-Arkusz1!B126)/365))),0))</f>
        <v>0</v>
      </c>
      <c r="H127">
        <f t="shared" ca="1" si="11"/>
        <v>1</v>
      </c>
      <c r="I127">
        <f t="shared" ca="1" si="12"/>
        <v>1.0045081967213114</v>
      </c>
      <c r="J127">
        <f t="shared" ca="1" si="13"/>
        <v>1.0045081967213114</v>
      </c>
      <c r="K127">
        <f ca="1">PRODUCT($J$3:J127)</f>
        <v>1.7672243455416785</v>
      </c>
      <c r="L127">
        <f t="shared" ca="1" si="14"/>
        <v>0.56585911263772581</v>
      </c>
      <c r="M127">
        <f ca="1">SUM($L$3:L127)</f>
        <v>95.197235883206403</v>
      </c>
      <c r="O127">
        <f ca="1">(Q126*'Arkusz1 (+3)'!J127)-Q126</f>
        <v>-241.86316146820172</v>
      </c>
      <c r="P127" s="16">
        <f t="shared" ca="1" si="15"/>
        <v>13561.916667817195</v>
      </c>
      <c r="Q127" s="17">
        <f t="shared" ca="1" si="16"/>
        <v>-67211.563393492441</v>
      </c>
    </row>
    <row r="128" spans="1:17" x14ac:dyDescent="0.35">
      <c r="A128">
        <v>126</v>
      </c>
      <c r="B128" s="14">
        <f t="shared" ca="1" si="17"/>
        <v>49904</v>
      </c>
      <c r="C128" s="15">
        <f ca="1">(1+(('Symulacja Pożyczka'!$B$5+'Symulacja Pożyczka'!$C$19)/100)*('Arkusz1 (+3)'!B128-'Arkusz1 (+3)'!B127)/365)</f>
        <v>1.0046712328767122</v>
      </c>
      <c r="D128" s="15">
        <f ca="1">(1+(('Symulacja Pożyczka'!$B$5+'Symulacja Pożyczka'!$C$19)/100)*('Arkusz1 (+3)'!B128-'Arkusz1 (+3)'!B127)/366)</f>
        <v>1.0046584699453551</v>
      </c>
      <c r="E128" s="15">
        <f t="shared" ca="1" si="9"/>
        <v>0</v>
      </c>
      <c r="F128" s="15">
        <f t="shared" ca="1" si="10"/>
        <v>0</v>
      </c>
      <c r="G128">
        <f ca="1">IF(E128=1,(1+(('Symulacja Pożyczka'!$B$5+'Symulacja Pożyczka'!$C$19)/100)*(((Arkusz1!B128-DATE(YEAR(B128),1,1)+1)/365)+((DATE(YEAR(B127),12,31)-Arkusz1!B127)/366))),IF(F128=1,(1+(('Symulacja Pożyczka'!$B$5+'Symulacja Pożyczka'!$C$19)/100)*(((Arkusz1!B128-DATE(YEAR(B128),1,1)+1)/366)+((DATE(YEAR(B127),12,31)-Arkusz1!B127)/365))),0))</f>
        <v>0</v>
      </c>
      <c r="H128">
        <f t="shared" ca="1" si="11"/>
        <v>1</v>
      </c>
      <c r="I128">
        <f t="shared" ca="1" si="12"/>
        <v>1.0046584699453551</v>
      </c>
      <c r="J128">
        <f t="shared" ca="1" si="13"/>
        <v>1.0046584699453551</v>
      </c>
      <c r="K128">
        <f ca="1">PRODUCT($J$3:J128)</f>
        <v>1.7754569070420843</v>
      </c>
      <c r="L128">
        <f t="shared" ca="1" si="14"/>
        <v>0.56323529793015514</v>
      </c>
      <c r="M128">
        <f ca="1">SUM($L$3:L128)</f>
        <v>95.760471181136552</v>
      </c>
      <c r="O128">
        <f ca="1">(Q127*'Arkusz1 (+3)'!J128)-Q127</f>
        <v>-313.10304804891348</v>
      </c>
      <c r="P128" s="16">
        <f t="shared" ca="1" si="15"/>
        <v>13633.156554397907</v>
      </c>
      <c r="Q128" s="17">
        <f t="shared" ca="1" si="16"/>
        <v>-80844.719947890349</v>
      </c>
    </row>
    <row r="129" spans="1:17" x14ac:dyDescent="0.35">
      <c r="A129">
        <v>127</v>
      </c>
      <c r="B129" s="14">
        <f t="shared" ca="1" si="17"/>
        <v>49935</v>
      </c>
      <c r="C129" s="15">
        <f ca="1">(1+(('Symulacja Pożyczka'!$B$5+'Symulacja Pożyczka'!$C$19)/100)*('Arkusz1 (+3)'!B129-'Arkusz1 (+3)'!B128)/365)</f>
        <v>1.0046712328767122</v>
      </c>
      <c r="D129" s="15">
        <f ca="1">(1+(('Symulacja Pożyczka'!$B$5+'Symulacja Pożyczka'!$C$19)/100)*('Arkusz1 (+3)'!B129-'Arkusz1 (+3)'!B128)/366)</f>
        <v>1.0046584699453551</v>
      </c>
      <c r="E129" s="15">
        <f t="shared" ca="1" si="9"/>
        <v>0</v>
      </c>
      <c r="F129" s="15">
        <f t="shared" ca="1" si="10"/>
        <v>0</v>
      </c>
      <c r="G129">
        <f ca="1">IF(E129=1,(1+(('Symulacja Pożyczka'!$B$5+'Symulacja Pożyczka'!$C$19)/100)*(((Arkusz1!B129-DATE(YEAR(B129),1,1)+1)/365)+((DATE(YEAR(B128),12,31)-Arkusz1!B128)/366))),IF(F129=1,(1+(('Symulacja Pożyczka'!$B$5+'Symulacja Pożyczka'!$C$19)/100)*(((Arkusz1!B129-DATE(YEAR(B129),1,1)+1)/366)+((DATE(YEAR(B128),12,31)-Arkusz1!B128)/365))),0))</f>
        <v>0</v>
      </c>
      <c r="H129">
        <f t="shared" ca="1" si="11"/>
        <v>1</v>
      </c>
      <c r="I129">
        <f t="shared" ca="1" si="12"/>
        <v>1.0046584699453551</v>
      </c>
      <c r="J129">
        <f t="shared" ca="1" si="13"/>
        <v>1.0046584699453551</v>
      </c>
      <c r="K129">
        <f ca="1">PRODUCT($J$3:J129)</f>
        <v>1.783727819682813</v>
      </c>
      <c r="L129">
        <f t="shared" ca="1" si="14"/>
        <v>0.56062364950826549</v>
      </c>
      <c r="M129">
        <f ca="1">SUM($L$3:L129)</f>
        <v>96.321094830644824</v>
      </c>
      <c r="O129">
        <f ca="1">(Q128*'Arkusz1 (+3)'!J129)-Q128</f>
        <v>-376.6126981178968</v>
      </c>
      <c r="P129" s="16">
        <f t="shared" ca="1" si="15"/>
        <v>13696.66620446689</v>
      </c>
      <c r="Q129" s="17">
        <f t="shared" ca="1" si="16"/>
        <v>-94541.386152357241</v>
      </c>
    </row>
    <row r="130" spans="1:17" x14ac:dyDescent="0.35">
      <c r="A130">
        <v>128</v>
      </c>
      <c r="B130" s="14">
        <f t="shared" ca="1" si="17"/>
        <v>49965</v>
      </c>
      <c r="C130" s="15">
        <f ca="1">(1+(('Symulacja Pożyczka'!$B$5+'Symulacja Pożyczka'!$C$19)/100)*('Arkusz1 (+3)'!B130-'Arkusz1 (+3)'!B129)/365)</f>
        <v>1.0045205479452055</v>
      </c>
      <c r="D130" s="15">
        <f ca="1">(1+(('Symulacja Pożyczka'!$B$5+'Symulacja Pożyczka'!$C$19)/100)*('Arkusz1 (+3)'!B130-'Arkusz1 (+3)'!B129)/366)</f>
        <v>1.0045081967213114</v>
      </c>
      <c r="E130" s="15">
        <f t="shared" ca="1" si="9"/>
        <v>0</v>
      </c>
      <c r="F130" s="15">
        <f t="shared" ca="1" si="10"/>
        <v>0</v>
      </c>
      <c r="G130">
        <f ca="1">IF(E130=1,(1+(('Symulacja Pożyczka'!$B$5+'Symulacja Pożyczka'!$C$19)/100)*(((Arkusz1!B130-DATE(YEAR(B130),1,1)+1)/365)+((DATE(YEAR(B129),12,31)-Arkusz1!B129)/366))),IF(F130=1,(1+(('Symulacja Pożyczka'!$B$5+'Symulacja Pożyczka'!$C$19)/100)*(((Arkusz1!B130-DATE(YEAR(B130),1,1)+1)/366)+((DATE(YEAR(B129),12,31)-Arkusz1!B129)/365))),0))</f>
        <v>0</v>
      </c>
      <c r="H130">
        <f t="shared" ca="1" si="11"/>
        <v>1</v>
      </c>
      <c r="I130">
        <f t="shared" ca="1" si="12"/>
        <v>1.0045081967213114</v>
      </c>
      <c r="J130">
        <f t="shared" ca="1" si="13"/>
        <v>1.0045081967213114</v>
      </c>
      <c r="K130">
        <f ca="1">PRODUCT($J$3:J130)</f>
        <v>1.791769215591219</v>
      </c>
      <c r="L130">
        <f t="shared" ca="1" si="14"/>
        <v>0.55810759069774296</v>
      </c>
      <c r="M130">
        <f ca="1">SUM($L$3:L130)</f>
        <v>96.879202421342569</v>
      </c>
      <c r="O130">
        <f ca="1">(Q129*'Arkusz1 (+3)'!J130)-Q129</f>
        <v>-426.21116708029876</v>
      </c>
      <c r="P130" s="16">
        <f t="shared" ca="1" si="15"/>
        <v>13746.264673429292</v>
      </c>
      <c r="Q130" s="17">
        <f t="shared" ca="1" si="16"/>
        <v>-108287.65082578654</v>
      </c>
    </row>
    <row r="131" spans="1:17" x14ac:dyDescent="0.35">
      <c r="A131">
        <v>129</v>
      </c>
      <c r="B131" s="14">
        <f t="shared" ca="1" si="17"/>
        <v>49996</v>
      </c>
      <c r="C131" s="15">
        <f ca="1">(1+(('Symulacja Pożyczka'!$B$5+'Symulacja Pożyczka'!$C$19)/100)*('Arkusz1 (+3)'!B131-'Arkusz1 (+3)'!B130)/365)</f>
        <v>1.0046712328767122</v>
      </c>
      <c r="D131" s="15">
        <f ca="1">(1+(('Symulacja Pożyczka'!$B$5+'Symulacja Pożyczka'!$C$19)/100)*('Arkusz1 (+3)'!B131-'Arkusz1 (+3)'!B130)/366)</f>
        <v>1.0046584699453551</v>
      </c>
      <c r="E131" s="15">
        <f t="shared" ca="1" si="9"/>
        <v>0</v>
      </c>
      <c r="F131" s="15">
        <f t="shared" ca="1" si="10"/>
        <v>0</v>
      </c>
      <c r="G131">
        <f ca="1">IF(E131=1,(1+(('Symulacja Pożyczka'!$B$5+'Symulacja Pożyczka'!$C$19)/100)*(((Arkusz1!B131-DATE(YEAR(B131),1,1)+1)/365)+((DATE(YEAR(B130),12,31)-Arkusz1!B130)/366))),IF(F131=1,(1+(('Symulacja Pożyczka'!$B$5+'Symulacja Pożyczka'!$C$19)/100)*(((Arkusz1!B131-DATE(YEAR(B131),1,1)+1)/366)+((DATE(YEAR(B130),12,31)-Arkusz1!B130)/365))),0))</f>
        <v>0</v>
      </c>
      <c r="H131">
        <f t="shared" ca="1" si="11"/>
        <v>1</v>
      </c>
      <c r="I131">
        <f t="shared" ca="1" si="12"/>
        <v>1.0046584699453551</v>
      </c>
      <c r="J131">
        <f t="shared" ca="1" si="13"/>
        <v>1.0046584699453551</v>
      </c>
      <c r="K131">
        <f ca="1">PRODUCT($J$3:J131)</f>
        <v>1.8001161186310632</v>
      </c>
      <c r="L131">
        <f t="shared" ca="1" si="14"/>
        <v>0.55551971878373674</v>
      </c>
      <c r="M131">
        <f ca="1">SUM($L$3:L131)</f>
        <v>97.434722140126311</v>
      </c>
      <c r="O131">
        <f ca="1">(Q130*'Arkusz1 (+3)'!J131)-Q130</f>
        <v>-504.45476682503067</v>
      </c>
      <c r="P131" s="16">
        <f t="shared" ca="1" si="15"/>
        <v>13824.508273174024</v>
      </c>
      <c r="Q131" s="17">
        <f t="shared" ca="1" si="16"/>
        <v>-122112.15909896056</v>
      </c>
    </row>
    <row r="132" spans="1:17" x14ac:dyDescent="0.35">
      <c r="A132">
        <v>130</v>
      </c>
      <c r="B132" s="14">
        <f t="shared" ca="1" si="17"/>
        <v>50026</v>
      </c>
      <c r="C132" s="15">
        <f ca="1">(1+(('Symulacja Pożyczka'!$B$5+'Symulacja Pożyczka'!$C$19)/100)*('Arkusz1 (+3)'!B132-'Arkusz1 (+3)'!B131)/365)</f>
        <v>1.0045205479452055</v>
      </c>
      <c r="D132" s="15">
        <f ca="1">(1+(('Symulacja Pożyczka'!$B$5+'Symulacja Pożyczka'!$C$19)/100)*('Arkusz1 (+3)'!B132-'Arkusz1 (+3)'!B131)/366)</f>
        <v>1.0045081967213114</v>
      </c>
      <c r="E132" s="15">
        <f t="shared" ref="E132:E182" ca="1" si="18">IF(AND(MOD(YEAR(B131),4)=0,MOD(YEAR(B132),4)&lt;&gt;0),1,0)</f>
        <v>0</v>
      </c>
      <c r="F132" s="15">
        <f t="shared" ref="F132:F182" ca="1" si="19">IF(AND(MOD(YEAR(B132),4)=0,MOD(YEAR(B131),4)&lt;&gt;0),1,0)</f>
        <v>0</v>
      </c>
      <c r="G132">
        <f ca="1">IF(E132=1,(1+(('Symulacja Pożyczka'!$B$5+'Symulacja Pożyczka'!$C$19)/100)*(((Arkusz1!B132-DATE(YEAR(B132),1,1)+1)/365)+((DATE(YEAR(B131),12,31)-Arkusz1!B131)/366))),IF(F132=1,(1+(('Symulacja Pożyczka'!$B$5+'Symulacja Pożyczka'!$C$19)/100)*(((Arkusz1!B132-DATE(YEAR(B132),1,1)+1)/366)+((DATE(YEAR(B131),12,31)-Arkusz1!B131)/365))),0))</f>
        <v>0</v>
      </c>
      <c r="H132">
        <f t="shared" ref="H132:H182" ca="1" si="20">IF(MOD(YEAR(B132),4)=0,1,0)</f>
        <v>1</v>
      </c>
      <c r="I132">
        <f t="shared" ref="I132:I182" ca="1" si="21">IF(H132=0,C132,IF(H132=1,D132,"blad"))</f>
        <v>1.0045081967213114</v>
      </c>
      <c r="J132">
        <f t="shared" ref="J132:J182" ca="1" si="22">IF(OR(E132=1,F132=1),G132,I132)</f>
        <v>1.0045081967213114</v>
      </c>
      <c r="K132">
        <f ca="1">PRODUCT($J$3:J132)</f>
        <v>1.8082313962150556</v>
      </c>
      <c r="L132">
        <f t="shared" ref="L132:L182" ca="1" si="23">1/K132</f>
        <v>0.55302656623105584</v>
      </c>
      <c r="M132">
        <f ca="1">SUM($L$3:L132)</f>
        <v>97.987748706357365</v>
      </c>
      <c r="O132">
        <f ca="1">(Q131*'Arkusz1 (+3)'!J132)-Q131</f>
        <v>-550.50563528219936</v>
      </c>
      <c r="P132" s="16">
        <f t="shared" ca="1" si="15"/>
        <v>13870.559141631193</v>
      </c>
      <c r="Q132" s="17">
        <f t="shared" ca="1" si="16"/>
        <v>-135982.71824059176</v>
      </c>
    </row>
    <row r="133" spans="1:17" x14ac:dyDescent="0.35">
      <c r="A133">
        <v>131</v>
      </c>
      <c r="B133" s="14">
        <f t="shared" ca="1" si="17"/>
        <v>50057</v>
      </c>
      <c r="C133" s="15">
        <f ca="1">(1+(('Symulacja Pożyczka'!$B$5+'Symulacja Pożyczka'!$C$19)/100)*('Arkusz1 (+3)'!B133-'Arkusz1 (+3)'!B132)/365)</f>
        <v>1.0046712328767122</v>
      </c>
      <c r="D133" s="15">
        <f ca="1">(1+(('Symulacja Pożyczka'!$B$5+'Symulacja Pożyczka'!$C$19)/100)*('Arkusz1 (+3)'!B133-'Arkusz1 (+3)'!B132)/366)</f>
        <v>1.0046584699453551</v>
      </c>
      <c r="E133" s="15">
        <f t="shared" ca="1" si="18"/>
        <v>1</v>
      </c>
      <c r="F133" s="15">
        <f t="shared" ca="1" si="19"/>
        <v>0</v>
      </c>
      <c r="G133">
        <f ca="1">IF(E133=1,(1+(('Symulacja Pożyczka'!$B$5+'Symulacja Pożyczka'!$C$19)/100)*(((Arkusz1!B133-DATE(YEAR(B133),1,1)+1)/365)+((DATE(YEAR(B132),12,31)-Arkusz1!B132)/366))),IF(F133=1,(1+(('Symulacja Pożyczka'!$B$5+'Symulacja Pożyczka'!$C$19)/100)*(((Arkusz1!B133-DATE(YEAR(B133),1,1)+1)/366)+((DATE(YEAR(B132),12,31)-Arkusz1!B132)/365))),0))</f>
        <v>1.0046654689722285</v>
      </c>
      <c r="H133">
        <f t="shared" ca="1" si="20"/>
        <v>0</v>
      </c>
      <c r="I133">
        <f t="shared" ca="1" si="21"/>
        <v>1.0046712328767122</v>
      </c>
      <c r="J133">
        <f t="shared" ca="1" si="22"/>
        <v>1.0046654689722285</v>
      </c>
      <c r="K133">
        <f ca="1">PRODUCT($J$3:J133)</f>
        <v>1.8166676436887064</v>
      </c>
      <c r="L133">
        <f t="shared" ca="1" si="23"/>
        <v>0.55045841955412411</v>
      </c>
      <c r="M133">
        <f ca="1">SUM($L$3:L133)</f>
        <v>98.538207125911484</v>
      </c>
      <c r="O133">
        <f ca="1">(Q132*'Arkusz1 (+3)'!J133)-Q132</f>
        <v>-634.42315271077678</v>
      </c>
      <c r="P133" s="16">
        <f t="shared" ref="P133:P182" ca="1" si="24">$N$2-O133</f>
        <v>13954.47665905977</v>
      </c>
      <c r="Q133" s="17">
        <f t="shared" ref="Q133:Q182" ca="1" si="25">Q132-P133</f>
        <v>-149937.19489965151</v>
      </c>
    </row>
    <row r="134" spans="1:17" x14ac:dyDescent="0.35">
      <c r="A134">
        <v>132</v>
      </c>
      <c r="B134" s="14">
        <f t="shared" ref="B134:B182" ca="1" si="26">DATE(YEAR((B133)),MONTH((B133))+1,IF(AND(DAY(B133)&gt;28,MONTH((B133))+1=2),IF(MOD(YEAR(B133),4)=0,29,28),IF(AND(OR(DAY(B133)=28,DAY(B133)=29),MONTH((B133))=2),DAY(B132),DAY(B133))))</f>
        <v>50088</v>
      </c>
      <c r="C134" s="15">
        <f ca="1">(1+(('Symulacja Pożyczka'!$B$5+'Symulacja Pożyczka'!$C$19)/100)*('Arkusz1 (+3)'!B134-'Arkusz1 (+3)'!B133)/365)</f>
        <v>1.0046712328767122</v>
      </c>
      <c r="D134" s="15">
        <f ca="1">(1+(('Symulacja Pożyczka'!$B$5+'Symulacja Pożyczka'!$C$19)/100)*('Arkusz1 (+3)'!B134-'Arkusz1 (+3)'!B133)/366)</f>
        <v>1.0046584699453551</v>
      </c>
      <c r="E134" s="15">
        <f t="shared" ca="1" si="18"/>
        <v>0</v>
      </c>
      <c r="F134" s="15">
        <f t="shared" ca="1" si="19"/>
        <v>0</v>
      </c>
      <c r="G134">
        <f ca="1">IF(E134=1,(1+(('Symulacja Pożyczka'!$B$5+'Symulacja Pożyczka'!$C$19)/100)*(((Arkusz1!B134-DATE(YEAR(B134),1,1)+1)/365)+((DATE(YEAR(B133),12,31)-Arkusz1!B133)/366))),IF(F134=1,(1+(('Symulacja Pożyczka'!$B$5+'Symulacja Pożyczka'!$C$19)/100)*(((Arkusz1!B134-DATE(YEAR(B134),1,1)+1)/366)+((DATE(YEAR(B133),12,31)-Arkusz1!B133)/365))),0))</f>
        <v>0</v>
      </c>
      <c r="H134">
        <f t="shared" ca="1" si="20"/>
        <v>0</v>
      </c>
      <c r="I134">
        <f t="shared" ca="1" si="21"/>
        <v>1.0046712328767122</v>
      </c>
      <c r="J134">
        <f t="shared" ca="1" si="22"/>
        <v>1.0046712328767122</v>
      </c>
      <c r="K134">
        <f ca="1">PRODUCT($J$3:J134)</f>
        <v>1.8251537213119644</v>
      </c>
      <c r="L134">
        <f t="shared" ca="1" si="23"/>
        <v>0.54789905547307871</v>
      </c>
      <c r="M134">
        <f ca="1">SUM($L$3:L134)</f>
        <v>99.086106181384565</v>
      </c>
      <c r="O134">
        <f ca="1">(Q133*'Arkusz1 (+3)'!J134)-Q133</f>
        <v>-700.39155425725039</v>
      </c>
      <c r="P134" s="16">
        <f t="shared" ca="1" si="24"/>
        <v>14020.445060606244</v>
      </c>
      <c r="Q134" s="17">
        <f t="shared" ca="1" si="25"/>
        <v>-163957.63996025774</v>
      </c>
    </row>
    <row r="135" spans="1:17" x14ac:dyDescent="0.35">
      <c r="A135">
        <v>133</v>
      </c>
      <c r="B135" s="14">
        <f t="shared" ca="1" si="26"/>
        <v>50116</v>
      </c>
      <c r="C135" s="15">
        <f ca="1">(1+(('Symulacja Pożyczka'!$B$5+'Symulacja Pożyczka'!$C$19)/100)*('Arkusz1 (+3)'!B135-'Arkusz1 (+3)'!B134)/365)</f>
        <v>1.0042191780821919</v>
      </c>
      <c r="D135" s="15">
        <f ca="1">(1+(('Symulacja Pożyczka'!$B$5+'Symulacja Pożyczka'!$C$19)/100)*('Arkusz1 (+3)'!B135-'Arkusz1 (+3)'!B134)/366)</f>
        <v>1.004207650273224</v>
      </c>
      <c r="E135" s="15">
        <f t="shared" ca="1" si="18"/>
        <v>0</v>
      </c>
      <c r="F135" s="15">
        <f t="shared" ca="1" si="19"/>
        <v>0</v>
      </c>
      <c r="G135">
        <f ca="1">IF(E135=1,(1+(('Symulacja Pożyczka'!$B$5+'Symulacja Pożyczka'!$C$19)/100)*(((Arkusz1!B135-DATE(YEAR(B135),1,1)+1)/365)+((DATE(YEAR(B134),12,31)-Arkusz1!B134)/366))),IF(F135=1,(1+(('Symulacja Pożyczka'!$B$5+'Symulacja Pożyczka'!$C$19)/100)*(((Arkusz1!B135-DATE(YEAR(B135),1,1)+1)/366)+((DATE(YEAR(B134),12,31)-Arkusz1!B134)/365))),0))</f>
        <v>0</v>
      </c>
      <c r="H135">
        <f t="shared" ca="1" si="20"/>
        <v>0</v>
      </c>
      <c r="I135">
        <f t="shared" ca="1" si="21"/>
        <v>1.0042191780821919</v>
      </c>
      <c r="J135">
        <f t="shared" ca="1" si="22"/>
        <v>1.0042191780821919</v>
      </c>
      <c r="K135">
        <f ca="1">PRODUCT($J$3:J135)</f>
        <v>1.8328543698895547</v>
      </c>
      <c r="L135">
        <f t="shared" ca="1" si="23"/>
        <v>0.5455970842136566</v>
      </c>
      <c r="M135">
        <f ca="1">SUM($L$3:L135)</f>
        <v>99.631703265598219</v>
      </c>
      <c r="O135">
        <f ca="1">(Q134*'Arkusz1 (+3)'!J135)-Q134</f>
        <v>-691.7664809282287</v>
      </c>
      <c r="P135" s="16">
        <f t="shared" ca="1" si="24"/>
        <v>14011.819987277222</v>
      </c>
      <c r="Q135" s="17">
        <f t="shared" ca="1" si="25"/>
        <v>-177969.45994753495</v>
      </c>
    </row>
    <row r="136" spans="1:17" x14ac:dyDescent="0.35">
      <c r="A136">
        <v>134</v>
      </c>
      <c r="B136" s="14">
        <f t="shared" ca="1" si="26"/>
        <v>50147</v>
      </c>
      <c r="C136" s="15">
        <f ca="1">(1+(('Symulacja Pożyczka'!$B$5+'Symulacja Pożyczka'!$C$19)/100)*('Arkusz1 (+3)'!B136-'Arkusz1 (+3)'!B135)/365)</f>
        <v>1.0046712328767122</v>
      </c>
      <c r="D136" s="15">
        <f ca="1">(1+(('Symulacja Pożyczka'!$B$5+'Symulacja Pożyczka'!$C$19)/100)*('Arkusz1 (+3)'!B136-'Arkusz1 (+3)'!B135)/366)</f>
        <v>1.0046584699453551</v>
      </c>
      <c r="E136" s="15">
        <f t="shared" ca="1" si="18"/>
        <v>0</v>
      </c>
      <c r="F136" s="15">
        <f t="shared" ca="1" si="19"/>
        <v>0</v>
      </c>
      <c r="G136">
        <f ca="1">IF(E136=1,(1+(('Symulacja Pożyczka'!$B$5+'Symulacja Pożyczka'!$C$19)/100)*(((Arkusz1!B136-DATE(YEAR(B136),1,1)+1)/365)+((DATE(YEAR(B135),12,31)-Arkusz1!B135)/366))),IF(F136=1,(1+(('Symulacja Pożyczka'!$B$5+'Symulacja Pożyczka'!$C$19)/100)*(((Arkusz1!B136-DATE(YEAR(B136),1,1)+1)/366)+((DATE(YEAR(B135),12,31)-Arkusz1!B135)/365))),0))</f>
        <v>0</v>
      </c>
      <c r="H136">
        <f t="shared" ca="1" si="20"/>
        <v>0</v>
      </c>
      <c r="I136">
        <f t="shared" ca="1" si="21"/>
        <v>1.0046712328767122</v>
      </c>
      <c r="J136">
        <f t="shared" ca="1" si="22"/>
        <v>1.0046712328767122</v>
      </c>
      <c r="K136">
        <f ca="1">PRODUCT($J$3:J136)</f>
        <v>1.8414160594804085</v>
      </c>
      <c r="L136">
        <f t="shared" ca="1" si="23"/>
        <v>0.5430603229789196</v>
      </c>
      <c r="M136">
        <f ca="1">SUM($L$3:L136)</f>
        <v>100.17476358857714</v>
      </c>
      <c r="O136">
        <f ca="1">(Q135*'Arkusz1 (+3)'!J136)-Q135</f>
        <v>-831.3367923576443</v>
      </c>
      <c r="P136" s="16">
        <f t="shared" ca="1" si="24"/>
        <v>14151.390298706638</v>
      </c>
      <c r="Q136" s="17">
        <f t="shared" ca="1" si="25"/>
        <v>-192120.85024624158</v>
      </c>
    </row>
    <row r="137" spans="1:17" x14ac:dyDescent="0.35">
      <c r="A137">
        <v>135</v>
      </c>
      <c r="B137" s="14">
        <f t="shared" ca="1" si="26"/>
        <v>50177</v>
      </c>
      <c r="C137" s="15">
        <f ca="1">(1+(('Symulacja Pożyczka'!$B$5+'Symulacja Pożyczka'!$C$19)/100)*('Arkusz1 (+3)'!B137-'Arkusz1 (+3)'!B136)/365)</f>
        <v>1.0045205479452055</v>
      </c>
      <c r="D137" s="15">
        <f ca="1">(1+(('Symulacja Pożyczka'!$B$5+'Symulacja Pożyczka'!$C$19)/100)*('Arkusz1 (+3)'!B137-'Arkusz1 (+3)'!B136)/366)</f>
        <v>1.0045081967213114</v>
      </c>
      <c r="E137" s="15">
        <f t="shared" ca="1" si="18"/>
        <v>0</v>
      </c>
      <c r="F137" s="15">
        <f t="shared" ca="1" si="19"/>
        <v>0</v>
      </c>
      <c r="G137">
        <f ca="1">IF(E137=1,(1+(('Symulacja Pożyczka'!$B$5+'Symulacja Pożyczka'!$C$19)/100)*(((Arkusz1!B137-DATE(YEAR(B137),1,1)+1)/365)+((DATE(YEAR(B136),12,31)-Arkusz1!B136)/366))),IF(F137=1,(1+(('Symulacja Pożyczka'!$B$5+'Symulacja Pożyczka'!$C$19)/100)*(((Arkusz1!B137-DATE(YEAR(B137),1,1)+1)/366)+((DATE(YEAR(B136),12,31)-Arkusz1!B136)/365))),0))</f>
        <v>0</v>
      </c>
      <c r="H137">
        <f t="shared" ca="1" si="20"/>
        <v>0</v>
      </c>
      <c r="I137">
        <f t="shared" ca="1" si="21"/>
        <v>1.0045205479452055</v>
      </c>
      <c r="J137">
        <f t="shared" ca="1" si="22"/>
        <v>1.0045205479452055</v>
      </c>
      <c r="K137">
        <f ca="1">PRODUCT($J$3:J137)</f>
        <v>1.8497402690643612</v>
      </c>
      <c r="L137">
        <f t="shared" ca="1" si="23"/>
        <v>0.54061644043994439</v>
      </c>
      <c r="M137">
        <f ca="1">SUM($L$3:L137)</f>
        <v>100.71538002901708</v>
      </c>
      <c r="O137">
        <f ca="1">(Q136*'Arkusz1 (+3)'!J137)-Q136</f>
        <v>-868.49151481178706</v>
      </c>
      <c r="P137" s="16">
        <f t="shared" ca="1" si="24"/>
        <v>14188.54502116078</v>
      </c>
      <c r="Q137" s="17">
        <f t="shared" ca="1" si="25"/>
        <v>-206309.39526740235</v>
      </c>
    </row>
    <row r="138" spans="1:17" x14ac:dyDescent="0.35">
      <c r="A138">
        <v>136</v>
      </c>
      <c r="B138" s="14">
        <f t="shared" ca="1" si="26"/>
        <v>50208</v>
      </c>
      <c r="C138" s="15">
        <f ca="1">(1+(('Symulacja Pożyczka'!$B$5+'Symulacja Pożyczka'!$C$19)/100)*('Arkusz1 (+3)'!B138-'Arkusz1 (+3)'!B137)/365)</f>
        <v>1.0046712328767122</v>
      </c>
      <c r="D138" s="15">
        <f ca="1">(1+(('Symulacja Pożyczka'!$B$5+'Symulacja Pożyczka'!$C$19)/100)*('Arkusz1 (+3)'!B138-'Arkusz1 (+3)'!B137)/366)</f>
        <v>1.0046584699453551</v>
      </c>
      <c r="E138" s="15">
        <f t="shared" ca="1" si="18"/>
        <v>0</v>
      </c>
      <c r="F138" s="15">
        <f t="shared" ca="1" si="19"/>
        <v>0</v>
      </c>
      <c r="G138">
        <f ca="1">IF(E138=1,(1+(('Symulacja Pożyczka'!$B$5+'Symulacja Pożyczka'!$C$19)/100)*(((Arkusz1!B138-DATE(YEAR(B138),1,1)+1)/365)+((DATE(YEAR(B137),12,31)-Arkusz1!B137)/366))),IF(F138=1,(1+(('Symulacja Pożyczka'!$B$5+'Symulacja Pożyczka'!$C$19)/100)*(((Arkusz1!B138-DATE(YEAR(B138),1,1)+1)/366)+((DATE(YEAR(B137),12,31)-Arkusz1!B137)/365))),0))</f>
        <v>0</v>
      </c>
      <c r="H138">
        <f t="shared" ca="1" si="20"/>
        <v>0</v>
      </c>
      <c r="I138">
        <f t="shared" ca="1" si="21"/>
        <v>1.0046712328767122</v>
      </c>
      <c r="J138">
        <f t="shared" ca="1" si="22"/>
        <v>1.0046712328767122</v>
      </c>
      <c r="K138">
        <f ca="1">PRODUCT($J$3:J138)</f>
        <v>1.8583808366225931</v>
      </c>
      <c r="L138">
        <f t="shared" ca="1" si="23"/>
        <v>0.53810283677773618</v>
      </c>
      <c r="M138">
        <f ca="1">SUM($L$3:L138)</f>
        <v>101.25348286579482</v>
      </c>
      <c r="O138">
        <f ca="1">(Q137*'Arkusz1 (+3)'!J138)-Q137</f>
        <v>-963.71922994771739</v>
      </c>
      <c r="P138" s="16">
        <f t="shared" ca="1" si="24"/>
        <v>14283.772736296711</v>
      </c>
      <c r="Q138" s="17">
        <f t="shared" ca="1" si="25"/>
        <v>-220593.16800369904</v>
      </c>
    </row>
    <row r="139" spans="1:17" x14ac:dyDescent="0.35">
      <c r="A139">
        <v>137</v>
      </c>
      <c r="B139" s="14">
        <f t="shared" ca="1" si="26"/>
        <v>50238</v>
      </c>
      <c r="C139" s="15">
        <f ca="1">(1+(('Symulacja Pożyczka'!$B$5+'Symulacja Pożyczka'!$C$19)/100)*('Arkusz1 (+3)'!B139-'Arkusz1 (+3)'!B138)/365)</f>
        <v>1.0045205479452055</v>
      </c>
      <c r="D139" s="15">
        <f ca="1">(1+(('Symulacja Pożyczka'!$B$5+'Symulacja Pożyczka'!$C$19)/100)*('Arkusz1 (+3)'!B139-'Arkusz1 (+3)'!B138)/366)</f>
        <v>1.0045081967213114</v>
      </c>
      <c r="E139" s="15">
        <f t="shared" ca="1" si="18"/>
        <v>0</v>
      </c>
      <c r="F139" s="15">
        <f t="shared" ca="1" si="19"/>
        <v>0</v>
      </c>
      <c r="G139">
        <f ca="1">IF(E139=1,(1+(('Symulacja Pożyczka'!$B$5+'Symulacja Pożyczka'!$C$19)/100)*(((Arkusz1!B139-DATE(YEAR(B139),1,1)+1)/365)+((DATE(YEAR(B138),12,31)-Arkusz1!B138)/366))),IF(F139=1,(1+(('Symulacja Pożyczka'!$B$5+'Symulacja Pożyczka'!$C$19)/100)*(((Arkusz1!B139-DATE(YEAR(B139),1,1)+1)/366)+((DATE(YEAR(B138),12,31)-Arkusz1!B138)/365))),0))</f>
        <v>0</v>
      </c>
      <c r="H139">
        <f t="shared" ca="1" si="20"/>
        <v>0</v>
      </c>
      <c r="I139">
        <f t="shared" ca="1" si="21"/>
        <v>1.0045205479452055</v>
      </c>
      <c r="J139">
        <f t="shared" ca="1" si="22"/>
        <v>1.0045205479452055</v>
      </c>
      <c r="K139">
        <f ca="1">PRODUCT($J$3:J139)</f>
        <v>1.8667817362949968</v>
      </c>
      <c r="L139">
        <f t="shared" ca="1" si="23"/>
        <v>0.53568126394074367</v>
      </c>
      <c r="M139">
        <f ca="1">SUM($L$3:L139)</f>
        <v>101.78916412973557</v>
      </c>
      <c r="O139">
        <f ca="1">(Q138*'Arkusz1 (+3)'!J139)-Q138</f>
        <v>-997.20199234550819</v>
      </c>
      <c r="P139" s="16">
        <f t="shared" ca="1" si="24"/>
        <v>14317.255498694502</v>
      </c>
      <c r="Q139" s="17">
        <f t="shared" ca="1" si="25"/>
        <v>-234910.42350239353</v>
      </c>
    </row>
    <row r="140" spans="1:17" x14ac:dyDescent="0.35">
      <c r="A140">
        <v>138</v>
      </c>
      <c r="B140" s="14">
        <f t="shared" ca="1" si="26"/>
        <v>50269</v>
      </c>
      <c r="C140" s="15">
        <f ca="1">(1+(('Symulacja Pożyczka'!$B$5+'Symulacja Pożyczka'!$C$19)/100)*('Arkusz1 (+3)'!B140-'Arkusz1 (+3)'!B139)/365)</f>
        <v>1.0046712328767122</v>
      </c>
      <c r="D140" s="15">
        <f ca="1">(1+(('Symulacja Pożyczka'!$B$5+'Symulacja Pożyczka'!$C$19)/100)*('Arkusz1 (+3)'!B140-'Arkusz1 (+3)'!B139)/366)</f>
        <v>1.0046584699453551</v>
      </c>
      <c r="E140" s="15">
        <f t="shared" ca="1" si="18"/>
        <v>0</v>
      </c>
      <c r="F140" s="15">
        <f t="shared" ca="1" si="19"/>
        <v>0</v>
      </c>
      <c r="G140">
        <f ca="1">IF(E140=1,(1+(('Symulacja Pożyczka'!$B$5+'Symulacja Pożyczka'!$C$19)/100)*(((Arkusz1!B140-DATE(YEAR(B140),1,1)+1)/365)+((DATE(YEAR(B139),12,31)-Arkusz1!B139)/366))),IF(F140=1,(1+(('Symulacja Pożyczka'!$B$5+'Symulacja Pożyczka'!$C$19)/100)*(((Arkusz1!B140-DATE(YEAR(B140),1,1)+1)/366)+((DATE(YEAR(B139),12,31)-Arkusz1!B139)/365))),0))</f>
        <v>0</v>
      </c>
      <c r="H140">
        <f t="shared" ca="1" si="20"/>
        <v>0</v>
      </c>
      <c r="I140">
        <f t="shared" ca="1" si="21"/>
        <v>1.0046712328767122</v>
      </c>
      <c r="J140">
        <f t="shared" ca="1" si="22"/>
        <v>1.0046712328767122</v>
      </c>
      <c r="K140">
        <f ca="1">PRODUCT($J$3:J140)</f>
        <v>1.8755019085152238</v>
      </c>
      <c r="L140">
        <f t="shared" ca="1" si="23"/>
        <v>0.53319060645033878</v>
      </c>
      <c r="M140">
        <f ca="1">SUM($L$3:L140)</f>
        <v>102.3223547361859</v>
      </c>
      <c r="O140">
        <f ca="1">(Q139*'Arkusz1 (+3)'!J140)-Q139</f>
        <v>-1097.3212933467876</v>
      </c>
      <c r="P140" s="16">
        <f t="shared" ca="1" si="24"/>
        <v>14417.374799695781</v>
      </c>
      <c r="Q140" s="17">
        <f t="shared" ca="1" si="25"/>
        <v>-249327.7983020893</v>
      </c>
    </row>
    <row r="141" spans="1:17" x14ac:dyDescent="0.35">
      <c r="A141">
        <v>139</v>
      </c>
      <c r="B141" s="14">
        <f t="shared" ca="1" si="26"/>
        <v>50300</v>
      </c>
      <c r="C141" s="15">
        <f ca="1">(1+(('Symulacja Pożyczka'!$B$5+'Symulacja Pożyczka'!$C$19)/100)*('Arkusz1 (+3)'!B141-'Arkusz1 (+3)'!B140)/365)</f>
        <v>1.0046712328767122</v>
      </c>
      <c r="D141" s="15">
        <f ca="1">(1+(('Symulacja Pożyczka'!$B$5+'Symulacja Pożyczka'!$C$19)/100)*('Arkusz1 (+3)'!B141-'Arkusz1 (+3)'!B140)/366)</f>
        <v>1.0046584699453551</v>
      </c>
      <c r="E141" s="15">
        <f t="shared" ca="1" si="18"/>
        <v>0</v>
      </c>
      <c r="F141" s="15">
        <f t="shared" ca="1" si="19"/>
        <v>0</v>
      </c>
      <c r="G141">
        <f ca="1">IF(E141=1,(1+(('Symulacja Pożyczka'!$B$5+'Symulacja Pożyczka'!$C$19)/100)*(((Arkusz1!B141-DATE(YEAR(B141),1,1)+1)/365)+((DATE(YEAR(B140),12,31)-Arkusz1!B140)/366))),IF(F141=1,(1+(('Symulacja Pożyczka'!$B$5+'Symulacja Pożyczka'!$C$19)/100)*(((Arkusz1!B141-DATE(YEAR(B141),1,1)+1)/366)+((DATE(YEAR(B140),12,31)-Arkusz1!B140)/365))),0))</f>
        <v>0</v>
      </c>
      <c r="H141">
        <f t="shared" ca="1" si="20"/>
        <v>0</v>
      </c>
      <c r="I141">
        <f t="shared" ca="1" si="21"/>
        <v>1.0046712328767122</v>
      </c>
      <c r="J141">
        <f t="shared" ca="1" si="22"/>
        <v>1.0046712328767122</v>
      </c>
      <c r="K141">
        <f ca="1">PRODUCT($J$3:J141)</f>
        <v>1.8842628146906166</v>
      </c>
      <c r="L141">
        <f t="shared" ca="1" si="23"/>
        <v>0.5307115293065916</v>
      </c>
      <c r="M141">
        <f ca="1">SUM($L$3:L141)</f>
        <v>102.85306626549249</v>
      </c>
      <c r="O141">
        <f ca="1">(Q140*'Arkusz1 (+3)'!J141)-Q140</f>
        <v>-1164.6682085070061</v>
      </c>
      <c r="P141" s="16">
        <f t="shared" ca="1" si="24"/>
        <v>14484.721714855999</v>
      </c>
      <c r="Q141" s="17">
        <f t="shared" ca="1" si="25"/>
        <v>-263812.52001694532</v>
      </c>
    </row>
    <row r="142" spans="1:17" x14ac:dyDescent="0.35">
      <c r="A142">
        <v>140</v>
      </c>
      <c r="B142" s="14">
        <f t="shared" ca="1" si="26"/>
        <v>50330</v>
      </c>
      <c r="C142" s="15">
        <f ca="1">(1+(('Symulacja Pożyczka'!$B$5+'Symulacja Pożyczka'!$C$19)/100)*('Arkusz1 (+3)'!B142-'Arkusz1 (+3)'!B141)/365)</f>
        <v>1.0045205479452055</v>
      </c>
      <c r="D142" s="15">
        <f ca="1">(1+(('Symulacja Pożyczka'!$B$5+'Symulacja Pożyczka'!$C$19)/100)*('Arkusz1 (+3)'!B142-'Arkusz1 (+3)'!B141)/366)</f>
        <v>1.0045081967213114</v>
      </c>
      <c r="E142" s="15">
        <f t="shared" ca="1" si="18"/>
        <v>0</v>
      </c>
      <c r="F142" s="15">
        <f t="shared" ca="1" si="19"/>
        <v>0</v>
      </c>
      <c r="G142">
        <f ca="1">IF(E142=1,(1+(('Symulacja Pożyczka'!$B$5+'Symulacja Pożyczka'!$C$19)/100)*(((Arkusz1!B142-DATE(YEAR(B142),1,1)+1)/365)+((DATE(YEAR(B141),12,31)-Arkusz1!B141)/366))),IF(F142=1,(1+(('Symulacja Pożyczka'!$B$5+'Symulacja Pożyczka'!$C$19)/100)*(((Arkusz1!B142-DATE(YEAR(B142),1,1)+1)/366)+((DATE(YEAR(B141),12,31)-Arkusz1!B141)/365))),0))</f>
        <v>0</v>
      </c>
      <c r="H142">
        <f t="shared" ca="1" si="20"/>
        <v>0</v>
      </c>
      <c r="I142">
        <f t="shared" ca="1" si="21"/>
        <v>1.0045205479452055</v>
      </c>
      <c r="J142">
        <f t="shared" ca="1" si="22"/>
        <v>1.0045205479452055</v>
      </c>
      <c r="K142">
        <f ca="1">PRODUCT($J$3:J142)</f>
        <v>1.8927807150857934</v>
      </c>
      <c r="L142">
        <f t="shared" ca="1" si="23"/>
        <v>0.52832321886514644</v>
      </c>
      <c r="M142">
        <f ca="1">SUM($L$3:L142)</f>
        <v>103.38138948435763</v>
      </c>
      <c r="O142">
        <f ca="1">(Q141*'Arkusz1 (+3)'!J142)-Q141</f>
        <v>-1192.5771452820627</v>
      </c>
      <c r="P142" s="16">
        <f t="shared" ca="1" si="24"/>
        <v>14512.630651631056</v>
      </c>
      <c r="Q142" s="17">
        <f t="shared" ca="1" si="25"/>
        <v>-278325.15066857636</v>
      </c>
    </row>
    <row r="143" spans="1:17" x14ac:dyDescent="0.35">
      <c r="A143">
        <v>141</v>
      </c>
      <c r="B143" s="14">
        <f t="shared" ca="1" si="26"/>
        <v>50361</v>
      </c>
      <c r="C143" s="15">
        <f ca="1">(1+(('Symulacja Pożyczka'!$B$5+'Symulacja Pożyczka'!$C$19)/100)*('Arkusz1 (+3)'!B143-'Arkusz1 (+3)'!B142)/365)</f>
        <v>1.0046712328767122</v>
      </c>
      <c r="D143" s="15">
        <f ca="1">(1+(('Symulacja Pożyczka'!$B$5+'Symulacja Pożyczka'!$C$19)/100)*('Arkusz1 (+3)'!B143-'Arkusz1 (+3)'!B142)/366)</f>
        <v>1.0046584699453551</v>
      </c>
      <c r="E143" s="15">
        <f t="shared" ca="1" si="18"/>
        <v>0</v>
      </c>
      <c r="F143" s="15">
        <f t="shared" ca="1" si="19"/>
        <v>0</v>
      </c>
      <c r="G143">
        <f ca="1">IF(E143=1,(1+(('Symulacja Pożyczka'!$B$5+'Symulacja Pożyczka'!$C$19)/100)*(((Arkusz1!B143-DATE(YEAR(B143),1,1)+1)/365)+((DATE(YEAR(B142),12,31)-Arkusz1!B142)/366))),IF(F143=1,(1+(('Symulacja Pożyczka'!$B$5+'Symulacja Pożyczka'!$C$19)/100)*(((Arkusz1!B143-DATE(YEAR(B143),1,1)+1)/366)+((DATE(YEAR(B142),12,31)-Arkusz1!B142)/365))),0))</f>
        <v>0</v>
      </c>
      <c r="H143">
        <f t="shared" ca="1" si="20"/>
        <v>0</v>
      </c>
      <c r="I143">
        <f t="shared" ca="1" si="21"/>
        <v>1.0046712328767122</v>
      </c>
      <c r="J143">
        <f t="shared" ca="1" si="22"/>
        <v>1.0046712328767122</v>
      </c>
      <c r="K143">
        <f ca="1">PRODUCT($J$3:J143)</f>
        <v>1.901622334590509</v>
      </c>
      <c r="L143">
        <f t="shared" ca="1" si="23"/>
        <v>0.52586677270770366</v>
      </c>
      <c r="M143">
        <f ca="1">SUM($L$3:L143)</f>
        <v>103.90725625706533</v>
      </c>
      <c r="O143">
        <f ca="1">(Q142*'Arkusz1 (+3)'!J143)-Q142</f>
        <v>-1300.1215942189447</v>
      </c>
      <c r="P143" s="16">
        <f t="shared" ca="1" si="24"/>
        <v>14620.175100567938</v>
      </c>
      <c r="Q143" s="17">
        <f t="shared" ca="1" si="25"/>
        <v>-292945.32576914429</v>
      </c>
    </row>
    <row r="144" spans="1:17" x14ac:dyDescent="0.35">
      <c r="A144">
        <v>142</v>
      </c>
      <c r="B144" s="14">
        <f t="shared" ca="1" si="26"/>
        <v>50391</v>
      </c>
      <c r="C144" s="15">
        <f ca="1">(1+(('Symulacja Pożyczka'!$B$5+'Symulacja Pożyczka'!$C$19)/100)*('Arkusz1 (+3)'!B144-'Arkusz1 (+3)'!B143)/365)</f>
        <v>1.0045205479452055</v>
      </c>
      <c r="D144" s="15">
        <f ca="1">(1+(('Symulacja Pożyczka'!$B$5+'Symulacja Pożyczka'!$C$19)/100)*('Arkusz1 (+3)'!B144-'Arkusz1 (+3)'!B143)/366)</f>
        <v>1.0045081967213114</v>
      </c>
      <c r="E144" s="15">
        <f t="shared" ca="1" si="18"/>
        <v>0</v>
      </c>
      <c r="F144" s="15">
        <f t="shared" ca="1" si="19"/>
        <v>0</v>
      </c>
      <c r="G144">
        <f ca="1">IF(E144=1,(1+(('Symulacja Pożyczka'!$B$5+'Symulacja Pożyczka'!$C$19)/100)*(((Arkusz1!B144-DATE(YEAR(B144),1,1)+1)/365)+((DATE(YEAR(B143),12,31)-Arkusz1!B143)/366))),IF(F144=1,(1+(('Symulacja Pożyczka'!$B$5+'Symulacja Pożyczka'!$C$19)/100)*(((Arkusz1!B144-DATE(YEAR(B144),1,1)+1)/366)+((DATE(YEAR(B143),12,31)-Arkusz1!B143)/365))),0))</f>
        <v>0</v>
      </c>
      <c r="H144">
        <f t="shared" ca="1" si="20"/>
        <v>0</v>
      </c>
      <c r="I144">
        <f t="shared" ca="1" si="21"/>
        <v>1.0045205479452055</v>
      </c>
      <c r="J144">
        <f t="shared" ca="1" si="22"/>
        <v>1.0045205479452055</v>
      </c>
      <c r="K144">
        <f ca="1">PRODUCT($J$3:J144)</f>
        <v>1.910218709527699</v>
      </c>
      <c r="L144">
        <f t="shared" ca="1" si="23"/>
        <v>0.52350026466197142</v>
      </c>
      <c r="M144">
        <f ca="1">SUM($L$3:L144)</f>
        <v>104.4307565217273</v>
      </c>
      <c r="O144">
        <f ca="1">(Q143*'Arkusz1 (+3)'!J144)-Q143</f>
        <v>-1324.2733904632623</v>
      </c>
      <c r="P144" s="16">
        <f t="shared" ca="1" si="24"/>
        <v>14644.326896812256</v>
      </c>
      <c r="Q144" s="17">
        <f t="shared" ca="1" si="25"/>
        <v>-307589.65266595653</v>
      </c>
    </row>
    <row r="145" spans="1:17" x14ac:dyDescent="0.35">
      <c r="A145">
        <v>143</v>
      </c>
      <c r="B145" s="14">
        <f t="shared" ca="1" si="26"/>
        <v>50422</v>
      </c>
      <c r="C145" s="15">
        <f ca="1">(1+(('Symulacja Pożyczka'!$B$5+'Symulacja Pożyczka'!$C$19)/100)*('Arkusz1 (+3)'!B145-'Arkusz1 (+3)'!B144)/365)</f>
        <v>1.0046712328767122</v>
      </c>
      <c r="D145" s="15">
        <f ca="1">(1+(('Symulacja Pożyczka'!$B$5+'Symulacja Pożyczka'!$C$19)/100)*('Arkusz1 (+3)'!B145-'Arkusz1 (+3)'!B144)/366)</f>
        <v>1.0046584699453551</v>
      </c>
      <c r="E145" s="15">
        <f t="shared" ca="1" si="18"/>
        <v>0</v>
      </c>
      <c r="F145" s="15">
        <f t="shared" ca="1" si="19"/>
        <v>0</v>
      </c>
      <c r="G145">
        <f ca="1">IF(E145=1,(1+(('Symulacja Pożyczka'!$B$5+'Symulacja Pożyczka'!$C$19)/100)*(((Arkusz1!B145-DATE(YEAR(B145),1,1)+1)/365)+((DATE(YEAR(B144),12,31)-Arkusz1!B144)/366))),IF(F145=1,(1+(('Symulacja Pożyczka'!$B$5+'Symulacja Pożyczka'!$C$19)/100)*(((Arkusz1!B145-DATE(YEAR(B145),1,1)+1)/366)+((DATE(YEAR(B144),12,31)-Arkusz1!B144)/365))),0))</f>
        <v>0</v>
      </c>
      <c r="H145">
        <f t="shared" ca="1" si="20"/>
        <v>0</v>
      </c>
      <c r="I145">
        <f t="shared" ca="1" si="21"/>
        <v>1.0046712328767122</v>
      </c>
      <c r="J145">
        <f t="shared" ca="1" si="22"/>
        <v>1.0046712328767122</v>
      </c>
      <c r="K145">
        <f ca="1">PRODUCT($J$3:J145)</f>
        <v>1.9191417859653557</v>
      </c>
      <c r="L145">
        <f t="shared" ca="1" si="23"/>
        <v>0.52106624289720505</v>
      </c>
      <c r="M145">
        <f ca="1">SUM($L$3:L145)</f>
        <v>104.95182276462451</v>
      </c>
      <c r="O145">
        <f ca="1">(Q144*'Arkusz1 (+3)'!J145)-Q144</f>
        <v>-1436.8228980696877</v>
      </c>
      <c r="P145" s="16">
        <f t="shared" ca="1" si="24"/>
        <v>14756.876404418681</v>
      </c>
      <c r="Q145" s="17">
        <f t="shared" ca="1" si="25"/>
        <v>-322346.5290703752</v>
      </c>
    </row>
    <row r="146" spans="1:17" x14ac:dyDescent="0.35">
      <c r="A146">
        <v>144</v>
      </c>
      <c r="B146" s="14">
        <f t="shared" ca="1" si="26"/>
        <v>50453</v>
      </c>
      <c r="C146" s="15">
        <f ca="1">(1+(('Symulacja Pożyczka'!$B$5+'Symulacja Pożyczka'!$C$19)/100)*('Arkusz1 (+3)'!B146-'Arkusz1 (+3)'!B145)/365)</f>
        <v>1.0046712328767122</v>
      </c>
      <c r="D146" s="15">
        <f ca="1">(1+(('Symulacja Pożyczka'!$B$5+'Symulacja Pożyczka'!$C$19)/100)*('Arkusz1 (+3)'!B146-'Arkusz1 (+3)'!B145)/366)</f>
        <v>1.0046584699453551</v>
      </c>
      <c r="E146" s="15">
        <f t="shared" ca="1" si="18"/>
        <v>0</v>
      </c>
      <c r="F146" s="15">
        <f t="shared" ca="1" si="19"/>
        <v>0</v>
      </c>
      <c r="G146">
        <f ca="1">IF(E146=1,(1+(('Symulacja Pożyczka'!$B$5+'Symulacja Pożyczka'!$C$19)/100)*(((Arkusz1!B146-DATE(YEAR(B146),1,1)+1)/365)+((DATE(YEAR(B145),12,31)-Arkusz1!B145)/366))),IF(F146=1,(1+(('Symulacja Pożyczka'!$B$5+'Symulacja Pożyczka'!$C$19)/100)*(((Arkusz1!B146-DATE(YEAR(B146),1,1)+1)/366)+((DATE(YEAR(B145),12,31)-Arkusz1!B145)/365))),0))</f>
        <v>0</v>
      </c>
      <c r="H146">
        <f t="shared" ca="1" si="20"/>
        <v>0</v>
      </c>
      <c r="I146">
        <f t="shared" ca="1" si="21"/>
        <v>1.0046712328767122</v>
      </c>
      <c r="J146">
        <f t="shared" ca="1" si="22"/>
        <v>1.0046712328767122</v>
      </c>
      <c r="K146">
        <f ca="1">PRODUCT($J$3:J146)</f>
        <v>1.9281065441710292</v>
      </c>
      <c r="L146">
        <f t="shared" ca="1" si="23"/>
        <v>0.51864353815050213</v>
      </c>
      <c r="M146">
        <f ca="1">SUM($L$3:L146)</f>
        <v>105.47046630277501</v>
      </c>
      <c r="O146">
        <f ca="1">(Q145*'Arkusz1 (+3)'!J146)-Q145</f>
        <v>-1505.7557042876142</v>
      </c>
      <c r="P146" s="16">
        <f t="shared" ca="1" si="24"/>
        <v>14825.809210636608</v>
      </c>
      <c r="Q146" s="17">
        <f t="shared" ca="1" si="25"/>
        <v>-337172.33828101179</v>
      </c>
    </row>
    <row r="147" spans="1:17" x14ac:dyDescent="0.35">
      <c r="A147">
        <v>145</v>
      </c>
      <c r="B147" s="14">
        <f t="shared" ca="1" si="26"/>
        <v>50481</v>
      </c>
      <c r="C147" s="15">
        <f ca="1">(1+(('Symulacja Pożyczka'!$B$5+'Symulacja Pożyczka'!$C$19)/100)*('Arkusz1 (+3)'!B147-'Arkusz1 (+3)'!B146)/365)</f>
        <v>1.0042191780821919</v>
      </c>
      <c r="D147" s="15">
        <f ca="1">(1+(('Symulacja Pożyczka'!$B$5+'Symulacja Pożyczka'!$C$19)/100)*('Arkusz1 (+3)'!B147-'Arkusz1 (+3)'!B146)/366)</f>
        <v>1.004207650273224</v>
      </c>
      <c r="E147" s="15">
        <f t="shared" ca="1" si="18"/>
        <v>0</v>
      </c>
      <c r="F147" s="15">
        <f t="shared" ca="1" si="19"/>
        <v>0</v>
      </c>
      <c r="G147">
        <f ca="1">IF(E147=1,(1+(('Symulacja Pożyczka'!$B$5+'Symulacja Pożyczka'!$C$19)/100)*(((Arkusz1!B147-DATE(YEAR(B147),1,1)+1)/365)+((DATE(YEAR(B146),12,31)-Arkusz1!B146)/366))),IF(F147=1,(1+(('Symulacja Pożyczka'!$B$5+'Symulacja Pożyczka'!$C$19)/100)*(((Arkusz1!B147-DATE(YEAR(B147),1,1)+1)/366)+((DATE(YEAR(B146),12,31)-Arkusz1!B146)/365))),0))</f>
        <v>0</v>
      </c>
      <c r="H147">
        <f t="shared" ca="1" si="20"/>
        <v>0</v>
      </c>
      <c r="I147">
        <f t="shared" ca="1" si="21"/>
        <v>1.0042191780821919</v>
      </c>
      <c r="J147">
        <f t="shared" ca="1" si="22"/>
        <v>1.0042191780821919</v>
      </c>
      <c r="K147">
        <f ca="1">PRODUCT($J$3:J147)</f>
        <v>1.9362415690423262</v>
      </c>
      <c r="L147">
        <f t="shared" ca="1" si="23"/>
        <v>0.51646448252559962</v>
      </c>
      <c r="M147">
        <f ca="1">SUM($L$3:L147)</f>
        <v>105.98693078530061</v>
      </c>
      <c r="O147">
        <f ca="1">(Q146*'Arkusz1 (+3)'!J147)-Q146</f>
        <v>-1422.5901395966066</v>
      </c>
      <c r="P147" s="16">
        <f t="shared" ca="1" si="24"/>
        <v>14742.6436459456</v>
      </c>
      <c r="Q147" s="17">
        <f t="shared" ca="1" si="25"/>
        <v>-351914.98192695738</v>
      </c>
    </row>
    <row r="148" spans="1:17" x14ac:dyDescent="0.35">
      <c r="A148">
        <v>146</v>
      </c>
      <c r="B148" s="14">
        <f t="shared" ca="1" si="26"/>
        <v>50512</v>
      </c>
      <c r="C148" s="15">
        <f ca="1">(1+(('Symulacja Pożyczka'!$B$5+'Symulacja Pożyczka'!$C$19)/100)*('Arkusz1 (+3)'!B148-'Arkusz1 (+3)'!B147)/365)</f>
        <v>1.0046712328767122</v>
      </c>
      <c r="D148" s="15">
        <f ca="1">(1+(('Symulacja Pożyczka'!$B$5+'Symulacja Pożyczka'!$C$19)/100)*('Arkusz1 (+3)'!B148-'Arkusz1 (+3)'!B147)/366)</f>
        <v>1.0046584699453551</v>
      </c>
      <c r="E148" s="15">
        <f t="shared" ca="1" si="18"/>
        <v>0</v>
      </c>
      <c r="F148" s="15">
        <f t="shared" ca="1" si="19"/>
        <v>0</v>
      </c>
      <c r="G148">
        <f ca="1">IF(E148=1,(1+(('Symulacja Pożyczka'!$B$5+'Symulacja Pożyczka'!$C$19)/100)*(((Arkusz1!B148-DATE(YEAR(B148),1,1)+1)/365)+((DATE(YEAR(B147),12,31)-Arkusz1!B147)/366))),IF(F148=1,(1+(('Symulacja Pożyczka'!$B$5+'Symulacja Pożyczka'!$C$19)/100)*(((Arkusz1!B148-DATE(YEAR(B148),1,1)+1)/366)+((DATE(YEAR(B147),12,31)-Arkusz1!B147)/365))),0))</f>
        <v>0</v>
      </c>
      <c r="H148">
        <f t="shared" ca="1" si="20"/>
        <v>0</v>
      </c>
      <c r="I148">
        <f t="shared" ca="1" si="21"/>
        <v>1.0046712328767122</v>
      </c>
      <c r="J148">
        <f t="shared" ca="1" si="22"/>
        <v>1.0046712328767122</v>
      </c>
      <c r="K148">
        <f ca="1">PRODUCT($J$3:J148)</f>
        <v>1.9452862043168937</v>
      </c>
      <c r="L148">
        <f t="shared" ca="1" si="23"/>
        <v>0.51406317372777532</v>
      </c>
      <c r="M148">
        <f ca="1">SUM($L$3:L148)</f>
        <v>106.50099395902839</v>
      </c>
      <c r="O148">
        <f ca="1">(Q147*'Arkusz1 (+3)'!J148)-Q147</f>
        <v>-1643.8768333847984</v>
      </c>
      <c r="P148" s="16">
        <f t="shared" ca="1" si="24"/>
        <v>14963.930339733792</v>
      </c>
      <c r="Q148" s="17">
        <f t="shared" ca="1" si="25"/>
        <v>-366878.91226669116</v>
      </c>
    </row>
    <row r="149" spans="1:17" x14ac:dyDescent="0.35">
      <c r="A149">
        <v>147</v>
      </c>
      <c r="B149" s="14">
        <f t="shared" ca="1" si="26"/>
        <v>50542</v>
      </c>
      <c r="C149" s="15">
        <f ca="1">(1+(('Symulacja Pożyczka'!$B$5+'Symulacja Pożyczka'!$C$19)/100)*('Arkusz1 (+3)'!B149-'Arkusz1 (+3)'!B148)/365)</f>
        <v>1.0045205479452055</v>
      </c>
      <c r="D149" s="15">
        <f ca="1">(1+(('Symulacja Pożyczka'!$B$5+'Symulacja Pożyczka'!$C$19)/100)*('Arkusz1 (+3)'!B149-'Arkusz1 (+3)'!B148)/366)</f>
        <v>1.0045081967213114</v>
      </c>
      <c r="E149" s="15">
        <f t="shared" ca="1" si="18"/>
        <v>0</v>
      </c>
      <c r="F149" s="15">
        <f t="shared" ca="1" si="19"/>
        <v>0</v>
      </c>
      <c r="G149">
        <f ca="1">IF(E149=1,(1+(('Symulacja Pożyczka'!$B$5+'Symulacja Pożyczka'!$C$19)/100)*(((Arkusz1!B149-DATE(YEAR(B149),1,1)+1)/365)+((DATE(YEAR(B148),12,31)-Arkusz1!B148)/366))),IF(F149=1,(1+(('Symulacja Pożyczka'!$B$5+'Symulacja Pożyczka'!$C$19)/100)*(((Arkusz1!B149-DATE(YEAR(B149),1,1)+1)/366)+((DATE(YEAR(B148),12,31)-Arkusz1!B148)/365))),0))</f>
        <v>0</v>
      </c>
      <c r="H149">
        <f t="shared" ca="1" si="20"/>
        <v>0</v>
      </c>
      <c r="I149">
        <f t="shared" ca="1" si="21"/>
        <v>1.0045205479452055</v>
      </c>
      <c r="J149">
        <f t="shared" ca="1" si="22"/>
        <v>1.0045205479452055</v>
      </c>
      <c r="K149">
        <f ca="1">PRODUCT($J$3:J149)</f>
        <v>1.954079963870655</v>
      </c>
      <c r="L149">
        <f t="shared" ca="1" si="23"/>
        <v>0.51174978429193507</v>
      </c>
      <c r="M149">
        <f ca="1">SUM($L$3:L149)</f>
        <v>107.01274374332033</v>
      </c>
      <c r="O149">
        <f ca="1">(Q148*'Arkusz1 (+3)'!J149)-Q148</f>
        <v>-1658.493712986412</v>
      </c>
      <c r="P149" s="16">
        <f t="shared" ca="1" si="24"/>
        <v>14978.547219335405</v>
      </c>
      <c r="Q149" s="17">
        <f t="shared" ca="1" si="25"/>
        <v>-381857.45948602655</v>
      </c>
    </row>
    <row r="150" spans="1:17" x14ac:dyDescent="0.35">
      <c r="A150">
        <v>148</v>
      </c>
      <c r="B150" s="14">
        <f t="shared" ca="1" si="26"/>
        <v>50573</v>
      </c>
      <c r="C150" s="15">
        <f ca="1">(1+(('Symulacja Pożyczka'!$B$5+'Symulacja Pożyczka'!$C$19)/100)*('Arkusz1 (+3)'!B150-'Arkusz1 (+3)'!B149)/365)</f>
        <v>1.0046712328767122</v>
      </c>
      <c r="D150" s="15">
        <f ca="1">(1+(('Symulacja Pożyczka'!$B$5+'Symulacja Pożyczka'!$C$19)/100)*('Arkusz1 (+3)'!B150-'Arkusz1 (+3)'!B149)/366)</f>
        <v>1.0046584699453551</v>
      </c>
      <c r="E150" s="15">
        <f t="shared" ca="1" si="18"/>
        <v>0</v>
      </c>
      <c r="F150" s="15">
        <f t="shared" ca="1" si="19"/>
        <v>0</v>
      </c>
      <c r="G150">
        <f ca="1">IF(E150=1,(1+(('Symulacja Pożyczka'!$B$5+'Symulacja Pożyczka'!$C$19)/100)*(((Arkusz1!B150-DATE(YEAR(B150),1,1)+1)/365)+((DATE(YEAR(B149),12,31)-Arkusz1!B149)/366))),IF(F150=1,(1+(('Symulacja Pożyczka'!$B$5+'Symulacja Pożyczka'!$C$19)/100)*(((Arkusz1!B150-DATE(YEAR(B150),1,1)+1)/366)+((DATE(YEAR(B149),12,31)-Arkusz1!B149)/365))),0))</f>
        <v>0</v>
      </c>
      <c r="H150">
        <f t="shared" ca="1" si="20"/>
        <v>0</v>
      </c>
      <c r="I150">
        <f t="shared" ca="1" si="21"/>
        <v>1.0046712328767122</v>
      </c>
      <c r="J150">
        <f t="shared" ca="1" si="22"/>
        <v>1.0046712328767122</v>
      </c>
      <c r="K150">
        <f ca="1">PRODUCT($J$3:J150)</f>
        <v>1.9632079264416122</v>
      </c>
      <c r="L150">
        <f t="shared" ca="1" si="23"/>
        <v>0.50937039654915073</v>
      </c>
      <c r="M150">
        <f ca="1">SUM($L$3:L150)</f>
        <v>107.52211413986947</v>
      </c>
      <c r="O150">
        <f ca="1">(Q149*'Arkusz1 (+3)'!J150)-Q149</f>
        <v>-1783.7451189689455</v>
      </c>
      <c r="P150" s="16">
        <f t="shared" ca="1" si="24"/>
        <v>15103.798625317939</v>
      </c>
      <c r="Q150" s="17">
        <f t="shared" ca="1" si="25"/>
        <v>-396961.25811134448</v>
      </c>
    </row>
    <row r="151" spans="1:17" x14ac:dyDescent="0.35">
      <c r="A151">
        <v>149</v>
      </c>
      <c r="B151" s="14">
        <f t="shared" ca="1" si="26"/>
        <v>50603</v>
      </c>
      <c r="C151" s="15">
        <f ca="1">(1+(('Symulacja Pożyczka'!$B$5+'Symulacja Pożyczka'!$C$19)/100)*('Arkusz1 (+3)'!B151-'Arkusz1 (+3)'!B150)/365)</f>
        <v>1.0045205479452055</v>
      </c>
      <c r="D151" s="15">
        <f ca="1">(1+(('Symulacja Pożyczka'!$B$5+'Symulacja Pożyczka'!$C$19)/100)*('Arkusz1 (+3)'!B151-'Arkusz1 (+3)'!B150)/366)</f>
        <v>1.0045081967213114</v>
      </c>
      <c r="E151" s="15">
        <f t="shared" ca="1" si="18"/>
        <v>0</v>
      </c>
      <c r="F151" s="15">
        <f t="shared" ca="1" si="19"/>
        <v>0</v>
      </c>
      <c r="G151">
        <f ca="1">IF(E151=1,(1+(('Symulacja Pożyczka'!$B$5+'Symulacja Pożyczka'!$C$19)/100)*(((Arkusz1!B151-DATE(YEAR(B151),1,1)+1)/365)+((DATE(YEAR(B150),12,31)-Arkusz1!B150)/366))),IF(F151=1,(1+(('Symulacja Pożyczka'!$B$5+'Symulacja Pożyczka'!$C$19)/100)*(((Arkusz1!B151-DATE(YEAR(B151),1,1)+1)/366)+((DATE(YEAR(B150),12,31)-Arkusz1!B150)/365))),0))</f>
        <v>0</v>
      </c>
      <c r="H151">
        <f t="shared" ca="1" si="20"/>
        <v>0</v>
      </c>
      <c r="I151">
        <f t="shared" ca="1" si="21"/>
        <v>1.0045205479452055</v>
      </c>
      <c r="J151">
        <f t="shared" ca="1" si="22"/>
        <v>1.0045205479452055</v>
      </c>
      <c r="K151">
        <f ca="1">PRODUCT($J$3:J151)</f>
        <v>1.9720827019994991</v>
      </c>
      <c r="L151">
        <f t="shared" ca="1" si="23"/>
        <v>0.5070781255705441</v>
      </c>
      <c r="M151">
        <f ca="1">SUM($L$3:L151)</f>
        <v>108.02919226544002</v>
      </c>
      <c r="O151">
        <f ca="1">(Q150*'Arkusz1 (+3)'!J151)-Q150</f>
        <v>-1794.4823996814084</v>
      </c>
      <c r="P151" s="16">
        <f t="shared" ca="1" si="24"/>
        <v>15114.535906030402</v>
      </c>
      <c r="Q151" s="17">
        <f t="shared" ca="1" si="25"/>
        <v>-412075.79401737486</v>
      </c>
    </row>
    <row r="152" spans="1:17" x14ac:dyDescent="0.35">
      <c r="A152">
        <v>150</v>
      </c>
      <c r="B152" s="14">
        <f t="shared" ca="1" si="26"/>
        <v>50634</v>
      </c>
      <c r="C152" s="15">
        <f ca="1">(1+(('Symulacja Pożyczka'!$B$5+'Symulacja Pożyczka'!$C$19)/100)*('Arkusz1 (+3)'!B152-'Arkusz1 (+3)'!B151)/365)</f>
        <v>1.0046712328767122</v>
      </c>
      <c r="D152" s="15">
        <f ca="1">(1+(('Symulacja Pożyczka'!$B$5+'Symulacja Pożyczka'!$C$19)/100)*('Arkusz1 (+3)'!B152-'Arkusz1 (+3)'!B151)/366)</f>
        <v>1.0046584699453551</v>
      </c>
      <c r="E152" s="15">
        <f t="shared" ca="1" si="18"/>
        <v>0</v>
      </c>
      <c r="F152" s="15">
        <f t="shared" ca="1" si="19"/>
        <v>0</v>
      </c>
      <c r="G152">
        <f ca="1">IF(E152=1,(1+(('Symulacja Pożyczka'!$B$5+'Symulacja Pożyczka'!$C$19)/100)*(((Arkusz1!B152-DATE(YEAR(B152),1,1)+1)/365)+((DATE(YEAR(B151),12,31)-Arkusz1!B151)/366))),IF(F152=1,(1+(('Symulacja Pożyczka'!$B$5+'Symulacja Pożyczka'!$C$19)/100)*(((Arkusz1!B152-DATE(YEAR(B152),1,1)+1)/366)+((DATE(YEAR(B151),12,31)-Arkusz1!B151)/365))),0))</f>
        <v>0</v>
      </c>
      <c r="H152">
        <f t="shared" ca="1" si="20"/>
        <v>0</v>
      </c>
      <c r="I152">
        <f t="shared" ca="1" si="21"/>
        <v>1.0046712328767122</v>
      </c>
      <c r="J152">
        <f t="shared" ca="1" si="22"/>
        <v>1.0046712328767122</v>
      </c>
      <c r="K152">
        <f ca="1">PRODUCT($J$3:J152)</f>
        <v>1.9812947595526746</v>
      </c>
      <c r="L152">
        <f t="shared" ca="1" si="23"/>
        <v>0.5047204587699885</v>
      </c>
      <c r="M152">
        <f ca="1">SUM($L$3:L152)</f>
        <v>108.53391272421001</v>
      </c>
      <c r="O152">
        <f ca="1">(Q151*'Arkusz1 (+3)'!J152)-Q151</f>
        <v>-1924.901996711269</v>
      </c>
      <c r="P152" s="16">
        <f t="shared" ca="1" si="24"/>
        <v>15244.955503060262</v>
      </c>
      <c r="Q152" s="17">
        <f t="shared" ca="1" si="25"/>
        <v>-427320.74952043511</v>
      </c>
    </row>
    <row r="153" spans="1:17" x14ac:dyDescent="0.35">
      <c r="A153">
        <v>151</v>
      </c>
      <c r="B153" s="14">
        <f t="shared" ca="1" si="26"/>
        <v>50665</v>
      </c>
      <c r="C153" s="15">
        <f ca="1">(1+(('Symulacja Pożyczka'!$B$5+'Symulacja Pożyczka'!$C$19)/100)*('Arkusz1 (+3)'!B153-'Arkusz1 (+3)'!B152)/365)</f>
        <v>1.0046712328767122</v>
      </c>
      <c r="D153" s="15">
        <f ca="1">(1+(('Symulacja Pożyczka'!$B$5+'Symulacja Pożyczka'!$C$19)/100)*('Arkusz1 (+3)'!B153-'Arkusz1 (+3)'!B152)/366)</f>
        <v>1.0046584699453551</v>
      </c>
      <c r="E153" s="15">
        <f t="shared" ca="1" si="18"/>
        <v>0</v>
      </c>
      <c r="F153" s="15">
        <f t="shared" ca="1" si="19"/>
        <v>0</v>
      </c>
      <c r="G153">
        <f ca="1">IF(E153=1,(1+(('Symulacja Pożyczka'!$B$5+'Symulacja Pożyczka'!$C$19)/100)*(((Arkusz1!B153-DATE(YEAR(B153),1,1)+1)/365)+((DATE(YEAR(B152),12,31)-Arkusz1!B152)/366))),IF(F153=1,(1+(('Symulacja Pożyczka'!$B$5+'Symulacja Pożyczka'!$C$19)/100)*(((Arkusz1!B153-DATE(YEAR(B153),1,1)+1)/366)+((DATE(YEAR(B152),12,31)-Arkusz1!B152)/365))),0))</f>
        <v>0</v>
      </c>
      <c r="H153">
        <f t="shared" ca="1" si="20"/>
        <v>0</v>
      </c>
      <c r="I153">
        <f t="shared" ca="1" si="21"/>
        <v>1.0046712328767122</v>
      </c>
      <c r="J153">
        <f t="shared" ca="1" si="22"/>
        <v>1.0046712328767122</v>
      </c>
      <c r="K153">
        <f ca="1">PRODUCT($J$3:J153)</f>
        <v>1.9905498487719548</v>
      </c>
      <c r="L153">
        <f t="shared" ca="1" si="23"/>
        <v>0.50237375397402761</v>
      </c>
      <c r="M153">
        <f ca="1">SUM($L$3:L153)</f>
        <v>109.03628647818404</v>
      </c>
      <c r="O153">
        <f ca="1">(Q152*'Arkusz1 (+3)'!J153)-Q152</f>
        <v>-1996.1147340611788</v>
      </c>
      <c r="P153" s="16">
        <f t="shared" ca="1" si="24"/>
        <v>15316.168240410172</v>
      </c>
      <c r="Q153" s="17">
        <f t="shared" ca="1" si="25"/>
        <v>-442636.91776084527</v>
      </c>
    </row>
    <row r="154" spans="1:17" x14ac:dyDescent="0.35">
      <c r="A154">
        <v>152</v>
      </c>
      <c r="B154" s="14">
        <f t="shared" ca="1" si="26"/>
        <v>50695</v>
      </c>
      <c r="C154" s="15">
        <f ca="1">(1+(('Symulacja Pożyczka'!$B$5+'Symulacja Pożyczka'!$C$19)/100)*('Arkusz1 (+3)'!B154-'Arkusz1 (+3)'!B153)/365)</f>
        <v>1.0045205479452055</v>
      </c>
      <c r="D154" s="15">
        <f ca="1">(1+(('Symulacja Pożyczka'!$B$5+'Symulacja Pożyczka'!$C$19)/100)*('Arkusz1 (+3)'!B154-'Arkusz1 (+3)'!B153)/366)</f>
        <v>1.0045081967213114</v>
      </c>
      <c r="E154" s="15">
        <f t="shared" ca="1" si="18"/>
        <v>0</v>
      </c>
      <c r="F154" s="15">
        <f t="shared" ca="1" si="19"/>
        <v>0</v>
      </c>
      <c r="G154">
        <f ca="1">IF(E154=1,(1+(('Symulacja Pożyczka'!$B$5+'Symulacja Pożyczka'!$C$19)/100)*(((Arkusz1!B154-DATE(YEAR(B154),1,1)+1)/365)+((DATE(YEAR(B153),12,31)-Arkusz1!B153)/366))),IF(F154=1,(1+(('Symulacja Pożyczka'!$B$5+'Symulacja Pożyczka'!$C$19)/100)*(((Arkusz1!B154-DATE(YEAR(B154),1,1)+1)/366)+((DATE(YEAR(B153),12,31)-Arkusz1!B153)/365))),0))</f>
        <v>0</v>
      </c>
      <c r="H154">
        <f t="shared" ca="1" si="20"/>
        <v>0</v>
      </c>
      <c r="I154">
        <f t="shared" ca="1" si="21"/>
        <v>1.0045205479452055</v>
      </c>
      <c r="J154">
        <f t="shared" ca="1" si="22"/>
        <v>1.0045205479452055</v>
      </c>
      <c r="K154">
        <f ca="1">PRODUCT($J$3:J154)</f>
        <v>1.99954822480065</v>
      </c>
      <c r="L154">
        <f t="shared" ca="1" si="23"/>
        <v>0.50011296931820559</v>
      </c>
      <c r="M154">
        <f ca="1">SUM($L$3:L154)</f>
        <v>109.53639944750225</v>
      </c>
      <c r="O154">
        <f ca="1">(Q153*'Arkusz1 (+3)'!J154)-Q153</f>
        <v>-2000.9614090558607</v>
      </c>
      <c r="P154" s="16">
        <f t="shared" ca="1" si="24"/>
        <v>15321.014915404854</v>
      </c>
      <c r="Q154" s="17">
        <f t="shared" ca="1" si="25"/>
        <v>-457957.93267625012</v>
      </c>
    </row>
    <row r="155" spans="1:17" x14ac:dyDescent="0.35">
      <c r="A155">
        <v>153</v>
      </c>
      <c r="B155" s="14">
        <f t="shared" ca="1" si="26"/>
        <v>50726</v>
      </c>
      <c r="C155" s="15">
        <f ca="1">(1+(('Symulacja Pożyczka'!$B$5+'Symulacja Pożyczka'!$C$19)/100)*('Arkusz1 (+3)'!B155-'Arkusz1 (+3)'!B154)/365)</f>
        <v>1.0046712328767122</v>
      </c>
      <c r="D155" s="15">
        <f ca="1">(1+(('Symulacja Pożyczka'!$B$5+'Symulacja Pożyczka'!$C$19)/100)*('Arkusz1 (+3)'!B155-'Arkusz1 (+3)'!B154)/366)</f>
        <v>1.0046584699453551</v>
      </c>
      <c r="E155" s="15">
        <f t="shared" ca="1" si="18"/>
        <v>0</v>
      </c>
      <c r="F155" s="15">
        <f t="shared" ca="1" si="19"/>
        <v>0</v>
      </c>
      <c r="G155">
        <f ca="1">IF(E155=1,(1+(('Symulacja Pożyczka'!$B$5+'Symulacja Pożyczka'!$C$19)/100)*(((Arkusz1!B155-DATE(YEAR(B155),1,1)+1)/365)+((DATE(YEAR(B154),12,31)-Arkusz1!B154)/366))),IF(F155=1,(1+(('Symulacja Pożyczka'!$B$5+'Symulacja Pożyczka'!$C$19)/100)*(((Arkusz1!B155-DATE(YEAR(B155),1,1)+1)/366)+((DATE(YEAR(B154),12,31)-Arkusz1!B154)/365))),0))</f>
        <v>0</v>
      </c>
      <c r="H155">
        <f t="shared" ca="1" si="20"/>
        <v>0</v>
      </c>
      <c r="I155">
        <f t="shared" ca="1" si="21"/>
        <v>1.0046712328767122</v>
      </c>
      <c r="J155">
        <f t="shared" ca="1" si="22"/>
        <v>1.0046712328767122</v>
      </c>
      <c r="K155">
        <f ca="1">PRODUCT($J$3:J155)</f>
        <v>2.0088885802069103</v>
      </c>
      <c r="L155">
        <f t="shared" ca="1" si="23"/>
        <v>0.49778768710856158</v>
      </c>
      <c r="M155">
        <f ca="1">SUM($L$3:L155)</f>
        <v>110.0341871346108</v>
      </c>
      <c r="O155">
        <f ca="1">(Q154*'Arkusz1 (+3)'!J155)-Q154</f>
        <v>-2139.2281512684422</v>
      </c>
      <c r="P155" s="16">
        <f t="shared" ca="1" si="24"/>
        <v>15459.281657617435</v>
      </c>
      <c r="Q155" s="17">
        <f t="shared" ca="1" si="25"/>
        <v>-473417.21433386754</v>
      </c>
    </row>
    <row r="156" spans="1:17" x14ac:dyDescent="0.35">
      <c r="A156">
        <v>154</v>
      </c>
      <c r="B156" s="14">
        <f t="shared" ca="1" si="26"/>
        <v>50756</v>
      </c>
      <c r="C156" s="15">
        <f ca="1">(1+(('Symulacja Pożyczka'!$B$5+'Symulacja Pożyczka'!$C$19)/100)*('Arkusz1 (+3)'!B156-'Arkusz1 (+3)'!B155)/365)</f>
        <v>1.0045205479452055</v>
      </c>
      <c r="D156" s="15">
        <f ca="1">(1+(('Symulacja Pożyczka'!$B$5+'Symulacja Pożyczka'!$C$19)/100)*('Arkusz1 (+3)'!B156-'Arkusz1 (+3)'!B155)/366)</f>
        <v>1.0045081967213114</v>
      </c>
      <c r="E156" s="15">
        <f t="shared" ca="1" si="18"/>
        <v>0</v>
      </c>
      <c r="F156" s="15">
        <f t="shared" ca="1" si="19"/>
        <v>0</v>
      </c>
      <c r="G156">
        <f ca="1">IF(E156=1,(1+(('Symulacja Pożyczka'!$B$5+'Symulacja Pożyczka'!$C$19)/100)*(((Arkusz1!B156-DATE(YEAR(B156),1,1)+1)/365)+((DATE(YEAR(B155),12,31)-Arkusz1!B155)/366))),IF(F156=1,(1+(('Symulacja Pożyczka'!$B$5+'Symulacja Pożyczka'!$C$19)/100)*(((Arkusz1!B156-DATE(YEAR(B156),1,1)+1)/366)+((DATE(YEAR(B155),12,31)-Arkusz1!B155)/365))),0))</f>
        <v>0</v>
      </c>
      <c r="H156">
        <f t="shared" ca="1" si="20"/>
        <v>0</v>
      </c>
      <c r="I156">
        <f t="shared" ca="1" si="21"/>
        <v>1.0045205479452055</v>
      </c>
      <c r="J156">
        <f t="shared" ca="1" si="22"/>
        <v>1.0045205479452055</v>
      </c>
      <c r="K156">
        <f ca="1">PRODUCT($J$3:J156)</f>
        <v>2.0179698573503115</v>
      </c>
      <c r="L156">
        <f t="shared" ca="1" si="23"/>
        <v>0.4955475406917359</v>
      </c>
      <c r="M156">
        <f ca="1">SUM($L$3:L156)</f>
        <v>110.52973467530254</v>
      </c>
      <c r="O156">
        <f ca="1">(Q155*'Arkusz1 (+3)'!J156)-Q155</f>
        <v>-2140.1052154818899</v>
      </c>
      <c r="P156" s="16">
        <f t="shared" ca="1" si="24"/>
        <v>15460.158721830883</v>
      </c>
      <c r="Q156" s="17">
        <f t="shared" ca="1" si="25"/>
        <v>-488877.37305569841</v>
      </c>
    </row>
    <row r="157" spans="1:17" x14ac:dyDescent="0.35">
      <c r="A157">
        <v>155</v>
      </c>
      <c r="B157" s="14">
        <f t="shared" ca="1" si="26"/>
        <v>50787</v>
      </c>
      <c r="C157" s="15">
        <f ca="1">(1+(('Symulacja Pożyczka'!$B$5+'Symulacja Pożyczka'!$C$19)/100)*('Arkusz1 (+3)'!B157-'Arkusz1 (+3)'!B156)/365)</f>
        <v>1.0046712328767122</v>
      </c>
      <c r="D157" s="15">
        <f ca="1">(1+(('Symulacja Pożyczka'!$B$5+'Symulacja Pożyczka'!$C$19)/100)*('Arkusz1 (+3)'!B157-'Arkusz1 (+3)'!B156)/366)</f>
        <v>1.0046584699453551</v>
      </c>
      <c r="E157" s="15">
        <f t="shared" ca="1" si="18"/>
        <v>0</v>
      </c>
      <c r="F157" s="15">
        <f t="shared" ca="1" si="19"/>
        <v>0</v>
      </c>
      <c r="G157">
        <f ca="1">IF(E157=1,(1+(('Symulacja Pożyczka'!$B$5+'Symulacja Pożyczka'!$C$19)/100)*(((Arkusz1!B157-DATE(YEAR(B157),1,1)+1)/365)+((DATE(YEAR(B156),12,31)-Arkusz1!B156)/366))),IF(F157=1,(1+(('Symulacja Pożyczka'!$B$5+'Symulacja Pożyczka'!$C$19)/100)*(((Arkusz1!B157-DATE(YEAR(B157),1,1)+1)/366)+((DATE(YEAR(B156),12,31)-Arkusz1!B156)/365))),0))</f>
        <v>0</v>
      </c>
      <c r="H157">
        <f t="shared" ca="1" si="20"/>
        <v>0</v>
      </c>
      <c r="I157">
        <f t="shared" ca="1" si="21"/>
        <v>1.0046712328767122</v>
      </c>
      <c r="J157">
        <f t="shared" ca="1" si="22"/>
        <v>1.0046712328767122</v>
      </c>
      <c r="K157">
        <f ca="1">PRODUCT($J$3:J157)</f>
        <v>2.0273962644921806</v>
      </c>
      <c r="L157">
        <f t="shared" ca="1" si="23"/>
        <v>0.4932434855060161</v>
      </c>
      <c r="M157">
        <f ca="1">SUM($L$3:L157)</f>
        <v>111.02297816080855</v>
      </c>
      <c r="O157">
        <f ca="1">(Q156*'Arkusz1 (+3)'!J157)-Q156</f>
        <v>-2283.6600576984929</v>
      </c>
      <c r="P157" s="16">
        <f t="shared" ca="1" si="24"/>
        <v>15603.713564047486</v>
      </c>
      <c r="Q157" s="17">
        <f t="shared" ca="1" si="25"/>
        <v>-504481.08661974588</v>
      </c>
    </row>
    <row r="158" spans="1:17" x14ac:dyDescent="0.35">
      <c r="A158">
        <v>156</v>
      </c>
      <c r="B158" s="14">
        <f t="shared" ca="1" si="26"/>
        <v>50818</v>
      </c>
      <c r="C158" s="15">
        <f ca="1">(1+(('Symulacja Pożyczka'!$B$5+'Symulacja Pożyczka'!$C$19)/100)*('Arkusz1 (+3)'!B158-'Arkusz1 (+3)'!B157)/365)</f>
        <v>1.0046712328767122</v>
      </c>
      <c r="D158" s="15">
        <f ca="1">(1+(('Symulacja Pożyczka'!$B$5+'Symulacja Pożyczka'!$C$19)/100)*('Arkusz1 (+3)'!B158-'Arkusz1 (+3)'!B157)/366)</f>
        <v>1.0046584699453551</v>
      </c>
      <c r="E158" s="15">
        <f t="shared" ca="1" si="18"/>
        <v>0</v>
      </c>
      <c r="F158" s="15">
        <f t="shared" ca="1" si="19"/>
        <v>0</v>
      </c>
      <c r="G158">
        <f ca="1">IF(E158=1,(1+(('Symulacja Pożyczka'!$B$5+'Symulacja Pożyczka'!$C$19)/100)*(((Arkusz1!B158-DATE(YEAR(B158),1,1)+1)/365)+((DATE(YEAR(B157),12,31)-Arkusz1!B157)/366))),IF(F158=1,(1+(('Symulacja Pożyczka'!$B$5+'Symulacja Pożyczka'!$C$19)/100)*(((Arkusz1!B158-DATE(YEAR(B158),1,1)+1)/366)+((DATE(YEAR(B157),12,31)-Arkusz1!B157)/365))),0))</f>
        <v>0</v>
      </c>
      <c r="H158">
        <f t="shared" ca="1" si="20"/>
        <v>0</v>
      </c>
      <c r="I158">
        <f t="shared" ca="1" si="21"/>
        <v>1.0046712328767122</v>
      </c>
      <c r="J158">
        <f t="shared" ca="1" si="22"/>
        <v>1.0046712328767122</v>
      </c>
      <c r="K158">
        <f ca="1">PRODUCT($J$3:J158)</f>
        <v>2.0368667045770001</v>
      </c>
      <c r="L158">
        <f t="shared" ca="1" si="23"/>
        <v>0.4909501430569419</v>
      </c>
      <c r="M158">
        <f ca="1">SUM($L$3:L158)</f>
        <v>111.51392830386548</v>
      </c>
      <c r="O158">
        <f ca="1">(Q157*'Arkusz1 (+3)'!J158)-Q157</f>
        <v>-2356.5486374976463</v>
      </c>
      <c r="P158" s="16">
        <f t="shared" ca="1" si="24"/>
        <v>15676.60214384664</v>
      </c>
      <c r="Q158" s="17">
        <f t="shared" ca="1" si="25"/>
        <v>-520157.68876359251</v>
      </c>
    </row>
    <row r="159" spans="1:17" x14ac:dyDescent="0.35">
      <c r="A159">
        <v>157</v>
      </c>
      <c r="B159" s="14">
        <f t="shared" ca="1" si="26"/>
        <v>50846</v>
      </c>
      <c r="C159" s="15">
        <f ca="1">(1+(('Symulacja Pożyczka'!$B$5+'Symulacja Pożyczka'!$C$19)/100)*('Arkusz1 (+3)'!B159-'Arkusz1 (+3)'!B158)/365)</f>
        <v>1.0042191780821919</v>
      </c>
      <c r="D159" s="15">
        <f ca="1">(1+(('Symulacja Pożyczka'!$B$5+'Symulacja Pożyczka'!$C$19)/100)*('Arkusz1 (+3)'!B159-'Arkusz1 (+3)'!B158)/366)</f>
        <v>1.004207650273224</v>
      </c>
      <c r="E159" s="15">
        <f t="shared" ca="1" si="18"/>
        <v>0</v>
      </c>
      <c r="F159" s="15">
        <f t="shared" ca="1" si="19"/>
        <v>0</v>
      </c>
      <c r="G159">
        <f ca="1">IF(E159=1,(1+(('Symulacja Pożyczka'!$B$5+'Symulacja Pożyczka'!$C$19)/100)*(((Arkusz1!B159-DATE(YEAR(B159),1,1)+1)/365)+((DATE(YEAR(B158),12,31)-Arkusz1!B158)/366))),IF(F159=1,(1+(('Symulacja Pożyczka'!$B$5+'Symulacja Pożyczka'!$C$19)/100)*(((Arkusz1!B159-DATE(YEAR(B159),1,1)+1)/366)+((DATE(YEAR(B158),12,31)-Arkusz1!B158)/365))),0))</f>
        <v>0</v>
      </c>
      <c r="H159">
        <f t="shared" ca="1" si="20"/>
        <v>0</v>
      </c>
      <c r="I159">
        <f t="shared" ca="1" si="21"/>
        <v>1.0042191780821919</v>
      </c>
      <c r="J159">
        <f t="shared" ca="1" si="22"/>
        <v>1.0042191780821919</v>
      </c>
      <c r="K159">
        <f ca="1">PRODUCT($J$3:J159)</f>
        <v>2.0454606079332978</v>
      </c>
      <c r="L159">
        <f t="shared" ca="1" si="23"/>
        <v>0.48888743988591632</v>
      </c>
      <c r="M159">
        <f ca="1">SUM($L$3:L159)</f>
        <v>112.0028157437514</v>
      </c>
      <c r="O159">
        <f ca="1">(Q158*'Arkusz1 (+3)'!J159)-Q158</f>
        <v>-2194.6379197149072</v>
      </c>
      <c r="P159" s="16">
        <f t="shared" ca="1" si="24"/>
        <v>15514.691426063901</v>
      </c>
      <c r="Q159" s="17">
        <f t="shared" ca="1" si="25"/>
        <v>-535672.3801896564</v>
      </c>
    </row>
    <row r="160" spans="1:17" x14ac:dyDescent="0.35">
      <c r="A160">
        <v>158</v>
      </c>
      <c r="B160" s="14">
        <f t="shared" ca="1" si="26"/>
        <v>50877</v>
      </c>
      <c r="C160" s="15">
        <f ca="1">(1+(('Symulacja Pożyczka'!$B$5+'Symulacja Pożyczka'!$C$19)/100)*('Arkusz1 (+3)'!B160-'Arkusz1 (+3)'!B159)/365)</f>
        <v>1.0046712328767122</v>
      </c>
      <c r="D160" s="15">
        <f ca="1">(1+(('Symulacja Pożyczka'!$B$5+'Symulacja Pożyczka'!$C$19)/100)*('Arkusz1 (+3)'!B160-'Arkusz1 (+3)'!B159)/366)</f>
        <v>1.0046584699453551</v>
      </c>
      <c r="E160" s="15">
        <f t="shared" ca="1" si="18"/>
        <v>0</v>
      </c>
      <c r="F160" s="15">
        <f t="shared" ca="1" si="19"/>
        <v>0</v>
      </c>
      <c r="G160">
        <f ca="1">IF(E160=1,(1+(('Symulacja Pożyczka'!$B$5+'Symulacja Pożyczka'!$C$19)/100)*(((Arkusz1!B160-DATE(YEAR(B160),1,1)+1)/365)+((DATE(YEAR(B159),12,31)-Arkusz1!B159)/366))),IF(F160=1,(1+(('Symulacja Pożyczka'!$B$5+'Symulacja Pożyczka'!$C$19)/100)*(((Arkusz1!B160-DATE(YEAR(B160),1,1)+1)/366)+((DATE(YEAR(B159),12,31)-Arkusz1!B159)/365))),0))</f>
        <v>0</v>
      </c>
      <c r="H160">
        <f t="shared" ca="1" si="20"/>
        <v>0</v>
      </c>
      <c r="I160">
        <f t="shared" ca="1" si="21"/>
        <v>1.0046712328767122</v>
      </c>
      <c r="J160">
        <f t="shared" ca="1" si="22"/>
        <v>1.0046712328767122</v>
      </c>
      <c r="K160">
        <f ca="1">PRODUCT($J$3:J160)</f>
        <v>2.0550154307730955</v>
      </c>
      <c r="L160">
        <f t="shared" ca="1" si="23"/>
        <v>0.48661435093156485</v>
      </c>
      <c r="M160">
        <f ca="1">SUM($L$3:L160)</f>
        <v>112.48943009468296</v>
      </c>
      <c r="O160">
        <f ca="1">(Q159*'Arkusz1 (+3)'!J160)-Q159</f>
        <v>-2502.2504334886326</v>
      </c>
      <c r="P160" s="16">
        <f t="shared" ca="1" si="24"/>
        <v>15822.303939837626</v>
      </c>
      <c r="Q160" s="17">
        <f t="shared" ca="1" si="25"/>
        <v>-551494.68412949401</v>
      </c>
    </row>
    <row r="161" spans="1:17" x14ac:dyDescent="0.35">
      <c r="A161">
        <v>159</v>
      </c>
      <c r="B161" s="14">
        <f t="shared" ca="1" si="26"/>
        <v>50907</v>
      </c>
      <c r="C161" s="15">
        <f ca="1">(1+(('Symulacja Pożyczka'!$B$5+'Symulacja Pożyczka'!$C$19)/100)*('Arkusz1 (+3)'!B161-'Arkusz1 (+3)'!B160)/365)</f>
        <v>1.0045205479452055</v>
      </c>
      <c r="D161" s="15">
        <f ca="1">(1+(('Symulacja Pożyczka'!$B$5+'Symulacja Pożyczka'!$C$19)/100)*('Arkusz1 (+3)'!B161-'Arkusz1 (+3)'!B160)/366)</f>
        <v>1.0045081967213114</v>
      </c>
      <c r="E161" s="15">
        <f t="shared" ca="1" si="18"/>
        <v>0</v>
      </c>
      <c r="F161" s="15">
        <f t="shared" ca="1" si="19"/>
        <v>0</v>
      </c>
      <c r="G161">
        <f ca="1">IF(E161=1,(1+(('Symulacja Pożyczka'!$B$5+'Symulacja Pożyczka'!$C$19)/100)*(((Arkusz1!B161-DATE(YEAR(B161),1,1)+1)/365)+((DATE(YEAR(B160),12,31)-Arkusz1!B160)/366))),IF(F161=1,(1+(('Symulacja Pożyczka'!$B$5+'Symulacja Pożyczka'!$C$19)/100)*(((Arkusz1!B161-DATE(YEAR(B161),1,1)+1)/366)+((DATE(YEAR(B160),12,31)-Arkusz1!B160)/365))),0))</f>
        <v>0</v>
      </c>
      <c r="H161">
        <f t="shared" ca="1" si="20"/>
        <v>0</v>
      </c>
      <c r="I161">
        <f t="shared" ca="1" si="21"/>
        <v>1.0045205479452055</v>
      </c>
      <c r="J161">
        <f t="shared" ca="1" si="22"/>
        <v>1.0045205479452055</v>
      </c>
      <c r="K161">
        <f ca="1">PRODUCT($J$3:J161)</f>
        <v>2.0643052265560424</v>
      </c>
      <c r="L161">
        <f t="shared" ca="1" si="23"/>
        <v>0.48442448681309469</v>
      </c>
      <c r="M161">
        <f ca="1">SUM($L$3:L161)</f>
        <v>112.97385458149606</v>
      </c>
      <c r="O161">
        <f ca="1">(Q160*'Arkusz1 (+3)'!J161)-Q160</f>
        <v>-2493.0581611333182</v>
      </c>
      <c r="P161" s="16">
        <f t="shared" ca="1" si="24"/>
        <v>15813.111667482312</v>
      </c>
      <c r="Q161" s="17">
        <f t="shared" ca="1" si="25"/>
        <v>-567307.79579697631</v>
      </c>
    </row>
    <row r="162" spans="1:17" x14ac:dyDescent="0.35">
      <c r="A162">
        <v>160</v>
      </c>
      <c r="B162" s="14">
        <f t="shared" ca="1" si="26"/>
        <v>50938</v>
      </c>
      <c r="C162" s="15">
        <f ca="1">(1+(('Symulacja Pożyczka'!$B$5+'Symulacja Pożyczka'!$C$19)/100)*('Arkusz1 (+3)'!B162-'Arkusz1 (+3)'!B161)/365)</f>
        <v>1.0046712328767122</v>
      </c>
      <c r="D162" s="15">
        <f ca="1">(1+(('Symulacja Pożyczka'!$B$5+'Symulacja Pożyczka'!$C$19)/100)*('Arkusz1 (+3)'!B162-'Arkusz1 (+3)'!B161)/366)</f>
        <v>1.0046584699453551</v>
      </c>
      <c r="E162" s="15">
        <f t="shared" ca="1" si="18"/>
        <v>0</v>
      </c>
      <c r="F162" s="15">
        <f t="shared" ca="1" si="19"/>
        <v>0</v>
      </c>
      <c r="G162">
        <f ca="1">IF(E162=1,(1+(('Symulacja Pożyczka'!$B$5+'Symulacja Pożyczka'!$C$19)/100)*(((Arkusz1!B162-DATE(YEAR(B162),1,1)+1)/365)+((DATE(YEAR(B161),12,31)-Arkusz1!B161)/366))),IF(F162=1,(1+(('Symulacja Pożyczka'!$B$5+'Symulacja Pożyczka'!$C$19)/100)*(((Arkusz1!B162-DATE(YEAR(B162),1,1)+1)/366)+((DATE(YEAR(B161),12,31)-Arkusz1!B161)/365))),0))</f>
        <v>0</v>
      </c>
      <c r="H162">
        <f t="shared" ca="1" si="20"/>
        <v>0</v>
      </c>
      <c r="I162">
        <f t="shared" ca="1" si="21"/>
        <v>1.0046712328767122</v>
      </c>
      <c r="J162">
        <f t="shared" ca="1" si="22"/>
        <v>1.0046712328767122</v>
      </c>
      <c r="K162">
        <f ca="1">PRODUCT($J$3:J162)</f>
        <v>2.0739480769978997</v>
      </c>
      <c r="L162">
        <f t="shared" ca="1" si="23"/>
        <v>0.48217214842115486</v>
      </c>
      <c r="M162">
        <f ca="1">SUM($L$3:L162)</f>
        <v>113.45602672991721</v>
      </c>
      <c r="O162">
        <f ca="1">(Q161*'Arkusz1 (+3)'!J162)-Q161</f>
        <v>-2650.0268269419903</v>
      </c>
      <c r="P162" s="16">
        <f t="shared" ca="1" si="24"/>
        <v>15970.080333290984</v>
      </c>
      <c r="Q162" s="17">
        <f t="shared" ca="1" si="25"/>
        <v>-583277.87613026728</v>
      </c>
    </row>
    <row r="163" spans="1:17" x14ac:dyDescent="0.35">
      <c r="A163">
        <v>161</v>
      </c>
      <c r="B163" s="14">
        <f t="shared" ca="1" si="26"/>
        <v>50968</v>
      </c>
      <c r="C163" s="15">
        <f ca="1">(1+(('Symulacja Pożyczka'!$B$5+'Symulacja Pożyczka'!$C$19)/100)*('Arkusz1 (+3)'!B163-'Arkusz1 (+3)'!B162)/365)</f>
        <v>1.0045205479452055</v>
      </c>
      <c r="D163" s="15">
        <f ca="1">(1+(('Symulacja Pożyczka'!$B$5+'Symulacja Pożyczka'!$C$19)/100)*('Arkusz1 (+3)'!B163-'Arkusz1 (+3)'!B162)/366)</f>
        <v>1.0045081967213114</v>
      </c>
      <c r="E163" s="15">
        <f t="shared" ca="1" si="18"/>
        <v>0</v>
      </c>
      <c r="F163" s="15">
        <f t="shared" ca="1" si="19"/>
        <v>0</v>
      </c>
      <c r="G163">
        <f ca="1">IF(E163=1,(1+(('Symulacja Pożyczka'!$B$5+'Symulacja Pożyczka'!$C$19)/100)*(((Arkusz1!B163-DATE(YEAR(B163),1,1)+1)/365)+((DATE(YEAR(B162),12,31)-Arkusz1!B162)/366))),IF(F163=1,(1+(('Symulacja Pożyczka'!$B$5+'Symulacja Pożyczka'!$C$19)/100)*(((Arkusz1!B163-DATE(YEAR(B163),1,1)+1)/366)+((DATE(YEAR(B162),12,31)-Arkusz1!B162)/365))),0))</f>
        <v>0</v>
      </c>
      <c r="H163">
        <f t="shared" ca="1" si="20"/>
        <v>0</v>
      </c>
      <c r="I163">
        <f t="shared" ca="1" si="21"/>
        <v>1.0045205479452055</v>
      </c>
      <c r="J163">
        <f t="shared" ca="1" si="22"/>
        <v>1.0045205479452055</v>
      </c>
      <c r="K163">
        <f ca="1">PRODUCT($J$3:J163)</f>
        <v>2.0833234587158356</v>
      </c>
      <c r="L163">
        <f t="shared" ca="1" si="23"/>
        <v>0.48000227512265514</v>
      </c>
      <c r="M163">
        <f ca="1">SUM($L$3:L163)</f>
        <v>113.93602900503987</v>
      </c>
      <c r="O163">
        <f ca="1">(Q162*'Arkusz1 (+3)'!J163)-Q162</f>
        <v>-2636.7356044244952</v>
      </c>
      <c r="P163" s="16">
        <f t="shared" ca="1" si="24"/>
        <v>15956.789110773489</v>
      </c>
      <c r="Q163" s="17">
        <f t="shared" ca="1" si="25"/>
        <v>-599234.66524104076</v>
      </c>
    </row>
    <row r="164" spans="1:17" x14ac:dyDescent="0.35">
      <c r="A164">
        <v>162</v>
      </c>
      <c r="B164" s="14">
        <f t="shared" ca="1" si="26"/>
        <v>50999</v>
      </c>
      <c r="C164" s="15">
        <f ca="1">(1+(('Symulacja Pożyczka'!$B$5+'Symulacja Pożyczka'!$C$19)/100)*('Arkusz1 (+3)'!B164-'Arkusz1 (+3)'!B163)/365)</f>
        <v>1.0046712328767122</v>
      </c>
      <c r="D164" s="15">
        <f ca="1">(1+(('Symulacja Pożyczka'!$B$5+'Symulacja Pożyczka'!$C$19)/100)*('Arkusz1 (+3)'!B164-'Arkusz1 (+3)'!B163)/366)</f>
        <v>1.0046584699453551</v>
      </c>
      <c r="E164" s="15">
        <f t="shared" ca="1" si="18"/>
        <v>0</v>
      </c>
      <c r="F164" s="15">
        <f t="shared" ca="1" si="19"/>
        <v>0</v>
      </c>
      <c r="G164">
        <f ca="1">IF(E164=1,(1+(('Symulacja Pożyczka'!$B$5+'Symulacja Pożyczka'!$C$19)/100)*(((Arkusz1!B164-DATE(YEAR(B164),1,1)+1)/365)+((DATE(YEAR(B163),12,31)-Arkusz1!B163)/366))),IF(F164=1,(1+(('Symulacja Pożyczka'!$B$5+'Symulacja Pożyczka'!$C$19)/100)*(((Arkusz1!B164-DATE(YEAR(B164),1,1)+1)/366)+((DATE(YEAR(B163),12,31)-Arkusz1!B163)/365))),0))</f>
        <v>0</v>
      </c>
      <c r="H164">
        <f t="shared" ca="1" si="20"/>
        <v>0</v>
      </c>
      <c r="I164">
        <f t="shared" ca="1" si="21"/>
        <v>1.0046712328767122</v>
      </c>
      <c r="J164">
        <f t="shared" ca="1" si="22"/>
        <v>1.0046712328767122</v>
      </c>
      <c r="K164">
        <f ca="1">PRODUCT($J$3:J164)</f>
        <v>2.0930551477490149</v>
      </c>
      <c r="L164">
        <f t="shared" ca="1" si="23"/>
        <v>0.47777049786550263</v>
      </c>
      <c r="M164">
        <f ca="1">SUM($L$3:L164)</f>
        <v>114.41379950290538</v>
      </c>
      <c r="O164">
        <f ca="1">(Q163*'Arkusz1 (+3)'!J164)-Q163</f>
        <v>-2799.1646691395435</v>
      </c>
      <c r="P164" s="16">
        <f t="shared" ca="1" si="24"/>
        <v>16119.218175488537</v>
      </c>
      <c r="Q164" s="17">
        <f t="shared" ca="1" si="25"/>
        <v>-615353.88341652928</v>
      </c>
    </row>
    <row r="165" spans="1:17" x14ac:dyDescent="0.35">
      <c r="A165">
        <v>163</v>
      </c>
      <c r="B165" s="14">
        <f t="shared" ca="1" si="26"/>
        <v>51030</v>
      </c>
      <c r="C165" s="15">
        <f ca="1">(1+(('Symulacja Pożyczka'!$B$5+'Symulacja Pożyczka'!$C$19)/100)*('Arkusz1 (+3)'!B165-'Arkusz1 (+3)'!B164)/365)</f>
        <v>1.0046712328767122</v>
      </c>
      <c r="D165" s="15">
        <f ca="1">(1+(('Symulacja Pożyczka'!$B$5+'Symulacja Pożyczka'!$C$19)/100)*('Arkusz1 (+3)'!B165-'Arkusz1 (+3)'!B164)/366)</f>
        <v>1.0046584699453551</v>
      </c>
      <c r="E165" s="15">
        <f t="shared" ca="1" si="18"/>
        <v>0</v>
      </c>
      <c r="F165" s="15">
        <f t="shared" ca="1" si="19"/>
        <v>0</v>
      </c>
      <c r="G165">
        <f ca="1">IF(E165=1,(1+(('Symulacja Pożyczka'!$B$5+'Symulacja Pożyczka'!$C$19)/100)*(((Arkusz1!B165-DATE(YEAR(B165),1,1)+1)/365)+((DATE(YEAR(B164),12,31)-Arkusz1!B164)/366))),IF(F165=1,(1+(('Symulacja Pożyczka'!$B$5+'Symulacja Pożyczka'!$C$19)/100)*(((Arkusz1!B165-DATE(YEAR(B165),1,1)+1)/366)+((DATE(YEAR(B164),12,31)-Arkusz1!B164)/365))),0))</f>
        <v>0</v>
      </c>
      <c r="H165">
        <f t="shared" ca="1" si="20"/>
        <v>0</v>
      </c>
      <c r="I165">
        <f t="shared" ca="1" si="21"/>
        <v>1.0046712328767122</v>
      </c>
      <c r="J165">
        <f t="shared" ca="1" si="22"/>
        <v>1.0046712328767122</v>
      </c>
      <c r="K165">
        <f ca="1">PRODUCT($J$3:J165)</f>
        <v>2.1028322957679517</v>
      </c>
      <c r="L165">
        <f t="shared" ca="1" si="23"/>
        <v>0.47554909728776124</v>
      </c>
      <c r="M165">
        <f ca="1">SUM($L$3:L165)</f>
        <v>114.88934860019314</v>
      </c>
      <c r="O165">
        <f ca="1">(Q164*'Arkusz1 (+3)'!J165)-Q164</f>
        <v>-2874.4612910278374</v>
      </c>
      <c r="P165" s="16">
        <f t="shared" ca="1" si="24"/>
        <v>16194.514797376831</v>
      </c>
      <c r="Q165" s="17">
        <f t="shared" ca="1" si="25"/>
        <v>-631548.3982139061</v>
      </c>
    </row>
    <row r="166" spans="1:17" x14ac:dyDescent="0.35">
      <c r="A166">
        <v>164</v>
      </c>
      <c r="B166" s="14">
        <f t="shared" ca="1" si="26"/>
        <v>51060</v>
      </c>
      <c r="C166" s="15">
        <f ca="1">(1+(('Symulacja Pożyczka'!$B$5+'Symulacja Pożyczka'!$C$19)/100)*('Arkusz1 (+3)'!B166-'Arkusz1 (+3)'!B165)/365)</f>
        <v>1.0045205479452055</v>
      </c>
      <c r="D166" s="15">
        <f ca="1">(1+(('Symulacja Pożyczka'!$B$5+'Symulacja Pożyczka'!$C$19)/100)*('Arkusz1 (+3)'!B166-'Arkusz1 (+3)'!B165)/366)</f>
        <v>1.0045081967213114</v>
      </c>
      <c r="E166" s="15">
        <f t="shared" ca="1" si="18"/>
        <v>0</v>
      </c>
      <c r="F166" s="15">
        <f t="shared" ca="1" si="19"/>
        <v>0</v>
      </c>
      <c r="G166">
        <f ca="1">IF(E166=1,(1+(('Symulacja Pożyczka'!$B$5+'Symulacja Pożyczka'!$C$19)/100)*(((Arkusz1!B166-DATE(YEAR(B166),1,1)+1)/365)+((DATE(YEAR(B165),12,31)-Arkusz1!B165)/366))),IF(F166=1,(1+(('Symulacja Pożyczka'!$B$5+'Symulacja Pożyczka'!$C$19)/100)*(((Arkusz1!B166-DATE(YEAR(B166),1,1)+1)/366)+((DATE(YEAR(B165),12,31)-Arkusz1!B165)/365))),0))</f>
        <v>0</v>
      </c>
      <c r="H166">
        <f t="shared" ca="1" si="20"/>
        <v>0</v>
      </c>
      <c r="I166">
        <f t="shared" ca="1" si="21"/>
        <v>1.0045205479452055</v>
      </c>
      <c r="J166">
        <f t="shared" ca="1" si="22"/>
        <v>1.0045205479452055</v>
      </c>
      <c r="K166">
        <f ca="1">PRODUCT($J$3:J166)</f>
        <v>2.1123382499816974</v>
      </c>
      <c r="L166">
        <f t="shared" ca="1" si="23"/>
        <v>0.4734090290741384</v>
      </c>
      <c r="M166">
        <f ca="1">SUM($L$3:L166)</f>
        <v>115.36275762926728</v>
      </c>
      <c r="O166">
        <f ca="1">(Q165*'Arkusz1 (+3)'!J166)-Q165</f>
        <v>-2854.9448138437001</v>
      </c>
      <c r="P166" s="16">
        <f t="shared" ca="1" si="24"/>
        <v>16174.998320192693</v>
      </c>
      <c r="Q166" s="17">
        <f t="shared" ca="1" si="25"/>
        <v>-647723.39653409878</v>
      </c>
    </row>
    <row r="167" spans="1:17" x14ac:dyDescent="0.35">
      <c r="A167">
        <v>165</v>
      </c>
      <c r="B167" s="14">
        <f t="shared" ca="1" si="26"/>
        <v>51091</v>
      </c>
      <c r="C167" s="15">
        <f ca="1">(1+(('Symulacja Pożyczka'!$B$5+'Symulacja Pożyczka'!$C$19)/100)*('Arkusz1 (+3)'!B167-'Arkusz1 (+3)'!B166)/365)</f>
        <v>1.0046712328767122</v>
      </c>
      <c r="D167" s="15">
        <f ca="1">(1+(('Symulacja Pożyczka'!$B$5+'Symulacja Pożyczka'!$C$19)/100)*('Arkusz1 (+3)'!B167-'Arkusz1 (+3)'!B166)/366)</f>
        <v>1.0046584699453551</v>
      </c>
      <c r="E167" s="15">
        <f t="shared" ca="1" si="18"/>
        <v>0</v>
      </c>
      <c r="F167" s="15">
        <f t="shared" ca="1" si="19"/>
        <v>0</v>
      </c>
      <c r="G167">
        <f ca="1">IF(E167=1,(1+(('Symulacja Pożyczka'!$B$5+'Symulacja Pożyczka'!$C$19)/100)*(((Arkusz1!B167-DATE(YEAR(B167),1,1)+1)/365)+((DATE(YEAR(B166),12,31)-Arkusz1!B166)/366))),IF(F167=1,(1+(('Symulacja Pożyczka'!$B$5+'Symulacja Pożyczka'!$C$19)/100)*(((Arkusz1!B167-DATE(YEAR(B167),1,1)+1)/366)+((DATE(YEAR(B166),12,31)-Arkusz1!B166)/365))),0))</f>
        <v>0</v>
      </c>
      <c r="H167">
        <f t="shared" ca="1" si="20"/>
        <v>0</v>
      </c>
      <c r="I167">
        <f t="shared" ca="1" si="21"/>
        <v>1.0046712328767122</v>
      </c>
      <c r="J167">
        <f t="shared" ca="1" si="22"/>
        <v>1.0046712328767122</v>
      </c>
      <c r="K167">
        <f ca="1">PRODUCT($J$3:J167)</f>
        <v>2.1222054738617486</v>
      </c>
      <c r="L167">
        <f t="shared" ca="1" si="23"/>
        <v>0.4712079072062299</v>
      </c>
      <c r="M167">
        <f ca="1">SUM($L$3:L167)</f>
        <v>115.83396553647351</v>
      </c>
      <c r="O167">
        <f ca="1">(Q166*'Arkusz1 (+3)'!J167)-Q166</f>
        <v>-3025.6668249057839</v>
      </c>
      <c r="P167" s="16">
        <f t="shared" ca="1" si="24"/>
        <v>16345.720331254777</v>
      </c>
      <c r="Q167" s="17">
        <f t="shared" ca="1" si="25"/>
        <v>-664069.11686535354</v>
      </c>
    </row>
    <row r="168" spans="1:17" x14ac:dyDescent="0.35">
      <c r="A168">
        <v>166</v>
      </c>
      <c r="B168" s="14">
        <f t="shared" ca="1" si="26"/>
        <v>51121</v>
      </c>
      <c r="C168" s="15">
        <f ca="1">(1+(('Symulacja Pożyczka'!$B$5+'Symulacja Pożyczka'!$C$19)/100)*('Arkusz1 (+3)'!B168-'Arkusz1 (+3)'!B167)/365)</f>
        <v>1.0045205479452055</v>
      </c>
      <c r="D168" s="15">
        <f ca="1">(1+(('Symulacja Pożyczka'!$B$5+'Symulacja Pożyczka'!$C$19)/100)*('Arkusz1 (+3)'!B168-'Arkusz1 (+3)'!B167)/366)</f>
        <v>1.0045081967213114</v>
      </c>
      <c r="E168" s="15">
        <f t="shared" ca="1" si="18"/>
        <v>0</v>
      </c>
      <c r="F168" s="15">
        <f t="shared" ca="1" si="19"/>
        <v>0</v>
      </c>
      <c r="G168">
        <f ca="1">IF(E168=1,(1+(('Symulacja Pożyczka'!$B$5+'Symulacja Pożyczka'!$C$19)/100)*(((Arkusz1!B168-DATE(YEAR(B168),1,1)+1)/365)+((DATE(YEAR(B167),12,31)-Arkusz1!B167)/366))),IF(F168=1,(1+(('Symulacja Pożyczka'!$B$5+'Symulacja Pożyczka'!$C$19)/100)*(((Arkusz1!B168-DATE(YEAR(B168),1,1)+1)/366)+((DATE(YEAR(B167),12,31)-Arkusz1!B167)/365))),0))</f>
        <v>0</v>
      </c>
      <c r="H168">
        <f t="shared" ca="1" si="20"/>
        <v>0</v>
      </c>
      <c r="I168">
        <f t="shared" ca="1" si="21"/>
        <v>1.0045205479452055</v>
      </c>
      <c r="J168">
        <f t="shared" ca="1" si="22"/>
        <v>1.0045205479452055</v>
      </c>
      <c r="K168">
        <f ca="1">PRODUCT($J$3:J168)</f>
        <v>2.1317990054559184</v>
      </c>
      <c r="L168">
        <f t="shared" ca="1" si="23"/>
        <v>0.46908737523598498</v>
      </c>
      <c r="M168">
        <f ca="1">SUM($L$3:L168)</f>
        <v>116.3030529117095</v>
      </c>
      <c r="O168">
        <f ca="1">(Q167*'Arkusz1 (+3)'!J168)-Q167</f>
        <v>-3001.9562817200786</v>
      </c>
      <c r="P168" s="16">
        <f t="shared" ca="1" si="24"/>
        <v>16322.009788069072</v>
      </c>
      <c r="Q168" s="17">
        <f t="shared" ca="1" si="25"/>
        <v>-680391.1266534226</v>
      </c>
    </row>
    <row r="169" spans="1:17" x14ac:dyDescent="0.35">
      <c r="A169">
        <v>167</v>
      </c>
      <c r="B169" s="14">
        <f t="shared" ca="1" si="26"/>
        <v>51152</v>
      </c>
      <c r="C169" s="15">
        <f ca="1">(1+(('Symulacja Pożyczka'!$B$5+'Symulacja Pożyczka'!$C$19)/100)*('Arkusz1 (+3)'!B169-'Arkusz1 (+3)'!B168)/365)</f>
        <v>1.0046712328767122</v>
      </c>
      <c r="D169" s="15">
        <f ca="1">(1+(('Symulacja Pożyczka'!$B$5+'Symulacja Pożyczka'!$C$19)/100)*('Arkusz1 (+3)'!B169-'Arkusz1 (+3)'!B168)/366)</f>
        <v>1.0046584699453551</v>
      </c>
      <c r="E169" s="15">
        <f t="shared" ca="1" si="18"/>
        <v>0</v>
      </c>
      <c r="F169" s="15">
        <f t="shared" ca="1" si="19"/>
        <v>1</v>
      </c>
      <c r="G169">
        <f ca="1">IF(E169=1,(1+(('Symulacja Pożyczka'!$B$5+'Symulacja Pożyczka'!$C$19)/100)*(((Arkusz1!B169-DATE(YEAR(B169),1,1)+1)/365)+((DATE(YEAR(B168),12,31)-Arkusz1!B168)/366))),IF(F169=1,(1+(('Symulacja Pożyczka'!$B$5+'Symulacja Pożyczka'!$C$19)/100)*(((Arkusz1!B169-DATE(YEAR(B169),1,1)+1)/366)+((DATE(YEAR(B168),12,31)-Arkusz1!B168)/365))),0))</f>
        <v>1.0046642338498391</v>
      </c>
      <c r="H169">
        <f t="shared" ca="1" si="20"/>
        <v>1</v>
      </c>
      <c r="I169">
        <f t="shared" ca="1" si="21"/>
        <v>1.0046584699453551</v>
      </c>
      <c r="J169">
        <f t="shared" ca="1" si="22"/>
        <v>1.0046642338498391</v>
      </c>
      <c r="K169">
        <f ca="1">PRODUCT($J$3:J169)</f>
        <v>2.141742214538219</v>
      </c>
      <c r="L169">
        <f t="shared" ca="1" si="23"/>
        <v>0.46690959967635975</v>
      </c>
      <c r="M169">
        <f ca="1">SUM($L$3:L169)</f>
        <v>116.76996251138586</v>
      </c>
      <c r="O169">
        <f ca="1">(Q168*'Arkusz1 (+3)'!J169)-Q168</f>
        <v>-3173.5033240669873</v>
      </c>
      <c r="P169" s="16">
        <f t="shared" ca="1" si="24"/>
        <v>16493.556830415982</v>
      </c>
      <c r="Q169" s="17">
        <f t="shared" ca="1" si="25"/>
        <v>-696884.68348383857</v>
      </c>
    </row>
    <row r="170" spans="1:17" x14ac:dyDescent="0.35">
      <c r="A170">
        <v>168</v>
      </c>
      <c r="B170" s="14">
        <f t="shared" ca="1" si="26"/>
        <v>51183</v>
      </c>
      <c r="C170" s="15">
        <f ca="1">(1+(('Symulacja Pożyczka'!$B$5+'Symulacja Pożyczka'!$C$19)/100)*('Arkusz1 (+3)'!B170-'Arkusz1 (+3)'!B169)/365)</f>
        <v>1.0046712328767122</v>
      </c>
      <c r="D170" s="15">
        <f ca="1">(1+(('Symulacja Pożyczka'!$B$5+'Symulacja Pożyczka'!$C$19)/100)*('Arkusz1 (+3)'!B170-'Arkusz1 (+3)'!B169)/366)</f>
        <v>1.0046584699453551</v>
      </c>
      <c r="E170" s="15">
        <f t="shared" ca="1" si="18"/>
        <v>0</v>
      </c>
      <c r="F170" s="15">
        <f t="shared" ca="1" si="19"/>
        <v>0</v>
      </c>
      <c r="G170">
        <f ca="1">IF(E170=1,(1+(('Symulacja Pożyczka'!$B$5+'Symulacja Pożyczka'!$C$19)/100)*(((Arkusz1!B170-DATE(YEAR(B170),1,1)+1)/365)+((DATE(YEAR(B169),12,31)-Arkusz1!B169)/366))),IF(F170=1,(1+(('Symulacja Pożyczka'!$B$5+'Symulacja Pożyczka'!$C$19)/100)*(((Arkusz1!B170-DATE(YEAR(B170),1,1)+1)/366)+((DATE(YEAR(B169),12,31)-Arkusz1!B169)/365))),0))</f>
        <v>0</v>
      </c>
      <c r="H170">
        <f t="shared" ca="1" si="20"/>
        <v>1</v>
      </c>
      <c r="I170">
        <f t="shared" ca="1" si="21"/>
        <v>1.0046584699453551</v>
      </c>
      <c r="J170">
        <f t="shared" ca="1" si="22"/>
        <v>1.0046584699453551</v>
      </c>
      <c r="K170">
        <f ca="1">PRODUCT($J$3:J170)</f>
        <v>2.1517194562753437</v>
      </c>
      <c r="L170">
        <f t="shared" ca="1" si="23"/>
        <v>0.46474460092070458</v>
      </c>
      <c r="M170">
        <f ca="1">SUM($L$3:L170)</f>
        <v>117.23470711230657</v>
      </c>
      <c r="O170">
        <f ca="1">(Q169*'Arkusz1 (+3)'!J170)-Q169</f>
        <v>-3246.4163533877581</v>
      </c>
      <c r="P170" s="16">
        <f t="shared" ca="1" si="24"/>
        <v>16566.469859736753</v>
      </c>
      <c r="Q170" s="17">
        <f t="shared" ca="1" si="25"/>
        <v>-713451.15334357531</v>
      </c>
    </row>
    <row r="171" spans="1:17" x14ac:dyDescent="0.35">
      <c r="A171">
        <v>169</v>
      </c>
      <c r="B171" s="14">
        <f t="shared" ca="1" si="26"/>
        <v>51212</v>
      </c>
      <c r="C171" s="15">
        <f ca="1">(1+(('Symulacja Pożyczka'!$B$5+'Symulacja Pożyczka'!$C$19)/100)*('Arkusz1 (+3)'!B171-'Arkusz1 (+3)'!B170)/365)</f>
        <v>1.0043698630136986</v>
      </c>
      <c r="D171" s="15">
        <f ca="1">(1+(('Symulacja Pożyczka'!$B$5+'Symulacja Pożyczka'!$C$19)/100)*('Arkusz1 (+3)'!B171-'Arkusz1 (+3)'!B170)/366)</f>
        <v>1.0043579234972677</v>
      </c>
      <c r="E171" s="15">
        <f t="shared" ca="1" si="18"/>
        <v>0</v>
      </c>
      <c r="F171" s="15">
        <f t="shared" ca="1" si="19"/>
        <v>0</v>
      </c>
      <c r="G171">
        <f ca="1">IF(E171=1,(1+(('Symulacja Pożyczka'!$B$5+'Symulacja Pożyczka'!$C$19)/100)*(((Arkusz1!B171-DATE(YEAR(B171),1,1)+1)/365)+((DATE(YEAR(B170),12,31)-Arkusz1!B170)/366))),IF(F171=1,(1+(('Symulacja Pożyczka'!$B$5+'Symulacja Pożyczka'!$C$19)/100)*(((Arkusz1!B171-DATE(YEAR(B171),1,1)+1)/366)+((DATE(YEAR(B170),12,31)-Arkusz1!B170)/365))),0))</f>
        <v>0</v>
      </c>
      <c r="H171">
        <f t="shared" ca="1" si="20"/>
        <v>1</v>
      </c>
      <c r="I171">
        <f t="shared" ca="1" si="21"/>
        <v>1.0043579234972677</v>
      </c>
      <c r="J171">
        <f t="shared" ca="1" si="22"/>
        <v>1.0043579234972677</v>
      </c>
      <c r="K171">
        <f ca="1">PRODUCT($J$3:J171)</f>
        <v>2.161096485053374</v>
      </c>
      <c r="L171">
        <f t="shared" ca="1" si="23"/>
        <v>0.4627280674029241</v>
      </c>
      <c r="M171">
        <f ca="1">SUM($L$3:L171)</f>
        <v>117.69743517970949</v>
      </c>
      <c r="O171">
        <f ca="1">(Q170*'Arkusz1 (+3)'!J171)-Q170</f>
        <v>-3109.1655453087296</v>
      </c>
      <c r="P171" s="16">
        <f t="shared" ca="1" si="24"/>
        <v>16429.219051657725</v>
      </c>
      <c r="Q171" s="17">
        <f t="shared" ca="1" si="25"/>
        <v>-729880.37239523302</v>
      </c>
    </row>
    <row r="172" spans="1:17" x14ac:dyDescent="0.35">
      <c r="A172">
        <v>170</v>
      </c>
      <c r="B172" s="14">
        <f t="shared" ca="1" si="26"/>
        <v>51243</v>
      </c>
      <c r="C172" s="15">
        <f ca="1">(1+(('Symulacja Pożyczka'!$B$5+'Symulacja Pożyczka'!$C$19)/100)*('Arkusz1 (+3)'!B172-'Arkusz1 (+3)'!B171)/365)</f>
        <v>1.0046712328767122</v>
      </c>
      <c r="D172" s="15">
        <f ca="1">(1+(('Symulacja Pożyczka'!$B$5+'Symulacja Pożyczka'!$C$19)/100)*('Arkusz1 (+3)'!B172-'Arkusz1 (+3)'!B171)/366)</f>
        <v>1.0046584699453551</v>
      </c>
      <c r="E172" s="15">
        <f t="shared" ca="1" si="18"/>
        <v>0</v>
      </c>
      <c r="F172" s="15">
        <f t="shared" ca="1" si="19"/>
        <v>0</v>
      </c>
      <c r="G172">
        <f ca="1">IF(E172=1,(1+(('Symulacja Pożyczka'!$B$5+'Symulacja Pożyczka'!$C$19)/100)*(((Arkusz1!B172-DATE(YEAR(B172),1,1)+1)/365)+((DATE(YEAR(B171),12,31)-Arkusz1!B171)/366))),IF(F172=1,(1+(('Symulacja Pożyczka'!$B$5+'Symulacja Pożyczka'!$C$19)/100)*(((Arkusz1!B172-DATE(YEAR(B172),1,1)+1)/366)+((DATE(YEAR(B171),12,31)-Arkusz1!B171)/365))),0))</f>
        <v>0</v>
      </c>
      <c r="H172">
        <f t="shared" ca="1" si="20"/>
        <v>1</v>
      </c>
      <c r="I172">
        <f t="shared" ca="1" si="21"/>
        <v>1.0046584699453551</v>
      </c>
      <c r="J172">
        <f t="shared" ca="1" si="22"/>
        <v>1.0046584699453551</v>
      </c>
      <c r="K172">
        <f ca="1">PRODUCT($J$3:J172)</f>
        <v>2.171163888078008</v>
      </c>
      <c r="L172">
        <f t="shared" ca="1" si="23"/>
        <v>0.46058245786559937</v>
      </c>
      <c r="M172">
        <f ca="1">SUM($L$3:L172)</f>
        <v>118.15801763757509</v>
      </c>
      <c r="O172">
        <f ca="1">(Q171*'Arkusz1 (+3)'!J172)-Q171</f>
        <v>-3400.1257785077905</v>
      </c>
      <c r="P172" s="16">
        <f t="shared" ca="1" si="24"/>
        <v>16720.179284856786</v>
      </c>
      <c r="Q172" s="17">
        <f t="shared" ca="1" si="25"/>
        <v>-746600.55168008979</v>
      </c>
    </row>
    <row r="173" spans="1:17" x14ac:dyDescent="0.35">
      <c r="A173">
        <v>171</v>
      </c>
      <c r="B173" s="14">
        <f t="shared" ca="1" si="26"/>
        <v>51273</v>
      </c>
      <c r="C173" s="15">
        <f ca="1">(1+(('Symulacja Pożyczka'!$B$5+'Symulacja Pożyczka'!$C$19)/100)*('Arkusz1 (+3)'!B173-'Arkusz1 (+3)'!B172)/365)</f>
        <v>1.0045205479452055</v>
      </c>
      <c r="D173" s="15">
        <f ca="1">(1+(('Symulacja Pożyczka'!$B$5+'Symulacja Pożyczka'!$C$19)/100)*('Arkusz1 (+3)'!B173-'Arkusz1 (+3)'!B172)/366)</f>
        <v>1.0045081967213114</v>
      </c>
      <c r="E173" s="15">
        <f t="shared" ca="1" si="18"/>
        <v>0</v>
      </c>
      <c r="F173" s="15">
        <f t="shared" ca="1" si="19"/>
        <v>0</v>
      </c>
      <c r="G173">
        <f ca="1">IF(E173=1,(1+(('Symulacja Pożyczka'!$B$5+'Symulacja Pożyczka'!$C$19)/100)*(((Arkusz1!B173-DATE(YEAR(B173),1,1)+1)/365)+((DATE(YEAR(B172),12,31)-Arkusz1!B172)/366))),IF(F173=1,(1+(('Symulacja Pożyczka'!$B$5+'Symulacja Pożyczka'!$C$19)/100)*(((Arkusz1!B173-DATE(YEAR(B173),1,1)+1)/366)+((DATE(YEAR(B172),12,31)-Arkusz1!B172)/365))),0))</f>
        <v>0</v>
      </c>
      <c r="H173">
        <f t="shared" ca="1" si="20"/>
        <v>1</v>
      </c>
      <c r="I173">
        <f t="shared" ca="1" si="21"/>
        <v>1.0045081967213114</v>
      </c>
      <c r="J173">
        <f t="shared" ca="1" si="22"/>
        <v>1.0045081967213114</v>
      </c>
      <c r="K173">
        <f ca="1">PRODUCT($J$3:J173)</f>
        <v>2.1809519219996711</v>
      </c>
      <c r="L173">
        <f t="shared" ca="1" si="23"/>
        <v>0.45851538033131883</v>
      </c>
      <c r="M173">
        <f ca="1">SUM($L$3:L173)</f>
        <v>118.61653301790641</v>
      </c>
      <c r="O173">
        <f ca="1">(Q172*'Arkusz1 (+3)'!J173)-Q172</f>
        <v>-3365.8221592134796</v>
      </c>
      <c r="P173" s="16">
        <f t="shared" ca="1" si="24"/>
        <v>16685.875665562475</v>
      </c>
      <c r="Q173" s="17">
        <f t="shared" ca="1" si="25"/>
        <v>-763286.42734565225</v>
      </c>
    </row>
    <row r="174" spans="1:17" x14ac:dyDescent="0.35">
      <c r="A174">
        <v>172</v>
      </c>
      <c r="B174" s="14">
        <f t="shared" ca="1" si="26"/>
        <v>51304</v>
      </c>
      <c r="C174" s="15">
        <f ca="1">(1+(('Symulacja Pożyczka'!$B$5+'Symulacja Pożyczka'!$C$19)/100)*('Arkusz1 (+3)'!B174-'Arkusz1 (+3)'!B173)/365)</f>
        <v>1.0046712328767122</v>
      </c>
      <c r="D174" s="15">
        <f ca="1">(1+(('Symulacja Pożyczka'!$B$5+'Symulacja Pożyczka'!$C$19)/100)*('Arkusz1 (+3)'!B174-'Arkusz1 (+3)'!B173)/366)</f>
        <v>1.0046584699453551</v>
      </c>
      <c r="E174" s="15">
        <f t="shared" ca="1" si="18"/>
        <v>0</v>
      </c>
      <c r="F174" s="15">
        <f t="shared" ca="1" si="19"/>
        <v>0</v>
      </c>
      <c r="G174">
        <f ca="1">IF(E174=1,(1+(('Symulacja Pożyczka'!$B$5+'Symulacja Pożyczka'!$C$19)/100)*(((Arkusz1!B174-DATE(YEAR(B174),1,1)+1)/365)+((DATE(YEAR(B173),12,31)-Arkusz1!B173)/366))),IF(F174=1,(1+(('Symulacja Pożyczka'!$B$5+'Symulacja Pożyczka'!$C$19)/100)*(((Arkusz1!B174-DATE(YEAR(B174),1,1)+1)/366)+((DATE(YEAR(B173),12,31)-Arkusz1!B173)/365))),0))</f>
        <v>0</v>
      </c>
      <c r="H174">
        <f t="shared" ca="1" si="20"/>
        <v>1</v>
      </c>
      <c r="I174">
        <f t="shared" ca="1" si="21"/>
        <v>1.0046584699453551</v>
      </c>
      <c r="J174">
        <f t="shared" ca="1" si="22"/>
        <v>1.0046584699453551</v>
      </c>
      <c r="K174">
        <f ca="1">PRODUCT($J$3:J174)</f>
        <v>2.1911118209805709</v>
      </c>
      <c r="L174">
        <f t="shared" ca="1" si="23"/>
        <v>0.45638930447304965</v>
      </c>
      <c r="M174">
        <f ca="1">SUM($L$3:L174)</f>
        <v>119.07292232237945</v>
      </c>
      <c r="O174">
        <f ca="1">(Q173*'Arkusz1 (+3)'!J174)-Q173</f>
        <v>-3555.7468814871972</v>
      </c>
      <c r="P174" s="16">
        <f t="shared" ca="1" si="24"/>
        <v>16875.800387836192</v>
      </c>
      <c r="Q174" s="17">
        <f t="shared" ca="1" si="25"/>
        <v>-780162.22773348843</v>
      </c>
    </row>
    <row r="175" spans="1:17" x14ac:dyDescent="0.35">
      <c r="A175">
        <v>173</v>
      </c>
      <c r="B175" s="14">
        <f t="shared" ca="1" si="26"/>
        <v>51334</v>
      </c>
      <c r="C175" s="15">
        <f ca="1">(1+(('Symulacja Pożyczka'!$B$5+'Symulacja Pożyczka'!$C$19)/100)*('Arkusz1 (+3)'!B175-'Arkusz1 (+3)'!B174)/365)</f>
        <v>1.0045205479452055</v>
      </c>
      <c r="D175" s="15">
        <f ca="1">(1+(('Symulacja Pożyczka'!$B$5+'Symulacja Pożyczka'!$C$19)/100)*('Arkusz1 (+3)'!B175-'Arkusz1 (+3)'!B174)/366)</f>
        <v>1.0045081967213114</v>
      </c>
      <c r="E175" s="15">
        <f t="shared" ca="1" si="18"/>
        <v>0</v>
      </c>
      <c r="F175" s="15">
        <f t="shared" ca="1" si="19"/>
        <v>0</v>
      </c>
      <c r="G175">
        <f ca="1">IF(E175=1,(1+(('Symulacja Pożyczka'!$B$5+'Symulacja Pożyczka'!$C$19)/100)*(((Arkusz1!B175-DATE(YEAR(B175),1,1)+1)/365)+((DATE(YEAR(B174),12,31)-Arkusz1!B174)/366))),IF(F175=1,(1+(('Symulacja Pożyczka'!$B$5+'Symulacja Pożyczka'!$C$19)/100)*(((Arkusz1!B175-DATE(YEAR(B175),1,1)+1)/366)+((DATE(YEAR(B174),12,31)-Arkusz1!B174)/365))),0))</f>
        <v>0</v>
      </c>
      <c r="H175">
        <f t="shared" ca="1" si="20"/>
        <v>1</v>
      </c>
      <c r="I175">
        <f t="shared" ca="1" si="21"/>
        <v>1.0045081967213114</v>
      </c>
      <c r="J175">
        <f t="shared" ca="1" si="22"/>
        <v>1.0045081967213114</v>
      </c>
      <c r="K175">
        <f ca="1">PRODUCT($J$3:J175)</f>
        <v>2.200989784107942</v>
      </c>
      <c r="L175">
        <f t="shared" ca="1" si="23"/>
        <v>0.45434104566064515</v>
      </c>
      <c r="M175">
        <f ca="1">SUM($L$3:L175)</f>
        <v>119.5272633680401</v>
      </c>
      <c r="O175">
        <f ca="1">(Q174*'Arkusz1 (+3)'!J175)-Q174</f>
        <v>-3517.1247971591074</v>
      </c>
      <c r="P175" s="16">
        <f t="shared" ca="1" si="24"/>
        <v>16837.178303508103</v>
      </c>
      <c r="Q175" s="17">
        <f t="shared" ca="1" si="25"/>
        <v>-796999.40603699652</v>
      </c>
    </row>
    <row r="176" spans="1:17" x14ac:dyDescent="0.35">
      <c r="A176">
        <v>174</v>
      </c>
      <c r="B176" s="14">
        <f t="shared" ca="1" si="26"/>
        <v>51365</v>
      </c>
      <c r="C176" s="15">
        <f ca="1">(1+(('Symulacja Pożyczka'!$B$5+'Symulacja Pożyczka'!$C$19)/100)*('Arkusz1 (+3)'!B176-'Arkusz1 (+3)'!B175)/365)</f>
        <v>1.0046712328767122</v>
      </c>
      <c r="D176" s="15">
        <f ca="1">(1+(('Symulacja Pożyczka'!$B$5+'Symulacja Pożyczka'!$C$19)/100)*('Arkusz1 (+3)'!B176-'Arkusz1 (+3)'!B175)/366)</f>
        <v>1.0046584699453551</v>
      </c>
      <c r="E176" s="15">
        <f t="shared" ca="1" si="18"/>
        <v>0</v>
      </c>
      <c r="F176" s="15">
        <f t="shared" ca="1" si="19"/>
        <v>0</v>
      </c>
      <c r="G176">
        <f ca="1">IF(E176=1,(1+(('Symulacja Pożyczka'!$B$5+'Symulacja Pożyczka'!$C$19)/100)*(((Arkusz1!B176-DATE(YEAR(B176),1,1)+1)/365)+((DATE(YEAR(B175),12,31)-Arkusz1!B175)/366))),IF(F176=1,(1+(('Symulacja Pożyczka'!$B$5+'Symulacja Pożyczka'!$C$19)/100)*(((Arkusz1!B176-DATE(YEAR(B176),1,1)+1)/366)+((DATE(YEAR(B175),12,31)-Arkusz1!B175)/365))),0))</f>
        <v>0</v>
      </c>
      <c r="H176">
        <f t="shared" ca="1" si="20"/>
        <v>1</v>
      </c>
      <c r="I176">
        <f t="shared" ca="1" si="21"/>
        <v>1.0046584699453551</v>
      </c>
      <c r="J176">
        <f t="shared" ca="1" si="22"/>
        <v>1.0046584699453551</v>
      </c>
      <c r="K176">
        <f ca="1">PRODUCT($J$3:J176)</f>
        <v>2.2112430288672424</v>
      </c>
      <c r="L176">
        <f t="shared" ca="1" si="23"/>
        <v>0.45223432564636362</v>
      </c>
      <c r="M176">
        <f ca="1">SUM($L$3:L176)</f>
        <v>119.97949769368645</v>
      </c>
      <c r="O176">
        <f ca="1">(Q175*'Arkusz1 (+3)'!J176)-Q175</f>
        <v>-3712.7977794891922</v>
      </c>
      <c r="P176" s="16">
        <f t="shared" ca="1" si="24"/>
        <v>17032.851285838187</v>
      </c>
      <c r="Q176" s="17">
        <f t="shared" ca="1" si="25"/>
        <v>-814032.25732283469</v>
      </c>
    </row>
    <row r="177" spans="1:17" x14ac:dyDescent="0.35">
      <c r="A177">
        <v>175</v>
      </c>
      <c r="B177" s="14">
        <f t="shared" ca="1" si="26"/>
        <v>51396</v>
      </c>
      <c r="C177" s="15">
        <f ca="1">(1+(('Symulacja Pożyczka'!$B$5+'Symulacja Pożyczka'!$C$19)/100)*('Arkusz1 (+3)'!B177-'Arkusz1 (+3)'!B176)/365)</f>
        <v>1.0046712328767122</v>
      </c>
      <c r="D177" s="15">
        <f ca="1">(1+(('Symulacja Pożyczka'!$B$5+'Symulacja Pożyczka'!$C$19)/100)*('Arkusz1 (+3)'!B177-'Arkusz1 (+3)'!B176)/366)</f>
        <v>1.0046584699453551</v>
      </c>
      <c r="E177" s="15">
        <f t="shared" ca="1" si="18"/>
        <v>0</v>
      </c>
      <c r="F177" s="15">
        <f t="shared" ca="1" si="19"/>
        <v>0</v>
      </c>
      <c r="G177">
        <f ca="1">IF(E177=1,(1+(('Symulacja Pożyczka'!$B$5+'Symulacja Pożyczka'!$C$19)/100)*(((Arkusz1!B177-DATE(YEAR(B177),1,1)+1)/365)+((DATE(YEAR(B176),12,31)-Arkusz1!B176)/366))),IF(F177=1,(1+(('Symulacja Pożyczka'!$B$5+'Symulacja Pożyczka'!$C$19)/100)*(((Arkusz1!B177-DATE(YEAR(B177),1,1)+1)/366)+((DATE(YEAR(B176),12,31)-Arkusz1!B176)/365))),0))</f>
        <v>0</v>
      </c>
      <c r="H177">
        <f t="shared" ca="1" si="20"/>
        <v>1</v>
      </c>
      <c r="I177">
        <f t="shared" ca="1" si="21"/>
        <v>1.0046584699453551</v>
      </c>
      <c r="J177">
        <f t="shared" ca="1" si="22"/>
        <v>1.0046584699453551</v>
      </c>
      <c r="K177">
        <f ca="1">PRODUCT($J$3:J177)</f>
        <v>2.2215440380590965</v>
      </c>
      <c r="L177">
        <f t="shared" ca="1" si="23"/>
        <v>0.45013737421729133</v>
      </c>
      <c r="M177">
        <f ca="1">SUM($L$3:L177)</f>
        <v>120.42963506790375</v>
      </c>
      <c r="O177">
        <f ca="1">(Q176*'Arkusz1 (+3)'!J177)-Q176</f>
        <v>-3792.1448052880587</v>
      </c>
      <c r="P177" s="16">
        <f t="shared" ca="1" si="24"/>
        <v>17112.198311637054</v>
      </c>
      <c r="Q177" s="17">
        <f t="shared" ca="1" si="25"/>
        <v>-831144.45563447173</v>
      </c>
    </row>
    <row r="178" spans="1:17" x14ac:dyDescent="0.35">
      <c r="A178">
        <v>176</v>
      </c>
      <c r="B178" s="14">
        <f t="shared" ca="1" si="26"/>
        <v>51426</v>
      </c>
      <c r="C178" s="15">
        <f ca="1">(1+(('Symulacja Pożyczka'!$B$5+'Symulacja Pożyczka'!$C$19)/100)*('Arkusz1 (+3)'!B178-'Arkusz1 (+3)'!B177)/365)</f>
        <v>1.0045205479452055</v>
      </c>
      <c r="D178" s="15">
        <f ca="1">(1+(('Symulacja Pożyczka'!$B$5+'Symulacja Pożyczka'!$C$19)/100)*('Arkusz1 (+3)'!B178-'Arkusz1 (+3)'!B177)/366)</f>
        <v>1.0045081967213114</v>
      </c>
      <c r="E178" s="15">
        <f t="shared" ca="1" si="18"/>
        <v>0</v>
      </c>
      <c r="F178" s="15">
        <f t="shared" ca="1" si="19"/>
        <v>0</v>
      </c>
      <c r="G178">
        <f ca="1">IF(E178=1,(1+(('Symulacja Pożyczka'!$B$5+'Symulacja Pożyczka'!$C$19)/100)*(((Arkusz1!B178-DATE(YEAR(B178),1,1)+1)/365)+((DATE(YEAR(B177),12,31)-Arkusz1!B177)/366))),IF(F178=1,(1+(('Symulacja Pożyczka'!$B$5+'Symulacja Pożyczka'!$C$19)/100)*(((Arkusz1!B178-DATE(YEAR(B178),1,1)+1)/366)+((DATE(YEAR(B177),12,31)-Arkusz1!B177)/365))),0))</f>
        <v>0</v>
      </c>
      <c r="H178">
        <f t="shared" ca="1" si="20"/>
        <v>1</v>
      </c>
      <c r="I178">
        <f t="shared" ca="1" si="21"/>
        <v>1.0045081967213114</v>
      </c>
      <c r="J178">
        <f t="shared" ca="1" si="22"/>
        <v>1.0045081967213114</v>
      </c>
      <c r="K178">
        <f ca="1">PRODUCT($J$3:J178)</f>
        <v>2.2315591956077236</v>
      </c>
      <c r="L178">
        <f t="shared" ca="1" si="23"/>
        <v>0.4481171738434071</v>
      </c>
      <c r="M178">
        <f ca="1">SUM($L$3:L178)</f>
        <v>120.87775224174715</v>
      </c>
      <c r="O178">
        <f ca="1">(Q177*'Arkusz1 (+3)'!J178)-Q177</f>
        <v>-3746.962709827465</v>
      </c>
      <c r="P178" s="16">
        <f t="shared" ca="1" si="24"/>
        <v>17067.01621617646</v>
      </c>
      <c r="Q178" s="17">
        <f t="shared" ca="1" si="25"/>
        <v>-848211.47185064817</v>
      </c>
    </row>
    <row r="179" spans="1:17" x14ac:dyDescent="0.35">
      <c r="A179">
        <v>177</v>
      </c>
      <c r="B179" s="14">
        <f t="shared" ca="1" si="26"/>
        <v>51457</v>
      </c>
      <c r="C179" s="15">
        <f ca="1">(1+(('Symulacja Pożyczka'!$B$5+'Symulacja Pożyczka'!$C$19)/100)*('Arkusz1 (+3)'!B179-'Arkusz1 (+3)'!B178)/365)</f>
        <v>1.0046712328767122</v>
      </c>
      <c r="D179" s="15">
        <f ca="1">(1+(('Symulacja Pożyczka'!$B$5+'Symulacja Pożyczka'!$C$19)/100)*('Arkusz1 (+3)'!B179-'Arkusz1 (+3)'!B178)/366)</f>
        <v>1.0046584699453551</v>
      </c>
      <c r="E179" s="15">
        <f t="shared" ca="1" si="18"/>
        <v>0</v>
      </c>
      <c r="F179" s="15">
        <f t="shared" ca="1" si="19"/>
        <v>0</v>
      </c>
      <c r="G179">
        <f ca="1">IF(E179=1,(1+(('Symulacja Pożyczka'!$B$5+'Symulacja Pożyczka'!$C$19)/100)*(((Arkusz1!B179-DATE(YEAR(B179),1,1)+1)/365)+((DATE(YEAR(B178),12,31)-Arkusz1!B178)/366))),IF(F179=1,(1+(('Symulacja Pożyczka'!$B$5+'Symulacja Pożyczka'!$C$19)/100)*(((Arkusz1!B179-DATE(YEAR(B179),1,1)+1)/366)+((DATE(YEAR(B178),12,31)-Arkusz1!B178)/365))),0))</f>
        <v>0</v>
      </c>
      <c r="H179">
        <f t="shared" ca="1" si="20"/>
        <v>1</v>
      </c>
      <c r="I179">
        <f t="shared" ca="1" si="21"/>
        <v>1.0046584699453551</v>
      </c>
      <c r="J179">
        <f t="shared" ca="1" si="22"/>
        <v>1.0046584699453551</v>
      </c>
      <c r="K179">
        <f ca="1">PRODUCT($J$3:J179)</f>
        <v>2.2419548470517432</v>
      </c>
      <c r="L179">
        <f t="shared" ca="1" si="23"/>
        <v>0.44603931310884271</v>
      </c>
      <c r="M179">
        <f ca="1">SUM($L$3:L179)</f>
        <v>121.32379155485599</v>
      </c>
      <c r="O179">
        <f ca="1">(Q178*'Arkusz1 (+3)'!J179)-Q178</f>
        <v>-3951.3676489216741</v>
      </c>
      <c r="P179" s="16">
        <f t="shared" ca="1" si="24"/>
        <v>17271.421155270669</v>
      </c>
      <c r="Q179" s="17">
        <f t="shared" ca="1" si="25"/>
        <v>-865482.89300591883</v>
      </c>
    </row>
    <row r="180" spans="1:17" x14ac:dyDescent="0.35">
      <c r="A180">
        <v>178</v>
      </c>
      <c r="B180" s="14">
        <f t="shared" ca="1" si="26"/>
        <v>51487</v>
      </c>
      <c r="C180" s="15">
        <f ca="1">(1+(('Symulacja Pożyczka'!$B$5+'Symulacja Pożyczka'!$C$19)/100)*('Arkusz1 (+3)'!B180-'Arkusz1 (+3)'!B179)/365)</f>
        <v>1.0045205479452055</v>
      </c>
      <c r="D180" s="15">
        <f ca="1">(1+(('Symulacja Pożyczka'!$B$5+'Symulacja Pożyczka'!$C$19)/100)*('Arkusz1 (+3)'!B180-'Arkusz1 (+3)'!B179)/366)</f>
        <v>1.0045081967213114</v>
      </c>
      <c r="E180" s="15">
        <f t="shared" ca="1" si="18"/>
        <v>0</v>
      </c>
      <c r="F180" s="15">
        <f t="shared" ca="1" si="19"/>
        <v>0</v>
      </c>
      <c r="G180">
        <f ca="1">IF(E180=1,(1+(('Symulacja Pożyczka'!$B$5+'Symulacja Pożyczka'!$C$19)/100)*(((Arkusz1!B180-DATE(YEAR(B180),1,1)+1)/365)+((DATE(YEAR(B179),12,31)-Arkusz1!B179)/366))),IF(F180=1,(1+(('Symulacja Pożyczka'!$B$5+'Symulacja Pożyczka'!$C$19)/100)*(((Arkusz1!B180-DATE(YEAR(B180),1,1)+1)/366)+((DATE(YEAR(B179),12,31)-Arkusz1!B179)/365))),0))</f>
        <v>0</v>
      </c>
      <c r="H180">
        <f t="shared" ca="1" si="20"/>
        <v>1</v>
      </c>
      <c r="I180">
        <f t="shared" ca="1" si="21"/>
        <v>1.0045081967213114</v>
      </c>
      <c r="J180">
        <f t="shared" ca="1" si="22"/>
        <v>1.0045081967213114</v>
      </c>
      <c r="K180">
        <f ca="1">PRODUCT($J$3:J180)</f>
        <v>2.2520620205425499</v>
      </c>
      <c r="L180">
        <f t="shared" ca="1" si="23"/>
        <v>0.44403750468607767</v>
      </c>
      <c r="M180">
        <f ca="1">SUM($L$3:L180)</f>
        <v>121.76782905954207</v>
      </c>
      <c r="O180">
        <f ca="1">(Q179*'Arkusz1 (+3)'!J180)-Q179</f>
        <v>-3901.7671406003647</v>
      </c>
      <c r="P180" s="16">
        <f t="shared" ca="1" si="24"/>
        <v>17221.82064694936</v>
      </c>
      <c r="Q180" s="17">
        <f t="shared" ca="1" si="25"/>
        <v>-882704.71365286817</v>
      </c>
    </row>
    <row r="181" spans="1:17" x14ac:dyDescent="0.35">
      <c r="A181">
        <v>179</v>
      </c>
      <c r="B181" s="14">
        <f t="shared" ca="1" si="26"/>
        <v>51518</v>
      </c>
      <c r="C181" s="15">
        <f ca="1">(1+(('Symulacja Pożyczka'!$B$5+'Symulacja Pożyczka'!$C$19)/100)*('Arkusz1 (+3)'!B181-'Arkusz1 (+3)'!B180)/365)</f>
        <v>1.0046712328767122</v>
      </c>
      <c r="D181" s="15">
        <f ca="1">(1+(('Symulacja Pożyczka'!$B$5+'Symulacja Pożyczka'!$C$19)/100)*('Arkusz1 (+3)'!B181-'Arkusz1 (+3)'!B180)/366)</f>
        <v>1.0046584699453551</v>
      </c>
      <c r="E181" s="15">
        <f t="shared" ca="1" si="18"/>
        <v>1</v>
      </c>
      <c r="F181" s="15">
        <f t="shared" ca="1" si="19"/>
        <v>0</v>
      </c>
      <c r="G181">
        <f ca="1">IF(E181=1,(1+(('Symulacja Pożyczka'!$B$5+'Symulacja Pożyczka'!$C$19)/100)*(((Arkusz1!B181-DATE(YEAR(B181),1,1)+1)/365)+((DATE(YEAR(B180),12,31)-Arkusz1!B180)/366))),IF(F181=1,(1+(('Symulacja Pożyczka'!$B$5+'Symulacja Pożyczka'!$C$19)/100)*(((Arkusz1!B181-DATE(YEAR(B181),1,1)+1)/366)+((DATE(YEAR(B180),12,31)-Arkusz1!B180)/365))),0))</f>
        <v>1.0046654689722285</v>
      </c>
      <c r="H181">
        <f t="shared" ca="1" si="20"/>
        <v>0</v>
      </c>
      <c r="I181">
        <f t="shared" ca="1" si="21"/>
        <v>1.0046712328767122</v>
      </c>
      <c r="J181">
        <f t="shared" ca="1" si="22"/>
        <v>1.0046654689722285</v>
      </c>
      <c r="K181">
        <f ca="1">PRODUCT($J$3:J181)</f>
        <v>2.2625689460229252</v>
      </c>
      <c r="L181">
        <f t="shared" ca="1" si="23"/>
        <v>0.44197548178930396</v>
      </c>
      <c r="M181">
        <f ca="1">SUM($L$3:L181)</f>
        <v>122.20980454133137</v>
      </c>
      <c r="O181">
        <f ca="1">(Q180*'Arkusz1 (+3)'!J181)-Q180</f>
        <v>-4118.231453187298</v>
      </c>
      <c r="P181" s="16">
        <f t="shared" ca="1" si="24"/>
        <v>17438.284959536293</v>
      </c>
      <c r="Q181" s="17">
        <f t="shared" ca="1" si="25"/>
        <v>-900142.99861240445</v>
      </c>
    </row>
    <row r="182" spans="1:17" x14ac:dyDescent="0.35">
      <c r="A182">
        <v>180</v>
      </c>
      <c r="B182" s="14">
        <f t="shared" ca="1" si="26"/>
        <v>51549</v>
      </c>
      <c r="C182" s="15">
        <f ca="1">(1+(('Symulacja Pożyczka'!$B$5+'Symulacja Pożyczka'!$C$19)/100)*('Arkusz1 (+3)'!B182-'Arkusz1 (+3)'!B181)/365)</f>
        <v>1.0046712328767122</v>
      </c>
      <c r="D182" s="15">
        <f ca="1">(1+(('Symulacja Pożyczka'!$B$5+'Symulacja Pożyczka'!$C$19)/100)*('Arkusz1 (+3)'!B182-'Arkusz1 (+3)'!B181)/366)</f>
        <v>1.0046584699453551</v>
      </c>
      <c r="E182" s="15">
        <f t="shared" ca="1" si="18"/>
        <v>0</v>
      </c>
      <c r="F182" s="15">
        <f t="shared" ca="1" si="19"/>
        <v>0</v>
      </c>
      <c r="G182">
        <f ca="1">IF(E182=1,(1+(('Symulacja Pożyczka'!$B$5+'Symulacja Pożyczka'!$C$19)/100)*(((Arkusz1!B182-DATE(YEAR(B182),1,1)+1)/365)+((DATE(YEAR(B181),12,31)-Arkusz1!B181)/366))),IF(F182=1,(1+(('Symulacja Pożyczka'!$B$5+'Symulacja Pożyczka'!$C$19)/100)*(((Arkusz1!B182-DATE(YEAR(B182),1,1)+1)/366)+((DATE(YEAR(B181),12,31)-Arkusz1!B181)/365))),0))</f>
        <v>0</v>
      </c>
      <c r="H182">
        <f t="shared" ca="1" si="20"/>
        <v>0</v>
      </c>
      <c r="I182">
        <f t="shared" ca="1" si="21"/>
        <v>1.0046712328767122</v>
      </c>
      <c r="J182">
        <f t="shared" ca="1" si="22"/>
        <v>1.0046712328767122</v>
      </c>
      <c r="K182">
        <f ca="1">PRODUCT($J$3:J182)</f>
        <v>2.2731379324694156</v>
      </c>
      <c r="L182">
        <f t="shared" ca="1" si="23"/>
        <v>0.43992051063687693</v>
      </c>
      <c r="M182">
        <f ca="1">SUM($L$3:L182)</f>
        <v>122.64972505196825</v>
      </c>
      <c r="O182">
        <f ca="1">(Q181*'Arkusz1 (+3)'!J182)-Q181</f>
        <v>-4204.7775688605616</v>
      </c>
      <c r="P182" s="16">
        <f t="shared" ca="1" si="24"/>
        <v>17524.831075209557</v>
      </c>
      <c r="Q182" s="17">
        <f t="shared" ca="1" si="25"/>
        <v>-917667.82968761399</v>
      </c>
    </row>
  </sheetData>
  <pageMargins left="0.7" right="0.7" top="0.75" bottom="0.75" header="0.3" footer="0.3"/>
  <pageSetup paperSize="9" orientation="portrait" horizontalDpi="300"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Arkusz35"/>
  <dimension ref="A1:Q182"/>
  <sheetViews>
    <sheetView topLeftCell="F1" workbookViewId="0">
      <pane ySplit="1" topLeftCell="A2" activePane="bottomLeft" state="frozen"/>
      <selection pane="bottomLeft" activeCell="O3" sqref="O3"/>
    </sheetView>
  </sheetViews>
  <sheetFormatPr defaultRowHeight="14.5" x14ac:dyDescent="0.35"/>
  <cols>
    <col min="1" max="1" width="4" bestFit="1" customWidth="1"/>
    <col min="2" max="2" width="16.1796875" customWidth="1"/>
    <col min="3" max="3" width="16.1796875" style="15" customWidth="1"/>
    <col min="4" max="11" width="16.1796875" customWidth="1"/>
    <col min="12" max="12" width="17.453125" customWidth="1"/>
    <col min="13" max="13" width="12.1796875" customWidth="1"/>
    <col min="15" max="15" width="15.1796875" customWidth="1"/>
    <col min="16" max="16" width="16.81640625" customWidth="1"/>
    <col min="17" max="17" width="16.1796875" customWidth="1"/>
  </cols>
  <sheetData>
    <row r="1" spans="1:17" x14ac:dyDescent="0.35">
      <c r="A1" s="1" t="s">
        <v>6</v>
      </c>
      <c r="B1" s="2"/>
      <c r="C1" s="3" t="s">
        <v>7</v>
      </c>
      <c r="D1" s="2" t="s">
        <v>8</v>
      </c>
      <c r="E1" s="2" t="s">
        <v>9</v>
      </c>
      <c r="F1" s="2" t="s">
        <v>10</v>
      </c>
      <c r="G1" s="2" t="s">
        <v>11</v>
      </c>
      <c r="H1" s="2" t="s">
        <v>12</v>
      </c>
      <c r="I1" s="2" t="s">
        <v>13</v>
      </c>
      <c r="J1" s="2" t="s">
        <v>14</v>
      </c>
      <c r="K1" s="2" t="s">
        <v>15</v>
      </c>
      <c r="L1" s="4" t="s">
        <v>16</v>
      </c>
      <c r="M1" s="5" t="s">
        <v>17</v>
      </c>
      <c r="N1" s="4" t="s">
        <v>18</v>
      </c>
      <c r="O1" s="6" t="s">
        <v>19</v>
      </c>
      <c r="P1" s="7" t="s">
        <v>20</v>
      </c>
      <c r="Q1" s="7" t="s">
        <v>21</v>
      </c>
    </row>
    <row r="2" spans="1:17" x14ac:dyDescent="0.35">
      <c r="A2" s="8">
        <v>0</v>
      </c>
      <c r="B2" s="9">
        <f ca="1">'Symulacja Pożyczka'!B10</f>
        <v>46083</v>
      </c>
      <c r="C2" s="10"/>
      <c r="D2" s="9"/>
      <c r="E2" s="9"/>
      <c r="F2" s="9"/>
      <c r="G2" s="11"/>
      <c r="H2" s="11"/>
      <c r="I2" s="11"/>
      <c r="J2" s="11"/>
      <c r="K2" s="11"/>
      <c r="L2" s="7"/>
      <c r="M2" s="12"/>
      <c r="N2" s="13">
        <f ca="1">'Symulacja Pożyczka'!B3/VLOOKUP('Symulacja Pożyczka'!B4,'Arkusz1 (+5)'!$A$1:$O$182,13,1)</f>
        <v>14557.600724632557</v>
      </c>
      <c r="O2" s="7"/>
    </row>
    <row r="3" spans="1:17" x14ac:dyDescent="0.35">
      <c r="A3">
        <v>1</v>
      </c>
      <c r="B3" s="14">
        <f ca="1">'Symulacja Pożyczka'!B11</f>
        <v>46098</v>
      </c>
      <c r="C3" s="15">
        <f ca="1">(1+(('Symulacja Pożyczka'!$B$5+'Symulacja Pożyczka'!$C$20)/100)*('Arkusz1 (+5)'!B3-'Arkusz1 (+5)'!B2)/365)</f>
        <v>1.0030821917808219</v>
      </c>
      <c r="D3" s="15">
        <f ca="1">(1+(('Symulacja Pożyczka'!$B$5+'Symulacja Pożyczka'!$C$20)/100)*('Arkusz1 (+5)'!B3-'Arkusz1 (+5)'!B2)/366)</f>
        <v>1.0030737704918034</v>
      </c>
      <c r="E3" s="15">
        <f ca="1">IF(AND(MOD(YEAR(B2),4)=0,MOD(YEAR(B3),4)&lt;&gt;0),1,0)</f>
        <v>0</v>
      </c>
      <c r="F3" s="15">
        <f ca="1">IF(AND(MOD(YEAR(B3),4)=0,MOD(YEAR(B2),4)&lt;&gt;0),1,0)</f>
        <v>0</v>
      </c>
      <c r="G3">
        <f ca="1">IF(E3=1,(1+(('Symulacja Pożyczka'!$B$5+'Symulacja Pożyczka'!$C$20)/100)*(((Arkusz1!B3-DATE(YEAR(B3),1,1)+1)/365)+((DATE(YEAR(B2),12,31)-Arkusz1!B2)/366))),IF(F3=1,(1+(('Symulacja Pożyczka'!$B$5+'Symulacja Pożyczka'!$C$20)/100)*(((Arkusz1!B3-DATE(YEAR(B3),1,1)+1)/366)+((DATE(YEAR(B2),12,31)-Arkusz1!B2)/365))),0))</f>
        <v>0</v>
      </c>
      <c r="H3">
        <f ca="1">IF(MOD(YEAR(B3),4)=0,1,0)</f>
        <v>0</v>
      </c>
      <c r="I3">
        <f ca="1">IF(H3=0,C3,IF(H3=1,D3,"blad"))</f>
        <v>1.0030821917808219</v>
      </c>
      <c r="J3">
        <f ca="1">IF(OR(E3=1,F3=1),G3,I3)</f>
        <v>1.0030821917808219</v>
      </c>
      <c r="K3">
        <f ca="1">J3</f>
        <v>1.0030821917808219</v>
      </c>
      <c r="L3">
        <f ca="1">1/K3</f>
        <v>0.99692727893479005</v>
      </c>
      <c r="O3">
        <f ca="1">('Symulacja Pożyczka'!$B$3*'Arkusz1 (+5)'!J3)-'Symulacja Pożyczka'!$B$3</f>
        <v>3791.095890410943</v>
      </c>
      <c r="P3" s="16">
        <f ca="1">$N$2-O3</f>
        <v>10766.504834221614</v>
      </c>
      <c r="Q3" s="17">
        <f ca="1">'Symulacja Pożyczka'!B3-P3</f>
        <v>1219233.4951657783</v>
      </c>
    </row>
    <row r="4" spans="1:17" x14ac:dyDescent="0.35">
      <c r="A4">
        <v>2</v>
      </c>
      <c r="B4" s="14">
        <f ca="1">DATE(YEAR((B3)),MONTH((B3))+1,IF(AND(DAY(B3)&gt;28,MONTH((B3))+1=2),IF(MOD(YEAR(B3),4)=0,29,28),DAY(B3)))</f>
        <v>46129</v>
      </c>
      <c r="C4" s="15">
        <f ca="1">(1+(('Symulacja Pożyczka'!$B$5+'Symulacja Pożyczka'!$C$20)/100)*('Arkusz1 (+5)'!B4-'Arkusz1 (+5)'!B3)/365)</f>
        <v>1.0063698630136986</v>
      </c>
      <c r="D4" s="15">
        <f ca="1">(1+(('Symulacja Pożyczka'!$B$5+'Symulacja Pożyczka'!$C$20)/100)*('Arkusz1 (+5)'!B4-'Arkusz1 (+5)'!B3)/366)</f>
        <v>1.0063524590163935</v>
      </c>
      <c r="E4" s="15">
        <f t="shared" ref="E4:E67" ca="1" si="0">IF(AND(MOD(YEAR(B3),4)=0,MOD(YEAR(B4),4)&lt;&gt;0),1,0)</f>
        <v>0</v>
      </c>
      <c r="F4" s="15">
        <f t="shared" ref="F4:F67" ca="1" si="1">IF(AND(MOD(YEAR(B4),4)=0,MOD(YEAR(B3),4)&lt;&gt;0),1,0)</f>
        <v>0</v>
      </c>
      <c r="G4">
        <f ca="1">IF(E4=1,(1+(('Symulacja Pożyczka'!$B$5+'Symulacja Pożyczka'!$C$20)/100)*(((Arkusz1!B4-DATE(YEAR(B4),1,1)+1)/365)+((DATE(YEAR(B3),12,31)-Arkusz1!B3)/366))),IF(F4=1,(1+(('Symulacja Pożyczka'!$B$5+'Symulacja Pożyczka'!$C$20)/100)*(((Arkusz1!B4-DATE(YEAR(B4),1,1)+1)/366)+((DATE(YEAR(B3),12,31)-Arkusz1!B3)/365))),0))</f>
        <v>0</v>
      </c>
      <c r="H4">
        <f t="shared" ref="H4:H67" ca="1" si="2">IF(MOD(YEAR(B4),4)=0,1,0)</f>
        <v>0</v>
      </c>
      <c r="I4">
        <f t="shared" ref="I4:I67" ca="1" si="3">IF(H4=0,C4,IF(H4=1,D4,"blad"))</f>
        <v>1.0063698630136986</v>
      </c>
      <c r="J4">
        <f t="shared" ref="J4:J67" ca="1" si="4">IF(OR(E4=1,F4=1),G4,I4)</f>
        <v>1.0063698630136986</v>
      </c>
      <c r="K4">
        <f ca="1">PRODUCT($J$3:J4)</f>
        <v>1.0094716879339463</v>
      </c>
      <c r="L4">
        <f t="shared" ref="L4:L67" ca="1" si="5">1/K4</f>
        <v>0.99061718317892433</v>
      </c>
      <c r="M4">
        <f ca="1">L3+L4</f>
        <v>1.9875444621137144</v>
      </c>
      <c r="O4">
        <f ca="1">(Q3*'Arkusz1 (+5)'!J4)-Q3</f>
        <v>7766.3503459189087</v>
      </c>
      <c r="P4" s="16">
        <f ca="1">$N$2-O4</f>
        <v>6791.2503787136484</v>
      </c>
      <c r="Q4" s="17">
        <f ca="1">Q3-P4</f>
        <v>1212442.2447870646</v>
      </c>
    </row>
    <row r="5" spans="1:17" x14ac:dyDescent="0.35">
      <c r="A5">
        <v>3</v>
      </c>
      <c r="B5" s="14">
        <f ca="1">DATE(YEAR((B4)),MONTH((B4))+1,IF(AND(DAY(B4)&gt;28,MONTH((B4))+1=2),IF(MOD(YEAR(B4),4)=0,29,28),IF(AND(OR(DAY(B4)=28,DAY(B4)=29),MONTH((B4))=2),DAY(B3),DAY(B4))))</f>
        <v>46159</v>
      </c>
      <c r="C5" s="15">
        <f ca="1">(1+(('Symulacja Pożyczka'!$B$5+'Symulacja Pożyczka'!$C$20)/100)*('Arkusz1 (+5)'!B5-'Arkusz1 (+5)'!B4)/365)</f>
        <v>1.0061643835616438</v>
      </c>
      <c r="D5" s="15">
        <f ca="1">(1+(('Symulacja Pożyczka'!$B$5+'Symulacja Pożyczka'!$C$20)/100)*('Arkusz1 (+5)'!B5-'Arkusz1 (+5)'!B4)/366)</f>
        <v>1.0061475409836065</v>
      </c>
      <c r="E5" s="15">
        <f t="shared" ca="1" si="0"/>
        <v>0</v>
      </c>
      <c r="F5" s="15">
        <f t="shared" ca="1" si="1"/>
        <v>0</v>
      </c>
      <c r="G5">
        <f ca="1">IF(E5=1,(1+(('Symulacja Pożyczka'!$B$5+'Symulacja Pożyczka'!$C$20)/100)*(((Arkusz1!B5-DATE(YEAR(B5),1,1)+1)/365)+((DATE(YEAR(B4),12,31)-Arkusz1!B4)/366))),IF(F5=1,(1+(('Symulacja Pożyczka'!$B$5+'Symulacja Pożyczka'!$C$20)/100)*(((Arkusz1!B5-DATE(YEAR(B5),1,1)+1)/366)+((DATE(YEAR(B4),12,31)-Arkusz1!B4)/365))),0))</f>
        <v>0</v>
      </c>
      <c r="H5">
        <f t="shared" ca="1" si="2"/>
        <v>0</v>
      </c>
      <c r="I5">
        <f t="shared" ca="1" si="3"/>
        <v>1.0061643835616438</v>
      </c>
      <c r="J5">
        <f t="shared" ca="1" si="4"/>
        <v>1.0061643835616438</v>
      </c>
      <c r="K5">
        <f ca="1">PRODUCT($J$3:J5)</f>
        <v>1.0156944586129912</v>
      </c>
      <c r="L5">
        <f t="shared" ca="1" si="5"/>
        <v>0.98454805135549994</v>
      </c>
      <c r="M5">
        <f ca="1">SUM($L$3:L5)</f>
        <v>2.9720925134692142</v>
      </c>
      <c r="O5">
        <f ca="1">(Q4*'Arkusz1 (+5)'!J5)-Q4</f>
        <v>7473.959043208044</v>
      </c>
      <c r="P5" s="16">
        <f t="shared" ref="P5:P68" ca="1" si="6">$N$2-O5</f>
        <v>7083.6416814245131</v>
      </c>
      <c r="Q5" s="17">
        <f t="shared" ref="Q5:Q68" ca="1" si="7">Q4-P5</f>
        <v>1205358.60310564</v>
      </c>
    </row>
    <row r="6" spans="1:17" x14ac:dyDescent="0.35">
      <c r="A6">
        <v>4</v>
      </c>
      <c r="B6" s="14">
        <f t="shared" ref="B6:B69" ca="1" si="8">DATE(YEAR((B5)),MONTH((B5))+1,IF(AND(DAY(B5)&gt;28,MONTH((B5))+1=2),IF(MOD(YEAR(B5),4)=0,29,28),IF(AND(OR(DAY(B5)=28,DAY(B5)=29),MONTH((B5))=2),DAY(B4),DAY(B5))))</f>
        <v>46190</v>
      </c>
      <c r="C6" s="15">
        <f ca="1">(1+(('Symulacja Pożyczka'!$B$5+'Symulacja Pożyczka'!$C$20)/100)*('Arkusz1 (+5)'!B6-'Arkusz1 (+5)'!B5)/365)</f>
        <v>1.0063698630136986</v>
      </c>
      <c r="D6" s="15">
        <f ca="1">(1+(('Symulacja Pożyczka'!$B$5+'Symulacja Pożyczka'!$C$20)/100)*('Arkusz1 (+5)'!B6-'Arkusz1 (+5)'!B5)/366)</f>
        <v>1.0063524590163935</v>
      </c>
      <c r="E6" s="15">
        <f t="shared" ca="1" si="0"/>
        <v>0</v>
      </c>
      <c r="F6" s="15">
        <f t="shared" ca="1" si="1"/>
        <v>0</v>
      </c>
      <c r="G6">
        <f ca="1">IF(E6=1,(1+(('Symulacja Pożyczka'!$B$5+'Symulacja Pożyczka'!$C$20)/100)*(((Arkusz1!B6-DATE(YEAR(B6),1,1)+1)/365)+((DATE(YEAR(B5),12,31)-Arkusz1!B5)/366))),IF(F6=1,(1+(('Symulacja Pożyczka'!$B$5+'Symulacja Pożyczka'!$C$20)/100)*(((Arkusz1!B6-DATE(YEAR(B6),1,1)+1)/366)+((DATE(YEAR(B5),12,31)-Arkusz1!B5)/365))),0))</f>
        <v>0</v>
      </c>
      <c r="H6">
        <f t="shared" ca="1" si="2"/>
        <v>0</v>
      </c>
      <c r="I6">
        <f t="shared" ca="1" si="3"/>
        <v>1.0063698630136986</v>
      </c>
      <c r="J6">
        <f t="shared" ca="1" si="4"/>
        <v>1.0063698630136986</v>
      </c>
      <c r="K6">
        <f ca="1">PRODUCT($J$3:J6)</f>
        <v>1.0221642931781287</v>
      </c>
      <c r="L6">
        <f t="shared" ca="1" si="5"/>
        <v>0.97831631047371537</v>
      </c>
      <c r="M6">
        <f ca="1">SUM($L$3:L6)</f>
        <v>3.9504088239429294</v>
      </c>
      <c r="O6">
        <f ca="1">(Q5*'Arkusz1 (+5)'!J6)-Q5</f>
        <v>7677.9691841660533</v>
      </c>
      <c r="P6" s="16">
        <f t="shared" ca="1" si="6"/>
        <v>6879.6315404665038</v>
      </c>
      <c r="Q6" s="17">
        <f t="shared" ca="1" si="7"/>
        <v>1198478.9715651735</v>
      </c>
    </row>
    <row r="7" spans="1:17" x14ac:dyDescent="0.35">
      <c r="A7">
        <v>5</v>
      </c>
      <c r="B7" s="14">
        <f t="shared" ca="1" si="8"/>
        <v>46220</v>
      </c>
      <c r="C7" s="15">
        <f ca="1">(1+(('Symulacja Pożyczka'!$B$5+'Symulacja Pożyczka'!$C$20)/100)*('Arkusz1 (+5)'!B7-'Arkusz1 (+5)'!B6)/365)</f>
        <v>1.0061643835616438</v>
      </c>
      <c r="D7" s="15">
        <f ca="1">(1+(('Symulacja Pożyczka'!$B$5+'Symulacja Pożyczka'!$C$20)/100)*('Arkusz1 (+5)'!B7-'Arkusz1 (+5)'!B6)/366)</f>
        <v>1.0061475409836065</v>
      </c>
      <c r="E7" s="15">
        <f t="shared" ca="1" si="0"/>
        <v>0</v>
      </c>
      <c r="F7" s="15">
        <f t="shared" ca="1" si="1"/>
        <v>0</v>
      </c>
      <c r="G7">
        <f ca="1">IF(E7=1,(1+(('Symulacja Pożyczka'!$B$5+'Symulacja Pożyczka'!$C$20)/100)*(((Arkusz1!B7-DATE(YEAR(B7),1,1)+1)/365)+((DATE(YEAR(B6),12,31)-Arkusz1!B6)/366))),IF(F7=1,(1+(('Symulacja Pożyczka'!$B$5+'Symulacja Pożyczka'!$C$20)/100)*(((Arkusz1!B7-DATE(YEAR(B7),1,1)+1)/366)+((DATE(YEAR(B6),12,31)-Arkusz1!B6)/365))),0))</f>
        <v>0</v>
      </c>
      <c r="H7">
        <f t="shared" ca="1" si="2"/>
        <v>0</v>
      </c>
      <c r="I7">
        <f t="shared" ca="1" si="3"/>
        <v>1.0061643835616438</v>
      </c>
      <c r="J7">
        <f t="shared" ca="1" si="4"/>
        <v>1.0061643835616438</v>
      </c>
      <c r="K7">
        <f ca="1">PRODUCT($J$3:J7)</f>
        <v>1.0284653059442952</v>
      </c>
      <c r="L7">
        <f t="shared" ca="1" si="5"/>
        <v>0.97232254138299834</v>
      </c>
      <c r="M7">
        <f ca="1">SUM($L$3:L7)</f>
        <v>4.9227313653259275</v>
      </c>
      <c r="O7">
        <f ca="1">(Q6*'Arkusz1 (+5)'!J7)-Q6</f>
        <v>7387.8840712921228</v>
      </c>
      <c r="P7" s="16">
        <f t="shared" ca="1" si="6"/>
        <v>7169.7166533404343</v>
      </c>
      <c r="Q7" s="17">
        <f t="shared" ca="1" si="7"/>
        <v>1191309.254911833</v>
      </c>
    </row>
    <row r="8" spans="1:17" x14ac:dyDescent="0.35">
      <c r="A8">
        <v>6</v>
      </c>
      <c r="B8" s="14">
        <f t="shared" ca="1" si="8"/>
        <v>46251</v>
      </c>
      <c r="C8" s="15">
        <f ca="1">(1+(('Symulacja Pożyczka'!$B$5+'Symulacja Pożyczka'!$C$20)/100)*('Arkusz1 (+5)'!B8-'Arkusz1 (+5)'!B7)/365)</f>
        <v>1.0063698630136986</v>
      </c>
      <c r="D8" s="15">
        <f ca="1">(1+(('Symulacja Pożyczka'!$B$5+'Symulacja Pożyczka'!$C$20)/100)*('Arkusz1 (+5)'!B8-'Arkusz1 (+5)'!B7)/366)</f>
        <v>1.0063524590163935</v>
      </c>
      <c r="E8" s="15">
        <f t="shared" ca="1" si="0"/>
        <v>0</v>
      </c>
      <c r="F8" s="15">
        <f t="shared" ca="1" si="1"/>
        <v>0</v>
      </c>
      <c r="G8">
        <f ca="1">IF(E8=1,(1+(('Symulacja Pożyczka'!$B$5+'Symulacja Pożyczka'!$C$20)/100)*(((Arkusz1!B8-DATE(YEAR(B8),1,1)+1)/365)+((DATE(YEAR(B7),12,31)-Arkusz1!B7)/366))),IF(F8=1,(1+(('Symulacja Pożyczka'!$B$5+'Symulacja Pożyczka'!$C$20)/100)*(((Arkusz1!B8-DATE(YEAR(B8),1,1)+1)/366)+((DATE(YEAR(B7),12,31)-Arkusz1!B7)/365))),0))</f>
        <v>0</v>
      </c>
      <c r="H8">
        <f t="shared" ca="1" si="2"/>
        <v>0</v>
      </c>
      <c r="I8">
        <f t="shared" ca="1" si="3"/>
        <v>1.0063698630136986</v>
      </c>
      <c r="J8">
        <f t="shared" ca="1" si="4"/>
        <v>1.0063698630136986</v>
      </c>
      <c r="K8">
        <f ca="1">PRODUCT($J$3:J8)</f>
        <v>1.035016489057502</v>
      </c>
      <c r="L8">
        <f t="shared" ca="1" si="5"/>
        <v>0.96616818241283442</v>
      </c>
      <c r="M8">
        <f ca="1">SUM($L$3:L8)</f>
        <v>5.8888995477387622</v>
      </c>
      <c r="O8">
        <f ca="1">(Q7*'Arkusz1 (+5)'!J8)-Q7</f>
        <v>7588.4767607396934</v>
      </c>
      <c r="P8" s="16">
        <f t="shared" ca="1" si="6"/>
        <v>6969.1239638928637</v>
      </c>
      <c r="Q8" s="17">
        <f t="shared" ca="1" si="7"/>
        <v>1184340.1309479401</v>
      </c>
    </row>
    <row r="9" spans="1:17" x14ac:dyDescent="0.35">
      <c r="A9">
        <v>7</v>
      </c>
      <c r="B9" s="14">
        <f t="shared" ca="1" si="8"/>
        <v>46282</v>
      </c>
      <c r="C9" s="15">
        <f ca="1">(1+(('Symulacja Pożyczka'!$B$5+'Symulacja Pożyczka'!$C$20)/100)*('Arkusz1 (+5)'!B9-'Arkusz1 (+5)'!B8)/365)</f>
        <v>1.0063698630136986</v>
      </c>
      <c r="D9" s="15">
        <f ca="1">(1+(('Symulacja Pożyczka'!$B$5+'Symulacja Pożyczka'!$C$20)/100)*('Arkusz1 (+5)'!B9-'Arkusz1 (+5)'!B8)/366)</f>
        <v>1.0063524590163935</v>
      </c>
      <c r="E9" s="15">
        <f t="shared" ca="1" si="0"/>
        <v>0</v>
      </c>
      <c r="F9" s="15">
        <f t="shared" ca="1" si="1"/>
        <v>0</v>
      </c>
      <c r="G9">
        <f ca="1">IF(E9=1,(1+(('Symulacja Pożyczka'!$B$5+'Symulacja Pożyczka'!$C$20)/100)*(((Arkusz1!B9-DATE(YEAR(B9),1,1)+1)/365)+((DATE(YEAR(B8),12,31)-Arkusz1!B8)/366))),IF(F9=1,(1+(('Symulacja Pożyczka'!$B$5+'Symulacja Pożyczka'!$C$20)/100)*(((Arkusz1!B9-DATE(YEAR(B9),1,1)+1)/366)+((DATE(YEAR(B8),12,31)-Arkusz1!B8)/365))),0))</f>
        <v>0</v>
      </c>
      <c r="H9">
        <f t="shared" ca="1" si="2"/>
        <v>0</v>
      </c>
      <c r="I9">
        <f t="shared" ca="1" si="3"/>
        <v>1.0063698630136986</v>
      </c>
      <c r="J9">
        <f t="shared" ca="1" si="4"/>
        <v>1.0063698630136986</v>
      </c>
      <c r="K9">
        <f ca="1">PRODUCT($J$3:J9)</f>
        <v>1.0416094023097175</v>
      </c>
      <c r="L9">
        <f t="shared" ca="1" si="5"/>
        <v>0.96005277773275588</v>
      </c>
      <c r="M9">
        <f ca="1">SUM($L$3:L9)</f>
        <v>6.8489523254715179</v>
      </c>
      <c r="O9">
        <f ca="1">(Q8*'Arkusz1 (+5)'!J9)-Q8</f>
        <v>7544.0843957641628</v>
      </c>
      <c r="P9" s="16">
        <f t="shared" ca="1" si="6"/>
        <v>7013.5163288683943</v>
      </c>
      <c r="Q9" s="17">
        <f t="shared" ca="1" si="7"/>
        <v>1177326.6146190716</v>
      </c>
    </row>
    <row r="10" spans="1:17" x14ac:dyDescent="0.35">
      <c r="A10">
        <v>8</v>
      </c>
      <c r="B10" s="14">
        <f t="shared" ca="1" si="8"/>
        <v>46312</v>
      </c>
      <c r="C10" s="15">
        <f ca="1">(1+(('Symulacja Pożyczka'!$B$5+'Symulacja Pożyczka'!$C$20)/100)*('Arkusz1 (+5)'!B10-'Arkusz1 (+5)'!B9)/365)</f>
        <v>1.0061643835616438</v>
      </c>
      <c r="D10" s="15">
        <f ca="1">(1+(('Symulacja Pożyczka'!$B$5+'Symulacja Pożyczka'!$C$20)/100)*('Arkusz1 (+5)'!B10-'Arkusz1 (+5)'!B9)/366)</f>
        <v>1.0061475409836065</v>
      </c>
      <c r="E10" s="15">
        <f t="shared" ca="1" si="0"/>
        <v>0</v>
      </c>
      <c r="F10" s="15">
        <f t="shared" ca="1" si="1"/>
        <v>0</v>
      </c>
      <c r="G10">
        <f ca="1">IF(E10=1,(1+(('Symulacja Pożyczka'!$B$5+'Symulacja Pożyczka'!$C$20)/100)*(((Arkusz1!B10-DATE(YEAR(B10),1,1)+1)/365)+((DATE(YEAR(B9),12,31)-Arkusz1!B9)/366))),IF(F10=1,(1+(('Symulacja Pożyczka'!$B$5+'Symulacja Pożyczka'!$C$20)/100)*(((Arkusz1!B10-DATE(YEAR(B10),1,1)+1)/366)+((DATE(YEAR(B9),12,31)-Arkusz1!B9)/365))),0))</f>
        <v>0</v>
      </c>
      <c r="H10">
        <f t="shared" ca="1" si="2"/>
        <v>0</v>
      </c>
      <c r="I10">
        <f t="shared" ca="1" si="3"/>
        <v>1.0061643835616438</v>
      </c>
      <c r="J10">
        <f t="shared" ca="1" si="4"/>
        <v>1.0061643835616438</v>
      </c>
      <c r="K10">
        <f ca="1">PRODUCT($J$3:J10)</f>
        <v>1.0480302821869691</v>
      </c>
      <c r="L10">
        <f t="shared" ca="1" si="5"/>
        <v>0.95417090230757229</v>
      </c>
      <c r="M10">
        <f ca="1">SUM($L$3:L10)</f>
        <v>7.8031232277790901</v>
      </c>
      <c r="O10">
        <f ca="1">(Q9*'Arkusz1 (+5)'!J10)-Q9</f>
        <v>7257.4928298436571</v>
      </c>
      <c r="P10" s="16">
        <f t="shared" ca="1" si="6"/>
        <v>7300.1078947889</v>
      </c>
      <c r="Q10" s="17">
        <f t="shared" ca="1" si="7"/>
        <v>1170026.5067242826</v>
      </c>
    </row>
    <row r="11" spans="1:17" x14ac:dyDescent="0.35">
      <c r="A11">
        <v>9</v>
      </c>
      <c r="B11" s="14">
        <f t="shared" ca="1" si="8"/>
        <v>46343</v>
      </c>
      <c r="C11" s="15">
        <f ca="1">(1+(('Symulacja Pożyczka'!$B$5+'Symulacja Pożyczka'!$C$20)/100)*('Arkusz1 (+5)'!B11-'Arkusz1 (+5)'!B10)/365)</f>
        <v>1.0063698630136986</v>
      </c>
      <c r="D11" s="15">
        <f ca="1">(1+(('Symulacja Pożyczka'!$B$5+'Symulacja Pożyczka'!$C$20)/100)*('Arkusz1 (+5)'!B11-'Arkusz1 (+5)'!B10)/366)</f>
        <v>1.0063524590163935</v>
      </c>
      <c r="E11" s="15">
        <f t="shared" ca="1" si="0"/>
        <v>0</v>
      </c>
      <c r="F11" s="15">
        <f t="shared" ca="1" si="1"/>
        <v>0</v>
      </c>
      <c r="G11">
        <f ca="1">IF(E11=1,(1+(('Symulacja Pożyczka'!$B$5+'Symulacja Pożyczka'!$C$20)/100)*(((Arkusz1!B11-DATE(YEAR(B11),1,1)+1)/365)+((DATE(YEAR(B10),12,31)-Arkusz1!B10)/366))),IF(F11=1,(1+(('Symulacja Pożyczka'!$B$5+'Symulacja Pożyczka'!$C$20)/100)*(((Arkusz1!B11-DATE(YEAR(B11),1,1)+1)/366)+((DATE(YEAR(B10),12,31)-Arkusz1!B10)/365))),0))</f>
        <v>0</v>
      </c>
      <c r="H11">
        <f t="shared" ca="1" si="2"/>
        <v>0</v>
      </c>
      <c r="I11">
        <f t="shared" ca="1" si="3"/>
        <v>1.0063698630136986</v>
      </c>
      <c r="J11">
        <f t="shared" ca="1" si="4"/>
        <v>1.0063698630136986</v>
      </c>
      <c r="K11">
        <f ca="1">PRODUCT($J$3:J11)</f>
        <v>1.0547060915187081</v>
      </c>
      <c r="L11">
        <f t="shared" ca="1" si="5"/>
        <v>0.94813143494797225</v>
      </c>
      <c r="M11">
        <f ca="1">SUM($L$3:L11)</f>
        <v>8.751254662727062</v>
      </c>
      <c r="O11">
        <f ca="1">(Q10*'Arkusz1 (+5)'!J11)-Q10</f>
        <v>7452.9085702300072</v>
      </c>
      <c r="P11" s="16">
        <f t="shared" ca="1" si="6"/>
        <v>7104.6921544025499</v>
      </c>
      <c r="Q11" s="17">
        <f t="shared" ca="1" si="7"/>
        <v>1162921.81456988</v>
      </c>
    </row>
    <row r="12" spans="1:17" x14ac:dyDescent="0.35">
      <c r="A12">
        <v>10</v>
      </c>
      <c r="B12" s="14">
        <f t="shared" ca="1" si="8"/>
        <v>46373</v>
      </c>
      <c r="C12" s="15">
        <f ca="1">(1+(('Symulacja Pożyczka'!$B$5+'Symulacja Pożyczka'!$C$20)/100)*('Arkusz1 (+5)'!B12-'Arkusz1 (+5)'!B11)/365)</f>
        <v>1.0061643835616438</v>
      </c>
      <c r="D12" s="15">
        <f ca="1">(1+(('Symulacja Pożyczka'!$B$5+'Symulacja Pożyczka'!$C$20)/100)*('Arkusz1 (+5)'!B12-'Arkusz1 (+5)'!B11)/366)</f>
        <v>1.0061475409836065</v>
      </c>
      <c r="E12" s="15">
        <f t="shared" ca="1" si="0"/>
        <v>0</v>
      </c>
      <c r="F12" s="15">
        <f t="shared" ca="1" si="1"/>
        <v>0</v>
      </c>
      <c r="G12">
        <f ca="1">IF(E12=1,(1+(('Symulacja Pożyczka'!$B$5+'Symulacja Pożyczka'!$C$20)/100)*(((Arkusz1!B12-DATE(YEAR(B12),1,1)+1)/365)+((DATE(YEAR(B11),12,31)-Arkusz1!B11)/366))),IF(F12=1,(1+(('Symulacja Pożyczka'!$B$5+'Symulacja Pożyczka'!$C$20)/100)*(((Arkusz1!B12-DATE(YEAR(B12),1,1)+1)/366)+((DATE(YEAR(B11),12,31)-Arkusz1!B11)/365))),0))</f>
        <v>0</v>
      </c>
      <c r="H12">
        <f t="shared" ca="1" si="2"/>
        <v>0</v>
      </c>
      <c r="I12">
        <f t="shared" ca="1" si="3"/>
        <v>1.0061643835616438</v>
      </c>
      <c r="J12">
        <f t="shared" ca="1" si="4"/>
        <v>1.0061643835616438</v>
      </c>
      <c r="K12">
        <f ca="1">PRODUCT($J$3:J12)</f>
        <v>1.0612077044116317</v>
      </c>
      <c r="L12">
        <f t="shared" ca="1" si="5"/>
        <v>0.94232259702112953</v>
      </c>
      <c r="M12">
        <f ca="1">SUM($L$3:L12)</f>
        <v>9.6935772597481922</v>
      </c>
      <c r="O12">
        <f ca="1">(Q11*'Arkusz1 (+5)'!J12)-Q11</f>
        <v>7168.6961172115989</v>
      </c>
      <c r="P12" s="16">
        <f t="shared" ca="1" si="6"/>
        <v>7388.9046074209582</v>
      </c>
      <c r="Q12" s="17">
        <f t="shared" ca="1" si="7"/>
        <v>1155532.909962459</v>
      </c>
    </row>
    <row r="13" spans="1:17" x14ac:dyDescent="0.35">
      <c r="A13">
        <v>11</v>
      </c>
      <c r="B13" s="14">
        <f t="shared" ca="1" si="8"/>
        <v>46404</v>
      </c>
      <c r="C13" s="15">
        <f ca="1">(1+(('Symulacja Pożyczka'!$B$5+'Symulacja Pożyczka'!$C$20)/100)*('Arkusz1 (+5)'!B13-'Arkusz1 (+5)'!B12)/365)</f>
        <v>1.0063698630136986</v>
      </c>
      <c r="D13" s="15">
        <f ca="1">(1+(('Symulacja Pożyczka'!$B$5+'Symulacja Pożyczka'!$C$20)/100)*('Arkusz1 (+5)'!B13-'Arkusz1 (+5)'!B12)/366)</f>
        <v>1.0063524590163935</v>
      </c>
      <c r="E13" s="15">
        <f t="shared" ca="1" si="0"/>
        <v>0</v>
      </c>
      <c r="F13" s="15">
        <f t="shared" ca="1" si="1"/>
        <v>0</v>
      </c>
      <c r="G13">
        <f ca="1">IF(E13=1,(1+(('Symulacja Pożyczka'!$B$5+'Symulacja Pożyczka'!$C$20)/100)*(((Arkusz1!B13-DATE(YEAR(B13),1,1)+1)/365)+((DATE(YEAR(B12),12,31)-Arkusz1!B12)/366))),IF(F13=1,(1+(('Symulacja Pożyczka'!$B$5+'Symulacja Pożyczka'!$C$20)/100)*(((Arkusz1!B13-DATE(YEAR(B13),1,1)+1)/366)+((DATE(YEAR(B12),12,31)-Arkusz1!B12)/365))),0))</f>
        <v>0</v>
      </c>
      <c r="H13">
        <f t="shared" ca="1" si="2"/>
        <v>0</v>
      </c>
      <c r="I13">
        <f t="shared" ca="1" si="3"/>
        <v>1.0063698630136986</v>
      </c>
      <c r="J13">
        <f t="shared" ca="1" si="4"/>
        <v>1.0063698630136986</v>
      </c>
      <c r="K13">
        <f ca="1">PRODUCT($J$3:J13)</f>
        <v>1.0679674521178153</v>
      </c>
      <c r="L13">
        <f t="shared" ca="1" si="5"/>
        <v>0.93635812403923591</v>
      </c>
      <c r="M13">
        <f ca="1">SUM($L$3:L13)</f>
        <v>10.629935383787428</v>
      </c>
      <c r="O13">
        <f ca="1">(Q12*'Arkusz1 (+5)'!J13)-Q12</f>
        <v>7360.5863442814443</v>
      </c>
      <c r="P13" s="16">
        <f t="shared" ca="1" si="6"/>
        <v>7197.0143803511128</v>
      </c>
      <c r="Q13" s="17">
        <f t="shared" ca="1" si="7"/>
        <v>1148335.8955821078</v>
      </c>
    </row>
    <row r="14" spans="1:17" x14ac:dyDescent="0.35">
      <c r="A14">
        <v>12</v>
      </c>
      <c r="B14" s="14">
        <f t="shared" ca="1" si="8"/>
        <v>46435</v>
      </c>
      <c r="C14" s="15">
        <f ca="1">(1+(('Symulacja Pożyczka'!$B$5+'Symulacja Pożyczka'!$C$20)/100)*('Arkusz1 (+5)'!B14-'Arkusz1 (+5)'!B13)/365)</f>
        <v>1.0063698630136986</v>
      </c>
      <c r="D14" s="15">
        <f ca="1">(1+(('Symulacja Pożyczka'!$B$5+'Symulacja Pożyczka'!$C$20)/100)*('Arkusz1 (+5)'!B14-'Arkusz1 (+5)'!B13)/366)</f>
        <v>1.0063524590163935</v>
      </c>
      <c r="E14" s="15">
        <f t="shared" ca="1" si="0"/>
        <v>0</v>
      </c>
      <c r="F14" s="15">
        <f t="shared" ca="1" si="1"/>
        <v>0</v>
      </c>
      <c r="G14">
        <f ca="1">IF(E14=1,(1+(('Symulacja Pożyczka'!$B$5+'Symulacja Pożyczka'!$C$20)/100)*(((Arkusz1!B14-DATE(YEAR(B14),1,1)+1)/365)+((DATE(YEAR(B13),12,31)-Arkusz1!B13)/366))),IF(F14=1,(1+(('Symulacja Pożyczka'!$B$5+'Symulacja Pożyczka'!$C$20)/100)*(((Arkusz1!B14-DATE(YEAR(B14),1,1)+1)/366)+((DATE(YEAR(B13),12,31)-Arkusz1!B13)/365))),0))</f>
        <v>0</v>
      </c>
      <c r="H14">
        <f t="shared" ca="1" si="2"/>
        <v>0</v>
      </c>
      <c r="I14">
        <f t="shared" ca="1" si="3"/>
        <v>1.0063698630136986</v>
      </c>
      <c r="J14">
        <f t="shared" ca="1" si="4"/>
        <v>1.0063698630136986</v>
      </c>
      <c r="K14">
        <f ca="1">PRODUCT($J$3:J14)</f>
        <v>1.0747702584908945</v>
      </c>
      <c r="L14">
        <f t="shared" ca="1" si="5"/>
        <v>0.93043140345558051</v>
      </c>
      <c r="M14">
        <f ca="1">SUM($L$3:L14)</f>
        <v>11.560366787243009</v>
      </c>
      <c r="O14">
        <f ca="1">(Q13*'Arkusz1 (+5)'!J14)-Q13</f>
        <v>7314.7423485708423</v>
      </c>
      <c r="P14" s="16">
        <f t="shared" ca="1" si="6"/>
        <v>7242.8583760617148</v>
      </c>
      <c r="Q14" s="17">
        <f t="shared" ca="1" si="7"/>
        <v>1141093.0372060461</v>
      </c>
    </row>
    <row r="15" spans="1:17" x14ac:dyDescent="0.35">
      <c r="A15">
        <v>13</v>
      </c>
      <c r="B15" s="14">
        <f t="shared" ca="1" si="8"/>
        <v>46463</v>
      </c>
      <c r="C15" s="15">
        <f ca="1">(1+(('Symulacja Pożyczka'!$B$5+'Symulacja Pożyczka'!$C$20)/100)*('Arkusz1 (+5)'!B15-'Arkusz1 (+5)'!B14)/365)</f>
        <v>1.0057534246575341</v>
      </c>
      <c r="D15" s="15">
        <f ca="1">(1+(('Symulacja Pożyczka'!$B$5+'Symulacja Pożyczka'!$C$20)/100)*('Arkusz1 (+5)'!B15-'Arkusz1 (+5)'!B14)/366)</f>
        <v>1.0057377049180327</v>
      </c>
      <c r="E15" s="15">
        <f t="shared" ca="1" si="0"/>
        <v>0</v>
      </c>
      <c r="F15" s="15">
        <f t="shared" ca="1" si="1"/>
        <v>0</v>
      </c>
      <c r="G15">
        <f ca="1">IF(E15=1,(1+(('Symulacja Pożyczka'!$B$5+'Symulacja Pożyczka'!$C$20)/100)*(((Arkusz1!B15-DATE(YEAR(B15),1,1)+1)/365)+((DATE(YEAR(B14),12,31)-Arkusz1!B14)/366))),IF(F15=1,(1+(('Symulacja Pożyczka'!$B$5+'Symulacja Pożyczka'!$C$20)/100)*(((Arkusz1!B15-DATE(YEAR(B15),1,1)+1)/366)+((DATE(YEAR(B14),12,31)-Arkusz1!B14)/365))),0))</f>
        <v>0</v>
      </c>
      <c r="H15">
        <f t="shared" ca="1" si="2"/>
        <v>0</v>
      </c>
      <c r="I15">
        <f t="shared" ca="1" si="3"/>
        <v>1.0057534246575341</v>
      </c>
      <c r="J15">
        <f t="shared" ca="1" si="4"/>
        <v>1.0057534246575341</v>
      </c>
      <c r="K15">
        <f ca="1">PRODUCT($J$3:J15)</f>
        <v>1.0809538681972803</v>
      </c>
      <c r="L15">
        <f t="shared" ca="1" si="5"/>
        <v>0.92510885933338849</v>
      </c>
      <c r="M15">
        <f ca="1">SUM($L$3:L15)</f>
        <v>12.485475646576397</v>
      </c>
      <c r="O15">
        <f ca="1">(Q14*'Arkusz1 (+5)'!J15)-Q14</f>
        <v>6565.1928168018349</v>
      </c>
      <c r="P15" s="16">
        <f t="shared" ca="1" si="6"/>
        <v>7992.4079078307223</v>
      </c>
      <c r="Q15" s="17">
        <f t="shared" ca="1" si="7"/>
        <v>1133100.6292982153</v>
      </c>
    </row>
    <row r="16" spans="1:17" x14ac:dyDescent="0.35">
      <c r="A16">
        <v>14</v>
      </c>
      <c r="B16" s="14">
        <f t="shared" ca="1" si="8"/>
        <v>46494</v>
      </c>
      <c r="C16" s="15">
        <f ca="1">(1+(('Symulacja Pożyczka'!$B$5+'Symulacja Pożyczka'!$C$20)/100)*('Arkusz1 (+5)'!B16-'Arkusz1 (+5)'!B15)/365)</f>
        <v>1.0063698630136986</v>
      </c>
      <c r="D16" s="15">
        <f ca="1">(1+(('Symulacja Pożyczka'!$B$5+'Symulacja Pożyczka'!$C$20)/100)*('Arkusz1 (+5)'!B16-'Arkusz1 (+5)'!B15)/366)</f>
        <v>1.0063524590163935</v>
      </c>
      <c r="E16" s="15">
        <f t="shared" ca="1" si="0"/>
        <v>0</v>
      </c>
      <c r="F16" s="15">
        <f t="shared" ca="1" si="1"/>
        <v>0</v>
      </c>
      <c r="G16">
        <f ca="1">IF(E16=1,(1+(('Symulacja Pożyczka'!$B$5+'Symulacja Pożyczka'!$C$20)/100)*(((Arkusz1!B16-DATE(YEAR(B16),1,1)+1)/365)+((DATE(YEAR(B15),12,31)-Arkusz1!B15)/366))),IF(F16=1,(1+(('Symulacja Pożyczka'!$B$5+'Symulacja Pożyczka'!$C$20)/100)*(((Arkusz1!B16-DATE(YEAR(B16),1,1)+1)/366)+((DATE(YEAR(B15),12,31)-Arkusz1!B15)/365))),0))</f>
        <v>0</v>
      </c>
      <c r="H16">
        <f t="shared" ca="1" si="2"/>
        <v>0</v>
      </c>
      <c r="I16">
        <f t="shared" ca="1" si="3"/>
        <v>1.0063698630136986</v>
      </c>
      <c r="J16">
        <f t="shared" ca="1" si="4"/>
        <v>1.0063698630136986</v>
      </c>
      <c r="K16">
        <f ca="1">PRODUCT($J$3:J16)</f>
        <v>1.0878393962618247</v>
      </c>
      <c r="L16">
        <f t="shared" ca="1" si="5"/>
        <v>0.91925334147331872</v>
      </c>
      <c r="M16">
        <f ca="1">SUM($L$3:L16)</f>
        <v>13.404728988049715</v>
      </c>
      <c r="O16">
        <f ca="1">(Q15*'Arkusz1 (+5)'!J16)-Q15</f>
        <v>7217.6957893653307</v>
      </c>
      <c r="P16" s="16">
        <f t="shared" ca="1" si="6"/>
        <v>7339.9049352672264</v>
      </c>
      <c r="Q16" s="17">
        <f t="shared" ca="1" si="7"/>
        <v>1125760.724362948</v>
      </c>
    </row>
    <row r="17" spans="1:17" x14ac:dyDescent="0.35">
      <c r="A17">
        <v>15</v>
      </c>
      <c r="B17" s="14">
        <f t="shared" ca="1" si="8"/>
        <v>46524</v>
      </c>
      <c r="C17" s="15">
        <f ca="1">(1+(('Symulacja Pożyczka'!$B$5+'Symulacja Pożyczka'!$C$20)/100)*('Arkusz1 (+5)'!B17-'Arkusz1 (+5)'!B16)/365)</f>
        <v>1.0061643835616438</v>
      </c>
      <c r="D17" s="15">
        <f ca="1">(1+(('Symulacja Pożyczka'!$B$5+'Symulacja Pożyczka'!$C$20)/100)*('Arkusz1 (+5)'!B17-'Arkusz1 (+5)'!B16)/366)</f>
        <v>1.0061475409836065</v>
      </c>
      <c r="E17" s="15">
        <f t="shared" ca="1" si="0"/>
        <v>0</v>
      </c>
      <c r="F17" s="15">
        <f t="shared" ca="1" si="1"/>
        <v>0</v>
      </c>
      <c r="G17">
        <f ca="1">IF(E17=1,(1+(('Symulacja Pożyczka'!$B$5+'Symulacja Pożyczka'!$C$20)/100)*(((Arkusz1!B17-DATE(YEAR(B17),1,1)+1)/365)+((DATE(YEAR(B16),12,31)-Arkusz1!B16)/366))),IF(F17=1,(1+(('Symulacja Pożyczka'!$B$5+'Symulacja Pożyczka'!$C$20)/100)*(((Arkusz1!B17-DATE(YEAR(B17),1,1)+1)/366)+((DATE(YEAR(B16),12,31)-Arkusz1!B16)/365))),0))</f>
        <v>0</v>
      </c>
      <c r="H17">
        <f t="shared" ca="1" si="2"/>
        <v>0</v>
      </c>
      <c r="I17">
        <f t="shared" ca="1" si="3"/>
        <v>1.0061643835616438</v>
      </c>
      <c r="J17">
        <f t="shared" ca="1" si="4"/>
        <v>1.0061643835616438</v>
      </c>
      <c r="K17">
        <f ca="1">PRODUCT($J$3:J17)</f>
        <v>1.0945452555538497</v>
      </c>
      <c r="L17">
        <f t="shared" ca="1" si="5"/>
        <v>0.91362142855755291</v>
      </c>
      <c r="M17">
        <f ca="1">SUM($L$3:L17)</f>
        <v>14.318350416607268</v>
      </c>
      <c r="O17">
        <f ca="1">(Q16*'Arkusz1 (+5)'!J17)-Q16</f>
        <v>6939.620903607225</v>
      </c>
      <c r="P17" s="16">
        <f t="shared" ca="1" si="6"/>
        <v>7617.9798210253321</v>
      </c>
      <c r="Q17" s="17">
        <f t="shared" ca="1" si="7"/>
        <v>1118142.7445419226</v>
      </c>
    </row>
    <row r="18" spans="1:17" x14ac:dyDescent="0.35">
      <c r="A18">
        <v>16</v>
      </c>
      <c r="B18" s="14">
        <f t="shared" ca="1" si="8"/>
        <v>46555</v>
      </c>
      <c r="C18" s="15">
        <f ca="1">(1+(('Symulacja Pożyczka'!$B$5+'Symulacja Pożyczka'!$C$20)/100)*('Arkusz1 (+5)'!B18-'Arkusz1 (+5)'!B17)/365)</f>
        <v>1.0063698630136986</v>
      </c>
      <c r="D18" s="15">
        <f ca="1">(1+(('Symulacja Pożyczka'!$B$5+'Symulacja Pożyczka'!$C$20)/100)*('Arkusz1 (+5)'!B18-'Arkusz1 (+5)'!B17)/366)</f>
        <v>1.0063524590163935</v>
      </c>
      <c r="E18" s="15">
        <f t="shared" ca="1" si="0"/>
        <v>0</v>
      </c>
      <c r="F18" s="15">
        <f t="shared" ca="1" si="1"/>
        <v>0</v>
      </c>
      <c r="G18">
        <f ca="1">IF(E18=1,(1+(('Symulacja Pożyczka'!$B$5+'Symulacja Pożyczka'!$C$20)/100)*(((Arkusz1!B18-DATE(YEAR(B18),1,1)+1)/365)+((DATE(YEAR(B17),12,31)-Arkusz1!B17)/366))),IF(F18=1,(1+(('Symulacja Pożyczka'!$B$5+'Symulacja Pożyczka'!$C$20)/100)*(((Arkusz1!B18-DATE(YEAR(B18),1,1)+1)/366)+((DATE(YEAR(B17),12,31)-Arkusz1!B17)/365))),0))</f>
        <v>0</v>
      </c>
      <c r="H18">
        <f t="shared" ca="1" si="2"/>
        <v>0</v>
      </c>
      <c r="I18">
        <f t="shared" ca="1" si="3"/>
        <v>1.0063698630136986</v>
      </c>
      <c r="J18">
        <f t="shared" ca="1" si="4"/>
        <v>1.0063698630136986</v>
      </c>
      <c r="K18">
        <f ca="1">PRODUCT($J$3:J18)</f>
        <v>1.1015173588940215</v>
      </c>
      <c r="L18">
        <f t="shared" ca="1" si="5"/>
        <v>0.90783862090385037</v>
      </c>
      <c r="M18">
        <f ca="1">SUM($L$3:L18)</f>
        <v>15.226189037511119</v>
      </c>
      <c r="O18">
        <f ca="1">(Q17*'Arkusz1 (+5)'!J18)-Q17</f>
        <v>7122.4161124930251</v>
      </c>
      <c r="P18" s="16">
        <f t="shared" ca="1" si="6"/>
        <v>7435.184612139532</v>
      </c>
      <c r="Q18" s="17">
        <f t="shared" ca="1" si="7"/>
        <v>1110707.559929783</v>
      </c>
    </row>
    <row r="19" spans="1:17" x14ac:dyDescent="0.35">
      <c r="A19">
        <v>17</v>
      </c>
      <c r="B19" s="14">
        <f t="shared" ca="1" si="8"/>
        <v>46585</v>
      </c>
      <c r="C19" s="15">
        <f ca="1">(1+(('Symulacja Pożyczka'!$B$5+'Symulacja Pożyczka'!$C$20)/100)*('Arkusz1 (+5)'!B19-'Arkusz1 (+5)'!B18)/365)</f>
        <v>1.0061643835616438</v>
      </c>
      <c r="D19" s="15">
        <f ca="1">(1+(('Symulacja Pożyczka'!$B$5+'Symulacja Pożyczka'!$C$20)/100)*('Arkusz1 (+5)'!B19-'Arkusz1 (+5)'!B18)/366)</f>
        <v>1.0061475409836065</v>
      </c>
      <c r="E19" s="15">
        <f t="shared" ca="1" si="0"/>
        <v>0</v>
      </c>
      <c r="F19" s="15">
        <f t="shared" ca="1" si="1"/>
        <v>0</v>
      </c>
      <c r="G19">
        <f ca="1">IF(E19=1,(1+(('Symulacja Pożyczka'!$B$5+'Symulacja Pożyczka'!$C$20)/100)*(((Arkusz1!B19-DATE(YEAR(B19),1,1)+1)/365)+((DATE(YEAR(B18),12,31)-Arkusz1!B18)/366))),IF(F19=1,(1+(('Symulacja Pożyczka'!$B$5+'Symulacja Pożyczka'!$C$20)/100)*(((Arkusz1!B19-DATE(YEAR(B19),1,1)+1)/366)+((DATE(YEAR(B18),12,31)-Arkusz1!B18)/365))),0))</f>
        <v>0</v>
      </c>
      <c r="H19">
        <f t="shared" ca="1" si="2"/>
        <v>0</v>
      </c>
      <c r="I19">
        <f t="shared" ca="1" si="3"/>
        <v>1.0061643835616438</v>
      </c>
      <c r="J19">
        <f t="shared" ca="1" si="4"/>
        <v>1.0061643835616438</v>
      </c>
      <c r="K19">
        <f ca="1">PRODUCT($J$3:J19)</f>
        <v>1.1083075343940532</v>
      </c>
      <c r="L19">
        <f t="shared" ca="1" si="5"/>
        <v>0.9022766416062773</v>
      </c>
      <c r="M19">
        <f ca="1">SUM($L$3:L19)</f>
        <v>16.128465679117397</v>
      </c>
      <c r="O19">
        <f ca="1">(Q18*'Arkusz1 (+5)'!J19)-Q18</f>
        <v>6846.8274242246989</v>
      </c>
      <c r="P19" s="16">
        <f t="shared" ca="1" si="6"/>
        <v>7710.7733004078582</v>
      </c>
      <c r="Q19" s="17">
        <f t="shared" ca="1" si="7"/>
        <v>1102996.7866293751</v>
      </c>
    </row>
    <row r="20" spans="1:17" x14ac:dyDescent="0.35">
      <c r="A20">
        <v>18</v>
      </c>
      <c r="B20" s="14">
        <f t="shared" ca="1" si="8"/>
        <v>46616</v>
      </c>
      <c r="C20" s="15">
        <f ca="1">(1+(('Symulacja Pożyczka'!$B$5+'Symulacja Pożyczka'!$C$20)/100)*('Arkusz1 (+5)'!B20-'Arkusz1 (+5)'!B19)/365)</f>
        <v>1.0063698630136986</v>
      </c>
      <c r="D20" s="15">
        <f ca="1">(1+(('Symulacja Pożyczka'!$B$5+'Symulacja Pożyczka'!$C$20)/100)*('Arkusz1 (+5)'!B20-'Arkusz1 (+5)'!B19)/366)</f>
        <v>1.0063524590163935</v>
      </c>
      <c r="E20" s="15">
        <f t="shared" ca="1" si="0"/>
        <v>0</v>
      </c>
      <c r="F20" s="15">
        <f t="shared" ca="1" si="1"/>
        <v>0</v>
      </c>
      <c r="G20">
        <f ca="1">IF(E20=1,(1+(('Symulacja Pożyczka'!$B$5+'Symulacja Pożyczka'!$C$20)/100)*(((Arkusz1!B20-DATE(YEAR(B20),1,1)+1)/365)+((DATE(YEAR(B19),12,31)-Arkusz1!B19)/366))),IF(F20=1,(1+(('Symulacja Pożyczka'!$B$5+'Symulacja Pożyczka'!$C$20)/100)*(((Arkusz1!B20-DATE(YEAR(B20),1,1)+1)/366)+((DATE(YEAR(B19),12,31)-Arkusz1!B19)/365))),0))</f>
        <v>0</v>
      </c>
      <c r="H20">
        <f t="shared" ca="1" si="2"/>
        <v>0</v>
      </c>
      <c r="I20">
        <f t="shared" ca="1" si="3"/>
        <v>1.0063698630136986</v>
      </c>
      <c r="J20">
        <f t="shared" ca="1" si="4"/>
        <v>1.0063698630136986</v>
      </c>
      <c r="K20">
        <f ca="1">PRODUCT($J$3:J20)</f>
        <v>1.1153673015651933</v>
      </c>
      <c r="L20">
        <f t="shared" ca="1" si="5"/>
        <v>0.89656564128848093</v>
      </c>
      <c r="M20">
        <f ca="1">SUM($L$3:L20)</f>
        <v>17.02503132040588</v>
      </c>
      <c r="O20">
        <f ca="1">(Q19*'Arkusz1 (+5)'!J20)-Q19</f>
        <v>7025.9384353787173</v>
      </c>
      <c r="P20" s="16">
        <f t="shared" ca="1" si="6"/>
        <v>7531.6622892538398</v>
      </c>
      <c r="Q20" s="17">
        <f t="shared" ca="1" si="7"/>
        <v>1095465.1243401212</v>
      </c>
    </row>
    <row r="21" spans="1:17" x14ac:dyDescent="0.35">
      <c r="A21">
        <v>19</v>
      </c>
      <c r="B21" s="14">
        <f t="shared" ca="1" si="8"/>
        <v>46647</v>
      </c>
      <c r="C21" s="15">
        <f ca="1">(1+(('Symulacja Pożyczka'!$B$5+'Symulacja Pożyczka'!$C$20)/100)*('Arkusz1 (+5)'!B21-'Arkusz1 (+5)'!B20)/365)</f>
        <v>1.0063698630136986</v>
      </c>
      <c r="D21" s="15">
        <f ca="1">(1+(('Symulacja Pożyczka'!$B$5+'Symulacja Pożyczka'!$C$20)/100)*('Arkusz1 (+5)'!B21-'Arkusz1 (+5)'!B20)/366)</f>
        <v>1.0063524590163935</v>
      </c>
      <c r="E21" s="15">
        <f t="shared" ca="1" si="0"/>
        <v>0</v>
      </c>
      <c r="F21" s="15">
        <f t="shared" ca="1" si="1"/>
        <v>0</v>
      </c>
      <c r="G21">
        <f ca="1">IF(E21=1,(1+(('Symulacja Pożyczka'!$B$5+'Symulacja Pożyczka'!$C$20)/100)*(((Arkusz1!B21-DATE(YEAR(B21),1,1)+1)/365)+((DATE(YEAR(B20),12,31)-Arkusz1!B20)/366))),IF(F21=1,(1+(('Symulacja Pożyczka'!$B$5+'Symulacja Pożyczka'!$C$20)/100)*(((Arkusz1!B21-DATE(YEAR(B21),1,1)+1)/366)+((DATE(YEAR(B20),12,31)-Arkusz1!B20)/365))),0))</f>
        <v>0</v>
      </c>
      <c r="H21">
        <f t="shared" ca="1" si="2"/>
        <v>0</v>
      </c>
      <c r="I21">
        <f t="shared" ca="1" si="3"/>
        <v>1.0063698630136986</v>
      </c>
      <c r="J21">
        <f t="shared" ca="1" si="4"/>
        <v>1.0063698630136986</v>
      </c>
      <c r="K21">
        <f ca="1">PRODUCT($J$3:J21)</f>
        <v>1.1224720384861222</v>
      </c>
      <c r="L21">
        <f t="shared" ca="1" si="5"/>
        <v>0.89089078900236995</v>
      </c>
      <c r="M21">
        <f ca="1">SUM($L$3:L21)</f>
        <v>17.91592210940825</v>
      </c>
      <c r="O21">
        <f ca="1">(Q20*'Arkusz1 (+5)'!J21)-Q20</f>
        <v>6977.9627783307806</v>
      </c>
      <c r="P21" s="16">
        <f t="shared" ca="1" si="6"/>
        <v>7579.6379463017765</v>
      </c>
      <c r="Q21" s="17">
        <f t="shared" ca="1" si="7"/>
        <v>1087885.4863938193</v>
      </c>
    </row>
    <row r="22" spans="1:17" x14ac:dyDescent="0.35">
      <c r="A22">
        <v>20</v>
      </c>
      <c r="B22" s="14">
        <f t="shared" ca="1" si="8"/>
        <v>46677</v>
      </c>
      <c r="C22" s="15">
        <f ca="1">(1+(('Symulacja Pożyczka'!$B$5+'Symulacja Pożyczka'!$C$20)/100)*('Arkusz1 (+5)'!B22-'Arkusz1 (+5)'!B21)/365)</f>
        <v>1.0061643835616438</v>
      </c>
      <c r="D22" s="15">
        <f ca="1">(1+(('Symulacja Pożyczka'!$B$5+'Symulacja Pożyczka'!$C$20)/100)*('Arkusz1 (+5)'!B22-'Arkusz1 (+5)'!B21)/366)</f>
        <v>1.0061475409836065</v>
      </c>
      <c r="E22" s="15">
        <f t="shared" ca="1" si="0"/>
        <v>0</v>
      </c>
      <c r="F22" s="15">
        <f t="shared" ca="1" si="1"/>
        <v>0</v>
      </c>
      <c r="G22">
        <f ca="1">IF(E22=1,(1+(('Symulacja Pożyczka'!$B$5+'Symulacja Pożyczka'!$C$20)/100)*(((Arkusz1!B22-DATE(YEAR(B22),1,1)+1)/365)+((DATE(YEAR(B21),12,31)-Arkusz1!B21)/366))),IF(F22=1,(1+(('Symulacja Pożyczka'!$B$5+'Symulacja Pożyczka'!$C$20)/100)*(((Arkusz1!B22-DATE(YEAR(B22),1,1)+1)/366)+((DATE(YEAR(B21),12,31)-Arkusz1!B21)/365))),0))</f>
        <v>0</v>
      </c>
      <c r="H22">
        <f t="shared" ca="1" si="2"/>
        <v>0</v>
      </c>
      <c r="I22">
        <f t="shared" ca="1" si="3"/>
        <v>1.0061643835616438</v>
      </c>
      <c r="J22">
        <f t="shared" ca="1" si="4"/>
        <v>1.0061643835616438</v>
      </c>
      <c r="K22">
        <f ca="1">PRODUCT($J$3:J22)</f>
        <v>1.129391386668571</v>
      </c>
      <c r="L22">
        <f t="shared" ca="1" si="5"/>
        <v>0.88543264257553445</v>
      </c>
      <c r="M22">
        <f ca="1">SUM($L$3:L22)</f>
        <v>18.801354751983784</v>
      </c>
      <c r="O22">
        <f ca="1">(Q21*'Arkusz1 (+5)'!J22)-Q21</f>
        <v>6706.1434092770796</v>
      </c>
      <c r="P22" s="16">
        <f t="shared" ca="1" si="6"/>
        <v>7851.4573153554775</v>
      </c>
      <c r="Q22" s="17">
        <f t="shared" ca="1" si="7"/>
        <v>1080034.0290784638</v>
      </c>
    </row>
    <row r="23" spans="1:17" x14ac:dyDescent="0.35">
      <c r="A23">
        <v>21</v>
      </c>
      <c r="B23" s="14">
        <f t="shared" ca="1" si="8"/>
        <v>46708</v>
      </c>
      <c r="C23" s="15">
        <f ca="1">(1+(('Symulacja Pożyczka'!$B$5+'Symulacja Pożyczka'!$C$20)/100)*('Arkusz1 (+5)'!B23-'Arkusz1 (+5)'!B22)/365)</f>
        <v>1.0063698630136986</v>
      </c>
      <c r="D23" s="15">
        <f ca="1">(1+(('Symulacja Pożyczka'!$B$5+'Symulacja Pożyczka'!$C$20)/100)*('Arkusz1 (+5)'!B23-'Arkusz1 (+5)'!B22)/366)</f>
        <v>1.0063524590163935</v>
      </c>
      <c r="E23" s="15">
        <f t="shared" ca="1" si="0"/>
        <v>0</v>
      </c>
      <c r="F23" s="15">
        <f t="shared" ca="1" si="1"/>
        <v>0</v>
      </c>
      <c r="G23">
        <f ca="1">IF(E23=1,(1+(('Symulacja Pożyczka'!$B$5+'Symulacja Pożyczka'!$C$20)/100)*(((Arkusz1!B23-DATE(YEAR(B23),1,1)+1)/365)+((DATE(YEAR(B22),12,31)-Arkusz1!B22)/366))),IF(F23=1,(1+(('Symulacja Pożyczka'!$B$5+'Symulacja Pożyczka'!$C$20)/100)*(((Arkusz1!B23-DATE(YEAR(B23),1,1)+1)/366)+((DATE(YEAR(B22),12,31)-Arkusz1!B22)/365))),0))</f>
        <v>0</v>
      </c>
      <c r="H23">
        <f t="shared" ca="1" si="2"/>
        <v>0</v>
      </c>
      <c r="I23">
        <f t="shared" ca="1" si="3"/>
        <v>1.0063698630136986</v>
      </c>
      <c r="J23">
        <f t="shared" ca="1" si="4"/>
        <v>1.0063698630136986</v>
      </c>
      <c r="K23">
        <f ca="1">PRODUCT($J$3:J23)</f>
        <v>1.1365854550905008</v>
      </c>
      <c r="L23">
        <f t="shared" ca="1" si="5"/>
        <v>0.87982825710221224</v>
      </c>
      <c r="M23">
        <f ca="1">SUM($L$3:L23)</f>
        <v>19.681183009085995</v>
      </c>
      <c r="O23">
        <f ca="1">(Q22*'Arkusz1 (+5)'!J23)-Q22</f>
        <v>6879.6688153627329</v>
      </c>
      <c r="P23" s="16">
        <f t="shared" ca="1" si="6"/>
        <v>7677.9319092698242</v>
      </c>
      <c r="Q23" s="17">
        <f t="shared" ca="1" si="7"/>
        <v>1072356.0971691939</v>
      </c>
    </row>
    <row r="24" spans="1:17" x14ac:dyDescent="0.35">
      <c r="A24">
        <v>22</v>
      </c>
      <c r="B24" s="14">
        <f t="shared" ca="1" si="8"/>
        <v>46738</v>
      </c>
      <c r="C24" s="15">
        <f ca="1">(1+(('Symulacja Pożyczka'!$B$5+'Symulacja Pożyczka'!$C$20)/100)*('Arkusz1 (+5)'!B24-'Arkusz1 (+5)'!B23)/365)</f>
        <v>1.0061643835616438</v>
      </c>
      <c r="D24" s="15">
        <f ca="1">(1+(('Symulacja Pożyczka'!$B$5+'Symulacja Pożyczka'!$C$20)/100)*('Arkusz1 (+5)'!B24-'Arkusz1 (+5)'!B23)/366)</f>
        <v>1.0061475409836065</v>
      </c>
      <c r="E24" s="15">
        <f t="shared" ca="1" si="0"/>
        <v>0</v>
      </c>
      <c r="F24" s="15">
        <f t="shared" ca="1" si="1"/>
        <v>0</v>
      </c>
      <c r="G24">
        <f ca="1">IF(E24=1,(1+(('Symulacja Pożyczka'!$B$5+'Symulacja Pożyczka'!$C$20)/100)*(((Arkusz1!B24-DATE(YEAR(B24),1,1)+1)/365)+((DATE(YEAR(B23),12,31)-Arkusz1!B23)/366))),IF(F24=1,(1+(('Symulacja Pożyczka'!$B$5+'Symulacja Pożyczka'!$C$20)/100)*(((Arkusz1!B24-DATE(YEAR(B24),1,1)+1)/366)+((DATE(YEAR(B23),12,31)-Arkusz1!B23)/365))),0))</f>
        <v>0</v>
      </c>
      <c r="H24">
        <f t="shared" ca="1" si="2"/>
        <v>0</v>
      </c>
      <c r="I24">
        <f t="shared" ca="1" si="3"/>
        <v>1.0061643835616438</v>
      </c>
      <c r="J24">
        <f t="shared" ca="1" si="4"/>
        <v>1.0061643835616438</v>
      </c>
      <c r="K24">
        <f ca="1">PRODUCT($J$3:J24)</f>
        <v>1.1435918037862642</v>
      </c>
      <c r="L24">
        <f t="shared" ca="1" si="5"/>
        <v>0.87443788656857024</v>
      </c>
      <c r="M24">
        <f ca="1">SUM($L$3:L24)</f>
        <v>20.555620895654567</v>
      </c>
      <c r="O24">
        <f ca="1">(Q23*'Arkusz1 (+5)'!J24)-Q23</f>
        <v>6610.4142976184376</v>
      </c>
      <c r="P24" s="16">
        <f t="shared" ca="1" si="6"/>
        <v>7947.1864270141195</v>
      </c>
      <c r="Q24" s="17">
        <f t="shared" ca="1" si="7"/>
        <v>1064408.9107421797</v>
      </c>
    </row>
    <row r="25" spans="1:17" x14ac:dyDescent="0.35">
      <c r="A25">
        <v>23</v>
      </c>
      <c r="B25" s="14">
        <f t="shared" ca="1" si="8"/>
        <v>46769</v>
      </c>
      <c r="C25" s="15">
        <f ca="1">(1+(('Symulacja Pożyczka'!$B$5+'Symulacja Pożyczka'!$C$20)/100)*('Arkusz1 (+5)'!B25-'Arkusz1 (+5)'!B24)/365)</f>
        <v>1.0063698630136986</v>
      </c>
      <c r="D25" s="15">
        <f ca="1">(1+(('Symulacja Pożyczka'!$B$5+'Symulacja Pożyczka'!$C$20)/100)*('Arkusz1 (+5)'!B25-'Arkusz1 (+5)'!B24)/366)</f>
        <v>1.0063524590163935</v>
      </c>
      <c r="E25" s="15">
        <f t="shared" ca="1" si="0"/>
        <v>0</v>
      </c>
      <c r="F25" s="15">
        <f t="shared" ca="1" si="1"/>
        <v>1</v>
      </c>
      <c r="G25">
        <f ca="1">IF(E25=1,(1+(('Symulacja Pożyczka'!$B$5+'Symulacja Pożyczka'!$C$20)/100)*(((Arkusz1!B25-DATE(YEAR(B25),1,1)+1)/365)+((DATE(YEAR(B24),12,31)-Arkusz1!B24)/366))),IF(F25=1,(1+(('Symulacja Pożyczka'!$B$5+'Symulacja Pożyczka'!$C$20)/100)*(((Arkusz1!B25-DATE(YEAR(B25),1,1)+1)/366)+((DATE(YEAR(B24),12,31)-Arkusz1!B24)/365))),0))</f>
        <v>1.0063603188861441</v>
      </c>
      <c r="H25">
        <f t="shared" ca="1" si="2"/>
        <v>1</v>
      </c>
      <c r="I25">
        <f t="shared" ca="1" si="3"/>
        <v>1.0063524590163935</v>
      </c>
      <c r="J25">
        <f t="shared" ca="1" si="4"/>
        <v>1.0063603188861441</v>
      </c>
      <c r="K25">
        <f ca="1">PRODUCT($J$3:J25)</f>
        <v>1.1508654123339257</v>
      </c>
      <c r="L25">
        <f t="shared" ca="1" si="5"/>
        <v>0.86891133340433402</v>
      </c>
      <c r="M25">
        <f ca="1">SUM($L$3:L25)</f>
        <v>21.424532229058901</v>
      </c>
      <c r="O25">
        <f ca="1">(Q24*'Arkusz1 (+5)'!J25)-Q24</f>
        <v>6769.9800975734834</v>
      </c>
      <c r="P25" s="16">
        <f t="shared" ca="1" si="6"/>
        <v>7787.6206270590737</v>
      </c>
      <c r="Q25" s="17">
        <f t="shared" ca="1" si="7"/>
        <v>1056621.2901151206</v>
      </c>
    </row>
    <row r="26" spans="1:17" x14ac:dyDescent="0.35">
      <c r="A26">
        <v>24</v>
      </c>
      <c r="B26" s="14">
        <f t="shared" ca="1" si="8"/>
        <v>46800</v>
      </c>
      <c r="C26" s="15">
        <f ca="1">(1+(('Symulacja Pożyczka'!$B$5+'Symulacja Pożyczka'!$C$20)/100)*('Arkusz1 (+5)'!B26-'Arkusz1 (+5)'!B25)/365)</f>
        <v>1.0063698630136986</v>
      </c>
      <c r="D26" s="15">
        <f ca="1">(1+(('Symulacja Pożyczka'!$B$5+'Symulacja Pożyczka'!$C$20)/100)*('Arkusz1 (+5)'!B26-'Arkusz1 (+5)'!B25)/366)</f>
        <v>1.0063524590163935</v>
      </c>
      <c r="E26" s="15">
        <f t="shared" ca="1" si="0"/>
        <v>0</v>
      </c>
      <c r="F26" s="15">
        <f t="shared" ca="1" si="1"/>
        <v>0</v>
      </c>
      <c r="G26">
        <f ca="1">IF(E26=1,(1+(('Symulacja Pożyczka'!$B$5+'Symulacja Pożyczka'!$C$20)/100)*(((Arkusz1!B26-DATE(YEAR(B26),1,1)+1)/365)+((DATE(YEAR(B25),12,31)-Arkusz1!B25)/366))),IF(F26=1,(1+(('Symulacja Pożyczka'!$B$5+'Symulacja Pożyczka'!$C$20)/100)*(((Arkusz1!B26-DATE(YEAR(B26),1,1)+1)/366)+((DATE(YEAR(B25),12,31)-Arkusz1!B25)/365))),0))</f>
        <v>0</v>
      </c>
      <c r="H26">
        <f t="shared" ca="1" si="2"/>
        <v>1</v>
      </c>
      <c r="I26">
        <f t="shared" ca="1" si="3"/>
        <v>1.0063524590163935</v>
      </c>
      <c r="J26">
        <f t="shared" ca="1" si="4"/>
        <v>1.0063524590163935</v>
      </c>
      <c r="K26">
        <f ca="1">PRODUCT($J$3:J26)</f>
        <v>1.1581762376991618</v>
      </c>
      <c r="L26">
        <f t="shared" ca="1" si="5"/>
        <v>0.86342645225272852</v>
      </c>
      <c r="M26">
        <f ca="1">SUM($L$3:L26)</f>
        <v>22.287958681311629</v>
      </c>
      <c r="O26">
        <f ca="1">(Q25*'Arkusz1 (+5)'!J26)-Q25</f>
        <v>6712.1434413050301</v>
      </c>
      <c r="P26" s="16">
        <f t="shared" ca="1" si="6"/>
        <v>7845.457283327527</v>
      </c>
      <c r="Q26" s="17">
        <f t="shared" ca="1" si="7"/>
        <v>1048775.832831793</v>
      </c>
    </row>
    <row r="27" spans="1:17" x14ac:dyDescent="0.35">
      <c r="A27">
        <v>25</v>
      </c>
      <c r="B27" s="14">
        <f t="shared" ca="1" si="8"/>
        <v>46829</v>
      </c>
      <c r="C27" s="15">
        <f ca="1">(1+(('Symulacja Pożyczka'!$B$5+'Symulacja Pożyczka'!$C$20)/100)*('Arkusz1 (+5)'!B27-'Arkusz1 (+5)'!B26)/365)</f>
        <v>1.0059589041095891</v>
      </c>
      <c r="D27" s="15">
        <f ca="1">(1+(('Symulacja Pożyczka'!$B$5+'Symulacja Pożyczka'!$C$20)/100)*('Arkusz1 (+5)'!B27-'Arkusz1 (+5)'!B26)/366)</f>
        <v>1.0059426229508197</v>
      </c>
      <c r="E27" s="15">
        <f t="shared" ca="1" si="0"/>
        <v>0</v>
      </c>
      <c r="F27" s="15">
        <f t="shared" ca="1" si="1"/>
        <v>0</v>
      </c>
      <c r="G27">
        <f ca="1">IF(E27=1,(1+(('Symulacja Pożyczka'!$B$5+'Symulacja Pożyczka'!$C$20)/100)*(((Arkusz1!B27-DATE(YEAR(B27),1,1)+1)/365)+((DATE(YEAR(B26),12,31)-Arkusz1!B26)/366))),IF(F27=1,(1+(('Symulacja Pożyczka'!$B$5+'Symulacja Pożyczka'!$C$20)/100)*(((Arkusz1!B27-DATE(YEAR(B27),1,1)+1)/366)+((DATE(YEAR(B26),12,31)-Arkusz1!B26)/365))),0))</f>
        <v>0</v>
      </c>
      <c r="H27">
        <f t="shared" ca="1" si="2"/>
        <v>1</v>
      </c>
      <c r="I27">
        <f t="shared" ca="1" si="3"/>
        <v>1.0059426229508197</v>
      </c>
      <c r="J27">
        <f t="shared" ca="1" si="4"/>
        <v>1.0059426229508197</v>
      </c>
      <c r="K27">
        <f ca="1">PRODUCT($J$3:J27)</f>
        <v>1.1650588423904069</v>
      </c>
      <c r="L27">
        <f t="shared" ca="1" si="5"/>
        <v>0.85832574597541544</v>
      </c>
      <c r="M27">
        <f ca="1">SUM($L$3:L27)</f>
        <v>23.146284427287043</v>
      </c>
      <c r="O27">
        <f ca="1">(Q26*'Arkusz1 (+5)'!J27)-Q26</f>
        <v>6232.4793344512582</v>
      </c>
      <c r="P27" s="16">
        <f t="shared" ca="1" si="6"/>
        <v>8325.1213901812989</v>
      </c>
      <c r="Q27" s="17">
        <f t="shared" ca="1" si="7"/>
        <v>1040450.7114416118</v>
      </c>
    </row>
    <row r="28" spans="1:17" x14ac:dyDescent="0.35">
      <c r="A28">
        <v>26</v>
      </c>
      <c r="B28" s="14">
        <f t="shared" ca="1" si="8"/>
        <v>46860</v>
      </c>
      <c r="C28" s="15">
        <f ca="1">(1+(('Symulacja Pożyczka'!$B$5+'Symulacja Pożyczka'!$C$20)/100)*('Arkusz1 (+5)'!B28-'Arkusz1 (+5)'!B27)/365)</f>
        <v>1.0063698630136986</v>
      </c>
      <c r="D28" s="15">
        <f ca="1">(1+(('Symulacja Pożyczka'!$B$5+'Symulacja Pożyczka'!$C$20)/100)*('Arkusz1 (+5)'!B28-'Arkusz1 (+5)'!B27)/366)</f>
        <v>1.0063524590163935</v>
      </c>
      <c r="E28" s="15">
        <f t="shared" ca="1" si="0"/>
        <v>0</v>
      </c>
      <c r="F28" s="15">
        <f t="shared" ca="1" si="1"/>
        <v>0</v>
      </c>
      <c r="G28">
        <f ca="1">IF(E28=1,(1+(('Symulacja Pożyczka'!$B$5+'Symulacja Pożyczka'!$C$20)/100)*(((Arkusz1!B28-DATE(YEAR(B28),1,1)+1)/365)+((DATE(YEAR(B27),12,31)-Arkusz1!B27)/366))),IF(F28=1,(1+(('Symulacja Pożyczka'!$B$5+'Symulacja Pożyczka'!$C$20)/100)*(((Arkusz1!B28-DATE(YEAR(B28),1,1)+1)/366)+((DATE(YEAR(B27),12,31)-Arkusz1!B27)/365))),0))</f>
        <v>0</v>
      </c>
      <c r="H28">
        <f t="shared" ca="1" si="2"/>
        <v>1</v>
      </c>
      <c r="I28">
        <f t="shared" ca="1" si="3"/>
        <v>1.0063524590163935</v>
      </c>
      <c r="J28">
        <f t="shared" ca="1" si="4"/>
        <v>1.0063524590163935</v>
      </c>
      <c r="K28">
        <f ca="1">PRODUCT($J$3:J28)</f>
        <v>1.1724598309383787</v>
      </c>
      <c r="L28">
        <f t="shared" ca="1" si="5"/>
        <v>0.85290768486255908</v>
      </c>
      <c r="M28">
        <f ca="1">SUM($L$3:L28)</f>
        <v>23.999192112149601</v>
      </c>
      <c r="O28">
        <f ca="1">(Q27*'Arkusz1 (+5)'!J28)-Q27</f>
        <v>6609.4205030102748</v>
      </c>
      <c r="P28" s="16">
        <f t="shared" ca="1" si="6"/>
        <v>7948.1802216222823</v>
      </c>
      <c r="Q28" s="17">
        <f t="shared" ca="1" si="7"/>
        <v>1032502.5312199895</v>
      </c>
    </row>
    <row r="29" spans="1:17" x14ac:dyDescent="0.35">
      <c r="A29">
        <v>27</v>
      </c>
      <c r="B29" s="14">
        <f t="shared" ca="1" si="8"/>
        <v>46890</v>
      </c>
      <c r="C29" s="15">
        <f ca="1">(1+(('Symulacja Pożyczka'!$B$5+'Symulacja Pożyczka'!$C$20)/100)*('Arkusz1 (+5)'!B29-'Arkusz1 (+5)'!B28)/365)</f>
        <v>1.0061643835616438</v>
      </c>
      <c r="D29" s="15">
        <f ca="1">(1+(('Symulacja Pożyczka'!$B$5+'Symulacja Pożyczka'!$C$20)/100)*('Arkusz1 (+5)'!B29-'Arkusz1 (+5)'!B28)/366)</f>
        <v>1.0061475409836065</v>
      </c>
      <c r="E29" s="15">
        <f t="shared" ca="1" si="0"/>
        <v>0</v>
      </c>
      <c r="F29" s="15">
        <f t="shared" ca="1" si="1"/>
        <v>0</v>
      </c>
      <c r="G29">
        <f ca="1">IF(E29=1,(1+(('Symulacja Pożyczka'!$B$5+'Symulacja Pożyczka'!$C$20)/100)*(((Arkusz1!B29-DATE(YEAR(B29),1,1)+1)/365)+((DATE(YEAR(B28),12,31)-Arkusz1!B28)/366))),IF(F29=1,(1+(('Symulacja Pożyczka'!$B$5+'Symulacja Pożyczka'!$C$20)/100)*(((Arkusz1!B29-DATE(YEAR(B29),1,1)+1)/366)+((DATE(YEAR(B28),12,31)-Arkusz1!B28)/365))),0))</f>
        <v>0</v>
      </c>
      <c r="H29">
        <f t="shared" ca="1" si="2"/>
        <v>1</v>
      </c>
      <c r="I29">
        <f t="shared" ca="1" si="3"/>
        <v>1.0061475409836065</v>
      </c>
      <c r="J29">
        <f t="shared" ca="1" si="4"/>
        <v>1.0061475409836065</v>
      </c>
      <c r="K29">
        <f ca="1">PRODUCT($J$3:J29)</f>
        <v>1.1796675758007047</v>
      </c>
      <c r="L29">
        <f t="shared" ca="1" si="5"/>
        <v>0.84769643627887759</v>
      </c>
      <c r="M29">
        <f ca="1">SUM($L$3:L29)</f>
        <v>24.846888548428478</v>
      </c>
      <c r="O29">
        <f ca="1">(Q28*'Arkusz1 (+5)'!J29)-Q28</f>
        <v>6347.3516263522906</v>
      </c>
      <c r="P29" s="16">
        <f t="shared" ca="1" si="6"/>
        <v>8210.2490982802665</v>
      </c>
      <c r="Q29" s="17">
        <f t="shared" ca="1" si="7"/>
        <v>1024292.2821217093</v>
      </c>
    </row>
    <row r="30" spans="1:17" x14ac:dyDescent="0.35">
      <c r="A30">
        <v>28</v>
      </c>
      <c r="B30" s="14">
        <f t="shared" ca="1" si="8"/>
        <v>46921</v>
      </c>
      <c r="C30" s="15">
        <f ca="1">(1+(('Symulacja Pożyczka'!$B$5+'Symulacja Pożyczka'!$C$20)/100)*('Arkusz1 (+5)'!B30-'Arkusz1 (+5)'!B29)/365)</f>
        <v>1.0063698630136986</v>
      </c>
      <c r="D30" s="15">
        <f ca="1">(1+(('Symulacja Pożyczka'!$B$5+'Symulacja Pożyczka'!$C$20)/100)*('Arkusz1 (+5)'!B30-'Arkusz1 (+5)'!B29)/366)</f>
        <v>1.0063524590163935</v>
      </c>
      <c r="E30" s="15">
        <f t="shared" ca="1" si="0"/>
        <v>0</v>
      </c>
      <c r="F30" s="15">
        <f t="shared" ca="1" si="1"/>
        <v>0</v>
      </c>
      <c r="G30">
        <f ca="1">IF(E30=1,(1+(('Symulacja Pożyczka'!$B$5+'Symulacja Pożyczka'!$C$20)/100)*(((Arkusz1!B30-DATE(YEAR(B30),1,1)+1)/365)+((DATE(YEAR(B29),12,31)-Arkusz1!B29)/366))),IF(F30=1,(1+(('Symulacja Pożyczka'!$B$5+'Symulacja Pożyczka'!$C$20)/100)*(((Arkusz1!B30-DATE(YEAR(B30),1,1)+1)/366)+((DATE(YEAR(B29),12,31)-Arkusz1!B29)/365))),0))</f>
        <v>0</v>
      </c>
      <c r="H30">
        <f t="shared" ca="1" si="2"/>
        <v>1</v>
      </c>
      <c r="I30">
        <f t="shared" ca="1" si="3"/>
        <v>1.0063524590163935</v>
      </c>
      <c r="J30">
        <f t="shared" ca="1" si="4"/>
        <v>1.0063524590163935</v>
      </c>
      <c r="K30">
        <f ca="1">PRODUCT($J$3:J30)</f>
        <v>1.1871613657289468</v>
      </c>
      <c r="L30">
        <f t="shared" ca="1" si="5"/>
        <v>0.84234547119546377</v>
      </c>
      <c r="M30">
        <f ca="1">SUM($L$3:L30)</f>
        <v>25.689234019623942</v>
      </c>
      <c r="O30">
        <f ca="1">(Q29*'Arkusz1 (+5)'!J30)-Q29</f>
        <v>6506.7747429863084</v>
      </c>
      <c r="P30" s="16">
        <f t="shared" ca="1" si="6"/>
        <v>8050.8259816462487</v>
      </c>
      <c r="Q30" s="17">
        <f t="shared" ca="1" si="7"/>
        <v>1016241.4561400631</v>
      </c>
    </row>
    <row r="31" spans="1:17" x14ac:dyDescent="0.35">
      <c r="A31">
        <v>29</v>
      </c>
      <c r="B31" s="14">
        <f t="shared" ca="1" si="8"/>
        <v>46951</v>
      </c>
      <c r="C31" s="15">
        <f ca="1">(1+(('Symulacja Pożyczka'!$B$5+'Symulacja Pożyczka'!$C$20)/100)*('Arkusz1 (+5)'!B31-'Arkusz1 (+5)'!B30)/365)</f>
        <v>1.0061643835616438</v>
      </c>
      <c r="D31" s="15">
        <f ca="1">(1+(('Symulacja Pożyczka'!$B$5+'Symulacja Pożyczka'!$C$20)/100)*('Arkusz1 (+5)'!B31-'Arkusz1 (+5)'!B30)/366)</f>
        <v>1.0061475409836065</v>
      </c>
      <c r="E31" s="15">
        <f t="shared" ca="1" si="0"/>
        <v>0</v>
      </c>
      <c r="F31" s="15">
        <f t="shared" ca="1" si="1"/>
        <v>0</v>
      </c>
      <c r="G31">
        <f ca="1">IF(E31=1,(1+(('Symulacja Pożyczka'!$B$5+'Symulacja Pożyczka'!$C$20)/100)*(((Arkusz1!B31-DATE(YEAR(B31),1,1)+1)/365)+((DATE(YEAR(B30),12,31)-Arkusz1!B30)/366))),IF(F31=1,(1+(('Symulacja Pożyczka'!$B$5+'Symulacja Pożyczka'!$C$20)/100)*(((Arkusz1!B31-DATE(YEAR(B31),1,1)+1)/366)+((DATE(YEAR(B30),12,31)-Arkusz1!B30)/365))),0))</f>
        <v>0</v>
      </c>
      <c r="H31">
        <f t="shared" ca="1" si="2"/>
        <v>1</v>
      </c>
      <c r="I31">
        <f t="shared" ca="1" si="3"/>
        <v>1.0061475409836065</v>
      </c>
      <c r="J31">
        <f t="shared" ca="1" si="4"/>
        <v>1.0061475409836065</v>
      </c>
      <c r="K31">
        <f ca="1">PRODUCT($J$3:J31)</f>
        <v>1.1944594888789197</v>
      </c>
      <c r="L31">
        <f t="shared" ca="1" si="5"/>
        <v>0.83719875752217177</v>
      </c>
      <c r="M31">
        <f ca="1">SUM($L$3:L31)</f>
        <v>26.526432777146113</v>
      </c>
      <c r="O31">
        <f ca="1">(Q30*'Arkusz1 (+5)'!J31)-Q30</f>
        <v>6247.3860008609481</v>
      </c>
      <c r="P31" s="16">
        <f t="shared" ca="1" si="6"/>
        <v>8310.214723771609</v>
      </c>
      <c r="Q31" s="17">
        <f t="shared" ca="1" si="7"/>
        <v>1007931.2414162916</v>
      </c>
    </row>
    <row r="32" spans="1:17" x14ac:dyDescent="0.35">
      <c r="A32">
        <v>30</v>
      </c>
      <c r="B32" s="14">
        <f t="shared" ca="1" si="8"/>
        <v>46982</v>
      </c>
      <c r="C32" s="15">
        <f ca="1">(1+(('Symulacja Pożyczka'!$B$5+'Symulacja Pożyczka'!$C$20)/100)*('Arkusz1 (+5)'!B32-'Arkusz1 (+5)'!B31)/365)</f>
        <v>1.0063698630136986</v>
      </c>
      <c r="D32" s="15">
        <f ca="1">(1+(('Symulacja Pożyczka'!$B$5+'Symulacja Pożyczka'!$C$20)/100)*('Arkusz1 (+5)'!B32-'Arkusz1 (+5)'!B31)/366)</f>
        <v>1.0063524590163935</v>
      </c>
      <c r="E32" s="15">
        <f t="shared" ca="1" si="0"/>
        <v>0</v>
      </c>
      <c r="F32" s="15">
        <f t="shared" ca="1" si="1"/>
        <v>0</v>
      </c>
      <c r="G32">
        <f ca="1">IF(E32=1,(1+(('Symulacja Pożyczka'!$B$5+'Symulacja Pożyczka'!$C$20)/100)*(((Arkusz1!B32-DATE(YEAR(B32),1,1)+1)/365)+((DATE(YEAR(B31),12,31)-Arkusz1!B31)/366))),IF(F32=1,(1+(('Symulacja Pożyczka'!$B$5+'Symulacja Pożyczka'!$C$20)/100)*(((Arkusz1!B32-DATE(YEAR(B32),1,1)+1)/366)+((DATE(YEAR(B31),12,31)-Arkusz1!B31)/365))),0))</f>
        <v>0</v>
      </c>
      <c r="H32">
        <f t="shared" ca="1" si="2"/>
        <v>1</v>
      </c>
      <c r="I32">
        <f t="shared" ca="1" si="3"/>
        <v>1.0063524590163935</v>
      </c>
      <c r="J32">
        <f t="shared" ca="1" si="4"/>
        <v>1.0063524590163935</v>
      </c>
      <c r="K32">
        <f ca="1">PRODUCT($J$3:J32)</f>
        <v>1.2020472438287653</v>
      </c>
      <c r="L32">
        <f t="shared" ca="1" si="5"/>
        <v>0.8319140575663202</v>
      </c>
      <c r="M32">
        <f ca="1">SUM($L$3:L32)</f>
        <v>27.358346834712432</v>
      </c>
      <c r="O32">
        <f ca="1">(Q31*'Arkusz1 (+5)'!J32)-Q31</f>
        <v>6402.8419024395989</v>
      </c>
      <c r="P32" s="16">
        <f t="shared" ca="1" si="6"/>
        <v>8154.7588221929582</v>
      </c>
      <c r="Q32" s="17">
        <f t="shared" ca="1" si="7"/>
        <v>999776.48259409866</v>
      </c>
    </row>
    <row r="33" spans="1:17" x14ac:dyDescent="0.35">
      <c r="A33">
        <v>31</v>
      </c>
      <c r="B33" s="14">
        <f t="shared" ca="1" si="8"/>
        <v>47013</v>
      </c>
      <c r="C33" s="15">
        <f ca="1">(1+(('Symulacja Pożyczka'!$B$5+'Symulacja Pożyczka'!$C$20)/100)*('Arkusz1 (+5)'!B33-'Arkusz1 (+5)'!B32)/365)</f>
        <v>1.0063698630136986</v>
      </c>
      <c r="D33" s="15">
        <f ca="1">(1+(('Symulacja Pożyczka'!$B$5+'Symulacja Pożyczka'!$C$20)/100)*('Arkusz1 (+5)'!B33-'Arkusz1 (+5)'!B32)/366)</f>
        <v>1.0063524590163935</v>
      </c>
      <c r="E33" s="15">
        <f t="shared" ca="1" si="0"/>
        <v>0</v>
      </c>
      <c r="F33" s="15">
        <f t="shared" ca="1" si="1"/>
        <v>0</v>
      </c>
      <c r="G33">
        <f ca="1">IF(E33=1,(1+(('Symulacja Pożyczka'!$B$5+'Symulacja Pożyczka'!$C$20)/100)*(((Arkusz1!B33-DATE(YEAR(B33),1,1)+1)/365)+((DATE(YEAR(B32),12,31)-Arkusz1!B32)/366))),IF(F33=1,(1+(('Symulacja Pożyczka'!$B$5+'Symulacja Pożyczka'!$C$20)/100)*(((Arkusz1!B33-DATE(YEAR(B33),1,1)+1)/366)+((DATE(YEAR(B32),12,31)-Arkusz1!B32)/365))),0))</f>
        <v>0</v>
      </c>
      <c r="H33">
        <f t="shared" ca="1" si="2"/>
        <v>1</v>
      </c>
      <c r="I33">
        <f t="shared" ca="1" si="3"/>
        <v>1.0063524590163935</v>
      </c>
      <c r="J33">
        <f t="shared" ca="1" si="4"/>
        <v>1.0063524590163935</v>
      </c>
      <c r="K33">
        <f ca="1">PRODUCT($J$3:J33)</f>
        <v>1.2096831996809563</v>
      </c>
      <c r="L33">
        <f t="shared" ca="1" si="5"/>
        <v>0.82666271653912493</v>
      </c>
      <c r="M33">
        <f ca="1">SUM($L$3:L33)</f>
        <v>28.185009551251557</v>
      </c>
      <c r="O33">
        <f ca="1">(Q32*'Arkusz1 (+5)'!J33)-Q32</f>
        <v>6351.039131233003</v>
      </c>
      <c r="P33" s="16">
        <f t="shared" ca="1" si="6"/>
        <v>8206.5615933995541</v>
      </c>
      <c r="Q33" s="17">
        <f t="shared" ca="1" si="7"/>
        <v>991569.92100069916</v>
      </c>
    </row>
    <row r="34" spans="1:17" x14ac:dyDescent="0.35">
      <c r="A34">
        <v>32</v>
      </c>
      <c r="B34" s="14">
        <f t="shared" ca="1" si="8"/>
        <v>47043</v>
      </c>
      <c r="C34" s="15">
        <f ca="1">(1+(('Symulacja Pożyczka'!$B$5+'Symulacja Pożyczka'!$C$20)/100)*('Arkusz1 (+5)'!B34-'Arkusz1 (+5)'!B33)/365)</f>
        <v>1.0061643835616438</v>
      </c>
      <c r="D34" s="15">
        <f ca="1">(1+(('Symulacja Pożyczka'!$B$5+'Symulacja Pożyczka'!$C$20)/100)*('Arkusz1 (+5)'!B34-'Arkusz1 (+5)'!B33)/366)</f>
        <v>1.0061475409836065</v>
      </c>
      <c r="E34" s="15">
        <f t="shared" ca="1" si="0"/>
        <v>0</v>
      </c>
      <c r="F34" s="15">
        <f t="shared" ca="1" si="1"/>
        <v>0</v>
      </c>
      <c r="G34">
        <f ca="1">IF(E34=1,(1+(('Symulacja Pożyczka'!$B$5+'Symulacja Pożyczka'!$C$20)/100)*(((Arkusz1!B34-DATE(YEAR(B34),1,1)+1)/365)+((DATE(YEAR(B33),12,31)-Arkusz1!B33)/366))),IF(F34=1,(1+(('Symulacja Pożyczka'!$B$5+'Symulacja Pożyczka'!$C$20)/100)*(((Arkusz1!B34-DATE(YEAR(B34),1,1)+1)/366)+((DATE(YEAR(B33),12,31)-Arkusz1!B33)/365))),0))</f>
        <v>0</v>
      </c>
      <c r="H34">
        <f t="shared" ca="1" si="2"/>
        <v>1</v>
      </c>
      <c r="I34">
        <f t="shared" ca="1" si="3"/>
        <v>1.0061475409836065</v>
      </c>
      <c r="J34">
        <f t="shared" ca="1" si="4"/>
        <v>1.0061475409836065</v>
      </c>
      <c r="K34">
        <f ca="1">PRODUCT($J$3:J34)</f>
        <v>1.2171197767281752</v>
      </c>
      <c r="L34">
        <f t="shared" ca="1" si="5"/>
        <v>0.82161182417737877</v>
      </c>
      <c r="M34">
        <f ca="1">SUM($L$3:L34)</f>
        <v>29.006621375428935</v>
      </c>
      <c r="O34">
        <f ca="1">(Q33*'Arkusz1 (+5)'!J34)-Q33</f>
        <v>6095.7167274632957</v>
      </c>
      <c r="P34" s="16">
        <f t="shared" ca="1" si="6"/>
        <v>8461.8839971692614</v>
      </c>
      <c r="Q34" s="17">
        <f t="shared" ca="1" si="7"/>
        <v>983108.03700352996</v>
      </c>
    </row>
    <row r="35" spans="1:17" x14ac:dyDescent="0.35">
      <c r="A35">
        <v>33</v>
      </c>
      <c r="B35" s="14">
        <f t="shared" ca="1" si="8"/>
        <v>47074</v>
      </c>
      <c r="C35" s="15">
        <f ca="1">(1+(('Symulacja Pożyczka'!$B$5+'Symulacja Pożyczka'!$C$20)/100)*('Arkusz1 (+5)'!B35-'Arkusz1 (+5)'!B34)/365)</f>
        <v>1.0063698630136986</v>
      </c>
      <c r="D35" s="15">
        <f ca="1">(1+(('Symulacja Pożyczka'!$B$5+'Symulacja Pożyczka'!$C$20)/100)*('Arkusz1 (+5)'!B35-'Arkusz1 (+5)'!B34)/366)</f>
        <v>1.0063524590163935</v>
      </c>
      <c r="E35" s="15">
        <f t="shared" ca="1" si="0"/>
        <v>0</v>
      </c>
      <c r="F35" s="15">
        <f t="shared" ca="1" si="1"/>
        <v>0</v>
      </c>
      <c r="G35">
        <f ca="1">IF(E35=1,(1+(('Symulacja Pożyczka'!$B$5+'Symulacja Pożyczka'!$C$20)/100)*(((Arkusz1!B35-DATE(YEAR(B35),1,1)+1)/365)+((DATE(YEAR(B34),12,31)-Arkusz1!B34)/366))),IF(F35=1,(1+(('Symulacja Pożyczka'!$B$5+'Symulacja Pożyczka'!$C$20)/100)*(((Arkusz1!B35-DATE(YEAR(B35),1,1)+1)/366)+((DATE(YEAR(B34),12,31)-Arkusz1!B34)/365))),0))</f>
        <v>0</v>
      </c>
      <c r="H35">
        <f t="shared" ca="1" si="2"/>
        <v>1</v>
      </c>
      <c r="I35">
        <f t="shared" ca="1" si="3"/>
        <v>1.0063524590163935</v>
      </c>
      <c r="J35">
        <f t="shared" ca="1" si="4"/>
        <v>1.0063524590163935</v>
      </c>
      <c r="K35">
        <f ca="1">PRODUCT($J$3:J35)</f>
        <v>1.2248514802278829</v>
      </c>
      <c r="L35">
        <f t="shared" ca="1" si="5"/>
        <v>0.81642551455622236</v>
      </c>
      <c r="M35">
        <f ca="1">SUM($L$3:L35)</f>
        <v>29.823046889985157</v>
      </c>
      <c r="O35">
        <f ca="1">(Q34*'Arkusz1 (+5)'!J35)-Q34</f>
        <v>6245.153513751924</v>
      </c>
      <c r="P35" s="16">
        <f t="shared" ca="1" si="6"/>
        <v>8312.4472108806331</v>
      </c>
      <c r="Q35" s="17">
        <f t="shared" ca="1" si="7"/>
        <v>974795.58979264938</v>
      </c>
    </row>
    <row r="36" spans="1:17" x14ac:dyDescent="0.35">
      <c r="A36">
        <v>34</v>
      </c>
      <c r="B36" s="14">
        <f t="shared" ca="1" si="8"/>
        <v>47104</v>
      </c>
      <c r="C36" s="15">
        <f ca="1">(1+(('Symulacja Pożyczka'!$B$5+'Symulacja Pożyczka'!$C$20)/100)*('Arkusz1 (+5)'!B36-'Arkusz1 (+5)'!B35)/365)</f>
        <v>1.0061643835616438</v>
      </c>
      <c r="D36" s="15">
        <f ca="1">(1+(('Symulacja Pożyczka'!$B$5+'Symulacja Pożyczka'!$C$20)/100)*('Arkusz1 (+5)'!B36-'Arkusz1 (+5)'!B35)/366)</f>
        <v>1.0061475409836065</v>
      </c>
      <c r="E36" s="15">
        <f t="shared" ca="1" si="0"/>
        <v>0</v>
      </c>
      <c r="F36" s="15">
        <f t="shared" ca="1" si="1"/>
        <v>0</v>
      </c>
      <c r="G36">
        <f ca="1">IF(E36=1,(1+(('Symulacja Pożyczka'!$B$5+'Symulacja Pożyczka'!$C$20)/100)*(((Arkusz1!B36-DATE(YEAR(B36),1,1)+1)/365)+((DATE(YEAR(B35),12,31)-Arkusz1!B35)/366))),IF(F36=1,(1+(('Symulacja Pożyczka'!$B$5+'Symulacja Pożyczka'!$C$20)/100)*(((Arkusz1!B36-DATE(YEAR(B36),1,1)+1)/366)+((DATE(YEAR(B35),12,31)-Arkusz1!B35)/365))),0))</f>
        <v>0</v>
      </c>
      <c r="H36">
        <f t="shared" ca="1" si="2"/>
        <v>1</v>
      </c>
      <c r="I36">
        <f t="shared" ca="1" si="3"/>
        <v>1.0061475409836065</v>
      </c>
      <c r="J36">
        <f t="shared" ca="1" si="4"/>
        <v>1.0061475409836065</v>
      </c>
      <c r="K36">
        <f ca="1">PRODUCT($J$3:J36)</f>
        <v>1.232381304901415</v>
      </c>
      <c r="L36">
        <f t="shared" ca="1" si="5"/>
        <v>0.81143717129009485</v>
      </c>
      <c r="M36">
        <f ca="1">SUM($L$3:L36)</f>
        <v>30.634484061275252</v>
      </c>
      <c r="O36">
        <f ca="1">(Q35*'Arkusz1 (+5)'!J36)-Q35</f>
        <v>5992.5958388891304</v>
      </c>
      <c r="P36" s="16">
        <f t="shared" ca="1" si="6"/>
        <v>8565.0048857434267</v>
      </c>
      <c r="Q36" s="17">
        <f t="shared" ca="1" si="7"/>
        <v>966230.58490690601</v>
      </c>
    </row>
    <row r="37" spans="1:17" x14ac:dyDescent="0.35">
      <c r="A37">
        <v>35</v>
      </c>
      <c r="B37" s="14">
        <f t="shared" ca="1" si="8"/>
        <v>47135</v>
      </c>
      <c r="C37" s="15">
        <f ca="1">(1+(('Symulacja Pożyczka'!$B$5+'Symulacja Pożyczka'!$C$20)/100)*('Arkusz1 (+5)'!B37-'Arkusz1 (+5)'!B36)/365)</f>
        <v>1.0063698630136986</v>
      </c>
      <c r="D37" s="15">
        <f ca="1">(1+(('Symulacja Pożyczka'!$B$5+'Symulacja Pożyczka'!$C$20)/100)*('Arkusz1 (+5)'!B37-'Arkusz1 (+5)'!B36)/366)</f>
        <v>1.0063524590163935</v>
      </c>
      <c r="E37" s="15">
        <f t="shared" ca="1" si="0"/>
        <v>1</v>
      </c>
      <c r="F37" s="15">
        <f t="shared" ca="1" si="1"/>
        <v>0</v>
      </c>
      <c r="G37">
        <f ca="1">IF(E37=1,(1+(('Symulacja Pożyczka'!$B$5+'Symulacja Pożyczka'!$C$20)/100)*(((Arkusz1!B37-DATE(YEAR(B37),1,1)+1)/365)+((DATE(YEAR(B36),12,31)-Arkusz1!B36)/366))),IF(F37=1,(1+(('Symulacja Pożyczka'!$B$5+'Symulacja Pożyczka'!$C$20)/100)*(((Arkusz1!B37-DATE(YEAR(B37),1,1)+1)/366)+((DATE(YEAR(B36),12,31)-Arkusz1!B36)/365))),0))</f>
        <v>1.006362003143948</v>
      </c>
      <c r="H37">
        <f t="shared" ca="1" si="2"/>
        <v>0</v>
      </c>
      <c r="I37">
        <f t="shared" ca="1" si="3"/>
        <v>1.0063698630136986</v>
      </c>
      <c r="J37">
        <f t="shared" ca="1" si="4"/>
        <v>1.006362003143948</v>
      </c>
      <c r="K37">
        <f ca="1">PRODUCT($J$3:J37)</f>
        <v>1.2402217186377404</v>
      </c>
      <c r="L37">
        <f t="shared" ca="1" si="5"/>
        <v>0.80630744081663075</v>
      </c>
      <c r="M37">
        <f ca="1">SUM($L$3:L37)</f>
        <v>31.440791502091884</v>
      </c>
      <c r="O37">
        <f ca="1">(Q36*'Arkusz1 (+5)'!J37)-Q36</f>
        <v>6147.1620189563837</v>
      </c>
      <c r="P37" s="16">
        <f t="shared" ca="1" si="6"/>
        <v>8410.4387056761734</v>
      </c>
      <c r="Q37" s="17">
        <f t="shared" ca="1" si="7"/>
        <v>957820.14620122989</v>
      </c>
    </row>
    <row r="38" spans="1:17" x14ac:dyDescent="0.35">
      <c r="A38">
        <v>36</v>
      </c>
      <c r="B38" s="14">
        <f t="shared" ca="1" si="8"/>
        <v>47166</v>
      </c>
      <c r="C38" s="15">
        <f ca="1">(1+(('Symulacja Pożyczka'!$B$5+'Symulacja Pożyczka'!$C$20)/100)*('Arkusz1 (+5)'!B38-'Arkusz1 (+5)'!B37)/365)</f>
        <v>1.0063698630136986</v>
      </c>
      <c r="D38" s="15">
        <f ca="1">(1+(('Symulacja Pożyczka'!$B$5+'Symulacja Pożyczka'!$C$20)/100)*('Arkusz1 (+5)'!B38-'Arkusz1 (+5)'!B37)/366)</f>
        <v>1.0063524590163935</v>
      </c>
      <c r="E38" s="15">
        <f t="shared" ca="1" si="0"/>
        <v>0</v>
      </c>
      <c r="F38" s="15">
        <f t="shared" ca="1" si="1"/>
        <v>0</v>
      </c>
      <c r="G38">
        <f ca="1">IF(E38=1,(1+(('Symulacja Pożyczka'!$B$5+'Symulacja Pożyczka'!$C$20)/100)*(((Arkusz1!B38-DATE(YEAR(B38),1,1)+1)/365)+((DATE(YEAR(B37),12,31)-Arkusz1!B37)/366))),IF(F38=1,(1+(('Symulacja Pożyczka'!$B$5+'Symulacja Pożyczka'!$C$20)/100)*(((Arkusz1!B38-DATE(YEAR(B38),1,1)+1)/366)+((DATE(YEAR(B37),12,31)-Arkusz1!B37)/365))),0))</f>
        <v>0</v>
      </c>
      <c r="H38">
        <f t="shared" ca="1" si="2"/>
        <v>0</v>
      </c>
      <c r="I38">
        <f t="shared" ca="1" si="3"/>
        <v>1.0063698630136986</v>
      </c>
      <c r="J38">
        <f t="shared" ca="1" si="4"/>
        <v>1.0063698630136986</v>
      </c>
      <c r="K38">
        <f ca="1">PRODUCT($J$3:J38)</f>
        <v>1.2481217610920767</v>
      </c>
      <c r="L38">
        <f t="shared" ca="1" si="5"/>
        <v>0.80120388184324576</v>
      </c>
      <c r="M38">
        <f ca="1">SUM($L$3:L38)</f>
        <v>32.241995383935127</v>
      </c>
      <c r="O38">
        <f ca="1">(Q37*'Arkusz1 (+5)'!J38)-Q37</f>
        <v>6101.1831230625976</v>
      </c>
      <c r="P38" s="16">
        <f t="shared" ca="1" si="6"/>
        <v>8456.4176015699595</v>
      </c>
      <c r="Q38" s="17">
        <f t="shared" ca="1" si="7"/>
        <v>949363.72859965998</v>
      </c>
    </row>
    <row r="39" spans="1:17" x14ac:dyDescent="0.35">
      <c r="A39">
        <v>37</v>
      </c>
      <c r="B39" s="14">
        <f t="shared" ca="1" si="8"/>
        <v>47194</v>
      </c>
      <c r="C39" s="15">
        <f ca="1">(1+(('Symulacja Pożyczka'!$B$5+'Symulacja Pożyczka'!$C$20)/100)*('Arkusz1 (+5)'!B39-'Arkusz1 (+5)'!B38)/365)</f>
        <v>1.0057534246575341</v>
      </c>
      <c r="D39" s="15">
        <f ca="1">(1+(('Symulacja Pożyczka'!$B$5+'Symulacja Pożyczka'!$C$20)/100)*('Arkusz1 (+5)'!B39-'Arkusz1 (+5)'!B38)/366)</f>
        <v>1.0057377049180327</v>
      </c>
      <c r="E39" s="15">
        <f t="shared" ca="1" si="0"/>
        <v>0</v>
      </c>
      <c r="F39" s="15">
        <f t="shared" ca="1" si="1"/>
        <v>0</v>
      </c>
      <c r="G39">
        <f ca="1">IF(E39=1,(1+(('Symulacja Pożyczka'!$B$5+'Symulacja Pożyczka'!$C$20)/100)*(((Arkusz1!B39-DATE(YEAR(B39),1,1)+1)/365)+((DATE(YEAR(B38),12,31)-Arkusz1!B38)/366))),IF(F39=1,(1+(('Symulacja Pożyczka'!$B$5+'Symulacja Pożyczka'!$C$20)/100)*(((Arkusz1!B39-DATE(YEAR(B39),1,1)+1)/366)+((DATE(YEAR(B38),12,31)-Arkusz1!B38)/365))),0))</f>
        <v>0</v>
      </c>
      <c r="H39">
        <f t="shared" ca="1" si="2"/>
        <v>0</v>
      </c>
      <c r="I39">
        <f t="shared" ca="1" si="3"/>
        <v>1.0057534246575341</v>
      </c>
      <c r="J39">
        <f t="shared" ca="1" si="4"/>
        <v>1.0057534246575341</v>
      </c>
      <c r="K39">
        <f ca="1">PRODUCT($J$3:J39)</f>
        <v>1.2553027356079489</v>
      </c>
      <c r="L39">
        <f t="shared" ca="1" si="5"/>
        <v>0.79662058532493785</v>
      </c>
      <c r="M39">
        <f ca="1">SUM($L$3:L39)</f>
        <v>33.038615969260064</v>
      </c>
      <c r="O39">
        <f ca="1">(Q38*'Arkusz1 (+5)'!J39)-Q38</f>
        <v>5462.0926850938704</v>
      </c>
      <c r="P39" s="16">
        <f t="shared" ca="1" si="6"/>
        <v>9095.5080395386867</v>
      </c>
      <c r="Q39" s="17">
        <f t="shared" ca="1" si="7"/>
        <v>940268.22056012135</v>
      </c>
    </row>
    <row r="40" spans="1:17" x14ac:dyDescent="0.35">
      <c r="A40">
        <v>38</v>
      </c>
      <c r="B40" s="14">
        <f t="shared" ca="1" si="8"/>
        <v>47225</v>
      </c>
      <c r="C40" s="15">
        <f ca="1">(1+(('Symulacja Pożyczka'!$B$5+'Symulacja Pożyczka'!$C$20)/100)*('Arkusz1 (+5)'!B40-'Arkusz1 (+5)'!B39)/365)</f>
        <v>1.0063698630136986</v>
      </c>
      <c r="D40" s="15">
        <f ca="1">(1+(('Symulacja Pożyczka'!$B$5+'Symulacja Pożyczka'!$C$20)/100)*('Arkusz1 (+5)'!B40-'Arkusz1 (+5)'!B39)/366)</f>
        <v>1.0063524590163935</v>
      </c>
      <c r="E40" s="15">
        <f t="shared" ca="1" si="0"/>
        <v>0</v>
      </c>
      <c r="F40" s="15">
        <f t="shared" ca="1" si="1"/>
        <v>0</v>
      </c>
      <c r="G40">
        <f ca="1">IF(E40=1,(1+(('Symulacja Pożyczka'!$B$5+'Symulacja Pożyczka'!$C$20)/100)*(((Arkusz1!B40-DATE(YEAR(B40),1,1)+1)/365)+((DATE(YEAR(B39),12,31)-Arkusz1!B39)/366))),IF(F40=1,(1+(('Symulacja Pożyczka'!$B$5+'Symulacja Pożyczka'!$C$20)/100)*(((Arkusz1!B40-DATE(YEAR(B40),1,1)+1)/366)+((DATE(YEAR(B39),12,31)-Arkusz1!B39)/365))),0))</f>
        <v>0</v>
      </c>
      <c r="H40">
        <f t="shared" ca="1" si="2"/>
        <v>0</v>
      </c>
      <c r="I40">
        <f t="shared" ca="1" si="3"/>
        <v>1.0063698630136986</v>
      </c>
      <c r="J40">
        <f t="shared" ca="1" si="4"/>
        <v>1.0063698630136986</v>
      </c>
      <c r="K40">
        <f ca="1">PRODUCT($J$3:J40)</f>
        <v>1.2632988420744926</v>
      </c>
      <c r="L40">
        <f t="shared" ca="1" si="5"/>
        <v>0.79157833973620728</v>
      </c>
      <c r="M40">
        <f ca="1">SUM($L$3:L40)</f>
        <v>33.830194308996269</v>
      </c>
      <c r="O40">
        <f ca="1">(Q39*'Arkusz1 (+5)'!J40)-Q39</f>
        <v>5989.3797611021437</v>
      </c>
      <c r="P40" s="16">
        <f t="shared" ca="1" si="6"/>
        <v>8568.2209635304134</v>
      </c>
      <c r="Q40" s="17">
        <f t="shared" ca="1" si="7"/>
        <v>931699.99959659099</v>
      </c>
    </row>
    <row r="41" spans="1:17" x14ac:dyDescent="0.35">
      <c r="A41">
        <v>39</v>
      </c>
      <c r="B41" s="14">
        <f t="shared" ca="1" si="8"/>
        <v>47255</v>
      </c>
      <c r="C41" s="15">
        <f ca="1">(1+(('Symulacja Pożyczka'!$B$5+'Symulacja Pożyczka'!$C$20)/100)*('Arkusz1 (+5)'!B41-'Arkusz1 (+5)'!B40)/365)</f>
        <v>1.0061643835616438</v>
      </c>
      <c r="D41" s="15">
        <f ca="1">(1+(('Symulacja Pożyczka'!$B$5+'Symulacja Pożyczka'!$C$20)/100)*('Arkusz1 (+5)'!B41-'Arkusz1 (+5)'!B40)/366)</f>
        <v>1.0061475409836065</v>
      </c>
      <c r="E41" s="15">
        <f t="shared" ca="1" si="0"/>
        <v>0</v>
      </c>
      <c r="F41" s="15">
        <f t="shared" ca="1" si="1"/>
        <v>0</v>
      </c>
      <c r="G41">
        <f ca="1">IF(E41=1,(1+(('Symulacja Pożyczka'!$B$5+'Symulacja Pożyczka'!$C$20)/100)*(((Arkusz1!B41-DATE(YEAR(B41),1,1)+1)/365)+((DATE(YEAR(B40),12,31)-Arkusz1!B40)/366))),IF(F41=1,(1+(('Symulacja Pożyczka'!$B$5+'Symulacja Pożyczka'!$C$20)/100)*(((Arkusz1!B41-DATE(YEAR(B41),1,1)+1)/366)+((DATE(YEAR(B40),12,31)-Arkusz1!B40)/365))),0))</f>
        <v>0</v>
      </c>
      <c r="H41">
        <f t="shared" ca="1" si="2"/>
        <v>0</v>
      </c>
      <c r="I41">
        <f t="shared" ca="1" si="3"/>
        <v>1.0061643835616438</v>
      </c>
      <c r="J41">
        <f t="shared" ca="1" si="4"/>
        <v>1.0061643835616438</v>
      </c>
      <c r="K41">
        <f ca="1">PRODUCT($J$3:J41)</f>
        <v>1.2710863006900204</v>
      </c>
      <c r="L41">
        <f t="shared" ca="1" si="5"/>
        <v>0.78672864262414066</v>
      </c>
      <c r="M41">
        <f ca="1">SUM($L$3:L41)</f>
        <v>34.61692295162041</v>
      </c>
      <c r="O41">
        <f ca="1">(Q40*'Arkusz1 (+5)'!J41)-Q40</f>
        <v>5743.3561618968379</v>
      </c>
      <c r="P41" s="16">
        <f t="shared" ca="1" si="6"/>
        <v>8814.2445627357192</v>
      </c>
      <c r="Q41" s="17">
        <f t="shared" ca="1" si="7"/>
        <v>922885.75503385533</v>
      </c>
    </row>
    <row r="42" spans="1:17" x14ac:dyDescent="0.35">
      <c r="A42">
        <v>40</v>
      </c>
      <c r="B42" s="14">
        <f t="shared" ca="1" si="8"/>
        <v>47286</v>
      </c>
      <c r="C42" s="15">
        <f ca="1">(1+(('Symulacja Pożyczka'!$B$5+'Symulacja Pożyczka'!$C$20)/100)*('Arkusz1 (+5)'!B42-'Arkusz1 (+5)'!B41)/365)</f>
        <v>1.0063698630136986</v>
      </c>
      <c r="D42" s="15">
        <f ca="1">(1+(('Symulacja Pożyczka'!$B$5+'Symulacja Pożyczka'!$C$20)/100)*('Arkusz1 (+5)'!B42-'Arkusz1 (+5)'!B41)/366)</f>
        <v>1.0063524590163935</v>
      </c>
      <c r="E42" s="15">
        <f t="shared" ca="1" si="0"/>
        <v>0</v>
      </c>
      <c r="F42" s="15">
        <f t="shared" ca="1" si="1"/>
        <v>0</v>
      </c>
      <c r="G42">
        <f ca="1">IF(E42=1,(1+(('Symulacja Pożyczka'!$B$5+'Symulacja Pożyczka'!$C$20)/100)*(((Arkusz1!B42-DATE(YEAR(B42),1,1)+1)/365)+((DATE(YEAR(B41),12,31)-Arkusz1!B41)/366))),IF(F42=1,(1+(('Symulacja Pożyczka'!$B$5+'Symulacja Pożyczka'!$C$20)/100)*(((Arkusz1!B42-DATE(YEAR(B42),1,1)+1)/366)+((DATE(YEAR(B41),12,31)-Arkusz1!B41)/365))),0))</f>
        <v>0</v>
      </c>
      <c r="H42">
        <f t="shared" ca="1" si="2"/>
        <v>0</v>
      </c>
      <c r="I42">
        <f t="shared" ca="1" si="3"/>
        <v>1.0063698630136986</v>
      </c>
      <c r="J42">
        <f t="shared" ca="1" si="4"/>
        <v>1.0063698630136986</v>
      </c>
      <c r="K42">
        <f ca="1">PRODUCT($J$3:J42)</f>
        <v>1.2791829463040048</v>
      </c>
      <c r="L42">
        <f t="shared" ca="1" si="5"/>
        <v>0.78174900852871798</v>
      </c>
      <c r="M42">
        <f ca="1">SUM($L$3:L42)</f>
        <v>35.39867196014913</v>
      </c>
      <c r="O42">
        <f ca="1">(Q41*'Arkusz1 (+5)'!J42)-Q41</f>
        <v>5878.6558368594851</v>
      </c>
      <c r="P42" s="16">
        <f t="shared" ca="1" si="6"/>
        <v>8678.944887773072</v>
      </c>
      <c r="Q42" s="17">
        <f t="shared" ca="1" si="7"/>
        <v>914206.81014608231</v>
      </c>
    </row>
    <row r="43" spans="1:17" x14ac:dyDescent="0.35">
      <c r="A43">
        <v>41</v>
      </c>
      <c r="B43" s="14">
        <f t="shared" ca="1" si="8"/>
        <v>47316</v>
      </c>
      <c r="C43" s="15">
        <f ca="1">(1+(('Symulacja Pożyczka'!$B$5+'Symulacja Pożyczka'!$C$20)/100)*('Arkusz1 (+5)'!B43-'Arkusz1 (+5)'!B42)/365)</f>
        <v>1.0061643835616438</v>
      </c>
      <c r="D43" s="15">
        <f ca="1">(1+(('Symulacja Pożyczka'!$B$5+'Symulacja Pożyczka'!$C$20)/100)*('Arkusz1 (+5)'!B43-'Arkusz1 (+5)'!B42)/366)</f>
        <v>1.0061475409836065</v>
      </c>
      <c r="E43" s="15">
        <f t="shared" ca="1" si="0"/>
        <v>0</v>
      </c>
      <c r="F43" s="15">
        <f t="shared" ca="1" si="1"/>
        <v>0</v>
      </c>
      <c r="G43">
        <f ca="1">IF(E43=1,(1+(('Symulacja Pożyczka'!$B$5+'Symulacja Pożyczka'!$C$20)/100)*(((Arkusz1!B43-DATE(YEAR(B43),1,1)+1)/365)+((DATE(YEAR(B42),12,31)-Arkusz1!B42)/366))),IF(F43=1,(1+(('Symulacja Pożyczka'!$B$5+'Symulacja Pożyczka'!$C$20)/100)*(((Arkusz1!B43-DATE(YEAR(B43),1,1)+1)/366)+((DATE(YEAR(B42),12,31)-Arkusz1!B42)/365))),0))</f>
        <v>0</v>
      </c>
      <c r="H43">
        <f t="shared" ca="1" si="2"/>
        <v>0</v>
      </c>
      <c r="I43">
        <f t="shared" ca="1" si="3"/>
        <v>1.0061643835616438</v>
      </c>
      <c r="J43">
        <f t="shared" ca="1" si="4"/>
        <v>1.0061643835616438</v>
      </c>
      <c r="K43">
        <f ca="1">PRODUCT($J$3:J43)</f>
        <v>1.2870683206305362</v>
      </c>
      <c r="L43">
        <f t="shared" ca="1" si="5"/>
        <v>0.77695953196182999</v>
      </c>
      <c r="M43">
        <f ca="1">SUM($L$3:L43)</f>
        <v>36.175631492110959</v>
      </c>
      <c r="O43">
        <f ca="1">(Q42*'Arkusz1 (+5)'!J43)-Q42</f>
        <v>5635.5214324073168</v>
      </c>
      <c r="P43" s="16">
        <f t="shared" ca="1" si="6"/>
        <v>8922.0792922252404</v>
      </c>
      <c r="Q43" s="17">
        <f t="shared" ca="1" si="7"/>
        <v>905284.73085385712</v>
      </c>
    </row>
    <row r="44" spans="1:17" x14ac:dyDescent="0.35">
      <c r="A44">
        <v>42</v>
      </c>
      <c r="B44" s="14">
        <f t="shared" ca="1" si="8"/>
        <v>47347</v>
      </c>
      <c r="C44" s="15">
        <f ca="1">(1+(('Symulacja Pożyczka'!$B$5+'Symulacja Pożyczka'!$C$20)/100)*('Arkusz1 (+5)'!B44-'Arkusz1 (+5)'!B43)/365)</f>
        <v>1.0063698630136986</v>
      </c>
      <c r="D44" s="15">
        <f ca="1">(1+(('Symulacja Pożyczka'!$B$5+'Symulacja Pożyczka'!$C$20)/100)*('Arkusz1 (+5)'!B44-'Arkusz1 (+5)'!B43)/366)</f>
        <v>1.0063524590163935</v>
      </c>
      <c r="E44" s="15">
        <f t="shared" ca="1" si="0"/>
        <v>0</v>
      </c>
      <c r="F44" s="15">
        <f t="shared" ca="1" si="1"/>
        <v>0</v>
      </c>
      <c r="G44">
        <f ca="1">IF(E44=1,(1+(('Symulacja Pożyczka'!$B$5+'Symulacja Pożyczka'!$C$20)/100)*(((Arkusz1!B44-DATE(YEAR(B44),1,1)+1)/365)+((DATE(YEAR(B43),12,31)-Arkusz1!B43)/366))),IF(F44=1,(1+(('Symulacja Pożyczka'!$B$5+'Symulacja Pożyczka'!$C$20)/100)*(((Arkusz1!B44-DATE(YEAR(B44),1,1)+1)/366)+((DATE(YEAR(B43),12,31)-Arkusz1!B43)/365))),0))</f>
        <v>0</v>
      </c>
      <c r="H44">
        <f t="shared" ca="1" si="2"/>
        <v>0</v>
      </c>
      <c r="I44">
        <f t="shared" ca="1" si="3"/>
        <v>1.0063698630136986</v>
      </c>
      <c r="J44">
        <f t="shared" ca="1" si="4"/>
        <v>1.0063698630136986</v>
      </c>
      <c r="K44">
        <f ca="1">PRODUCT($J$3:J44)</f>
        <v>1.2952667695222237</v>
      </c>
      <c r="L44">
        <f t="shared" ca="1" si="5"/>
        <v>0.77204173188883951</v>
      </c>
      <c r="M44">
        <f ca="1">SUM($L$3:L44)</f>
        <v>36.9476732239998</v>
      </c>
      <c r="O44">
        <f ca="1">(Q43*'Arkusz1 (+5)'!J44)-Q43</f>
        <v>5766.5397239320446</v>
      </c>
      <c r="P44" s="16">
        <f t="shared" ca="1" si="6"/>
        <v>8791.0610007005125</v>
      </c>
      <c r="Q44" s="17">
        <f t="shared" ca="1" si="7"/>
        <v>896493.66985315667</v>
      </c>
    </row>
    <row r="45" spans="1:17" x14ac:dyDescent="0.35">
      <c r="A45">
        <v>43</v>
      </c>
      <c r="B45" s="14">
        <f t="shared" ca="1" si="8"/>
        <v>47378</v>
      </c>
      <c r="C45" s="15">
        <f ca="1">(1+(('Symulacja Pożyczka'!$B$5+'Symulacja Pożyczka'!$C$20)/100)*('Arkusz1 (+5)'!B45-'Arkusz1 (+5)'!B44)/365)</f>
        <v>1.0063698630136986</v>
      </c>
      <c r="D45" s="15">
        <f ca="1">(1+(('Symulacja Pożyczka'!$B$5+'Symulacja Pożyczka'!$C$20)/100)*('Arkusz1 (+5)'!B45-'Arkusz1 (+5)'!B44)/366)</f>
        <v>1.0063524590163935</v>
      </c>
      <c r="E45" s="15">
        <f t="shared" ca="1" si="0"/>
        <v>0</v>
      </c>
      <c r="F45" s="15">
        <f t="shared" ca="1" si="1"/>
        <v>0</v>
      </c>
      <c r="G45">
        <f ca="1">IF(E45=1,(1+(('Symulacja Pożyczka'!$B$5+'Symulacja Pożyczka'!$C$20)/100)*(((Arkusz1!B45-DATE(YEAR(B45),1,1)+1)/365)+((DATE(YEAR(B44),12,31)-Arkusz1!B44)/366))),IF(F45=1,(1+(('Symulacja Pożyczka'!$B$5+'Symulacja Pożyczka'!$C$20)/100)*(((Arkusz1!B45-DATE(YEAR(B45),1,1)+1)/366)+((DATE(YEAR(B44),12,31)-Arkusz1!B44)/365))),0))</f>
        <v>0</v>
      </c>
      <c r="H45">
        <f t="shared" ca="1" si="2"/>
        <v>0</v>
      </c>
      <c r="I45">
        <f t="shared" ca="1" si="3"/>
        <v>1.0063698630136986</v>
      </c>
      <c r="J45">
        <f t="shared" ca="1" si="4"/>
        <v>1.0063698630136986</v>
      </c>
      <c r="K45">
        <f ca="1">PRODUCT($J$3:J45)</f>
        <v>1.3035174414102761</v>
      </c>
      <c r="L45">
        <f t="shared" ca="1" si="5"/>
        <v>0.76715505925114402</v>
      </c>
      <c r="M45">
        <f ca="1">SUM($L$3:L45)</f>
        <v>37.714828283250945</v>
      </c>
      <c r="O45">
        <f ca="1">(Q44*'Arkusz1 (+5)'!J45)-Q44</f>
        <v>5710.5418696125271</v>
      </c>
      <c r="P45" s="16">
        <f t="shared" ca="1" si="6"/>
        <v>8847.05885502003</v>
      </c>
      <c r="Q45" s="17">
        <f t="shared" ca="1" si="7"/>
        <v>887646.61099813669</v>
      </c>
    </row>
    <row r="46" spans="1:17" x14ac:dyDescent="0.35">
      <c r="A46">
        <v>44</v>
      </c>
      <c r="B46" s="14">
        <f t="shared" ca="1" si="8"/>
        <v>47408</v>
      </c>
      <c r="C46" s="15">
        <f ca="1">(1+(('Symulacja Pożyczka'!$B$5+'Symulacja Pożyczka'!$C$20)/100)*('Arkusz1 (+5)'!B46-'Arkusz1 (+5)'!B45)/365)</f>
        <v>1.0061643835616438</v>
      </c>
      <c r="D46" s="15">
        <f ca="1">(1+(('Symulacja Pożyczka'!$B$5+'Symulacja Pożyczka'!$C$20)/100)*('Arkusz1 (+5)'!B46-'Arkusz1 (+5)'!B45)/366)</f>
        <v>1.0061475409836065</v>
      </c>
      <c r="E46" s="15">
        <f t="shared" ca="1" si="0"/>
        <v>0</v>
      </c>
      <c r="F46" s="15">
        <f t="shared" ca="1" si="1"/>
        <v>0</v>
      </c>
      <c r="G46">
        <f ca="1">IF(E46=1,(1+(('Symulacja Pożyczka'!$B$5+'Symulacja Pożyczka'!$C$20)/100)*(((Arkusz1!B46-DATE(YEAR(B46),1,1)+1)/365)+((DATE(YEAR(B45),12,31)-Arkusz1!B45)/366))),IF(F46=1,(1+(('Symulacja Pożyczka'!$B$5+'Symulacja Pożyczka'!$C$20)/100)*(((Arkusz1!B46-DATE(YEAR(B46),1,1)+1)/366)+((DATE(YEAR(B45),12,31)-Arkusz1!B45)/365))),0))</f>
        <v>0</v>
      </c>
      <c r="H46">
        <f t="shared" ca="1" si="2"/>
        <v>0</v>
      </c>
      <c r="I46">
        <f t="shared" ca="1" si="3"/>
        <v>1.0061643835616438</v>
      </c>
      <c r="J46">
        <f t="shared" ca="1" si="4"/>
        <v>1.0061643835616438</v>
      </c>
      <c r="K46">
        <f ca="1">PRODUCT($J$3:J46)</f>
        <v>1.3115528228984217</v>
      </c>
      <c r="L46">
        <f t="shared" ca="1" si="5"/>
        <v>0.76245499421829155</v>
      </c>
      <c r="M46">
        <f ca="1">SUM($L$3:L46)</f>
        <v>38.477283277469233</v>
      </c>
      <c r="O46">
        <f ca="1">(Q45*'Arkusz1 (+5)'!J46)-Q45</f>
        <v>5471.7941773857456</v>
      </c>
      <c r="P46" s="16">
        <f t="shared" ca="1" si="6"/>
        <v>9085.8065472468115</v>
      </c>
      <c r="Q46" s="17">
        <f t="shared" ca="1" si="7"/>
        <v>878560.80445088993</v>
      </c>
    </row>
    <row r="47" spans="1:17" x14ac:dyDescent="0.35">
      <c r="A47">
        <v>45</v>
      </c>
      <c r="B47" s="14">
        <f t="shared" ca="1" si="8"/>
        <v>47439</v>
      </c>
      <c r="C47" s="15">
        <f ca="1">(1+(('Symulacja Pożyczka'!$B$5+'Symulacja Pożyczka'!$C$20)/100)*('Arkusz1 (+5)'!B47-'Arkusz1 (+5)'!B46)/365)</f>
        <v>1.0063698630136986</v>
      </c>
      <c r="D47" s="15">
        <f ca="1">(1+(('Symulacja Pożyczka'!$B$5+'Symulacja Pożyczka'!$C$20)/100)*('Arkusz1 (+5)'!B47-'Arkusz1 (+5)'!B46)/366)</f>
        <v>1.0063524590163935</v>
      </c>
      <c r="E47" s="15">
        <f t="shared" ca="1" si="0"/>
        <v>0</v>
      </c>
      <c r="F47" s="15">
        <f t="shared" ca="1" si="1"/>
        <v>0</v>
      </c>
      <c r="G47">
        <f ca="1">IF(E47=1,(1+(('Symulacja Pożyczka'!$B$5+'Symulacja Pożyczka'!$C$20)/100)*(((Arkusz1!B47-DATE(YEAR(B47),1,1)+1)/365)+((DATE(YEAR(B46),12,31)-Arkusz1!B46)/366))),IF(F47=1,(1+(('Symulacja Pożyczka'!$B$5+'Symulacja Pożyczka'!$C$20)/100)*(((Arkusz1!B47-DATE(YEAR(B47),1,1)+1)/366)+((DATE(YEAR(B46),12,31)-Arkusz1!B46)/365))),0))</f>
        <v>0</v>
      </c>
      <c r="H47">
        <f t="shared" ca="1" si="2"/>
        <v>0</v>
      </c>
      <c r="I47">
        <f t="shared" ca="1" si="3"/>
        <v>1.0063698630136986</v>
      </c>
      <c r="J47">
        <f t="shared" ca="1" si="4"/>
        <v>1.0063698630136986</v>
      </c>
      <c r="K47">
        <f ca="1">PRODUCT($J$3:J47)</f>
        <v>1.3199072347155143</v>
      </c>
      <c r="L47">
        <f t="shared" ca="1" si="5"/>
        <v>0.75762900126502797</v>
      </c>
      <c r="M47">
        <f ca="1">SUM($L$3:L47)</f>
        <v>39.234912278734264</v>
      </c>
      <c r="O47">
        <f ca="1">(Q46*'Arkusz1 (+5)'!J47)-Q46</f>
        <v>5596.3119735569926</v>
      </c>
      <c r="P47" s="16">
        <f t="shared" ca="1" si="6"/>
        <v>8961.2887510755645</v>
      </c>
      <c r="Q47" s="17">
        <f t="shared" ca="1" si="7"/>
        <v>869599.51569981442</v>
      </c>
    </row>
    <row r="48" spans="1:17" x14ac:dyDescent="0.35">
      <c r="A48">
        <v>46</v>
      </c>
      <c r="B48" s="14">
        <f t="shared" ca="1" si="8"/>
        <v>47469</v>
      </c>
      <c r="C48" s="15">
        <f ca="1">(1+(('Symulacja Pożyczka'!$B$5+'Symulacja Pożyczka'!$C$20)/100)*('Arkusz1 (+5)'!B48-'Arkusz1 (+5)'!B47)/365)</f>
        <v>1.0061643835616438</v>
      </c>
      <c r="D48" s="15">
        <f ca="1">(1+(('Symulacja Pożyczka'!$B$5+'Symulacja Pożyczka'!$C$20)/100)*('Arkusz1 (+5)'!B48-'Arkusz1 (+5)'!B47)/366)</f>
        <v>1.0061475409836065</v>
      </c>
      <c r="E48" s="15">
        <f t="shared" ca="1" si="0"/>
        <v>0</v>
      </c>
      <c r="F48" s="15">
        <f t="shared" ca="1" si="1"/>
        <v>0</v>
      </c>
      <c r="G48">
        <f ca="1">IF(E48=1,(1+(('Symulacja Pożyczka'!$B$5+'Symulacja Pożyczka'!$C$20)/100)*(((Arkusz1!B48-DATE(YEAR(B48),1,1)+1)/365)+((DATE(YEAR(B47),12,31)-Arkusz1!B47)/366))),IF(F48=1,(1+(('Symulacja Pożyczka'!$B$5+'Symulacja Pożyczka'!$C$20)/100)*(((Arkusz1!B48-DATE(YEAR(B48),1,1)+1)/366)+((DATE(YEAR(B47),12,31)-Arkusz1!B47)/365))),0))</f>
        <v>0</v>
      </c>
      <c r="H48">
        <f t="shared" ca="1" si="2"/>
        <v>0</v>
      </c>
      <c r="I48">
        <f t="shared" ca="1" si="3"/>
        <v>1.0061643835616438</v>
      </c>
      <c r="J48">
        <f t="shared" ca="1" si="4"/>
        <v>1.0061643835616438</v>
      </c>
      <c r="K48">
        <f ca="1">PRODUCT($J$3:J48)</f>
        <v>1.3280436491760894</v>
      </c>
      <c r="L48">
        <f t="shared" ca="1" si="5"/>
        <v>0.75298729873855741</v>
      </c>
      <c r="M48">
        <f ca="1">SUM($L$3:L48)</f>
        <v>39.987899577472824</v>
      </c>
      <c r="O48">
        <f ca="1">(Q47*'Arkusz1 (+5)'!J48)-Q47</f>
        <v>5360.544959793333</v>
      </c>
      <c r="P48" s="16">
        <f t="shared" ca="1" si="6"/>
        <v>9197.0557648392241</v>
      </c>
      <c r="Q48" s="17">
        <f t="shared" ca="1" si="7"/>
        <v>860402.45993497525</v>
      </c>
    </row>
    <row r="49" spans="1:17" x14ac:dyDescent="0.35">
      <c r="A49">
        <v>47</v>
      </c>
      <c r="B49" s="14">
        <f t="shared" ca="1" si="8"/>
        <v>47500</v>
      </c>
      <c r="C49" s="15">
        <f ca="1">(1+(('Symulacja Pożyczka'!$B$5+'Symulacja Pożyczka'!$C$20)/100)*('Arkusz1 (+5)'!B49-'Arkusz1 (+5)'!B48)/365)</f>
        <v>1.0063698630136986</v>
      </c>
      <c r="D49" s="15">
        <f ca="1">(1+(('Symulacja Pożyczka'!$B$5+'Symulacja Pożyczka'!$C$20)/100)*('Arkusz1 (+5)'!B49-'Arkusz1 (+5)'!B48)/366)</f>
        <v>1.0063524590163935</v>
      </c>
      <c r="E49" s="15">
        <f t="shared" ca="1" si="0"/>
        <v>0</v>
      </c>
      <c r="F49" s="15">
        <f t="shared" ca="1" si="1"/>
        <v>0</v>
      </c>
      <c r="G49">
        <f ca="1">IF(E49=1,(1+(('Symulacja Pożyczka'!$B$5+'Symulacja Pożyczka'!$C$20)/100)*(((Arkusz1!B49-DATE(YEAR(B49),1,1)+1)/365)+((DATE(YEAR(B48),12,31)-Arkusz1!B48)/366))),IF(F49=1,(1+(('Symulacja Pożyczka'!$B$5+'Symulacja Pożyczka'!$C$20)/100)*(((Arkusz1!B49-DATE(YEAR(B49),1,1)+1)/366)+((DATE(YEAR(B48),12,31)-Arkusz1!B48)/365))),0))</f>
        <v>0</v>
      </c>
      <c r="H49">
        <f t="shared" ca="1" si="2"/>
        <v>0</v>
      </c>
      <c r="I49">
        <f t="shared" ca="1" si="3"/>
        <v>1.0063698630136986</v>
      </c>
      <c r="J49">
        <f t="shared" ca="1" si="4"/>
        <v>1.0063698630136986</v>
      </c>
      <c r="K49">
        <f ca="1">PRODUCT($J$3:J49)</f>
        <v>1.3365031052975536</v>
      </c>
      <c r="L49">
        <f t="shared" ca="1" si="5"/>
        <v>0.7482212319868603</v>
      </c>
      <c r="M49">
        <f ca="1">SUM($L$3:L49)</f>
        <v>40.736120809459685</v>
      </c>
      <c r="O49">
        <f ca="1">(Q48*'Arkusz1 (+5)'!J49)-Q48</f>
        <v>5480.64580643503</v>
      </c>
      <c r="P49" s="16">
        <f t="shared" ca="1" si="6"/>
        <v>9076.9549181975271</v>
      </c>
      <c r="Q49" s="17">
        <f t="shared" ca="1" si="7"/>
        <v>851325.50501677778</v>
      </c>
    </row>
    <row r="50" spans="1:17" x14ac:dyDescent="0.35">
      <c r="A50">
        <v>48</v>
      </c>
      <c r="B50" s="14">
        <f t="shared" ca="1" si="8"/>
        <v>47531</v>
      </c>
      <c r="C50" s="15">
        <f ca="1">(1+(('Symulacja Pożyczka'!$B$5+'Symulacja Pożyczka'!$C$20)/100)*('Arkusz1 (+5)'!B50-'Arkusz1 (+5)'!B49)/365)</f>
        <v>1.0063698630136986</v>
      </c>
      <c r="D50" s="15">
        <f ca="1">(1+(('Symulacja Pożyczka'!$B$5+'Symulacja Pożyczka'!$C$20)/100)*('Arkusz1 (+5)'!B50-'Arkusz1 (+5)'!B49)/366)</f>
        <v>1.0063524590163935</v>
      </c>
      <c r="E50" s="15">
        <f t="shared" ca="1" si="0"/>
        <v>0</v>
      </c>
      <c r="F50" s="15">
        <f t="shared" ca="1" si="1"/>
        <v>0</v>
      </c>
      <c r="G50">
        <f ca="1">IF(E50=1,(1+(('Symulacja Pożyczka'!$B$5+'Symulacja Pożyczka'!$C$20)/100)*(((Arkusz1!B50-DATE(YEAR(B50),1,1)+1)/365)+((DATE(YEAR(B49),12,31)-Arkusz1!B49)/366))),IF(F50=1,(1+(('Symulacja Pożyczka'!$B$5+'Symulacja Pożyczka'!$C$20)/100)*(((Arkusz1!B50-DATE(YEAR(B50),1,1)+1)/366)+((DATE(YEAR(B49),12,31)-Arkusz1!B49)/365))),0))</f>
        <v>0</v>
      </c>
      <c r="H50">
        <f t="shared" ca="1" si="2"/>
        <v>0</v>
      </c>
      <c r="I50">
        <f t="shared" ca="1" si="3"/>
        <v>1.0063698630136986</v>
      </c>
      <c r="J50">
        <f t="shared" ca="1" si="4"/>
        <v>1.0063698630136986</v>
      </c>
      <c r="K50">
        <f ca="1">PRODUCT($J$3:J50)</f>
        <v>1.3450164469956818</v>
      </c>
      <c r="L50">
        <f t="shared" ca="1" si="5"/>
        <v>0.74348533226762137</v>
      </c>
      <c r="M50">
        <f ca="1">SUM($L$3:L50)</f>
        <v>41.479606141727309</v>
      </c>
      <c r="O50">
        <f ca="1">(Q49*'Arkusz1 (+5)'!J50)-Q49</f>
        <v>5422.8268470246112</v>
      </c>
      <c r="P50" s="16">
        <f t="shared" ca="1" si="6"/>
        <v>9134.7738776079459</v>
      </c>
      <c r="Q50" s="17">
        <f t="shared" ca="1" si="7"/>
        <v>842190.73113916989</v>
      </c>
    </row>
    <row r="51" spans="1:17" x14ac:dyDescent="0.35">
      <c r="A51">
        <v>49</v>
      </c>
      <c r="B51" s="14">
        <f t="shared" ca="1" si="8"/>
        <v>47559</v>
      </c>
      <c r="C51" s="15">
        <f ca="1">(1+(('Symulacja Pożyczka'!$B$5+'Symulacja Pożyczka'!$C$20)/100)*('Arkusz1 (+5)'!B51-'Arkusz1 (+5)'!B50)/365)</f>
        <v>1.0057534246575341</v>
      </c>
      <c r="D51" s="15">
        <f ca="1">(1+(('Symulacja Pożyczka'!$B$5+'Symulacja Pożyczka'!$C$20)/100)*('Arkusz1 (+5)'!B51-'Arkusz1 (+5)'!B50)/366)</f>
        <v>1.0057377049180327</v>
      </c>
      <c r="E51" s="15">
        <f t="shared" ca="1" si="0"/>
        <v>0</v>
      </c>
      <c r="F51" s="15">
        <f t="shared" ca="1" si="1"/>
        <v>0</v>
      </c>
      <c r="G51">
        <f ca="1">IF(E51=1,(1+(('Symulacja Pożyczka'!$B$5+'Symulacja Pożyczka'!$C$20)/100)*(((Arkusz1!B51-DATE(YEAR(B51),1,1)+1)/365)+((DATE(YEAR(B50),12,31)-Arkusz1!B50)/366))),IF(F51=1,(1+(('Symulacja Pożyczka'!$B$5+'Symulacja Pożyczka'!$C$20)/100)*(((Arkusz1!B51-DATE(YEAR(B51),1,1)+1)/366)+((DATE(YEAR(B50),12,31)-Arkusz1!B50)/365))),0))</f>
        <v>0</v>
      </c>
      <c r="H51">
        <f t="shared" ca="1" si="2"/>
        <v>0</v>
      </c>
      <c r="I51">
        <f t="shared" ca="1" si="3"/>
        <v>1.0057534246575341</v>
      </c>
      <c r="J51">
        <f t="shared" ca="1" si="4"/>
        <v>1.0057534246575341</v>
      </c>
      <c r="K51">
        <f ca="1">PRODUCT($J$3:J51)</f>
        <v>1.3527548977866157</v>
      </c>
      <c r="L51">
        <f t="shared" ca="1" si="5"/>
        <v>0.73923221541182738</v>
      </c>
      <c r="M51">
        <f ca="1">SUM($L$3:L51)</f>
        <v>42.218838357139134</v>
      </c>
      <c r="O51">
        <f ca="1">(Q50*'Arkusz1 (+5)'!J51)-Q50</f>
        <v>4845.4809188827639</v>
      </c>
      <c r="P51" s="16">
        <f t="shared" ca="1" si="6"/>
        <v>9712.1198057497932</v>
      </c>
      <c r="Q51" s="17">
        <f t="shared" ca="1" si="7"/>
        <v>832478.61133342015</v>
      </c>
    </row>
    <row r="52" spans="1:17" x14ac:dyDescent="0.35">
      <c r="A52">
        <v>50</v>
      </c>
      <c r="B52" s="14">
        <f t="shared" ca="1" si="8"/>
        <v>47590</v>
      </c>
      <c r="C52" s="15">
        <f ca="1">(1+(('Symulacja Pożyczka'!$B$5+'Symulacja Pożyczka'!$C$20)/100)*('Arkusz1 (+5)'!B52-'Arkusz1 (+5)'!B51)/365)</f>
        <v>1.0063698630136986</v>
      </c>
      <c r="D52" s="15">
        <f ca="1">(1+(('Symulacja Pożyczka'!$B$5+'Symulacja Pożyczka'!$C$20)/100)*('Arkusz1 (+5)'!B52-'Arkusz1 (+5)'!B51)/366)</f>
        <v>1.0063524590163935</v>
      </c>
      <c r="E52" s="15">
        <f t="shared" ca="1" si="0"/>
        <v>0</v>
      </c>
      <c r="F52" s="15">
        <f t="shared" ca="1" si="1"/>
        <v>0</v>
      </c>
      <c r="G52">
        <f ca="1">IF(E52=1,(1+(('Symulacja Pożyczka'!$B$5+'Symulacja Pożyczka'!$C$20)/100)*(((Arkusz1!B52-DATE(YEAR(B52),1,1)+1)/365)+((DATE(YEAR(B51),12,31)-Arkusz1!B51)/366))),IF(F52=1,(1+(('Symulacja Pożyczka'!$B$5+'Symulacja Pożyczka'!$C$20)/100)*(((Arkusz1!B52-DATE(YEAR(B52),1,1)+1)/366)+((DATE(YEAR(B51),12,31)-Arkusz1!B51)/365))),0))</f>
        <v>0</v>
      </c>
      <c r="H52">
        <f t="shared" ca="1" si="2"/>
        <v>0</v>
      </c>
      <c r="I52">
        <f t="shared" ca="1" si="3"/>
        <v>1.0063698630136986</v>
      </c>
      <c r="J52">
        <f t="shared" ca="1" si="4"/>
        <v>1.0063698630136986</v>
      </c>
      <c r="K52">
        <f ca="1">PRODUCT($J$3:J52)</f>
        <v>1.3613717611766263</v>
      </c>
      <c r="L52">
        <f t="shared" ca="1" si="5"/>
        <v>0.73455321207463964</v>
      </c>
      <c r="M52">
        <f ca="1">SUM($L$3:L52)</f>
        <v>42.953391569213771</v>
      </c>
      <c r="O52">
        <f ca="1">(Q51*'Arkusz1 (+5)'!J52)-Q51</f>
        <v>5302.7747160278959</v>
      </c>
      <c r="P52" s="16">
        <f t="shared" ca="1" si="6"/>
        <v>9254.8260086046612</v>
      </c>
      <c r="Q52" s="17">
        <f t="shared" ca="1" si="7"/>
        <v>823223.78532481554</v>
      </c>
    </row>
    <row r="53" spans="1:17" x14ac:dyDescent="0.35">
      <c r="A53">
        <v>51</v>
      </c>
      <c r="B53" s="14">
        <f t="shared" ca="1" si="8"/>
        <v>47620</v>
      </c>
      <c r="C53" s="15">
        <f ca="1">(1+(('Symulacja Pożyczka'!$B$5+'Symulacja Pożyczka'!$C$20)/100)*('Arkusz1 (+5)'!B53-'Arkusz1 (+5)'!B52)/365)</f>
        <v>1.0061643835616438</v>
      </c>
      <c r="D53" s="15">
        <f ca="1">(1+(('Symulacja Pożyczka'!$B$5+'Symulacja Pożyczka'!$C$20)/100)*('Arkusz1 (+5)'!B53-'Arkusz1 (+5)'!B52)/366)</f>
        <v>1.0061475409836065</v>
      </c>
      <c r="E53" s="15">
        <f t="shared" ca="1" si="0"/>
        <v>0</v>
      </c>
      <c r="F53" s="15">
        <f t="shared" ca="1" si="1"/>
        <v>0</v>
      </c>
      <c r="G53">
        <f ca="1">IF(E53=1,(1+(('Symulacja Pożyczka'!$B$5+'Symulacja Pożyczka'!$C$20)/100)*(((Arkusz1!B53-DATE(YEAR(B53),1,1)+1)/365)+((DATE(YEAR(B52),12,31)-Arkusz1!B52)/366))),IF(F53=1,(1+(('Symulacja Pożyczka'!$B$5+'Symulacja Pożyczka'!$C$20)/100)*(((Arkusz1!B53-DATE(YEAR(B53),1,1)+1)/366)+((DATE(YEAR(B52),12,31)-Arkusz1!B52)/365))),0))</f>
        <v>0</v>
      </c>
      <c r="H53">
        <f t="shared" ca="1" si="2"/>
        <v>0</v>
      </c>
      <c r="I53">
        <f t="shared" ca="1" si="3"/>
        <v>1.0061643835616438</v>
      </c>
      <c r="J53">
        <f t="shared" ca="1" si="4"/>
        <v>1.0061643835616438</v>
      </c>
      <c r="K53">
        <f ca="1">PRODUCT($J$3:J53)</f>
        <v>1.3697637788825097</v>
      </c>
      <c r="L53">
        <f t="shared" ca="1" si="5"/>
        <v>0.73005288606465202</v>
      </c>
      <c r="M53">
        <f ca="1">SUM($L$3:L53)</f>
        <v>43.683444455278426</v>
      </c>
      <c r="O53">
        <f ca="1">(Q52*'Arkusz1 (+5)'!J53)-Q52</f>
        <v>5074.6671698105056</v>
      </c>
      <c r="P53" s="16">
        <f t="shared" ca="1" si="6"/>
        <v>9482.9335548220515</v>
      </c>
      <c r="Q53" s="17">
        <f t="shared" ca="1" si="7"/>
        <v>813740.85176999355</v>
      </c>
    </row>
    <row r="54" spans="1:17" x14ac:dyDescent="0.35">
      <c r="A54">
        <v>52</v>
      </c>
      <c r="B54" s="14">
        <f t="shared" ca="1" si="8"/>
        <v>47651</v>
      </c>
      <c r="C54" s="15">
        <f ca="1">(1+(('Symulacja Pożyczka'!$B$5+'Symulacja Pożyczka'!$C$20)/100)*('Arkusz1 (+5)'!B54-'Arkusz1 (+5)'!B53)/365)</f>
        <v>1.0063698630136986</v>
      </c>
      <c r="D54" s="15">
        <f ca="1">(1+(('Symulacja Pożyczka'!$B$5+'Symulacja Pożyczka'!$C$20)/100)*('Arkusz1 (+5)'!B54-'Arkusz1 (+5)'!B53)/366)</f>
        <v>1.0063524590163935</v>
      </c>
      <c r="E54" s="15">
        <f t="shared" ca="1" si="0"/>
        <v>0</v>
      </c>
      <c r="F54" s="15">
        <f t="shared" ca="1" si="1"/>
        <v>0</v>
      </c>
      <c r="G54">
        <f ca="1">IF(E54=1,(1+(('Symulacja Pożyczka'!$B$5+'Symulacja Pożyczka'!$C$20)/100)*(((Arkusz1!B54-DATE(YEAR(B54),1,1)+1)/365)+((DATE(YEAR(B53),12,31)-Arkusz1!B53)/366))),IF(F54=1,(1+(('Symulacja Pożyczka'!$B$5+'Symulacja Pożyczka'!$C$20)/100)*(((Arkusz1!B54-DATE(YEAR(B54),1,1)+1)/366)+((DATE(YEAR(B53),12,31)-Arkusz1!B53)/365))),0))</f>
        <v>0</v>
      </c>
      <c r="H54">
        <f t="shared" ca="1" si="2"/>
        <v>0</v>
      </c>
      <c r="I54">
        <f t="shared" ca="1" si="3"/>
        <v>1.0063698630136986</v>
      </c>
      <c r="J54">
        <f t="shared" ca="1" si="4"/>
        <v>1.0063698630136986</v>
      </c>
      <c r="K54">
        <f ca="1">PRODUCT($J$3:J54)</f>
        <v>1.3784889865151173</v>
      </c>
      <c r="L54">
        <f t="shared" ca="1" si="5"/>
        <v>0.72543198370271011</v>
      </c>
      <c r="M54">
        <f ca="1">SUM($L$3:L54)</f>
        <v>44.408876438981139</v>
      </c>
      <c r="O54">
        <f ca="1">(Q53*'Arkusz1 (+5)'!J54)-Q53</f>
        <v>5183.4177544252016</v>
      </c>
      <c r="P54" s="16">
        <f t="shared" ca="1" si="6"/>
        <v>9374.1829702073555</v>
      </c>
      <c r="Q54" s="17">
        <f t="shared" ca="1" si="7"/>
        <v>804366.66879978625</v>
      </c>
    </row>
    <row r="55" spans="1:17" x14ac:dyDescent="0.35">
      <c r="A55">
        <v>53</v>
      </c>
      <c r="B55" s="14">
        <f t="shared" ca="1" si="8"/>
        <v>47681</v>
      </c>
      <c r="C55" s="15">
        <f ca="1">(1+(('Symulacja Pożyczka'!$B$5+'Symulacja Pożyczka'!$C$20)/100)*('Arkusz1 (+5)'!B55-'Arkusz1 (+5)'!B54)/365)</f>
        <v>1.0061643835616438</v>
      </c>
      <c r="D55" s="15">
        <f ca="1">(1+(('Symulacja Pożyczka'!$B$5+'Symulacja Pożyczka'!$C$20)/100)*('Arkusz1 (+5)'!B55-'Arkusz1 (+5)'!B54)/366)</f>
        <v>1.0061475409836065</v>
      </c>
      <c r="E55" s="15">
        <f t="shared" ca="1" si="0"/>
        <v>0</v>
      </c>
      <c r="F55" s="15">
        <f t="shared" ca="1" si="1"/>
        <v>0</v>
      </c>
      <c r="G55">
        <f ca="1">IF(E55=1,(1+(('Symulacja Pożyczka'!$B$5+'Symulacja Pożyczka'!$C$20)/100)*(((Arkusz1!B55-DATE(YEAR(B55),1,1)+1)/365)+((DATE(YEAR(B54),12,31)-Arkusz1!B54)/366))),IF(F55=1,(1+(('Symulacja Pożyczka'!$B$5+'Symulacja Pożyczka'!$C$20)/100)*(((Arkusz1!B55-DATE(YEAR(B55),1,1)+1)/366)+((DATE(YEAR(B54),12,31)-Arkusz1!B54)/365))),0))</f>
        <v>0</v>
      </c>
      <c r="H55">
        <f t="shared" ca="1" si="2"/>
        <v>0</v>
      </c>
      <c r="I55">
        <f t="shared" ca="1" si="3"/>
        <v>1.0061643835616438</v>
      </c>
      <c r="J55">
        <f t="shared" ca="1" si="4"/>
        <v>1.0061643835616438</v>
      </c>
      <c r="K55">
        <f ca="1">PRODUCT($J$3:J55)</f>
        <v>1.3869865213634982</v>
      </c>
      <c r="L55">
        <f t="shared" ca="1" si="5"/>
        <v>0.72098753996321086</v>
      </c>
      <c r="M55">
        <f ca="1">SUM($L$3:L55)</f>
        <v>45.12986397894435</v>
      </c>
      <c r="O55">
        <f ca="1">(Q54*'Arkusz1 (+5)'!J55)-Q54</f>
        <v>4958.4246706835693</v>
      </c>
      <c r="P55" s="16">
        <f t="shared" ca="1" si="6"/>
        <v>9599.1760539489878</v>
      </c>
      <c r="Q55" s="17">
        <f t="shared" ca="1" si="7"/>
        <v>794767.49274583731</v>
      </c>
    </row>
    <row r="56" spans="1:17" x14ac:dyDescent="0.35">
      <c r="A56">
        <v>54</v>
      </c>
      <c r="B56" s="14">
        <f t="shared" ca="1" si="8"/>
        <v>47712</v>
      </c>
      <c r="C56" s="15">
        <f ca="1">(1+(('Symulacja Pożyczka'!$B$5+'Symulacja Pożyczka'!$C$20)/100)*('Arkusz1 (+5)'!B56-'Arkusz1 (+5)'!B55)/365)</f>
        <v>1.0063698630136986</v>
      </c>
      <c r="D56" s="15">
        <f ca="1">(1+(('Symulacja Pożyczka'!$B$5+'Symulacja Pożyczka'!$C$20)/100)*('Arkusz1 (+5)'!B56-'Arkusz1 (+5)'!B55)/366)</f>
        <v>1.0063524590163935</v>
      </c>
      <c r="E56" s="15">
        <f t="shared" ca="1" si="0"/>
        <v>0</v>
      </c>
      <c r="F56" s="15">
        <f t="shared" ca="1" si="1"/>
        <v>0</v>
      </c>
      <c r="G56">
        <f ca="1">IF(E56=1,(1+(('Symulacja Pożyczka'!$B$5+'Symulacja Pożyczka'!$C$20)/100)*(((Arkusz1!B56-DATE(YEAR(B56),1,1)+1)/365)+((DATE(YEAR(B55),12,31)-Arkusz1!B55)/366))),IF(F56=1,(1+(('Symulacja Pożyczka'!$B$5+'Symulacja Pożyczka'!$C$20)/100)*(((Arkusz1!B56-DATE(YEAR(B56),1,1)+1)/366)+((DATE(YEAR(B55),12,31)-Arkusz1!B55)/365))),0))</f>
        <v>0</v>
      </c>
      <c r="H56">
        <f t="shared" ca="1" si="2"/>
        <v>0</v>
      </c>
      <c r="I56">
        <f t="shared" ca="1" si="3"/>
        <v>1.0063698630136986</v>
      </c>
      <c r="J56">
        <f t="shared" ca="1" si="4"/>
        <v>1.0063698630136986</v>
      </c>
      <c r="K56">
        <f ca="1">PRODUCT($J$3:J56)</f>
        <v>1.39582143550643</v>
      </c>
      <c r="L56">
        <f t="shared" ca="1" si="5"/>
        <v>0.71642401711446801</v>
      </c>
      <c r="M56">
        <f ca="1">SUM($L$3:L56)</f>
        <v>45.84628799605882</v>
      </c>
      <c r="O56">
        <f ca="1">(Q55*'Arkusz1 (+5)'!J56)-Q55</f>
        <v>5062.5600565316854</v>
      </c>
      <c r="P56" s="16">
        <f t="shared" ca="1" si="6"/>
        <v>9495.0406681008717</v>
      </c>
      <c r="Q56" s="17">
        <f t="shared" ca="1" si="7"/>
        <v>785272.4520777365</v>
      </c>
    </row>
    <row r="57" spans="1:17" x14ac:dyDescent="0.35">
      <c r="A57">
        <v>55</v>
      </c>
      <c r="B57" s="14">
        <f t="shared" ca="1" si="8"/>
        <v>47743</v>
      </c>
      <c r="C57" s="15">
        <f ca="1">(1+(('Symulacja Pożyczka'!$B$5+'Symulacja Pożyczka'!$C$20)/100)*('Arkusz1 (+5)'!B57-'Arkusz1 (+5)'!B56)/365)</f>
        <v>1.0063698630136986</v>
      </c>
      <c r="D57" s="15">
        <f ca="1">(1+(('Symulacja Pożyczka'!$B$5+'Symulacja Pożyczka'!$C$20)/100)*('Arkusz1 (+5)'!B57-'Arkusz1 (+5)'!B56)/366)</f>
        <v>1.0063524590163935</v>
      </c>
      <c r="E57" s="15">
        <f t="shared" ca="1" si="0"/>
        <v>0</v>
      </c>
      <c r="F57" s="15">
        <f t="shared" ca="1" si="1"/>
        <v>0</v>
      </c>
      <c r="G57">
        <f ca="1">IF(E57=1,(1+(('Symulacja Pożyczka'!$B$5+'Symulacja Pożyczka'!$C$20)/100)*(((Arkusz1!B57-DATE(YEAR(B57),1,1)+1)/365)+((DATE(YEAR(B56),12,31)-Arkusz1!B56)/366))),IF(F57=1,(1+(('Symulacja Pożyczka'!$B$5+'Symulacja Pożyczka'!$C$20)/100)*(((Arkusz1!B57-DATE(YEAR(B57),1,1)+1)/366)+((DATE(YEAR(B56),12,31)-Arkusz1!B56)/365))),0))</f>
        <v>0</v>
      </c>
      <c r="H57">
        <f t="shared" ca="1" si="2"/>
        <v>0</v>
      </c>
      <c r="I57">
        <f t="shared" ca="1" si="3"/>
        <v>1.0063698630136986</v>
      </c>
      <c r="J57">
        <f t="shared" ca="1" si="4"/>
        <v>1.0063698630136986</v>
      </c>
      <c r="K57">
        <f ca="1">PRODUCT($J$3:J57)</f>
        <v>1.4047126268421901</v>
      </c>
      <c r="L57">
        <f t="shared" ca="1" si="5"/>
        <v>0.71188937928749974</v>
      </c>
      <c r="M57">
        <f ca="1">SUM($L$3:L57)</f>
        <v>46.558177375346318</v>
      </c>
      <c r="O57">
        <f ca="1">(Q56*'Arkusz1 (+5)'!J57)-Q56</f>
        <v>5002.0779481664067</v>
      </c>
      <c r="P57" s="16">
        <f t="shared" ca="1" si="6"/>
        <v>9555.5227764661504</v>
      </c>
      <c r="Q57" s="17">
        <f t="shared" ca="1" si="7"/>
        <v>775716.9293012704</v>
      </c>
    </row>
    <row r="58" spans="1:17" x14ac:dyDescent="0.35">
      <c r="A58">
        <v>56</v>
      </c>
      <c r="B58" s="14">
        <f t="shared" ca="1" si="8"/>
        <v>47773</v>
      </c>
      <c r="C58" s="15">
        <f ca="1">(1+(('Symulacja Pożyczka'!$B$5+'Symulacja Pożyczka'!$C$20)/100)*('Arkusz1 (+5)'!B58-'Arkusz1 (+5)'!B57)/365)</f>
        <v>1.0061643835616438</v>
      </c>
      <c r="D58" s="15">
        <f ca="1">(1+(('Symulacja Pożyczka'!$B$5+'Symulacja Pożyczka'!$C$20)/100)*('Arkusz1 (+5)'!B58-'Arkusz1 (+5)'!B57)/366)</f>
        <v>1.0061475409836065</v>
      </c>
      <c r="E58" s="15">
        <f t="shared" ca="1" si="0"/>
        <v>0</v>
      </c>
      <c r="F58" s="15">
        <f t="shared" ca="1" si="1"/>
        <v>0</v>
      </c>
      <c r="G58">
        <f ca="1">IF(E58=1,(1+(('Symulacja Pożyczka'!$B$5+'Symulacja Pożyczka'!$C$20)/100)*(((Arkusz1!B58-DATE(YEAR(B58),1,1)+1)/365)+((DATE(YEAR(B57),12,31)-Arkusz1!B57)/366))),IF(F58=1,(1+(('Symulacja Pożyczka'!$B$5+'Symulacja Pożyczka'!$C$20)/100)*(((Arkusz1!B58-DATE(YEAR(B58),1,1)+1)/366)+((DATE(YEAR(B57),12,31)-Arkusz1!B57)/365))),0))</f>
        <v>0</v>
      </c>
      <c r="H58">
        <f t="shared" ca="1" si="2"/>
        <v>0</v>
      </c>
      <c r="I58">
        <f t="shared" ca="1" si="3"/>
        <v>1.0061643835616438</v>
      </c>
      <c r="J58">
        <f t="shared" ca="1" si="4"/>
        <v>1.0061643835616438</v>
      </c>
      <c r="K58">
        <f ca="1">PRODUCT($J$3:J58)</f>
        <v>1.4133718142679297</v>
      </c>
      <c r="L58">
        <f t="shared" ca="1" si="5"/>
        <v>0.70752790589499637</v>
      </c>
      <c r="M58">
        <f ca="1">SUM($L$3:L58)</f>
        <v>47.265705281241317</v>
      </c>
      <c r="O58">
        <f ca="1">(Q57*'Arkusz1 (+5)'!J58)-Q57</f>
        <v>4781.8166874735616</v>
      </c>
      <c r="P58" s="16">
        <f t="shared" ca="1" si="6"/>
        <v>9775.7840371589955</v>
      </c>
      <c r="Q58" s="17">
        <f t="shared" ca="1" si="7"/>
        <v>765941.14526411146</v>
      </c>
    </row>
    <row r="59" spans="1:17" x14ac:dyDescent="0.35">
      <c r="A59">
        <v>57</v>
      </c>
      <c r="B59" s="14">
        <f t="shared" ca="1" si="8"/>
        <v>47804</v>
      </c>
      <c r="C59" s="15">
        <f ca="1">(1+(('Symulacja Pożyczka'!$B$5+'Symulacja Pożyczka'!$C$20)/100)*('Arkusz1 (+5)'!B59-'Arkusz1 (+5)'!B58)/365)</f>
        <v>1.0063698630136986</v>
      </c>
      <c r="D59" s="15">
        <f ca="1">(1+(('Symulacja Pożyczka'!$B$5+'Symulacja Pożyczka'!$C$20)/100)*('Arkusz1 (+5)'!B59-'Arkusz1 (+5)'!B58)/366)</f>
        <v>1.0063524590163935</v>
      </c>
      <c r="E59" s="15">
        <f t="shared" ca="1" si="0"/>
        <v>0</v>
      </c>
      <c r="F59" s="15">
        <f t="shared" ca="1" si="1"/>
        <v>0</v>
      </c>
      <c r="G59">
        <f ca="1">IF(E59=1,(1+(('Symulacja Pożyczka'!$B$5+'Symulacja Pożyczka'!$C$20)/100)*(((Arkusz1!B59-DATE(YEAR(B59),1,1)+1)/365)+((DATE(YEAR(B58),12,31)-Arkusz1!B58)/366))),IF(F59=1,(1+(('Symulacja Pożyczka'!$B$5+'Symulacja Pożyczka'!$C$20)/100)*(((Arkusz1!B59-DATE(YEAR(B59),1,1)+1)/366)+((DATE(YEAR(B58),12,31)-Arkusz1!B58)/365))),0))</f>
        <v>0</v>
      </c>
      <c r="H59">
        <f t="shared" ca="1" si="2"/>
        <v>0</v>
      </c>
      <c r="I59">
        <f t="shared" ca="1" si="3"/>
        <v>1.0063698630136986</v>
      </c>
      <c r="J59">
        <f t="shared" ca="1" si="4"/>
        <v>1.0063698630136986</v>
      </c>
      <c r="K59">
        <f ca="1">PRODUCT($J$3:J59)</f>
        <v>1.4223747991122391</v>
      </c>
      <c r="L59">
        <f t="shared" ca="1" si="5"/>
        <v>0.70304957640148003</v>
      </c>
      <c r="M59">
        <f ca="1">SUM($L$3:L59)</f>
        <v>47.9687548576428</v>
      </c>
      <c r="O59">
        <f ca="1">(Q58*'Arkusz1 (+5)'!J59)-Q58</f>
        <v>4878.9401718877489</v>
      </c>
      <c r="P59" s="16">
        <f t="shared" ca="1" si="6"/>
        <v>9678.6605527448082</v>
      </c>
      <c r="Q59" s="17">
        <f t="shared" ca="1" si="7"/>
        <v>756262.48471136671</v>
      </c>
    </row>
    <row r="60" spans="1:17" x14ac:dyDescent="0.35">
      <c r="A60">
        <v>58</v>
      </c>
      <c r="B60" s="14">
        <f t="shared" ca="1" si="8"/>
        <v>47834</v>
      </c>
      <c r="C60" s="15">
        <f ca="1">(1+(('Symulacja Pożyczka'!$B$5+'Symulacja Pożyczka'!$C$20)/100)*('Arkusz1 (+5)'!B60-'Arkusz1 (+5)'!B59)/365)</f>
        <v>1.0061643835616438</v>
      </c>
      <c r="D60" s="15">
        <f ca="1">(1+(('Symulacja Pożyczka'!$B$5+'Symulacja Pożyczka'!$C$20)/100)*('Arkusz1 (+5)'!B60-'Arkusz1 (+5)'!B59)/366)</f>
        <v>1.0061475409836065</v>
      </c>
      <c r="E60" s="15">
        <f t="shared" ca="1" si="0"/>
        <v>0</v>
      </c>
      <c r="F60" s="15">
        <f t="shared" ca="1" si="1"/>
        <v>0</v>
      </c>
      <c r="G60">
        <f ca="1">IF(E60=1,(1+(('Symulacja Pożyczka'!$B$5+'Symulacja Pożyczka'!$C$20)/100)*(((Arkusz1!B60-DATE(YEAR(B60),1,1)+1)/365)+((DATE(YEAR(B59),12,31)-Arkusz1!B59)/366))),IF(F60=1,(1+(('Symulacja Pożyczka'!$B$5+'Symulacja Pożyczka'!$C$20)/100)*(((Arkusz1!B60-DATE(YEAR(B60),1,1)+1)/366)+((DATE(YEAR(B59),12,31)-Arkusz1!B59)/365))),0))</f>
        <v>0</v>
      </c>
      <c r="H60">
        <f t="shared" ca="1" si="2"/>
        <v>0</v>
      </c>
      <c r="I60">
        <f t="shared" ca="1" si="3"/>
        <v>1.0061643835616438</v>
      </c>
      <c r="J60">
        <f t="shared" ca="1" si="4"/>
        <v>1.0061643835616438</v>
      </c>
      <c r="K60">
        <f ca="1">PRODUCT($J$3:J60)</f>
        <v>1.431142862942383</v>
      </c>
      <c r="L60">
        <f t="shared" ca="1" si="5"/>
        <v>0.69874226109337023</v>
      </c>
      <c r="M60">
        <f ca="1">SUM($L$3:L60)</f>
        <v>48.667497118736172</v>
      </c>
      <c r="O60">
        <f ca="1">(Q59*'Arkusz1 (+5)'!J60)-Q59</f>
        <v>4661.892029042705</v>
      </c>
      <c r="P60" s="16">
        <f t="shared" ca="1" si="6"/>
        <v>9895.7086955898521</v>
      </c>
      <c r="Q60" s="17">
        <f t="shared" ca="1" si="7"/>
        <v>746366.77601577691</v>
      </c>
    </row>
    <row r="61" spans="1:17" x14ac:dyDescent="0.35">
      <c r="A61">
        <v>59</v>
      </c>
      <c r="B61" s="14">
        <f t="shared" ca="1" si="8"/>
        <v>47865</v>
      </c>
      <c r="C61" s="15">
        <f ca="1">(1+(('Symulacja Pożyczka'!$B$5+'Symulacja Pożyczka'!$C$20)/100)*('Arkusz1 (+5)'!B61-'Arkusz1 (+5)'!B60)/365)</f>
        <v>1.0063698630136986</v>
      </c>
      <c r="D61" s="15">
        <f ca="1">(1+(('Symulacja Pożyczka'!$B$5+'Symulacja Pożyczka'!$C$20)/100)*('Arkusz1 (+5)'!B61-'Arkusz1 (+5)'!B60)/366)</f>
        <v>1.0063524590163935</v>
      </c>
      <c r="E61" s="15">
        <f t="shared" ca="1" si="0"/>
        <v>0</v>
      </c>
      <c r="F61" s="15">
        <f t="shared" ca="1" si="1"/>
        <v>0</v>
      </c>
      <c r="G61">
        <f ca="1">IF(E61=1,(1+(('Symulacja Pożyczka'!$B$5+'Symulacja Pożyczka'!$C$20)/100)*(((Arkusz1!B61-DATE(YEAR(B61),1,1)+1)/365)+((DATE(YEAR(B60),12,31)-Arkusz1!B60)/366))),IF(F61=1,(1+(('Symulacja Pożyczka'!$B$5+'Symulacja Pożyczka'!$C$20)/100)*(((Arkusz1!B61-DATE(YEAR(B61),1,1)+1)/366)+((DATE(YEAR(B60),12,31)-Arkusz1!B60)/365))),0))</f>
        <v>0</v>
      </c>
      <c r="H61">
        <f t="shared" ca="1" si="2"/>
        <v>0</v>
      </c>
      <c r="I61">
        <f t="shared" ca="1" si="3"/>
        <v>1.0063698630136986</v>
      </c>
      <c r="J61">
        <f t="shared" ca="1" si="4"/>
        <v>1.0063698630136986</v>
      </c>
      <c r="K61">
        <f ca="1">PRODUCT($J$3:J61)</f>
        <v>1.4402590469323584</v>
      </c>
      <c r="L61">
        <f t="shared" ca="1" si="5"/>
        <v>0.69431954073117852</v>
      </c>
      <c r="M61">
        <f ca="1">SUM($L$3:L61)</f>
        <v>49.361816659467351</v>
      </c>
      <c r="O61">
        <f ca="1">(Q60*'Arkusz1 (+5)'!J61)-Q60</f>
        <v>4754.2541211963398</v>
      </c>
      <c r="P61" s="16">
        <f t="shared" ca="1" si="6"/>
        <v>9803.3466034362173</v>
      </c>
      <c r="Q61" s="17">
        <f t="shared" ca="1" si="7"/>
        <v>736563.42941234075</v>
      </c>
    </row>
    <row r="62" spans="1:17" x14ac:dyDescent="0.35">
      <c r="A62">
        <v>60</v>
      </c>
      <c r="B62" s="14">
        <f t="shared" ca="1" si="8"/>
        <v>47896</v>
      </c>
      <c r="C62" s="15">
        <f ca="1">(1+(('Symulacja Pożyczka'!$B$5+'Symulacja Pożyczka'!$C$20)/100)*('Arkusz1 (+5)'!B62-'Arkusz1 (+5)'!B61)/365)</f>
        <v>1.0063698630136986</v>
      </c>
      <c r="D62" s="15">
        <f ca="1">(1+(('Symulacja Pożyczka'!$B$5+'Symulacja Pożyczka'!$C$20)/100)*('Arkusz1 (+5)'!B62-'Arkusz1 (+5)'!B61)/366)</f>
        <v>1.0063524590163935</v>
      </c>
      <c r="E62" s="15">
        <f t="shared" ca="1" si="0"/>
        <v>0</v>
      </c>
      <c r="F62" s="15">
        <f t="shared" ca="1" si="1"/>
        <v>0</v>
      </c>
      <c r="G62">
        <f ca="1">IF(E62=1,(1+(('Symulacja Pożyczka'!$B$5+'Symulacja Pożyczka'!$C$20)/100)*(((Arkusz1!B62-DATE(YEAR(B62),1,1)+1)/365)+((DATE(YEAR(B61),12,31)-Arkusz1!B61)/366))),IF(F62=1,(1+(('Symulacja Pożyczka'!$B$5+'Symulacja Pożyczka'!$C$20)/100)*(((Arkusz1!B62-DATE(YEAR(B62),1,1)+1)/366)+((DATE(YEAR(B61),12,31)-Arkusz1!B61)/365))),0))</f>
        <v>0</v>
      </c>
      <c r="H62">
        <f t="shared" ca="1" si="2"/>
        <v>0</v>
      </c>
      <c r="I62">
        <f t="shared" ca="1" si="3"/>
        <v>1.0063698630136986</v>
      </c>
      <c r="J62">
        <f t="shared" ca="1" si="4"/>
        <v>1.0063698630136986</v>
      </c>
      <c r="K62">
        <f ca="1">PRODUCT($J$3:J62)</f>
        <v>1.4494332997655577</v>
      </c>
      <c r="L62">
        <f t="shared" ca="1" si="5"/>
        <v>0.68992481417513152</v>
      </c>
      <c r="M62">
        <f ca="1">SUM($L$3:L62)</f>
        <v>50.05174147364248</v>
      </c>
      <c r="O62">
        <f ca="1">(Q61*'Arkusz1 (+5)'!J62)-Q61</f>
        <v>4691.8081462566042</v>
      </c>
      <c r="P62" s="16">
        <f t="shared" ca="1" si="6"/>
        <v>9865.7925783759529</v>
      </c>
      <c r="Q62" s="17">
        <f t="shared" ca="1" si="7"/>
        <v>726697.63683396485</v>
      </c>
    </row>
    <row r="63" spans="1:17" x14ac:dyDescent="0.35">
      <c r="A63">
        <v>61</v>
      </c>
      <c r="B63" s="14">
        <f t="shared" ca="1" si="8"/>
        <v>47924</v>
      </c>
      <c r="C63" s="15">
        <f ca="1">(1+(('Symulacja Pożyczka'!$B$5+'Symulacja Pożyczka'!$C$20)/100)*('Arkusz1 (+5)'!B63-'Arkusz1 (+5)'!B62)/365)</f>
        <v>1.0057534246575341</v>
      </c>
      <c r="D63" s="15">
        <f ca="1">(1+(('Symulacja Pożyczka'!$B$5+'Symulacja Pożyczka'!$C$20)/100)*('Arkusz1 (+5)'!B63-'Arkusz1 (+5)'!B62)/366)</f>
        <v>1.0057377049180327</v>
      </c>
      <c r="E63" s="15">
        <f t="shared" ca="1" si="0"/>
        <v>0</v>
      </c>
      <c r="F63" s="15">
        <f t="shared" ca="1" si="1"/>
        <v>0</v>
      </c>
      <c r="G63">
        <f ca="1">IF(E63=1,(1+(('Symulacja Pożyczka'!$B$5+'Symulacja Pożyczka'!$C$20)/100)*(((Arkusz1!B63-DATE(YEAR(B63),1,1)+1)/365)+((DATE(YEAR(B62),12,31)-Arkusz1!B62)/366))),IF(F63=1,(1+(('Symulacja Pożyczka'!$B$5+'Symulacja Pożyczka'!$C$20)/100)*(((Arkusz1!B63-DATE(YEAR(B63),1,1)+1)/366)+((DATE(YEAR(B62),12,31)-Arkusz1!B62)/365))),0))</f>
        <v>0</v>
      </c>
      <c r="H63">
        <f t="shared" ca="1" si="2"/>
        <v>0</v>
      </c>
      <c r="I63">
        <f t="shared" ca="1" si="3"/>
        <v>1.0057534246575341</v>
      </c>
      <c r="J63">
        <f t="shared" ca="1" si="4"/>
        <v>1.0057534246575341</v>
      </c>
      <c r="K63">
        <f ca="1">PRODUCT($J$3:J63)</f>
        <v>1.4577725050518799</v>
      </c>
      <c r="L63">
        <f t="shared" ca="1" si="5"/>
        <v>0.68597809091234818</v>
      </c>
      <c r="M63">
        <f ca="1">SUM($L$3:L63)</f>
        <v>50.73771956455483</v>
      </c>
      <c r="O63">
        <f ca="1">(Q62*'Arkusz1 (+5)'!J63)-Q62</f>
        <v>4181.0001023323275</v>
      </c>
      <c r="P63" s="16">
        <f t="shared" ca="1" si="6"/>
        <v>10376.60062230023</v>
      </c>
      <c r="Q63" s="17">
        <f t="shared" ca="1" si="7"/>
        <v>716321.03621166467</v>
      </c>
    </row>
    <row r="64" spans="1:17" x14ac:dyDescent="0.35">
      <c r="A64">
        <v>62</v>
      </c>
      <c r="B64" s="14">
        <f t="shared" ca="1" si="8"/>
        <v>47955</v>
      </c>
      <c r="C64" s="15">
        <f ca="1">(1+(('Symulacja Pożyczka'!$B$5+'Symulacja Pożyczka'!$C$20)/100)*('Arkusz1 (+5)'!B64-'Arkusz1 (+5)'!B63)/365)</f>
        <v>1.0063698630136986</v>
      </c>
      <c r="D64" s="15">
        <f ca="1">(1+(('Symulacja Pożyczka'!$B$5+'Symulacja Pożyczka'!$C$20)/100)*('Arkusz1 (+5)'!B64-'Arkusz1 (+5)'!B63)/366)</f>
        <v>1.0063524590163935</v>
      </c>
      <c r="E64" s="15">
        <f t="shared" ca="1" si="0"/>
        <v>0</v>
      </c>
      <c r="F64" s="15">
        <f t="shared" ca="1" si="1"/>
        <v>0</v>
      </c>
      <c r="G64">
        <f ca="1">IF(E64=1,(1+(('Symulacja Pożyczka'!$B$5+'Symulacja Pożyczka'!$C$20)/100)*(((Arkusz1!B64-DATE(YEAR(B64),1,1)+1)/365)+((DATE(YEAR(B63),12,31)-Arkusz1!B63)/366))),IF(F64=1,(1+(('Symulacja Pożyczka'!$B$5+'Symulacja Pożyczka'!$C$20)/100)*(((Arkusz1!B64-DATE(YEAR(B64),1,1)+1)/366)+((DATE(YEAR(B63),12,31)-Arkusz1!B63)/365))),0))</f>
        <v>0</v>
      </c>
      <c r="H64">
        <f t="shared" ca="1" si="2"/>
        <v>0</v>
      </c>
      <c r="I64">
        <f t="shared" ca="1" si="3"/>
        <v>1.0063698630136986</v>
      </c>
      <c r="J64">
        <f t="shared" ca="1" si="4"/>
        <v>1.0063698630136986</v>
      </c>
      <c r="K64">
        <f ca="1">PRODUCT($J$3:J64)</f>
        <v>1.4670583162141966</v>
      </c>
      <c r="L64">
        <f t="shared" ca="1" si="5"/>
        <v>0.68163616193563492</v>
      </c>
      <c r="M64">
        <f ca="1">SUM($L$3:L64)</f>
        <v>51.419355726490465</v>
      </c>
      <c r="O64">
        <f ca="1">(Q63*'Arkusz1 (+5)'!J64)-Q63</f>
        <v>4562.8668744988972</v>
      </c>
      <c r="P64" s="16">
        <f t="shared" ca="1" si="6"/>
        <v>9994.7338501336599</v>
      </c>
      <c r="Q64" s="17">
        <f t="shared" ca="1" si="7"/>
        <v>706326.30236153107</v>
      </c>
    </row>
    <row r="65" spans="1:17" x14ac:dyDescent="0.35">
      <c r="A65">
        <v>63</v>
      </c>
      <c r="B65" s="14">
        <f t="shared" ca="1" si="8"/>
        <v>47985</v>
      </c>
      <c r="C65" s="15">
        <f ca="1">(1+(('Symulacja Pożyczka'!$B$5+'Symulacja Pożyczka'!$C$20)/100)*('Arkusz1 (+5)'!B65-'Arkusz1 (+5)'!B64)/365)</f>
        <v>1.0061643835616438</v>
      </c>
      <c r="D65" s="15">
        <f ca="1">(1+(('Symulacja Pożyczka'!$B$5+'Symulacja Pożyczka'!$C$20)/100)*('Arkusz1 (+5)'!B65-'Arkusz1 (+5)'!B64)/366)</f>
        <v>1.0061475409836065</v>
      </c>
      <c r="E65" s="15">
        <f t="shared" ca="1" si="0"/>
        <v>0</v>
      </c>
      <c r="F65" s="15">
        <f t="shared" ca="1" si="1"/>
        <v>0</v>
      </c>
      <c r="G65">
        <f ca="1">IF(E65=1,(1+(('Symulacja Pożyczka'!$B$5+'Symulacja Pożyczka'!$C$20)/100)*(((Arkusz1!B65-DATE(YEAR(B65),1,1)+1)/365)+((DATE(YEAR(B64),12,31)-Arkusz1!B64)/366))),IF(F65=1,(1+(('Symulacja Pożyczka'!$B$5+'Symulacja Pożyczka'!$C$20)/100)*(((Arkusz1!B65-DATE(YEAR(B65),1,1)+1)/366)+((DATE(YEAR(B64),12,31)-Arkusz1!B64)/365))),0))</f>
        <v>0</v>
      </c>
      <c r="H65">
        <f t="shared" ca="1" si="2"/>
        <v>0</v>
      </c>
      <c r="I65">
        <f t="shared" ca="1" si="3"/>
        <v>1.0061643835616438</v>
      </c>
      <c r="J65">
        <f t="shared" ca="1" si="4"/>
        <v>1.0061643835616438</v>
      </c>
      <c r="K65">
        <f ca="1">PRODUCT($J$3:J65)</f>
        <v>1.4761018263826402</v>
      </c>
      <c r="L65">
        <f t="shared" ca="1" si="5"/>
        <v>0.67746003841118241</v>
      </c>
      <c r="M65">
        <f ca="1">SUM($L$3:L65)</f>
        <v>52.096815764901649</v>
      </c>
      <c r="O65">
        <f ca="1">(Q64*'Arkusz1 (+5)'!J65)-Q64</f>
        <v>4354.0662474341225</v>
      </c>
      <c r="P65" s="16">
        <f t="shared" ca="1" si="6"/>
        <v>10203.534477198435</v>
      </c>
      <c r="Q65" s="17">
        <f t="shared" ca="1" si="7"/>
        <v>696122.76788433269</v>
      </c>
    </row>
    <row r="66" spans="1:17" x14ac:dyDescent="0.35">
      <c r="A66">
        <v>64</v>
      </c>
      <c r="B66" s="14">
        <f t="shared" ca="1" si="8"/>
        <v>48016</v>
      </c>
      <c r="C66" s="15">
        <f ca="1">(1+(('Symulacja Pożyczka'!$B$5+'Symulacja Pożyczka'!$C$20)/100)*('Arkusz1 (+5)'!B66-'Arkusz1 (+5)'!B65)/365)</f>
        <v>1.0063698630136986</v>
      </c>
      <c r="D66" s="15">
        <f ca="1">(1+(('Symulacja Pożyczka'!$B$5+'Symulacja Pożyczka'!$C$20)/100)*('Arkusz1 (+5)'!B66-'Arkusz1 (+5)'!B65)/366)</f>
        <v>1.0063524590163935</v>
      </c>
      <c r="E66" s="15">
        <f t="shared" ca="1" si="0"/>
        <v>0</v>
      </c>
      <c r="F66" s="15">
        <f t="shared" ca="1" si="1"/>
        <v>0</v>
      </c>
      <c r="G66">
        <f ca="1">IF(E66=1,(1+(('Symulacja Pożyczka'!$B$5+'Symulacja Pożyczka'!$C$20)/100)*(((Arkusz1!B66-DATE(YEAR(B66),1,1)+1)/365)+((DATE(YEAR(B65),12,31)-Arkusz1!B65)/366))),IF(F66=1,(1+(('Symulacja Pożyczka'!$B$5+'Symulacja Pożyczka'!$C$20)/100)*(((Arkusz1!B66-DATE(YEAR(B66),1,1)+1)/366)+((DATE(YEAR(B65),12,31)-Arkusz1!B65)/365))),0))</f>
        <v>0</v>
      </c>
      <c r="H66">
        <f t="shared" ca="1" si="2"/>
        <v>0</v>
      </c>
      <c r="I66">
        <f t="shared" ca="1" si="3"/>
        <v>1.0063698630136986</v>
      </c>
      <c r="J66">
        <f t="shared" ca="1" si="4"/>
        <v>1.0063698630136986</v>
      </c>
      <c r="K66">
        <f ca="1">PRODUCT($J$3:J66)</f>
        <v>1.4855043928109679</v>
      </c>
      <c r="L66">
        <f t="shared" ca="1" si="5"/>
        <v>0.67317202482837157</v>
      </c>
      <c r="M66">
        <f ca="1">SUM($L$3:L66)</f>
        <v>52.769987789730024</v>
      </c>
      <c r="O66">
        <f ca="1">(Q65*'Arkusz1 (+5)'!J66)-Q65</f>
        <v>4434.2066721399315</v>
      </c>
      <c r="P66" s="16">
        <f t="shared" ca="1" si="6"/>
        <v>10123.394052492626</v>
      </c>
      <c r="Q66" s="17">
        <f t="shared" ca="1" si="7"/>
        <v>685999.37383184012</v>
      </c>
    </row>
    <row r="67" spans="1:17" x14ac:dyDescent="0.35">
      <c r="A67">
        <v>65</v>
      </c>
      <c r="B67" s="14">
        <f t="shared" ca="1" si="8"/>
        <v>48046</v>
      </c>
      <c r="C67" s="15">
        <f ca="1">(1+(('Symulacja Pożyczka'!$B$5+'Symulacja Pożyczka'!$C$20)/100)*('Arkusz1 (+5)'!B67-'Arkusz1 (+5)'!B66)/365)</f>
        <v>1.0061643835616438</v>
      </c>
      <c r="D67" s="15">
        <f ca="1">(1+(('Symulacja Pożyczka'!$B$5+'Symulacja Pożyczka'!$C$20)/100)*('Arkusz1 (+5)'!B67-'Arkusz1 (+5)'!B66)/366)</f>
        <v>1.0061475409836065</v>
      </c>
      <c r="E67" s="15">
        <f t="shared" ca="1" si="0"/>
        <v>0</v>
      </c>
      <c r="F67" s="15">
        <f t="shared" ca="1" si="1"/>
        <v>0</v>
      </c>
      <c r="G67">
        <f ca="1">IF(E67=1,(1+(('Symulacja Pożyczka'!$B$5+'Symulacja Pożyczka'!$C$20)/100)*(((Arkusz1!B67-DATE(YEAR(B67),1,1)+1)/365)+((DATE(YEAR(B66),12,31)-Arkusz1!B66)/366))),IF(F67=1,(1+(('Symulacja Pożyczka'!$B$5+'Symulacja Pożyczka'!$C$20)/100)*(((Arkusz1!B67-DATE(YEAR(B67),1,1)+1)/366)+((DATE(YEAR(B66),12,31)-Arkusz1!B66)/365))),0))</f>
        <v>0</v>
      </c>
      <c r="H67">
        <f t="shared" ca="1" si="2"/>
        <v>0</v>
      </c>
      <c r="I67">
        <f t="shared" ca="1" si="3"/>
        <v>1.0061643835616438</v>
      </c>
      <c r="J67">
        <f t="shared" ca="1" si="4"/>
        <v>1.0061643835616438</v>
      </c>
      <c r="K67">
        <f ca="1">PRODUCT($J$3:J67)</f>
        <v>1.4946616116707616</v>
      </c>
      <c r="L67">
        <f t="shared" ca="1" si="5"/>
        <v>0.66904775782806158</v>
      </c>
      <c r="M67">
        <f ca="1">SUM($L$3:L67)</f>
        <v>53.439035547558085</v>
      </c>
      <c r="O67">
        <f ca="1">(Q66*'Arkusz1 (+5)'!J67)-Q66</f>
        <v>4228.7632633469766</v>
      </c>
      <c r="P67" s="16">
        <f t="shared" ca="1" si="6"/>
        <v>10328.837461285581</v>
      </c>
      <c r="Q67" s="17">
        <f t="shared" ca="1" si="7"/>
        <v>675670.53637055459</v>
      </c>
    </row>
    <row r="68" spans="1:17" x14ac:dyDescent="0.35">
      <c r="A68">
        <v>66</v>
      </c>
      <c r="B68" s="14">
        <f t="shared" ca="1" si="8"/>
        <v>48077</v>
      </c>
      <c r="C68" s="15">
        <f ca="1">(1+(('Symulacja Pożyczka'!$B$5+'Symulacja Pożyczka'!$C$20)/100)*('Arkusz1 (+5)'!B68-'Arkusz1 (+5)'!B67)/365)</f>
        <v>1.0063698630136986</v>
      </c>
      <c r="D68" s="15">
        <f ca="1">(1+(('Symulacja Pożyczka'!$B$5+'Symulacja Pożyczka'!$C$20)/100)*('Arkusz1 (+5)'!B68-'Arkusz1 (+5)'!B67)/366)</f>
        <v>1.0063524590163935</v>
      </c>
      <c r="E68" s="15">
        <f t="shared" ref="E68:E131" ca="1" si="9">IF(AND(MOD(YEAR(B67),4)=0,MOD(YEAR(B68),4)&lt;&gt;0),1,0)</f>
        <v>0</v>
      </c>
      <c r="F68" s="15">
        <f t="shared" ref="F68:F131" ca="1" si="10">IF(AND(MOD(YEAR(B68),4)=0,MOD(YEAR(B67),4)&lt;&gt;0),1,0)</f>
        <v>0</v>
      </c>
      <c r="G68">
        <f ca="1">IF(E68=1,(1+(('Symulacja Pożyczka'!$B$5+'Symulacja Pożyczka'!$C$20)/100)*(((Arkusz1!B68-DATE(YEAR(B68),1,1)+1)/365)+((DATE(YEAR(B67),12,31)-Arkusz1!B67)/366))),IF(F68=1,(1+(('Symulacja Pożyczka'!$B$5+'Symulacja Pożyczka'!$C$20)/100)*(((Arkusz1!B68-DATE(YEAR(B68),1,1)+1)/366)+((DATE(YEAR(B67),12,31)-Arkusz1!B67)/365))),0))</f>
        <v>0</v>
      </c>
      <c r="H68">
        <f t="shared" ref="H68:H131" ca="1" si="11">IF(MOD(YEAR(B68),4)=0,1,0)</f>
        <v>0</v>
      </c>
      <c r="I68">
        <f t="shared" ref="I68:I131" ca="1" si="12">IF(H68=0,C68,IF(H68=1,D68,"blad"))</f>
        <v>1.0063698630136986</v>
      </c>
      <c r="J68">
        <f t="shared" ref="J68:J131" ca="1" si="13">IF(OR(E68=1,F68=1),G68,I68)</f>
        <v>1.0063698630136986</v>
      </c>
      <c r="K68">
        <f ca="1">PRODUCT($J$3:J68)</f>
        <v>1.5041824013889382</v>
      </c>
      <c r="L68">
        <f t="shared" ref="L68:L131" ca="1" si="14">1/K68</f>
        <v>0.66481299015107198</v>
      </c>
      <c r="M68">
        <f ca="1">SUM($L$3:L68)</f>
        <v>54.103848537709155</v>
      </c>
      <c r="O68">
        <f ca="1">(Q67*'Arkusz1 (+5)'!J68)-Q67</f>
        <v>4303.9287590726744</v>
      </c>
      <c r="P68" s="16">
        <f t="shared" ca="1" si="6"/>
        <v>10253.671965559883</v>
      </c>
      <c r="Q68" s="17">
        <f t="shared" ca="1" si="7"/>
        <v>665416.86440499476</v>
      </c>
    </row>
    <row r="69" spans="1:17" x14ac:dyDescent="0.35">
      <c r="A69">
        <v>67</v>
      </c>
      <c r="B69" s="14">
        <f t="shared" ca="1" si="8"/>
        <v>48108</v>
      </c>
      <c r="C69" s="15">
        <f ca="1">(1+(('Symulacja Pożyczka'!$B$5+'Symulacja Pożyczka'!$C$20)/100)*('Arkusz1 (+5)'!B69-'Arkusz1 (+5)'!B68)/365)</f>
        <v>1.0063698630136986</v>
      </c>
      <c r="D69" s="15">
        <f ca="1">(1+(('Symulacja Pożyczka'!$B$5+'Symulacja Pożyczka'!$C$20)/100)*('Arkusz1 (+5)'!B69-'Arkusz1 (+5)'!B68)/366)</f>
        <v>1.0063524590163935</v>
      </c>
      <c r="E69" s="15">
        <f t="shared" ca="1" si="9"/>
        <v>0</v>
      </c>
      <c r="F69" s="15">
        <f t="shared" ca="1" si="10"/>
        <v>0</v>
      </c>
      <c r="G69">
        <f ca="1">IF(E69=1,(1+(('Symulacja Pożyczka'!$B$5+'Symulacja Pożyczka'!$C$20)/100)*(((Arkusz1!B69-DATE(YEAR(B69),1,1)+1)/365)+((DATE(YEAR(B68),12,31)-Arkusz1!B68)/366))),IF(F69=1,(1+(('Symulacja Pożyczka'!$B$5+'Symulacja Pożyczka'!$C$20)/100)*(((Arkusz1!B69-DATE(YEAR(B69),1,1)+1)/366)+((DATE(YEAR(B68),12,31)-Arkusz1!B68)/365))),0))</f>
        <v>0</v>
      </c>
      <c r="H69">
        <f t="shared" ca="1" si="11"/>
        <v>0</v>
      </c>
      <c r="I69">
        <f t="shared" ca="1" si="12"/>
        <v>1.0063698630136986</v>
      </c>
      <c r="J69">
        <f t="shared" ca="1" si="13"/>
        <v>1.0063698630136986</v>
      </c>
      <c r="K69">
        <f ca="1">PRODUCT($J$3:J69)</f>
        <v>1.5137638372334019</v>
      </c>
      <c r="L69">
        <f t="shared" ca="1" si="14"/>
        <v>0.66060502662530807</v>
      </c>
      <c r="M69">
        <f ca="1">SUM($L$3:L69)</f>
        <v>54.76445356433446</v>
      </c>
      <c r="O69">
        <f ca="1">(Q68*'Arkusz1 (+5)'!J69)-Q68</f>
        <v>4238.6142732646549</v>
      </c>
      <c r="P69" s="16">
        <f t="shared" ref="P69:P132" ca="1" si="15">$N$2-O69</f>
        <v>10318.986451367902</v>
      </c>
      <c r="Q69" s="17">
        <f t="shared" ref="Q69:Q132" ca="1" si="16">Q68-P69</f>
        <v>655097.87795362691</v>
      </c>
    </row>
    <row r="70" spans="1:17" x14ac:dyDescent="0.35">
      <c r="A70">
        <v>68</v>
      </c>
      <c r="B70" s="14">
        <f t="shared" ref="B70:B133" ca="1" si="17">DATE(YEAR((B69)),MONTH((B69))+1,IF(AND(DAY(B69)&gt;28,MONTH((B69))+1=2),IF(MOD(YEAR(B69),4)=0,29,28),IF(AND(OR(DAY(B69)=28,DAY(B69)=29),MONTH((B69))=2),DAY(B68),DAY(B69))))</f>
        <v>48138</v>
      </c>
      <c r="C70" s="15">
        <f ca="1">(1+(('Symulacja Pożyczka'!$B$5+'Symulacja Pożyczka'!$C$20)/100)*('Arkusz1 (+5)'!B70-'Arkusz1 (+5)'!B69)/365)</f>
        <v>1.0061643835616438</v>
      </c>
      <c r="D70" s="15">
        <f ca="1">(1+(('Symulacja Pożyczka'!$B$5+'Symulacja Pożyczka'!$C$20)/100)*('Arkusz1 (+5)'!B70-'Arkusz1 (+5)'!B69)/366)</f>
        <v>1.0061475409836065</v>
      </c>
      <c r="E70" s="15">
        <f t="shared" ca="1" si="9"/>
        <v>0</v>
      </c>
      <c r="F70" s="15">
        <f t="shared" ca="1" si="10"/>
        <v>0</v>
      </c>
      <c r="G70">
        <f ca="1">IF(E70=1,(1+(('Symulacja Pożyczka'!$B$5+'Symulacja Pożyczka'!$C$20)/100)*(((Arkusz1!B70-DATE(YEAR(B70),1,1)+1)/365)+((DATE(YEAR(B69),12,31)-Arkusz1!B69)/366))),IF(F70=1,(1+(('Symulacja Pożyczka'!$B$5+'Symulacja Pożyczka'!$C$20)/100)*(((Arkusz1!B70-DATE(YEAR(B70),1,1)+1)/366)+((DATE(YEAR(B69),12,31)-Arkusz1!B69)/365))),0))</f>
        <v>0</v>
      </c>
      <c r="H70">
        <f t="shared" ca="1" si="11"/>
        <v>0</v>
      </c>
      <c r="I70">
        <f t="shared" ca="1" si="12"/>
        <v>1.0061643835616438</v>
      </c>
      <c r="J70">
        <f t="shared" ca="1" si="13"/>
        <v>1.0061643835616438</v>
      </c>
      <c r="K70">
        <f ca="1">PRODUCT($J$3:J70)</f>
        <v>1.5230952581478543</v>
      </c>
      <c r="L70">
        <f t="shared" ca="1" si="14"/>
        <v>0.65655775280663708</v>
      </c>
      <c r="M70">
        <f ca="1">SUM($L$3:L70)</f>
        <v>55.421011317141094</v>
      </c>
      <c r="O70">
        <f ca="1">(Q69*'Arkusz1 (+5)'!J70)-Q69</f>
        <v>4038.2745901250746</v>
      </c>
      <c r="P70" s="16">
        <f t="shared" ca="1" si="15"/>
        <v>10519.326134507482</v>
      </c>
      <c r="Q70" s="17">
        <f t="shared" ca="1" si="16"/>
        <v>644578.55181911949</v>
      </c>
    </row>
    <row r="71" spans="1:17" x14ac:dyDescent="0.35">
      <c r="A71">
        <v>69</v>
      </c>
      <c r="B71" s="14">
        <f t="shared" ca="1" si="17"/>
        <v>48169</v>
      </c>
      <c r="C71" s="15">
        <f ca="1">(1+(('Symulacja Pożyczka'!$B$5+'Symulacja Pożyczka'!$C$20)/100)*('Arkusz1 (+5)'!B71-'Arkusz1 (+5)'!B70)/365)</f>
        <v>1.0063698630136986</v>
      </c>
      <c r="D71" s="15">
        <f ca="1">(1+(('Symulacja Pożyczka'!$B$5+'Symulacja Pożyczka'!$C$20)/100)*('Arkusz1 (+5)'!B71-'Arkusz1 (+5)'!B70)/366)</f>
        <v>1.0063524590163935</v>
      </c>
      <c r="E71" s="15">
        <f t="shared" ca="1" si="9"/>
        <v>0</v>
      </c>
      <c r="F71" s="15">
        <f t="shared" ca="1" si="10"/>
        <v>0</v>
      </c>
      <c r="G71">
        <f ca="1">IF(E71=1,(1+(('Symulacja Pożyczka'!$B$5+'Symulacja Pożyczka'!$C$20)/100)*(((Arkusz1!B71-DATE(YEAR(B71),1,1)+1)/365)+((DATE(YEAR(B70),12,31)-Arkusz1!B70)/366))),IF(F71=1,(1+(('Symulacja Pożyczka'!$B$5+'Symulacja Pożyczka'!$C$20)/100)*(((Arkusz1!B71-DATE(YEAR(B71),1,1)+1)/366)+((DATE(YEAR(B70),12,31)-Arkusz1!B70)/365))),0))</f>
        <v>0</v>
      </c>
      <c r="H71">
        <f t="shared" ca="1" si="11"/>
        <v>0</v>
      </c>
      <c r="I71">
        <f t="shared" ca="1" si="12"/>
        <v>1.0063698630136986</v>
      </c>
      <c r="J71">
        <f t="shared" ca="1" si="13"/>
        <v>1.0063698630136986</v>
      </c>
      <c r="K71">
        <f ca="1">PRODUCT($J$3:J71)</f>
        <v>1.53279716629907</v>
      </c>
      <c r="L71">
        <f t="shared" ca="1" si="14"/>
        <v>0.65240204117449818</v>
      </c>
      <c r="M71">
        <f ca="1">SUM($L$3:L71)</f>
        <v>56.073413358315591</v>
      </c>
      <c r="O71">
        <f ca="1">(Q70*'Arkusz1 (+5)'!J71)-Q70</f>
        <v>4105.8770766559755</v>
      </c>
      <c r="P71" s="16">
        <f t="shared" ca="1" si="15"/>
        <v>10451.723647976582</v>
      </c>
      <c r="Q71" s="17">
        <f t="shared" ca="1" si="16"/>
        <v>634126.82817114296</v>
      </c>
    </row>
    <row r="72" spans="1:17" x14ac:dyDescent="0.35">
      <c r="A72">
        <v>70</v>
      </c>
      <c r="B72" s="14">
        <f t="shared" ca="1" si="17"/>
        <v>48199</v>
      </c>
      <c r="C72" s="15">
        <f ca="1">(1+(('Symulacja Pożyczka'!$B$5+'Symulacja Pożyczka'!$C$20)/100)*('Arkusz1 (+5)'!B72-'Arkusz1 (+5)'!B71)/365)</f>
        <v>1.0061643835616438</v>
      </c>
      <c r="D72" s="15">
        <f ca="1">(1+(('Symulacja Pożyczka'!$B$5+'Symulacja Pożyczka'!$C$20)/100)*('Arkusz1 (+5)'!B72-'Arkusz1 (+5)'!B71)/366)</f>
        <v>1.0061475409836065</v>
      </c>
      <c r="E72" s="15">
        <f t="shared" ca="1" si="9"/>
        <v>0</v>
      </c>
      <c r="F72" s="15">
        <f t="shared" ca="1" si="10"/>
        <v>0</v>
      </c>
      <c r="G72">
        <f ca="1">IF(E72=1,(1+(('Symulacja Pożyczka'!$B$5+'Symulacja Pożyczka'!$C$20)/100)*(((Arkusz1!B72-DATE(YEAR(B72),1,1)+1)/365)+((DATE(YEAR(B71),12,31)-Arkusz1!B71)/366))),IF(F72=1,(1+(('Symulacja Pożyczka'!$B$5+'Symulacja Pożyczka'!$C$20)/100)*(((Arkusz1!B72-DATE(YEAR(B72),1,1)+1)/366)+((DATE(YEAR(B71),12,31)-Arkusz1!B71)/365))),0))</f>
        <v>0</v>
      </c>
      <c r="H72">
        <f t="shared" ca="1" si="11"/>
        <v>0</v>
      </c>
      <c r="I72">
        <f t="shared" ca="1" si="12"/>
        <v>1.0061643835616438</v>
      </c>
      <c r="J72">
        <f t="shared" ca="1" si="13"/>
        <v>1.0061643835616438</v>
      </c>
      <c r="K72">
        <f ca="1">PRODUCT($J$3:J72)</f>
        <v>1.5422459159543382</v>
      </c>
      <c r="L72">
        <f t="shared" ca="1" si="14"/>
        <v>0.64840502390385801</v>
      </c>
      <c r="M72">
        <f ca="1">SUM($L$3:L72)</f>
        <v>56.721818382219446</v>
      </c>
      <c r="O72">
        <f ca="1">(Q71*'Arkusz1 (+5)'!J72)-Q71</f>
        <v>3909.0009955755668</v>
      </c>
      <c r="P72" s="16">
        <f t="shared" ca="1" si="15"/>
        <v>10648.59972905699</v>
      </c>
      <c r="Q72" s="17">
        <f t="shared" ca="1" si="16"/>
        <v>623478.22844208602</v>
      </c>
    </row>
    <row r="73" spans="1:17" x14ac:dyDescent="0.35">
      <c r="A73">
        <v>71</v>
      </c>
      <c r="B73" s="14">
        <f t="shared" ca="1" si="17"/>
        <v>48230</v>
      </c>
      <c r="C73" s="15">
        <f ca="1">(1+(('Symulacja Pożyczka'!$B$5+'Symulacja Pożyczka'!$C$20)/100)*('Arkusz1 (+5)'!B73-'Arkusz1 (+5)'!B72)/365)</f>
        <v>1.0063698630136986</v>
      </c>
      <c r="D73" s="15">
        <f ca="1">(1+(('Symulacja Pożyczka'!$B$5+'Symulacja Pożyczka'!$C$20)/100)*('Arkusz1 (+5)'!B73-'Arkusz1 (+5)'!B72)/366)</f>
        <v>1.0063524590163935</v>
      </c>
      <c r="E73" s="15">
        <f t="shared" ca="1" si="9"/>
        <v>0</v>
      </c>
      <c r="F73" s="15">
        <f t="shared" ca="1" si="10"/>
        <v>1</v>
      </c>
      <c r="G73">
        <f ca="1">IF(E73=1,(1+(('Symulacja Pożyczka'!$B$5+'Symulacja Pożyczka'!$C$20)/100)*(((Arkusz1!B73-DATE(YEAR(B73),1,1)+1)/365)+((DATE(YEAR(B72),12,31)-Arkusz1!B72)/366))),IF(F73=1,(1+(('Symulacja Pożyczka'!$B$5+'Symulacja Pożyczka'!$C$20)/100)*(((Arkusz1!B73-DATE(YEAR(B73),1,1)+1)/366)+((DATE(YEAR(B72),12,31)-Arkusz1!B72)/365))),0))</f>
        <v>1.0063603188861441</v>
      </c>
      <c r="H73">
        <f t="shared" ca="1" si="11"/>
        <v>1</v>
      </c>
      <c r="I73">
        <f t="shared" ca="1" si="12"/>
        <v>1.0063524590163935</v>
      </c>
      <c r="J73">
        <f t="shared" ca="1" si="13"/>
        <v>1.0063603188861441</v>
      </c>
      <c r="K73">
        <f ca="1">PRODUCT($J$3:J73)</f>
        <v>1.5520550917806613</v>
      </c>
      <c r="L73">
        <f t="shared" ca="1" si="14"/>
        <v>0.64430702575944476</v>
      </c>
      <c r="M73">
        <f ca="1">SUM($L$3:L73)</f>
        <v>57.366125407978892</v>
      </c>
      <c r="O73">
        <f ca="1">(Q72*'Arkusz1 (+5)'!J73)-Q72</f>
        <v>3965.5203514598543</v>
      </c>
      <c r="P73" s="16">
        <f t="shared" ca="1" si="15"/>
        <v>10592.080373172703</v>
      </c>
      <c r="Q73" s="17">
        <f t="shared" ca="1" si="16"/>
        <v>612886.14806891338</v>
      </c>
    </row>
    <row r="74" spans="1:17" x14ac:dyDescent="0.35">
      <c r="A74">
        <v>72</v>
      </c>
      <c r="B74" s="14">
        <f t="shared" ca="1" si="17"/>
        <v>48261</v>
      </c>
      <c r="C74" s="15">
        <f ca="1">(1+(('Symulacja Pożyczka'!$B$5+'Symulacja Pożyczka'!$C$20)/100)*('Arkusz1 (+5)'!B74-'Arkusz1 (+5)'!B73)/365)</f>
        <v>1.0063698630136986</v>
      </c>
      <c r="D74" s="15">
        <f ca="1">(1+(('Symulacja Pożyczka'!$B$5+'Symulacja Pożyczka'!$C$20)/100)*('Arkusz1 (+5)'!B74-'Arkusz1 (+5)'!B73)/366)</f>
        <v>1.0063524590163935</v>
      </c>
      <c r="E74" s="15">
        <f t="shared" ca="1" si="9"/>
        <v>0</v>
      </c>
      <c r="F74" s="15">
        <f t="shared" ca="1" si="10"/>
        <v>0</v>
      </c>
      <c r="G74">
        <f ca="1">IF(E74=1,(1+(('Symulacja Pożyczka'!$B$5+'Symulacja Pożyczka'!$C$20)/100)*(((Arkusz1!B74-DATE(YEAR(B74),1,1)+1)/365)+((DATE(YEAR(B73),12,31)-Arkusz1!B73)/366))),IF(F74=1,(1+(('Symulacja Pożyczka'!$B$5+'Symulacja Pożyczka'!$C$20)/100)*(((Arkusz1!B74-DATE(YEAR(B74),1,1)+1)/366)+((DATE(YEAR(B73),12,31)-Arkusz1!B73)/365))),0))</f>
        <v>0</v>
      </c>
      <c r="H74">
        <f t="shared" ca="1" si="11"/>
        <v>1</v>
      </c>
      <c r="I74">
        <f t="shared" ca="1" si="12"/>
        <v>1.0063524590163935</v>
      </c>
      <c r="J74">
        <f t="shared" ca="1" si="13"/>
        <v>1.0063524590163935</v>
      </c>
      <c r="K74">
        <f ca="1">PRODUCT($J$3:J74)</f>
        <v>1.5619144581423827</v>
      </c>
      <c r="L74">
        <f t="shared" ca="1" si="14"/>
        <v>0.64023992785707406</v>
      </c>
      <c r="M74">
        <f ca="1">SUM($L$3:L74)</f>
        <v>58.006365335835966</v>
      </c>
      <c r="O74">
        <f ca="1">(Q73*'Arkusz1 (+5)'!J74)-Q73</f>
        <v>3893.3341373230796</v>
      </c>
      <c r="P74" s="16">
        <f t="shared" ca="1" si="15"/>
        <v>10664.266587309477</v>
      </c>
      <c r="Q74" s="17">
        <f t="shared" ca="1" si="16"/>
        <v>602221.88148160395</v>
      </c>
    </row>
    <row r="75" spans="1:17" x14ac:dyDescent="0.35">
      <c r="A75">
        <v>73</v>
      </c>
      <c r="B75" s="14">
        <f t="shared" ca="1" si="17"/>
        <v>48290</v>
      </c>
      <c r="C75" s="15">
        <f ca="1">(1+(('Symulacja Pożyczka'!$B$5+'Symulacja Pożyczka'!$C$20)/100)*('Arkusz1 (+5)'!B75-'Arkusz1 (+5)'!B74)/365)</f>
        <v>1.0059589041095891</v>
      </c>
      <c r="D75" s="15">
        <f ca="1">(1+(('Symulacja Pożyczka'!$B$5+'Symulacja Pożyczka'!$C$20)/100)*('Arkusz1 (+5)'!B75-'Arkusz1 (+5)'!B74)/366)</f>
        <v>1.0059426229508197</v>
      </c>
      <c r="E75" s="15">
        <f t="shared" ca="1" si="9"/>
        <v>0</v>
      </c>
      <c r="F75" s="15">
        <f t="shared" ca="1" si="10"/>
        <v>0</v>
      </c>
      <c r="G75">
        <f ca="1">IF(E75=1,(1+(('Symulacja Pożyczka'!$B$5+'Symulacja Pożyczka'!$C$20)/100)*(((Arkusz1!B75-DATE(YEAR(B75),1,1)+1)/365)+((DATE(YEAR(B74),12,31)-Arkusz1!B74)/366))),IF(F75=1,(1+(('Symulacja Pożyczka'!$B$5+'Symulacja Pożyczka'!$C$20)/100)*(((Arkusz1!B75-DATE(YEAR(B75),1,1)+1)/366)+((DATE(YEAR(B74),12,31)-Arkusz1!B74)/365))),0))</f>
        <v>0</v>
      </c>
      <c r="H75">
        <f t="shared" ca="1" si="11"/>
        <v>1</v>
      </c>
      <c r="I75">
        <f t="shared" ca="1" si="12"/>
        <v>1.0059426229508197</v>
      </c>
      <c r="J75">
        <f t="shared" ca="1" si="13"/>
        <v>1.0059426229508197</v>
      </c>
      <c r="K75">
        <f ca="1">PRODUCT($J$3:J75)</f>
        <v>1.5711963268485567</v>
      </c>
      <c r="L75">
        <f t="shared" ca="1" si="14"/>
        <v>0.63645769972347144</v>
      </c>
      <c r="M75">
        <f ca="1">SUM($L$3:L75)</f>
        <v>58.642823035559438</v>
      </c>
      <c r="O75">
        <f ca="1">(Q74*'Arkusz1 (+5)'!J75)-Q74</f>
        <v>3578.777574378415</v>
      </c>
      <c r="P75" s="16">
        <f t="shared" ca="1" si="15"/>
        <v>10978.823150254142</v>
      </c>
      <c r="Q75" s="17">
        <f t="shared" ca="1" si="16"/>
        <v>591243.05833134986</v>
      </c>
    </row>
    <row r="76" spans="1:17" x14ac:dyDescent="0.35">
      <c r="A76">
        <v>74</v>
      </c>
      <c r="B76" s="14">
        <f t="shared" ca="1" si="17"/>
        <v>48321</v>
      </c>
      <c r="C76" s="15">
        <f ca="1">(1+(('Symulacja Pożyczka'!$B$5+'Symulacja Pożyczka'!$C$20)/100)*('Arkusz1 (+5)'!B76-'Arkusz1 (+5)'!B75)/365)</f>
        <v>1.0063698630136986</v>
      </c>
      <c r="D76" s="15">
        <f ca="1">(1+(('Symulacja Pożyczka'!$B$5+'Symulacja Pożyczka'!$C$20)/100)*('Arkusz1 (+5)'!B76-'Arkusz1 (+5)'!B75)/366)</f>
        <v>1.0063524590163935</v>
      </c>
      <c r="E76" s="15">
        <f t="shared" ca="1" si="9"/>
        <v>0</v>
      </c>
      <c r="F76" s="15">
        <f t="shared" ca="1" si="10"/>
        <v>0</v>
      </c>
      <c r="G76">
        <f ca="1">IF(E76=1,(1+(('Symulacja Pożyczka'!$B$5+'Symulacja Pożyczka'!$C$20)/100)*(((Arkusz1!B76-DATE(YEAR(B76),1,1)+1)/365)+((DATE(YEAR(B75),12,31)-Arkusz1!B75)/366))),IF(F76=1,(1+(('Symulacja Pożyczka'!$B$5+'Symulacja Pożyczka'!$C$20)/100)*(((Arkusz1!B76-DATE(YEAR(B76),1,1)+1)/366)+((DATE(YEAR(B75),12,31)-Arkusz1!B75)/365))),0))</f>
        <v>0</v>
      </c>
      <c r="H76">
        <f t="shared" ca="1" si="11"/>
        <v>1</v>
      </c>
      <c r="I76">
        <f t="shared" ca="1" si="12"/>
        <v>1.0063524590163935</v>
      </c>
      <c r="J76">
        <f t="shared" ca="1" si="13"/>
        <v>1.0063524590163935</v>
      </c>
      <c r="K76">
        <f ca="1">PRODUCT($J$3:J76)</f>
        <v>1.5811772871215701</v>
      </c>
      <c r="L76">
        <f t="shared" ca="1" si="14"/>
        <v>0.63244014959286099</v>
      </c>
      <c r="M76">
        <f ca="1">SUM($L$3:L76)</f>
        <v>59.275263185152298</v>
      </c>
      <c r="O76">
        <f ca="1">(Q75*'Arkusz1 (+5)'!J76)-Q75</f>
        <v>3755.8472967770649</v>
      </c>
      <c r="P76" s="16">
        <f t="shared" ca="1" si="15"/>
        <v>10801.753427855492</v>
      </c>
      <c r="Q76" s="17">
        <f t="shared" ca="1" si="16"/>
        <v>580441.30490349443</v>
      </c>
    </row>
    <row r="77" spans="1:17" x14ac:dyDescent="0.35">
      <c r="A77">
        <v>75</v>
      </c>
      <c r="B77" s="14">
        <f t="shared" ca="1" si="17"/>
        <v>48351</v>
      </c>
      <c r="C77" s="15">
        <f ca="1">(1+(('Symulacja Pożyczka'!$B$5+'Symulacja Pożyczka'!$C$20)/100)*('Arkusz1 (+5)'!B77-'Arkusz1 (+5)'!B76)/365)</f>
        <v>1.0061643835616438</v>
      </c>
      <c r="D77" s="15">
        <f ca="1">(1+(('Symulacja Pożyczka'!$B$5+'Symulacja Pożyczka'!$C$20)/100)*('Arkusz1 (+5)'!B77-'Arkusz1 (+5)'!B76)/366)</f>
        <v>1.0061475409836065</v>
      </c>
      <c r="E77" s="15">
        <f t="shared" ca="1" si="9"/>
        <v>0</v>
      </c>
      <c r="F77" s="15">
        <f t="shared" ca="1" si="10"/>
        <v>0</v>
      </c>
      <c r="G77">
        <f ca="1">IF(E77=1,(1+(('Symulacja Pożyczka'!$B$5+'Symulacja Pożyczka'!$C$20)/100)*(((Arkusz1!B77-DATE(YEAR(B77),1,1)+1)/365)+((DATE(YEAR(B76),12,31)-Arkusz1!B76)/366))),IF(F77=1,(1+(('Symulacja Pożyczka'!$B$5+'Symulacja Pożyczka'!$C$20)/100)*(((Arkusz1!B77-DATE(YEAR(B77),1,1)+1)/366)+((DATE(YEAR(B76),12,31)-Arkusz1!B76)/365))),0))</f>
        <v>0</v>
      </c>
      <c r="H77">
        <f t="shared" ca="1" si="11"/>
        <v>1</v>
      </c>
      <c r="I77">
        <f t="shared" ca="1" si="12"/>
        <v>1.0061475409836065</v>
      </c>
      <c r="J77">
        <f t="shared" ca="1" si="13"/>
        <v>1.0061475409836065</v>
      </c>
      <c r="K77">
        <f ca="1">PRODUCT($J$3:J77)</f>
        <v>1.5908976392964977</v>
      </c>
      <c r="L77">
        <f t="shared" ca="1" si="14"/>
        <v>0.62857595315950343</v>
      </c>
      <c r="M77">
        <f ca="1">SUM($L$3:L77)</f>
        <v>59.903839138311803</v>
      </c>
      <c r="O77">
        <f ca="1">(Q76*'Arkusz1 (+5)'!J77)-Q76</f>
        <v>3568.2867104723118</v>
      </c>
      <c r="P77" s="16">
        <f t="shared" ca="1" si="15"/>
        <v>10989.314014160245</v>
      </c>
      <c r="Q77" s="17">
        <f t="shared" ca="1" si="16"/>
        <v>569451.99088933424</v>
      </c>
    </row>
    <row r="78" spans="1:17" x14ac:dyDescent="0.35">
      <c r="A78">
        <v>76</v>
      </c>
      <c r="B78" s="14">
        <f t="shared" ca="1" si="17"/>
        <v>48382</v>
      </c>
      <c r="C78" s="15">
        <f ca="1">(1+(('Symulacja Pożyczka'!$B$5+'Symulacja Pożyczka'!$C$20)/100)*('Arkusz1 (+5)'!B78-'Arkusz1 (+5)'!B77)/365)</f>
        <v>1.0063698630136986</v>
      </c>
      <c r="D78" s="15">
        <f ca="1">(1+(('Symulacja Pożyczka'!$B$5+'Symulacja Pożyczka'!$C$20)/100)*('Arkusz1 (+5)'!B78-'Arkusz1 (+5)'!B77)/366)</f>
        <v>1.0063524590163935</v>
      </c>
      <c r="E78" s="15">
        <f t="shared" ca="1" si="9"/>
        <v>0</v>
      </c>
      <c r="F78" s="15">
        <f t="shared" ca="1" si="10"/>
        <v>0</v>
      </c>
      <c r="G78">
        <f ca="1">IF(E78=1,(1+(('Symulacja Pożyczka'!$B$5+'Symulacja Pożyczka'!$C$20)/100)*(((Arkusz1!B78-DATE(YEAR(B78),1,1)+1)/365)+((DATE(YEAR(B77),12,31)-Arkusz1!B77)/366))),IF(F78=1,(1+(('Symulacja Pożyczka'!$B$5+'Symulacja Pożyczka'!$C$20)/100)*(((Arkusz1!B78-DATE(YEAR(B78),1,1)+1)/366)+((DATE(YEAR(B77),12,31)-Arkusz1!B77)/365))),0))</f>
        <v>0</v>
      </c>
      <c r="H78">
        <f t="shared" ca="1" si="11"/>
        <v>1</v>
      </c>
      <c r="I78">
        <f t="shared" ca="1" si="12"/>
        <v>1.0063524590163935</v>
      </c>
      <c r="J78">
        <f t="shared" ca="1" si="13"/>
        <v>1.0063524590163935</v>
      </c>
      <c r="K78">
        <f ca="1">PRODUCT($J$3:J78)</f>
        <v>1.601003751349406</v>
      </c>
      <c r="L78">
        <f t="shared" ca="1" si="14"/>
        <v>0.6246081554506977</v>
      </c>
      <c r="M78">
        <f ca="1">SUM($L$3:L78)</f>
        <v>60.528447293762497</v>
      </c>
      <c r="O78">
        <f ca="1">(Q77*'Arkusz1 (+5)'!J78)-Q77</f>
        <v>3617.4204339281423</v>
      </c>
      <c r="P78" s="16">
        <f t="shared" ca="1" si="15"/>
        <v>10940.180290704415</v>
      </c>
      <c r="Q78" s="17">
        <f t="shared" ca="1" si="16"/>
        <v>558511.81059862988</v>
      </c>
    </row>
    <row r="79" spans="1:17" x14ac:dyDescent="0.35">
      <c r="A79">
        <v>77</v>
      </c>
      <c r="B79" s="14">
        <f t="shared" ca="1" si="17"/>
        <v>48412</v>
      </c>
      <c r="C79" s="15">
        <f ca="1">(1+(('Symulacja Pożyczka'!$B$5+'Symulacja Pożyczka'!$C$20)/100)*('Arkusz1 (+5)'!B79-'Arkusz1 (+5)'!B78)/365)</f>
        <v>1.0061643835616438</v>
      </c>
      <c r="D79" s="15">
        <f ca="1">(1+(('Symulacja Pożyczka'!$B$5+'Symulacja Pożyczka'!$C$20)/100)*('Arkusz1 (+5)'!B79-'Arkusz1 (+5)'!B78)/366)</f>
        <v>1.0061475409836065</v>
      </c>
      <c r="E79" s="15">
        <f t="shared" ca="1" si="9"/>
        <v>0</v>
      </c>
      <c r="F79" s="15">
        <f t="shared" ca="1" si="10"/>
        <v>0</v>
      </c>
      <c r="G79">
        <f ca="1">IF(E79=1,(1+(('Symulacja Pożyczka'!$B$5+'Symulacja Pożyczka'!$C$20)/100)*(((Arkusz1!B79-DATE(YEAR(B79),1,1)+1)/365)+((DATE(YEAR(B78),12,31)-Arkusz1!B78)/366))),IF(F79=1,(1+(('Symulacja Pożyczka'!$B$5+'Symulacja Pożyczka'!$C$20)/100)*(((Arkusz1!B79-DATE(YEAR(B79),1,1)+1)/366)+((DATE(YEAR(B78),12,31)-Arkusz1!B78)/365))),0))</f>
        <v>0</v>
      </c>
      <c r="H79">
        <f t="shared" ca="1" si="11"/>
        <v>1</v>
      </c>
      <c r="I79">
        <f t="shared" ca="1" si="12"/>
        <v>1.0061475409836065</v>
      </c>
      <c r="J79">
        <f t="shared" ca="1" si="13"/>
        <v>1.0061475409836065</v>
      </c>
      <c r="K79">
        <f ca="1">PRODUCT($J$3:J79)</f>
        <v>1.6108459875257342</v>
      </c>
      <c r="L79">
        <f t="shared" ca="1" si="14"/>
        <v>0.62079181234203773</v>
      </c>
      <c r="M79">
        <f ca="1">SUM($L$3:L79)</f>
        <v>61.149239106104531</v>
      </c>
      <c r="O79">
        <f ca="1">(Q78*'Arkusz1 (+5)'!J79)-Q78</f>
        <v>3433.4742454832885</v>
      </c>
      <c r="P79" s="16">
        <f t="shared" ca="1" si="15"/>
        <v>11124.126479149269</v>
      </c>
      <c r="Q79" s="17">
        <f t="shared" ca="1" si="16"/>
        <v>547387.68411948066</v>
      </c>
    </row>
    <row r="80" spans="1:17" x14ac:dyDescent="0.35">
      <c r="A80">
        <v>78</v>
      </c>
      <c r="B80" s="14">
        <f t="shared" ca="1" si="17"/>
        <v>48443</v>
      </c>
      <c r="C80" s="15">
        <f ca="1">(1+(('Symulacja Pożyczka'!$B$5+'Symulacja Pożyczka'!$C$20)/100)*('Arkusz1 (+5)'!B80-'Arkusz1 (+5)'!B79)/365)</f>
        <v>1.0063698630136986</v>
      </c>
      <c r="D80" s="15">
        <f ca="1">(1+(('Symulacja Pożyczka'!$B$5+'Symulacja Pożyczka'!$C$20)/100)*('Arkusz1 (+5)'!B80-'Arkusz1 (+5)'!B79)/366)</f>
        <v>1.0063524590163935</v>
      </c>
      <c r="E80" s="15">
        <f t="shared" ca="1" si="9"/>
        <v>0</v>
      </c>
      <c r="F80" s="15">
        <f t="shared" ca="1" si="10"/>
        <v>0</v>
      </c>
      <c r="G80">
        <f ca="1">IF(E80=1,(1+(('Symulacja Pożyczka'!$B$5+'Symulacja Pożyczka'!$C$20)/100)*(((Arkusz1!B80-DATE(YEAR(B80),1,1)+1)/365)+((DATE(YEAR(B79),12,31)-Arkusz1!B79)/366))),IF(F80=1,(1+(('Symulacja Pożyczka'!$B$5+'Symulacja Pożyczka'!$C$20)/100)*(((Arkusz1!B80-DATE(YEAR(B80),1,1)+1)/366)+((DATE(YEAR(B79),12,31)-Arkusz1!B79)/365))),0))</f>
        <v>0</v>
      </c>
      <c r="H80">
        <f t="shared" ca="1" si="11"/>
        <v>1</v>
      </c>
      <c r="I80">
        <f t="shared" ca="1" si="12"/>
        <v>1.0063524590163935</v>
      </c>
      <c r="J80">
        <f t="shared" ca="1" si="13"/>
        <v>1.0063524590163935</v>
      </c>
      <c r="K80">
        <f ca="1">PRODUCT($J$3:J80)</f>
        <v>1.6210788206432132</v>
      </c>
      <c r="L80">
        <f t="shared" ca="1" si="14"/>
        <v>0.61687315093242601</v>
      </c>
      <c r="M80">
        <f ca="1">SUM($L$3:L80)</f>
        <v>61.766112257036959</v>
      </c>
      <c r="O80">
        <f ca="1">(Q79*'Arkusz1 (+5)'!J80)-Q79</f>
        <v>3477.2578294475097</v>
      </c>
      <c r="P80" s="16">
        <f t="shared" ca="1" si="15"/>
        <v>11080.342895185047</v>
      </c>
      <c r="Q80" s="17">
        <f t="shared" ca="1" si="16"/>
        <v>536307.34122429567</v>
      </c>
    </row>
    <row r="81" spans="1:17" x14ac:dyDescent="0.35">
      <c r="A81">
        <v>79</v>
      </c>
      <c r="B81" s="14">
        <f t="shared" ca="1" si="17"/>
        <v>48474</v>
      </c>
      <c r="C81" s="15">
        <f ca="1">(1+(('Symulacja Pożyczka'!$B$5+'Symulacja Pożyczka'!$C$20)/100)*('Arkusz1 (+5)'!B81-'Arkusz1 (+5)'!B80)/365)</f>
        <v>1.0063698630136986</v>
      </c>
      <c r="D81" s="15">
        <f ca="1">(1+(('Symulacja Pożyczka'!$B$5+'Symulacja Pożyczka'!$C$20)/100)*('Arkusz1 (+5)'!B81-'Arkusz1 (+5)'!B80)/366)</f>
        <v>1.0063524590163935</v>
      </c>
      <c r="E81" s="15">
        <f t="shared" ca="1" si="9"/>
        <v>0</v>
      </c>
      <c r="F81" s="15">
        <f t="shared" ca="1" si="10"/>
        <v>0</v>
      </c>
      <c r="G81">
        <f ca="1">IF(E81=1,(1+(('Symulacja Pożyczka'!$B$5+'Symulacja Pożyczka'!$C$20)/100)*(((Arkusz1!B81-DATE(YEAR(B81),1,1)+1)/365)+((DATE(YEAR(B80),12,31)-Arkusz1!B80)/366))),IF(F81=1,(1+(('Symulacja Pożyczka'!$B$5+'Symulacja Pożyczka'!$C$20)/100)*(((Arkusz1!B81-DATE(YEAR(B81),1,1)+1)/366)+((DATE(YEAR(B80),12,31)-Arkusz1!B80)/365))),0))</f>
        <v>0</v>
      </c>
      <c r="H81">
        <f t="shared" ca="1" si="11"/>
        <v>1</v>
      </c>
      <c r="I81">
        <f t="shared" ca="1" si="12"/>
        <v>1.0063524590163935</v>
      </c>
      <c r="J81">
        <f t="shared" ca="1" si="13"/>
        <v>1.0063524590163935</v>
      </c>
      <c r="K81">
        <f ca="1">PRODUCT($J$3:J81)</f>
        <v>1.6313766574136928</v>
      </c>
      <c r="L81">
        <f t="shared" ca="1" si="14"/>
        <v>0.61297922552438178</v>
      </c>
      <c r="M81">
        <f ca="1">SUM($L$3:L81)</f>
        <v>62.379091482561343</v>
      </c>
      <c r="O81">
        <f ca="1">(Q80*'Arkusz1 (+5)'!J81)-Q80</f>
        <v>3406.8704053183319</v>
      </c>
      <c r="P81" s="16">
        <f t="shared" ca="1" si="15"/>
        <v>11150.730319314225</v>
      </c>
      <c r="Q81" s="17">
        <f t="shared" ca="1" si="16"/>
        <v>525156.6109049815</v>
      </c>
    </row>
    <row r="82" spans="1:17" x14ac:dyDescent="0.35">
      <c r="A82">
        <v>80</v>
      </c>
      <c r="B82" s="14">
        <f t="shared" ca="1" si="17"/>
        <v>48504</v>
      </c>
      <c r="C82" s="15">
        <f ca="1">(1+(('Symulacja Pożyczka'!$B$5+'Symulacja Pożyczka'!$C$20)/100)*('Arkusz1 (+5)'!B82-'Arkusz1 (+5)'!B81)/365)</f>
        <v>1.0061643835616438</v>
      </c>
      <c r="D82" s="15">
        <f ca="1">(1+(('Symulacja Pożyczka'!$B$5+'Symulacja Pożyczka'!$C$20)/100)*('Arkusz1 (+5)'!B82-'Arkusz1 (+5)'!B81)/366)</f>
        <v>1.0061475409836065</v>
      </c>
      <c r="E82" s="15">
        <f t="shared" ca="1" si="9"/>
        <v>0</v>
      </c>
      <c r="F82" s="15">
        <f t="shared" ca="1" si="10"/>
        <v>0</v>
      </c>
      <c r="G82">
        <f ca="1">IF(E82=1,(1+(('Symulacja Pożyczka'!$B$5+'Symulacja Pożyczka'!$C$20)/100)*(((Arkusz1!B82-DATE(YEAR(B82),1,1)+1)/365)+((DATE(YEAR(B81),12,31)-Arkusz1!B81)/366))),IF(F82=1,(1+(('Symulacja Pożyczka'!$B$5+'Symulacja Pożyczka'!$C$20)/100)*(((Arkusz1!B82-DATE(YEAR(B82),1,1)+1)/366)+((DATE(YEAR(B81),12,31)-Arkusz1!B81)/365))),0))</f>
        <v>0</v>
      </c>
      <c r="H82">
        <f t="shared" ca="1" si="11"/>
        <v>1</v>
      </c>
      <c r="I82">
        <f t="shared" ca="1" si="12"/>
        <v>1.0061475409836065</v>
      </c>
      <c r="J82">
        <f t="shared" ca="1" si="13"/>
        <v>1.0061475409836065</v>
      </c>
      <c r="K82">
        <f ca="1">PRODUCT($J$3:J82)</f>
        <v>1.6414056122748424</v>
      </c>
      <c r="L82">
        <f t="shared" ca="1" si="14"/>
        <v>0.60923393494072975</v>
      </c>
      <c r="M82">
        <f ca="1">SUM($L$3:L82)</f>
        <v>62.988325417502075</v>
      </c>
      <c r="O82">
        <f ca="1">(Q81*'Arkusz1 (+5)'!J82)-Q81</f>
        <v>3228.4217883502133</v>
      </c>
      <c r="P82" s="16">
        <f t="shared" ca="1" si="15"/>
        <v>11329.178936282344</v>
      </c>
      <c r="Q82" s="17">
        <f t="shared" ca="1" si="16"/>
        <v>513827.43196869915</v>
      </c>
    </row>
    <row r="83" spans="1:17" x14ac:dyDescent="0.35">
      <c r="A83">
        <v>81</v>
      </c>
      <c r="B83" s="14">
        <f t="shared" ca="1" si="17"/>
        <v>48535</v>
      </c>
      <c r="C83" s="15">
        <f ca="1">(1+(('Symulacja Pożyczka'!$B$5+'Symulacja Pożyczka'!$C$20)/100)*('Arkusz1 (+5)'!B83-'Arkusz1 (+5)'!B82)/365)</f>
        <v>1.0063698630136986</v>
      </c>
      <c r="D83" s="15">
        <f ca="1">(1+(('Symulacja Pożyczka'!$B$5+'Symulacja Pożyczka'!$C$20)/100)*('Arkusz1 (+5)'!B83-'Arkusz1 (+5)'!B82)/366)</f>
        <v>1.0063524590163935</v>
      </c>
      <c r="E83" s="15">
        <f t="shared" ca="1" si="9"/>
        <v>0</v>
      </c>
      <c r="F83" s="15">
        <f t="shared" ca="1" si="10"/>
        <v>0</v>
      </c>
      <c r="G83">
        <f ca="1">IF(E83=1,(1+(('Symulacja Pożyczka'!$B$5+'Symulacja Pożyczka'!$C$20)/100)*(((Arkusz1!B83-DATE(YEAR(B83),1,1)+1)/365)+((DATE(YEAR(B82),12,31)-Arkusz1!B82)/366))),IF(F83=1,(1+(('Symulacja Pożyczka'!$B$5+'Symulacja Pożyczka'!$C$20)/100)*(((Arkusz1!B83-DATE(YEAR(B83),1,1)+1)/366)+((DATE(YEAR(B82),12,31)-Arkusz1!B82)/365))),0))</f>
        <v>0</v>
      </c>
      <c r="H83">
        <f t="shared" ca="1" si="11"/>
        <v>1</v>
      </c>
      <c r="I83">
        <f t="shared" ca="1" si="12"/>
        <v>1.0063524590163935</v>
      </c>
      <c r="J83">
        <f t="shared" ca="1" si="13"/>
        <v>1.0063524590163935</v>
      </c>
      <c r="K83">
        <f ca="1">PRODUCT($J$3:J83)</f>
        <v>1.6518325741560966</v>
      </c>
      <c r="L83">
        <f t="shared" ca="1" si="14"/>
        <v>0.60538823101420502</v>
      </c>
      <c r="M83">
        <f ca="1">SUM($L$3:L83)</f>
        <v>63.593713648516278</v>
      </c>
      <c r="O83">
        <f ca="1">(Q82*'Arkusz1 (+5)'!J83)-Q82</f>
        <v>3264.0677030798397</v>
      </c>
      <c r="P83" s="16">
        <f t="shared" ca="1" si="15"/>
        <v>11293.533021552717</v>
      </c>
      <c r="Q83" s="17">
        <f t="shared" ca="1" si="16"/>
        <v>502533.89894714643</v>
      </c>
    </row>
    <row r="84" spans="1:17" x14ac:dyDescent="0.35">
      <c r="A84">
        <v>82</v>
      </c>
      <c r="B84" s="14">
        <f t="shared" ca="1" si="17"/>
        <v>48565</v>
      </c>
      <c r="C84" s="15">
        <f ca="1">(1+(('Symulacja Pożyczka'!$B$5+'Symulacja Pożyczka'!$C$20)/100)*('Arkusz1 (+5)'!B84-'Arkusz1 (+5)'!B83)/365)</f>
        <v>1.0061643835616438</v>
      </c>
      <c r="D84" s="15">
        <f ca="1">(1+(('Symulacja Pożyczka'!$B$5+'Symulacja Pożyczka'!$C$20)/100)*('Arkusz1 (+5)'!B84-'Arkusz1 (+5)'!B83)/366)</f>
        <v>1.0061475409836065</v>
      </c>
      <c r="E84" s="15">
        <f t="shared" ca="1" si="9"/>
        <v>0</v>
      </c>
      <c r="F84" s="15">
        <f t="shared" ca="1" si="10"/>
        <v>0</v>
      </c>
      <c r="G84">
        <f ca="1">IF(E84=1,(1+(('Symulacja Pożyczka'!$B$5+'Symulacja Pożyczka'!$C$20)/100)*(((Arkusz1!B84-DATE(YEAR(B84),1,1)+1)/365)+((DATE(YEAR(B83),12,31)-Arkusz1!B83)/366))),IF(F84=1,(1+(('Symulacja Pożyczka'!$B$5+'Symulacja Pożyczka'!$C$20)/100)*(((Arkusz1!B84-DATE(YEAR(B84),1,1)+1)/366)+((DATE(YEAR(B83),12,31)-Arkusz1!B83)/365))),0))</f>
        <v>0</v>
      </c>
      <c r="H84">
        <f t="shared" ca="1" si="11"/>
        <v>1</v>
      </c>
      <c r="I84">
        <f t="shared" ca="1" si="12"/>
        <v>1.0061475409836065</v>
      </c>
      <c r="J84">
        <f t="shared" ca="1" si="13"/>
        <v>1.0061475409836065</v>
      </c>
      <c r="K84">
        <f ca="1">PRODUCT($J$3:J84)</f>
        <v>1.6619872826037774</v>
      </c>
      <c r="L84">
        <f t="shared" ca="1" si="14"/>
        <v>0.60168932125240748</v>
      </c>
      <c r="M84">
        <f ca="1">SUM($L$3:L84)</f>
        <v>64.195402969768679</v>
      </c>
      <c r="O84">
        <f ca="1">(Q83*'Arkusz1 (+5)'!J84)-Q83</f>
        <v>3089.3477394291549</v>
      </c>
      <c r="P84" s="16">
        <f t="shared" ca="1" si="15"/>
        <v>11468.252985203402</v>
      </c>
      <c r="Q84" s="17">
        <f t="shared" ca="1" si="16"/>
        <v>491065.64596194302</v>
      </c>
    </row>
    <row r="85" spans="1:17" x14ac:dyDescent="0.35">
      <c r="A85">
        <v>83</v>
      </c>
      <c r="B85" s="14">
        <f t="shared" ca="1" si="17"/>
        <v>48596</v>
      </c>
      <c r="C85" s="15">
        <f ca="1">(1+(('Symulacja Pożyczka'!$B$5+'Symulacja Pożyczka'!$C$20)/100)*('Arkusz1 (+5)'!B85-'Arkusz1 (+5)'!B84)/365)</f>
        <v>1.0063698630136986</v>
      </c>
      <c r="D85" s="15">
        <f ca="1">(1+(('Symulacja Pożyczka'!$B$5+'Symulacja Pożyczka'!$C$20)/100)*('Arkusz1 (+5)'!B85-'Arkusz1 (+5)'!B84)/366)</f>
        <v>1.0063524590163935</v>
      </c>
      <c r="E85" s="15">
        <f t="shared" ca="1" si="9"/>
        <v>1</v>
      </c>
      <c r="F85" s="15">
        <f t="shared" ca="1" si="10"/>
        <v>0</v>
      </c>
      <c r="G85">
        <f ca="1">IF(E85=1,(1+(('Symulacja Pożyczka'!$B$5+'Symulacja Pożyczka'!$C$20)/100)*(((Arkusz1!B85-DATE(YEAR(B85),1,1)+1)/365)+((DATE(YEAR(B84),12,31)-Arkusz1!B84)/366))),IF(F85=1,(1+(('Symulacja Pożyczka'!$B$5+'Symulacja Pożyczka'!$C$20)/100)*(((Arkusz1!B85-DATE(YEAR(B85),1,1)+1)/366)+((DATE(YEAR(B84),12,31)-Arkusz1!B84)/365))),0))</f>
        <v>1.006362003143948</v>
      </c>
      <c r="H85">
        <f t="shared" ca="1" si="11"/>
        <v>0</v>
      </c>
      <c r="I85">
        <f t="shared" ca="1" si="12"/>
        <v>1.0063698630136986</v>
      </c>
      <c r="J85">
        <f t="shared" ca="1" si="13"/>
        <v>1.006362003143948</v>
      </c>
      <c r="K85">
        <f ca="1">PRODUCT($J$3:J85)</f>
        <v>1.6725608509209042</v>
      </c>
      <c r="L85">
        <f t="shared" ca="1" si="14"/>
        <v>0.59788557136764542</v>
      </c>
      <c r="M85">
        <f ca="1">SUM($L$3:L85)</f>
        <v>64.79328854113632</v>
      </c>
      <c r="O85">
        <f ca="1">(Q84*'Arkusz1 (+5)'!J85)-Q84</f>
        <v>3124.1611834947253</v>
      </c>
      <c r="P85" s="16">
        <f t="shared" ca="1" si="15"/>
        <v>11433.439541137832</v>
      </c>
      <c r="Q85" s="17">
        <f t="shared" ca="1" si="16"/>
        <v>479632.20642080519</v>
      </c>
    </row>
    <row r="86" spans="1:17" x14ac:dyDescent="0.35">
      <c r="A86">
        <v>84</v>
      </c>
      <c r="B86" s="14">
        <f t="shared" ca="1" si="17"/>
        <v>48627</v>
      </c>
      <c r="C86" s="15">
        <f ca="1">(1+(('Symulacja Pożyczka'!$B$5+'Symulacja Pożyczka'!$C$20)/100)*('Arkusz1 (+5)'!B86-'Arkusz1 (+5)'!B85)/365)</f>
        <v>1.0063698630136986</v>
      </c>
      <c r="D86" s="15">
        <f ca="1">(1+(('Symulacja Pożyczka'!$B$5+'Symulacja Pożyczka'!$C$20)/100)*('Arkusz1 (+5)'!B86-'Arkusz1 (+5)'!B85)/366)</f>
        <v>1.0063524590163935</v>
      </c>
      <c r="E86" s="15">
        <f t="shared" ca="1" si="9"/>
        <v>0</v>
      </c>
      <c r="F86" s="15">
        <f t="shared" ca="1" si="10"/>
        <v>0</v>
      </c>
      <c r="G86">
        <f ca="1">IF(E86=1,(1+(('Symulacja Pożyczka'!$B$5+'Symulacja Pożyczka'!$C$20)/100)*(((Arkusz1!B86-DATE(YEAR(B86),1,1)+1)/365)+((DATE(YEAR(B85),12,31)-Arkusz1!B85)/366))),IF(F86=1,(1+(('Symulacja Pożyczka'!$B$5+'Symulacja Pożyczka'!$C$20)/100)*(((Arkusz1!B86-DATE(YEAR(B86),1,1)+1)/366)+((DATE(YEAR(B85),12,31)-Arkusz1!B85)/365))),0))</f>
        <v>0</v>
      </c>
      <c r="H86">
        <f t="shared" ca="1" si="11"/>
        <v>0</v>
      </c>
      <c r="I86">
        <f t="shared" ca="1" si="12"/>
        <v>1.0063698630136986</v>
      </c>
      <c r="J86">
        <f t="shared" ca="1" si="13"/>
        <v>1.0063698630136986</v>
      </c>
      <c r="K86">
        <f ca="1">PRODUCT($J$3:J86)</f>
        <v>1.6832148344233455</v>
      </c>
      <c r="L86">
        <f t="shared" ca="1" si="14"/>
        <v>0.59410122792946463</v>
      </c>
      <c r="M86">
        <f ca="1">SUM($L$3:L86)</f>
        <v>65.387389769065791</v>
      </c>
      <c r="O86">
        <f ca="1">(Q85*'Arkusz1 (+5)'!J86)-Q85</f>
        <v>3055.1914518585545</v>
      </c>
      <c r="P86" s="16">
        <f t="shared" ca="1" si="15"/>
        <v>11502.409272774003</v>
      </c>
      <c r="Q86" s="17">
        <f t="shared" ca="1" si="16"/>
        <v>468129.79714803118</v>
      </c>
    </row>
    <row r="87" spans="1:17" x14ac:dyDescent="0.35">
      <c r="A87">
        <v>85</v>
      </c>
      <c r="B87" s="14">
        <f t="shared" ca="1" si="17"/>
        <v>48655</v>
      </c>
      <c r="C87" s="15">
        <f ca="1">(1+(('Symulacja Pożyczka'!$B$5+'Symulacja Pożyczka'!$C$20)/100)*('Arkusz1 (+5)'!B87-'Arkusz1 (+5)'!B86)/365)</f>
        <v>1.0057534246575341</v>
      </c>
      <c r="D87" s="15">
        <f ca="1">(1+(('Symulacja Pożyczka'!$B$5+'Symulacja Pożyczka'!$C$20)/100)*('Arkusz1 (+5)'!B87-'Arkusz1 (+5)'!B86)/366)</f>
        <v>1.0057377049180327</v>
      </c>
      <c r="E87" s="15">
        <f t="shared" ca="1" si="9"/>
        <v>0</v>
      </c>
      <c r="F87" s="15">
        <f t="shared" ca="1" si="10"/>
        <v>0</v>
      </c>
      <c r="G87">
        <f ca="1">IF(E87=1,(1+(('Symulacja Pożyczka'!$B$5+'Symulacja Pożyczka'!$C$20)/100)*(((Arkusz1!B87-DATE(YEAR(B87),1,1)+1)/365)+((DATE(YEAR(B86),12,31)-Arkusz1!B86)/366))),IF(F87=1,(1+(('Symulacja Pożyczka'!$B$5+'Symulacja Pożyczka'!$C$20)/100)*(((Arkusz1!B87-DATE(YEAR(B87),1,1)+1)/366)+((DATE(YEAR(B86),12,31)-Arkusz1!B86)/365))),0))</f>
        <v>0</v>
      </c>
      <c r="H87">
        <f t="shared" ca="1" si="11"/>
        <v>0</v>
      </c>
      <c r="I87">
        <f t="shared" ca="1" si="12"/>
        <v>1.0057534246575341</v>
      </c>
      <c r="J87">
        <f t="shared" ca="1" si="13"/>
        <v>1.0057534246575341</v>
      </c>
      <c r="K87">
        <f ca="1">PRODUCT($J$3:J87)</f>
        <v>1.6928990841556439</v>
      </c>
      <c r="L87">
        <f t="shared" ca="1" si="14"/>
        <v>0.59070266465337673</v>
      </c>
      <c r="M87">
        <f ca="1">SUM($L$3:L87)</f>
        <v>65.978092433719169</v>
      </c>
      <c r="O87">
        <f ca="1">(Q86*'Arkusz1 (+5)'!J87)-Q86</f>
        <v>2693.3495178379235</v>
      </c>
      <c r="P87" s="16">
        <f t="shared" ca="1" si="15"/>
        <v>11864.251206794634</v>
      </c>
      <c r="Q87" s="17">
        <f t="shared" ca="1" si="16"/>
        <v>456265.54594123655</v>
      </c>
    </row>
    <row r="88" spans="1:17" x14ac:dyDescent="0.35">
      <c r="A88">
        <v>86</v>
      </c>
      <c r="B88" s="14">
        <f t="shared" ca="1" si="17"/>
        <v>48686</v>
      </c>
      <c r="C88" s="15">
        <f ca="1">(1+(('Symulacja Pożyczka'!$B$5+'Symulacja Pożyczka'!$C$20)/100)*('Arkusz1 (+5)'!B88-'Arkusz1 (+5)'!B87)/365)</f>
        <v>1.0063698630136986</v>
      </c>
      <c r="D88" s="15">
        <f ca="1">(1+(('Symulacja Pożyczka'!$B$5+'Symulacja Pożyczka'!$C$20)/100)*('Arkusz1 (+5)'!B88-'Arkusz1 (+5)'!B87)/366)</f>
        <v>1.0063524590163935</v>
      </c>
      <c r="E88" s="15">
        <f t="shared" ca="1" si="9"/>
        <v>0</v>
      </c>
      <c r="F88" s="15">
        <f t="shared" ca="1" si="10"/>
        <v>0</v>
      </c>
      <c r="G88">
        <f ca="1">IF(E88=1,(1+(('Symulacja Pożyczka'!$B$5+'Symulacja Pożyczka'!$C$20)/100)*(((Arkusz1!B88-DATE(YEAR(B88),1,1)+1)/365)+((DATE(YEAR(B87),12,31)-Arkusz1!B87)/366))),IF(F88=1,(1+(('Symulacja Pożyczka'!$B$5+'Symulacja Pożyczka'!$C$20)/100)*(((Arkusz1!B88-DATE(YEAR(B88),1,1)+1)/366)+((DATE(YEAR(B87),12,31)-Arkusz1!B87)/365))),0))</f>
        <v>0</v>
      </c>
      <c r="H88">
        <f t="shared" ca="1" si="11"/>
        <v>0</v>
      </c>
      <c r="I88">
        <f t="shared" ca="1" si="12"/>
        <v>1.0063698630136986</v>
      </c>
      <c r="J88">
        <f t="shared" ca="1" si="13"/>
        <v>1.0063698630136986</v>
      </c>
      <c r="K88">
        <f ca="1">PRODUCT($J$3:J88)</f>
        <v>1.7036826194177312</v>
      </c>
      <c r="L88">
        <f t="shared" ca="1" si="14"/>
        <v>0.5869637857441844</v>
      </c>
      <c r="M88">
        <f ca="1">SUM($L$3:L88)</f>
        <v>66.565056219463358</v>
      </c>
      <c r="O88">
        <f ca="1">(Q87*'Arkusz1 (+5)'!J88)-Q87</f>
        <v>2906.3490255160723</v>
      </c>
      <c r="P88" s="16">
        <f t="shared" ca="1" si="15"/>
        <v>11651.251699116485</v>
      </c>
      <c r="Q88" s="17">
        <f t="shared" ca="1" si="16"/>
        <v>444614.29424212006</v>
      </c>
    </row>
    <row r="89" spans="1:17" x14ac:dyDescent="0.35">
      <c r="A89">
        <v>87</v>
      </c>
      <c r="B89" s="14">
        <f t="shared" ca="1" si="17"/>
        <v>48716</v>
      </c>
      <c r="C89" s="15">
        <f ca="1">(1+(('Symulacja Pożyczka'!$B$5+'Symulacja Pożyczka'!$C$20)/100)*('Arkusz1 (+5)'!B89-'Arkusz1 (+5)'!B88)/365)</f>
        <v>1.0061643835616438</v>
      </c>
      <c r="D89" s="15">
        <f ca="1">(1+(('Symulacja Pożyczka'!$B$5+'Symulacja Pożyczka'!$C$20)/100)*('Arkusz1 (+5)'!B89-'Arkusz1 (+5)'!B88)/366)</f>
        <v>1.0061475409836065</v>
      </c>
      <c r="E89" s="15">
        <f t="shared" ca="1" si="9"/>
        <v>0</v>
      </c>
      <c r="F89" s="15">
        <f t="shared" ca="1" si="10"/>
        <v>0</v>
      </c>
      <c r="G89">
        <f ca="1">IF(E89=1,(1+(('Symulacja Pożyczka'!$B$5+'Symulacja Pożyczka'!$C$20)/100)*(((Arkusz1!B89-DATE(YEAR(B89),1,1)+1)/365)+((DATE(YEAR(B88),12,31)-Arkusz1!B88)/366))),IF(F89=1,(1+(('Symulacja Pożyczka'!$B$5+'Symulacja Pożyczka'!$C$20)/100)*(((Arkusz1!B89-DATE(YEAR(B89),1,1)+1)/366)+((DATE(YEAR(B88),12,31)-Arkusz1!B88)/365))),0))</f>
        <v>0</v>
      </c>
      <c r="H89">
        <f t="shared" ca="1" si="11"/>
        <v>0</v>
      </c>
      <c r="I89">
        <f t="shared" ca="1" si="12"/>
        <v>1.0061643835616438</v>
      </c>
      <c r="J89">
        <f t="shared" ca="1" si="13"/>
        <v>1.0061643835616438</v>
      </c>
      <c r="K89">
        <f ca="1">PRODUCT($J$3:J89)</f>
        <v>1.7141847725511283</v>
      </c>
      <c r="L89">
        <f t="shared" ca="1" si="14"/>
        <v>0.58336768358509816</v>
      </c>
      <c r="M89">
        <f ca="1">SUM($L$3:L89)</f>
        <v>67.148423903048453</v>
      </c>
      <c r="O89">
        <f ca="1">(Q88*'Arkusz1 (+5)'!J89)-Q88</f>
        <v>2740.7730466980138</v>
      </c>
      <c r="P89" s="16">
        <f t="shared" ca="1" si="15"/>
        <v>11816.827677934543</v>
      </c>
      <c r="Q89" s="17">
        <f t="shared" ca="1" si="16"/>
        <v>432797.46656418551</v>
      </c>
    </row>
    <row r="90" spans="1:17" x14ac:dyDescent="0.35">
      <c r="A90">
        <v>88</v>
      </c>
      <c r="B90" s="14">
        <f t="shared" ca="1" si="17"/>
        <v>48747</v>
      </c>
      <c r="C90" s="15">
        <f ca="1">(1+(('Symulacja Pożyczka'!$B$5+'Symulacja Pożyczka'!$C$20)/100)*('Arkusz1 (+5)'!B90-'Arkusz1 (+5)'!B89)/365)</f>
        <v>1.0063698630136986</v>
      </c>
      <c r="D90" s="15">
        <f ca="1">(1+(('Symulacja Pożyczka'!$B$5+'Symulacja Pożyczka'!$C$20)/100)*('Arkusz1 (+5)'!B90-'Arkusz1 (+5)'!B89)/366)</f>
        <v>1.0063524590163935</v>
      </c>
      <c r="E90" s="15">
        <f t="shared" ca="1" si="9"/>
        <v>0</v>
      </c>
      <c r="F90" s="15">
        <f t="shared" ca="1" si="10"/>
        <v>0</v>
      </c>
      <c r="G90">
        <f ca="1">IF(E90=1,(1+(('Symulacja Pożyczka'!$B$5+'Symulacja Pożyczka'!$C$20)/100)*(((Arkusz1!B90-DATE(YEAR(B90),1,1)+1)/365)+((DATE(YEAR(B89),12,31)-Arkusz1!B89)/366))),IF(F90=1,(1+(('Symulacja Pożyczka'!$B$5+'Symulacja Pożyczka'!$C$20)/100)*(((Arkusz1!B90-DATE(YEAR(B90),1,1)+1)/366)+((DATE(YEAR(B89),12,31)-Arkusz1!B89)/365))),0))</f>
        <v>0</v>
      </c>
      <c r="H90">
        <f t="shared" ca="1" si="11"/>
        <v>0</v>
      </c>
      <c r="I90">
        <f t="shared" ca="1" si="12"/>
        <v>1.0063698630136986</v>
      </c>
      <c r="J90">
        <f t="shared" ca="1" si="13"/>
        <v>1.0063698630136986</v>
      </c>
      <c r="K90">
        <f ca="1">PRODUCT($J$3:J90)</f>
        <v>1.7251038947324471</v>
      </c>
      <c r="L90">
        <f t="shared" ca="1" si="14"/>
        <v>0.57967523176631275</v>
      </c>
      <c r="M90">
        <f ca="1">SUM($L$3:L90)</f>
        <v>67.728099134814769</v>
      </c>
      <c r="O90">
        <f ca="1">(Q89*'Arkusz1 (+5)'!J90)-Q89</f>
        <v>2756.8605746896355</v>
      </c>
      <c r="P90" s="16">
        <f t="shared" ca="1" si="15"/>
        <v>11800.740149942922</v>
      </c>
      <c r="Q90" s="17">
        <f t="shared" ca="1" si="16"/>
        <v>420996.72641424258</v>
      </c>
    </row>
    <row r="91" spans="1:17" x14ac:dyDescent="0.35">
      <c r="A91">
        <v>89</v>
      </c>
      <c r="B91" s="14">
        <f t="shared" ca="1" si="17"/>
        <v>48777</v>
      </c>
      <c r="C91" s="15">
        <f ca="1">(1+(('Symulacja Pożyczka'!$B$5+'Symulacja Pożyczka'!$C$20)/100)*('Arkusz1 (+5)'!B91-'Arkusz1 (+5)'!B90)/365)</f>
        <v>1.0061643835616438</v>
      </c>
      <c r="D91" s="15">
        <f ca="1">(1+(('Symulacja Pożyczka'!$B$5+'Symulacja Pożyczka'!$C$20)/100)*('Arkusz1 (+5)'!B91-'Arkusz1 (+5)'!B90)/366)</f>
        <v>1.0061475409836065</v>
      </c>
      <c r="E91" s="15">
        <f t="shared" ca="1" si="9"/>
        <v>0</v>
      </c>
      <c r="F91" s="15">
        <f t="shared" ca="1" si="10"/>
        <v>0</v>
      </c>
      <c r="G91">
        <f ca="1">IF(E91=1,(1+(('Symulacja Pożyczka'!$B$5+'Symulacja Pożyczka'!$C$20)/100)*(((Arkusz1!B91-DATE(YEAR(B91),1,1)+1)/365)+((DATE(YEAR(B90),12,31)-Arkusz1!B90)/366))),IF(F91=1,(1+(('Symulacja Pożyczka'!$B$5+'Symulacja Pożyczka'!$C$20)/100)*(((Arkusz1!B91-DATE(YEAR(B91),1,1)+1)/366)+((DATE(YEAR(B90),12,31)-Arkusz1!B90)/365))),0))</f>
        <v>0</v>
      </c>
      <c r="H91">
        <f t="shared" ca="1" si="11"/>
        <v>0</v>
      </c>
      <c r="I91">
        <f t="shared" ca="1" si="12"/>
        <v>1.0061643835616438</v>
      </c>
      <c r="J91">
        <f t="shared" ca="1" si="13"/>
        <v>1.0061643835616438</v>
      </c>
      <c r="K91">
        <f ca="1">PRODUCT($J$3:J91)</f>
        <v>1.7357380968232636</v>
      </c>
      <c r="L91">
        <f t="shared" ca="1" si="14"/>
        <v>0.57612378378408202</v>
      </c>
      <c r="M91">
        <f ca="1">SUM($L$3:L91)</f>
        <v>68.304222918598853</v>
      </c>
      <c r="O91">
        <f ca="1">(Q90*'Arkusz1 (+5)'!J91)-Q90</f>
        <v>2595.1852998138056</v>
      </c>
      <c r="P91" s="16">
        <f t="shared" ca="1" si="15"/>
        <v>11962.415424818751</v>
      </c>
      <c r="Q91" s="17">
        <f t="shared" ca="1" si="16"/>
        <v>409034.31098942383</v>
      </c>
    </row>
    <row r="92" spans="1:17" x14ac:dyDescent="0.35">
      <c r="A92">
        <v>90</v>
      </c>
      <c r="B92" s="14">
        <f t="shared" ca="1" si="17"/>
        <v>48808</v>
      </c>
      <c r="C92" s="15">
        <f ca="1">(1+(('Symulacja Pożyczka'!$B$5+'Symulacja Pożyczka'!$C$20)/100)*('Arkusz1 (+5)'!B92-'Arkusz1 (+5)'!B91)/365)</f>
        <v>1.0063698630136986</v>
      </c>
      <c r="D92" s="15">
        <f ca="1">(1+(('Symulacja Pożyczka'!$B$5+'Symulacja Pożyczka'!$C$20)/100)*('Arkusz1 (+5)'!B92-'Arkusz1 (+5)'!B91)/366)</f>
        <v>1.0063524590163935</v>
      </c>
      <c r="E92" s="15">
        <f t="shared" ca="1" si="9"/>
        <v>0</v>
      </c>
      <c r="F92" s="15">
        <f t="shared" ca="1" si="10"/>
        <v>0</v>
      </c>
      <c r="G92">
        <f ca="1">IF(E92=1,(1+(('Symulacja Pożyczka'!$B$5+'Symulacja Pożyczka'!$C$20)/100)*(((Arkusz1!B92-DATE(YEAR(B92),1,1)+1)/365)+((DATE(YEAR(B91),12,31)-Arkusz1!B91)/366))),IF(F92=1,(1+(('Symulacja Pożyczka'!$B$5+'Symulacja Pożyczka'!$C$20)/100)*(((Arkusz1!B92-DATE(YEAR(B92),1,1)+1)/366)+((DATE(YEAR(B91),12,31)-Arkusz1!B91)/365))),0))</f>
        <v>0</v>
      </c>
      <c r="H92">
        <f t="shared" ca="1" si="11"/>
        <v>0</v>
      </c>
      <c r="I92">
        <f t="shared" ca="1" si="12"/>
        <v>1.0063698630136986</v>
      </c>
      <c r="J92">
        <f t="shared" ca="1" si="13"/>
        <v>1.0063698630136986</v>
      </c>
      <c r="K92">
        <f ca="1">PRODUCT($J$3:J92)</f>
        <v>1.7467945107276857</v>
      </c>
      <c r="L92">
        <f t="shared" ca="1" si="14"/>
        <v>0.57247718255275293</v>
      </c>
      <c r="M92">
        <f ca="1">SUM($L$3:L92)</f>
        <v>68.876700101151613</v>
      </c>
      <c r="O92">
        <f ca="1">(Q91*'Arkusz1 (+5)'!J92)-Q91</f>
        <v>2605.4925289052189</v>
      </c>
      <c r="P92" s="16">
        <f t="shared" ca="1" si="15"/>
        <v>11952.108195727338</v>
      </c>
      <c r="Q92" s="17">
        <f t="shared" ca="1" si="16"/>
        <v>397082.20279369649</v>
      </c>
    </row>
    <row r="93" spans="1:17" x14ac:dyDescent="0.35">
      <c r="A93">
        <v>91</v>
      </c>
      <c r="B93" s="14">
        <f t="shared" ca="1" si="17"/>
        <v>48839</v>
      </c>
      <c r="C93" s="15">
        <f ca="1">(1+(('Symulacja Pożyczka'!$B$5+'Symulacja Pożyczka'!$C$20)/100)*('Arkusz1 (+5)'!B93-'Arkusz1 (+5)'!B92)/365)</f>
        <v>1.0063698630136986</v>
      </c>
      <c r="D93" s="15">
        <f ca="1">(1+(('Symulacja Pożyczka'!$B$5+'Symulacja Pożyczka'!$C$20)/100)*('Arkusz1 (+5)'!B93-'Arkusz1 (+5)'!B92)/366)</f>
        <v>1.0063524590163935</v>
      </c>
      <c r="E93" s="15">
        <f t="shared" ca="1" si="9"/>
        <v>0</v>
      </c>
      <c r="F93" s="15">
        <f t="shared" ca="1" si="10"/>
        <v>0</v>
      </c>
      <c r="G93">
        <f ca="1">IF(E93=1,(1+(('Symulacja Pożyczka'!$B$5+'Symulacja Pożyczka'!$C$20)/100)*(((Arkusz1!B93-DATE(YEAR(B93),1,1)+1)/365)+((DATE(YEAR(B92),12,31)-Arkusz1!B92)/366))),IF(F93=1,(1+(('Symulacja Pożyczka'!$B$5+'Symulacja Pożyczka'!$C$20)/100)*(((Arkusz1!B93-DATE(YEAR(B93),1,1)+1)/366)+((DATE(YEAR(B92),12,31)-Arkusz1!B92)/365))),0))</f>
        <v>0</v>
      </c>
      <c r="H93">
        <f t="shared" ca="1" si="11"/>
        <v>0</v>
      </c>
      <c r="I93">
        <f t="shared" ca="1" si="12"/>
        <v>1.0063698630136986</v>
      </c>
      <c r="J93">
        <f t="shared" ca="1" si="13"/>
        <v>1.0063698630136986</v>
      </c>
      <c r="K93">
        <f ca="1">PRODUCT($J$3:J93)</f>
        <v>1.7579213524741015</v>
      </c>
      <c r="L93">
        <f t="shared" ca="1" si="14"/>
        <v>0.56885366264685178</v>
      </c>
      <c r="M93">
        <f ca="1">SUM($L$3:L93)</f>
        <v>69.445553763798458</v>
      </c>
      <c r="O93">
        <f ca="1">(Q92*'Arkusz1 (+5)'!J93)-Q92</f>
        <v>2529.3592369735125</v>
      </c>
      <c r="P93" s="16">
        <f t="shared" ca="1" si="15"/>
        <v>12028.241487659045</v>
      </c>
      <c r="Q93" s="17">
        <f t="shared" ca="1" si="16"/>
        <v>385053.96130603744</v>
      </c>
    </row>
    <row r="94" spans="1:17" x14ac:dyDescent="0.35">
      <c r="A94">
        <v>92</v>
      </c>
      <c r="B94" s="14">
        <f t="shared" ca="1" si="17"/>
        <v>48869</v>
      </c>
      <c r="C94" s="15">
        <f ca="1">(1+(('Symulacja Pożyczka'!$B$5+'Symulacja Pożyczka'!$C$20)/100)*('Arkusz1 (+5)'!B94-'Arkusz1 (+5)'!B93)/365)</f>
        <v>1.0061643835616438</v>
      </c>
      <c r="D94" s="15">
        <f ca="1">(1+(('Symulacja Pożyczka'!$B$5+'Symulacja Pożyczka'!$C$20)/100)*('Arkusz1 (+5)'!B94-'Arkusz1 (+5)'!B93)/366)</f>
        <v>1.0061475409836065</v>
      </c>
      <c r="E94" s="15">
        <f t="shared" ca="1" si="9"/>
        <v>0</v>
      </c>
      <c r="F94" s="15">
        <f t="shared" ca="1" si="10"/>
        <v>0</v>
      </c>
      <c r="G94">
        <f ca="1">IF(E94=1,(1+(('Symulacja Pożyczka'!$B$5+'Symulacja Pożyczka'!$C$20)/100)*(((Arkusz1!B94-DATE(YEAR(B94),1,1)+1)/365)+((DATE(YEAR(B93),12,31)-Arkusz1!B93)/366))),IF(F94=1,(1+(('Symulacja Pożyczka'!$B$5+'Symulacja Pożyczka'!$C$20)/100)*(((Arkusz1!B94-DATE(YEAR(B94),1,1)+1)/366)+((DATE(YEAR(B93),12,31)-Arkusz1!B93)/365))),0))</f>
        <v>0</v>
      </c>
      <c r="H94">
        <f t="shared" ca="1" si="11"/>
        <v>0</v>
      </c>
      <c r="I94">
        <f t="shared" ca="1" si="12"/>
        <v>1.0061643835616438</v>
      </c>
      <c r="J94">
        <f t="shared" ca="1" si="13"/>
        <v>1.0061643835616438</v>
      </c>
      <c r="K94">
        <f ca="1">PRODUCT($J$3:J94)</f>
        <v>1.7687578539619555</v>
      </c>
      <c r="L94">
        <f t="shared" ca="1" si="14"/>
        <v>0.56536851427120738</v>
      </c>
      <c r="M94">
        <f ca="1">SUM($L$3:L94)</f>
        <v>70.010922278069671</v>
      </c>
      <c r="O94">
        <f ca="1">(Q93*'Arkusz1 (+5)'!J94)-Q93</f>
        <v>2373.6203094208031</v>
      </c>
      <c r="P94" s="16">
        <f t="shared" ca="1" si="15"/>
        <v>12183.980415211754</v>
      </c>
      <c r="Q94" s="17">
        <f t="shared" ca="1" si="16"/>
        <v>372869.98089082568</v>
      </c>
    </row>
    <row r="95" spans="1:17" x14ac:dyDescent="0.35">
      <c r="A95">
        <v>93</v>
      </c>
      <c r="B95" s="14">
        <f t="shared" ca="1" si="17"/>
        <v>48900</v>
      </c>
      <c r="C95" s="15">
        <f ca="1">(1+(('Symulacja Pożyczka'!$B$5+'Symulacja Pożyczka'!$C$20)/100)*('Arkusz1 (+5)'!B95-'Arkusz1 (+5)'!B94)/365)</f>
        <v>1.0063698630136986</v>
      </c>
      <c r="D95" s="15">
        <f ca="1">(1+(('Symulacja Pożyczka'!$B$5+'Symulacja Pożyczka'!$C$20)/100)*('Arkusz1 (+5)'!B95-'Arkusz1 (+5)'!B94)/366)</f>
        <v>1.0063524590163935</v>
      </c>
      <c r="E95" s="15">
        <f t="shared" ca="1" si="9"/>
        <v>0</v>
      </c>
      <c r="F95" s="15">
        <f t="shared" ca="1" si="10"/>
        <v>0</v>
      </c>
      <c r="G95">
        <f ca="1">IF(E95=1,(1+(('Symulacja Pożyczka'!$B$5+'Symulacja Pożyczka'!$C$20)/100)*(((Arkusz1!B95-DATE(YEAR(B95),1,1)+1)/365)+((DATE(YEAR(B94),12,31)-Arkusz1!B94)/366))),IF(F95=1,(1+(('Symulacja Pożyczka'!$B$5+'Symulacja Pożyczka'!$C$20)/100)*(((Arkusz1!B95-DATE(YEAR(B95),1,1)+1)/366)+((DATE(YEAR(B94),12,31)-Arkusz1!B94)/365))),0))</f>
        <v>0</v>
      </c>
      <c r="H95">
        <f t="shared" ca="1" si="11"/>
        <v>0</v>
      </c>
      <c r="I95">
        <f t="shared" ca="1" si="12"/>
        <v>1.0063698630136986</v>
      </c>
      <c r="J95">
        <f t="shared" ca="1" si="13"/>
        <v>1.0063698630136986</v>
      </c>
      <c r="K95">
        <f ca="1">PRODUCT($J$3:J95)</f>
        <v>1.7800245991960966</v>
      </c>
      <c r="L95">
        <f t="shared" ca="1" si="14"/>
        <v>0.56178998899881771</v>
      </c>
      <c r="M95">
        <f ca="1">SUM($L$3:L95)</f>
        <v>70.572712267068482</v>
      </c>
      <c r="O95">
        <f ca="1">(Q94*'Arkusz1 (+5)'!J95)-Q94</f>
        <v>2375.1307001949754</v>
      </c>
      <c r="P95" s="16">
        <f t="shared" ca="1" si="15"/>
        <v>12182.470024437582</v>
      </c>
      <c r="Q95" s="17">
        <f t="shared" ca="1" si="16"/>
        <v>360687.5108663881</v>
      </c>
    </row>
    <row r="96" spans="1:17" x14ac:dyDescent="0.35">
      <c r="A96">
        <v>94</v>
      </c>
      <c r="B96" s="14">
        <f t="shared" ca="1" si="17"/>
        <v>48930</v>
      </c>
      <c r="C96" s="15">
        <f ca="1">(1+(('Symulacja Pożyczka'!$B$5+'Symulacja Pożyczka'!$C$20)/100)*('Arkusz1 (+5)'!B96-'Arkusz1 (+5)'!B95)/365)</f>
        <v>1.0061643835616438</v>
      </c>
      <c r="D96" s="15">
        <f ca="1">(1+(('Symulacja Pożyczka'!$B$5+'Symulacja Pożyczka'!$C$20)/100)*('Arkusz1 (+5)'!B96-'Arkusz1 (+5)'!B95)/366)</f>
        <v>1.0061475409836065</v>
      </c>
      <c r="E96" s="15">
        <f t="shared" ca="1" si="9"/>
        <v>0</v>
      </c>
      <c r="F96" s="15">
        <f t="shared" ca="1" si="10"/>
        <v>0</v>
      </c>
      <c r="G96">
        <f ca="1">IF(E96=1,(1+(('Symulacja Pożyczka'!$B$5+'Symulacja Pożyczka'!$C$20)/100)*(((Arkusz1!B96-DATE(YEAR(B96),1,1)+1)/365)+((DATE(YEAR(B95),12,31)-Arkusz1!B95)/366))),IF(F96=1,(1+(('Symulacja Pożyczka'!$B$5+'Symulacja Pożyczka'!$C$20)/100)*(((Arkusz1!B96-DATE(YEAR(B96),1,1)+1)/366)+((DATE(YEAR(B95),12,31)-Arkusz1!B95)/365))),0))</f>
        <v>0</v>
      </c>
      <c r="H96">
        <f t="shared" ca="1" si="11"/>
        <v>0</v>
      </c>
      <c r="I96">
        <f t="shared" ca="1" si="12"/>
        <v>1.0061643835616438</v>
      </c>
      <c r="J96">
        <f t="shared" ca="1" si="13"/>
        <v>1.0061643835616438</v>
      </c>
      <c r="K96">
        <f ca="1">PRODUCT($J$3:J96)</f>
        <v>1.7909973535747026</v>
      </c>
      <c r="L96">
        <f t="shared" ca="1" si="14"/>
        <v>0.55834811704443421</v>
      </c>
      <c r="M96">
        <f ca="1">SUM($L$3:L96)</f>
        <v>71.131060384112914</v>
      </c>
      <c r="O96">
        <f ca="1">(Q95*'Arkusz1 (+5)'!J96)-Q95</f>
        <v>2223.4161628750153</v>
      </c>
      <c r="P96" s="16">
        <f t="shared" ca="1" si="15"/>
        <v>12334.184561757542</v>
      </c>
      <c r="Q96" s="17">
        <f t="shared" ca="1" si="16"/>
        <v>348353.32630463055</v>
      </c>
    </row>
    <row r="97" spans="1:17" x14ac:dyDescent="0.35">
      <c r="A97">
        <v>95</v>
      </c>
      <c r="B97" s="14">
        <f t="shared" ca="1" si="17"/>
        <v>48961</v>
      </c>
      <c r="C97" s="15">
        <f ca="1">(1+(('Symulacja Pożyczka'!$B$5+'Symulacja Pożyczka'!$C$20)/100)*('Arkusz1 (+5)'!B97-'Arkusz1 (+5)'!B96)/365)</f>
        <v>1.0063698630136986</v>
      </c>
      <c r="D97" s="15">
        <f ca="1">(1+(('Symulacja Pożyczka'!$B$5+'Symulacja Pożyczka'!$C$20)/100)*('Arkusz1 (+5)'!B97-'Arkusz1 (+5)'!B96)/366)</f>
        <v>1.0063524590163935</v>
      </c>
      <c r="E97" s="15">
        <f t="shared" ca="1" si="9"/>
        <v>0</v>
      </c>
      <c r="F97" s="15">
        <f t="shared" ca="1" si="10"/>
        <v>0</v>
      </c>
      <c r="G97">
        <f ca="1">IF(E97=1,(1+(('Symulacja Pożyczka'!$B$5+'Symulacja Pożyczka'!$C$20)/100)*(((Arkusz1!B97-DATE(YEAR(B97),1,1)+1)/365)+((DATE(YEAR(B96),12,31)-Arkusz1!B96)/366))),IF(F97=1,(1+(('Symulacja Pożyczka'!$B$5+'Symulacja Pożyczka'!$C$20)/100)*(((Arkusz1!B97-DATE(YEAR(B97),1,1)+1)/366)+((DATE(YEAR(B96),12,31)-Arkusz1!B96)/365))),0))</f>
        <v>0</v>
      </c>
      <c r="H97">
        <f t="shared" ca="1" si="11"/>
        <v>0</v>
      </c>
      <c r="I97">
        <f t="shared" ca="1" si="12"/>
        <v>1.0063698630136986</v>
      </c>
      <c r="J97">
        <f t="shared" ca="1" si="13"/>
        <v>1.0063698630136986</v>
      </c>
      <c r="K97">
        <f ca="1">PRODUCT($J$3:J97)</f>
        <v>1.8024057613748701</v>
      </c>
      <c r="L97">
        <f t="shared" ca="1" si="14"/>
        <v>0.55481402768997079</v>
      </c>
      <c r="M97">
        <f ca="1">SUM($L$3:L97)</f>
        <v>71.685874411802885</v>
      </c>
      <c r="O97">
        <f ca="1">(Q96*'Arkusz1 (+5)'!J97)-Q96</f>
        <v>2218.9629689267604</v>
      </c>
      <c r="P97" s="16">
        <f t="shared" ca="1" si="15"/>
        <v>12338.637755705797</v>
      </c>
      <c r="Q97" s="17">
        <f t="shared" ca="1" si="16"/>
        <v>336014.68854892475</v>
      </c>
    </row>
    <row r="98" spans="1:17" x14ac:dyDescent="0.35">
      <c r="A98">
        <v>96</v>
      </c>
      <c r="B98" s="14">
        <f t="shared" ca="1" si="17"/>
        <v>48992</v>
      </c>
      <c r="C98" s="15">
        <f ca="1">(1+(('Symulacja Pożyczka'!$B$5+'Symulacja Pożyczka'!$C$20)/100)*('Arkusz1 (+5)'!B98-'Arkusz1 (+5)'!B97)/365)</f>
        <v>1.0063698630136986</v>
      </c>
      <c r="D98" s="15">
        <f ca="1">(1+(('Symulacja Pożyczka'!$B$5+'Symulacja Pożyczka'!$C$20)/100)*('Arkusz1 (+5)'!B98-'Arkusz1 (+5)'!B97)/366)</f>
        <v>1.0063524590163935</v>
      </c>
      <c r="E98" s="15">
        <f t="shared" ca="1" si="9"/>
        <v>0</v>
      </c>
      <c r="F98" s="15">
        <f t="shared" ca="1" si="10"/>
        <v>0</v>
      </c>
      <c r="G98">
        <f ca="1">IF(E98=1,(1+(('Symulacja Pożyczka'!$B$5+'Symulacja Pożyczka'!$C$20)/100)*(((Arkusz1!B98-DATE(YEAR(B98),1,1)+1)/365)+((DATE(YEAR(B97),12,31)-Arkusz1!B97)/366))),IF(F98=1,(1+(('Symulacja Pożyczka'!$B$5+'Symulacja Pożyczka'!$C$20)/100)*(((Arkusz1!B98-DATE(YEAR(B98),1,1)+1)/366)+((DATE(YEAR(B97),12,31)-Arkusz1!B97)/365))),0))</f>
        <v>0</v>
      </c>
      <c r="H98">
        <f t="shared" ca="1" si="11"/>
        <v>0</v>
      </c>
      <c r="I98">
        <f t="shared" ca="1" si="12"/>
        <v>1.0063698630136986</v>
      </c>
      <c r="J98">
        <f t="shared" ca="1" si="13"/>
        <v>1.0063698630136986</v>
      </c>
      <c r="K98">
        <f ca="1">PRODUCT($J$3:J98)</f>
        <v>1.813886839169929</v>
      </c>
      <c r="L98">
        <f t="shared" ca="1" si="14"/>
        <v>0.5513023075119835</v>
      </c>
      <c r="M98">
        <f ca="1">SUM($L$3:L98)</f>
        <v>72.237176719314874</v>
      </c>
      <c r="O98">
        <f ca="1">(Q97*'Arkusz1 (+5)'!J98)-Q97</f>
        <v>2140.3675366472453</v>
      </c>
      <c r="P98" s="16">
        <f t="shared" ca="1" si="15"/>
        <v>12417.233187985312</v>
      </c>
      <c r="Q98" s="17">
        <f t="shared" ca="1" si="16"/>
        <v>323597.45536093944</v>
      </c>
    </row>
    <row r="99" spans="1:17" x14ac:dyDescent="0.35">
      <c r="A99">
        <v>97</v>
      </c>
      <c r="B99" s="14">
        <f t="shared" ca="1" si="17"/>
        <v>49020</v>
      </c>
      <c r="C99" s="15">
        <f ca="1">(1+(('Symulacja Pożyczka'!$B$5+'Symulacja Pożyczka'!$C$20)/100)*('Arkusz1 (+5)'!B99-'Arkusz1 (+5)'!B98)/365)</f>
        <v>1.0057534246575341</v>
      </c>
      <c r="D99" s="15">
        <f ca="1">(1+(('Symulacja Pożyczka'!$B$5+'Symulacja Pożyczka'!$C$20)/100)*('Arkusz1 (+5)'!B99-'Arkusz1 (+5)'!B98)/366)</f>
        <v>1.0057377049180327</v>
      </c>
      <c r="E99" s="15">
        <f t="shared" ca="1" si="9"/>
        <v>0</v>
      </c>
      <c r="F99" s="15">
        <f t="shared" ca="1" si="10"/>
        <v>0</v>
      </c>
      <c r="G99">
        <f ca="1">IF(E99=1,(1+(('Symulacja Pożyczka'!$B$5+'Symulacja Pożyczka'!$C$20)/100)*(((Arkusz1!B99-DATE(YEAR(B99),1,1)+1)/365)+((DATE(YEAR(B98),12,31)-Arkusz1!B98)/366))),IF(F99=1,(1+(('Symulacja Pożyczka'!$B$5+'Symulacja Pożyczka'!$C$20)/100)*(((Arkusz1!B99-DATE(YEAR(B99),1,1)+1)/366)+((DATE(YEAR(B98),12,31)-Arkusz1!B98)/365))),0))</f>
        <v>0</v>
      </c>
      <c r="H99">
        <f t="shared" ca="1" si="11"/>
        <v>0</v>
      </c>
      <c r="I99">
        <f t="shared" ca="1" si="12"/>
        <v>1.0057534246575341</v>
      </c>
      <c r="J99">
        <f t="shared" ca="1" si="13"/>
        <v>1.0057534246575341</v>
      </c>
      <c r="K99">
        <f ca="1">PRODUCT($J$3:J99)</f>
        <v>1.8243229004363859</v>
      </c>
      <c r="L99">
        <f t="shared" ca="1" si="14"/>
        <v>0.54814857597895394</v>
      </c>
      <c r="M99">
        <f ca="1">SUM($L$3:L99)</f>
        <v>72.785325295293831</v>
      </c>
      <c r="O99">
        <f ca="1">(Q98*'Arkusz1 (+5)'!J99)-Q98</f>
        <v>1861.7935787889292</v>
      </c>
      <c r="P99" s="16">
        <f t="shared" ca="1" si="15"/>
        <v>12695.807145843628</v>
      </c>
      <c r="Q99" s="17">
        <f t="shared" ca="1" si="16"/>
        <v>310901.6482150958</v>
      </c>
    </row>
    <row r="100" spans="1:17" x14ac:dyDescent="0.35">
      <c r="A100">
        <v>98</v>
      </c>
      <c r="B100" s="14">
        <f t="shared" ca="1" si="17"/>
        <v>49051</v>
      </c>
      <c r="C100" s="15">
        <f ca="1">(1+(('Symulacja Pożyczka'!$B$5+'Symulacja Pożyczka'!$C$20)/100)*('Arkusz1 (+5)'!B100-'Arkusz1 (+5)'!B99)/365)</f>
        <v>1.0063698630136986</v>
      </c>
      <c r="D100" s="15">
        <f ca="1">(1+(('Symulacja Pożyczka'!$B$5+'Symulacja Pożyczka'!$C$20)/100)*('Arkusz1 (+5)'!B100-'Arkusz1 (+5)'!B99)/366)</f>
        <v>1.0063524590163935</v>
      </c>
      <c r="E100" s="15">
        <f t="shared" ca="1" si="9"/>
        <v>0</v>
      </c>
      <c r="F100" s="15">
        <f t="shared" ca="1" si="10"/>
        <v>0</v>
      </c>
      <c r="G100">
        <f ca="1">IF(E100=1,(1+(('Symulacja Pożyczka'!$B$5+'Symulacja Pożyczka'!$C$20)/100)*(((Arkusz1!B100-DATE(YEAR(B100),1,1)+1)/365)+((DATE(YEAR(B99),12,31)-Arkusz1!B99)/366))),IF(F100=1,(1+(('Symulacja Pożyczka'!$B$5+'Symulacja Pożyczka'!$C$20)/100)*(((Arkusz1!B100-DATE(YEAR(B100),1,1)+1)/366)+((DATE(YEAR(B99),12,31)-Arkusz1!B99)/365))),0))</f>
        <v>0</v>
      </c>
      <c r="H100">
        <f t="shared" ca="1" si="11"/>
        <v>0</v>
      </c>
      <c r="I100">
        <f t="shared" ca="1" si="12"/>
        <v>1.0063698630136986</v>
      </c>
      <c r="J100">
        <f t="shared" ca="1" si="13"/>
        <v>1.0063698630136986</v>
      </c>
      <c r="K100">
        <f ca="1">PRODUCT($J$3:J100)</f>
        <v>1.835943587404919</v>
      </c>
      <c r="L100">
        <f t="shared" ca="1" si="14"/>
        <v>0.54467904507539155</v>
      </c>
      <c r="M100">
        <f ca="1">SUM($L$3:L100)</f>
        <v>73.330004340369229</v>
      </c>
      <c r="O100">
        <f ca="1">(Q99*'Arkusz1 (+5)'!J100)-Q99</f>
        <v>1980.4009098632378</v>
      </c>
      <c r="P100" s="16">
        <f t="shared" ca="1" si="15"/>
        <v>12577.199814769319</v>
      </c>
      <c r="Q100" s="17">
        <f t="shared" ca="1" si="16"/>
        <v>298324.44840032648</v>
      </c>
    </row>
    <row r="101" spans="1:17" x14ac:dyDescent="0.35">
      <c r="A101">
        <v>99</v>
      </c>
      <c r="B101" s="14">
        <f t="shared" ca="1" si="17"/>
        <v>49081</v>
      </c>
      <c r="C101" s="15">
        <f ca="1">(1+(('Symulacja Pożyczka'!$B$5+'Symulacja Pożyczka'!$C$20)/100)*('Arkusz1 (+5)'!B101-'Arkusz1 (+5)'!B100)/365)</f>
        <v>1.0061643835616438</v>
      </c>
      <c r="D101" s="15">
        <f ca="1">(1+(('Symulacja Pożyczka'!$B$5+'Symulacja Pożyczka'!$C$20)/100)*('Arkusz1 (+5)'!B101-'Arkusz1 (+5)'!B100)/366)</f>
        <v>1.0061475409836065</v>
      </c>
      <c r="E101" s="15">
        <f t="shared" ca="1" si="9"/>
        <v>0</v>
      </c>
      <c r="F101" s="15">
        <f t="shared" ca="1" si="10"/>
        <v>0</v>
      </c>
      <c r="G101">
        <f ca="1">IF(E101=1,(1+(('Symulacja Pożyczka'!$B$5+'Symulacja Pożyczka'!$C$20)/100)*(((Arkusz1!B101-DATE(YEAR(B101),1,1)+1)/365)+((DATE(YEAR(B100),12,31)-Arkusz1!B100)/366))),IF(F101=1,(1+(('Symulacja Pożyczka'!$B$5+'Symulacja Pożyczka'!$C$20)/100)*(((Arkusz1!B101-DATE(YEAR(B101),1,1)+1)/366)+((DATE(YEAR(B100),12,31)-Arkusz1!B100)/365))),0))</f>
        <v>0</v>
      </c>
      <c r="H101">
        <f t="shared" ca="1" si="11"/>
        <v>0</v>
      </c>
      <c r="I101">
        <f t="shared" ca="1" si="12"/>
        <v>1.0061643835616438</v>
      </c>
      <c r="J101">
        <f t="shared" ca="1" si="13"/>
        <v>1.0061643835616438</v>
      </c>
      <c r="K101">
        <f ca="1">PRODUCT($J$3:J101)</f>
        <v>1.8472610478752234</v>
      </c>
      <c r="L101">
        <f t="shared" ca="1" si="14"/>
        <v>0.5413420053165906</v>
      </c>
      <c r="M101">
        <f ca="1">SUM($L$3:L101)</f>
        <v>73.871346345685822</v>
      </c>
      <c r="O101">
        <f ca="1">(Q100*'Arkusz1 (+5)'!J101)-Q100</f>
        <v>1838.9863257554243</v>
      </c>
      <c r="P101" s="16">
        <f t="shared" ca="1" si="15"/>
        <v>12718.614398877133</v>
      </c>
      <c r="Q101" s="17">
        <f t="shared" ca="1" si="16"/>
        <v>285605.83400144934</v>
      </c>
    </row>
    <row r="102" spans="1:17" x14ac:dyDescent="0.35">
      <c r="A102">
        <v>100</v>
      </c>
      <c r="B102" s="14">
        <f t="shared" ca="1" si="17"/>
        <v>49112</v>
      </c>
      <c r="C102" s="15">
        <f ca="1">(1+(('Symulacja Pożyczka'!$B$5+'Symulacja Pożyczka'!$C$20)/100)*('Arkusz1 (+5)'!B102-'Arkusz1 (+5)'!B101)/365)</f>
        <v>1.0063698630136986</v>
      </c>
      <c r="D102" s="15">
        <f ca="1">(1+(('Symulacja Pożyczka'!$B$5+'Symulacja Pożyczka'!$C$20)/100)*('Arkusz1 (+5)'!B102-'Arkusz1 (+5)'!B101)/366)</f>
        <v>1.0063524590163935</v>
      </c>
      <c r="E102" s="15">
        <f t="shared" ca="1" si="9"/>
        <v>0</v>
      </c>
      <c r="F102" s="15">
        <f t="shared" ca="1" si="10"/>
        <v>0</v>
      </c>
      <c r="G102">
        <f ca="1">IF(E102=1,(1+(('Symulacja Pożyczka'!$B$5+'Symulacja Pożyczka'!$C$20)/100)*(((Arkusz1!B102-DATE(YEAR(B102),1,1)+1)/365)+((DATE(YEAR(B101),12,31)-Arkusz1!B101)/366))),IF(F102=1,(1+(('Symulacja Pożyczka'!$B$5+'Symulacja Pożyczka'!$C$20)/100)*(((Arkusz1!B102-DATE(YEAR(B102),1,1)+1)/366)+((DATE(YEAR(B101),12,31)-Arkusz1!B101)/365))),0))</f>
        <v>0</v>
      </c>
      <c r="H102">
        <f t="shared" ca="1" si="11"/>
        <v>0</v>
      </c>
      <c r="I102">
        <f t="shared" ca="1" si="12"/>
        <v>1.0063698630136986</v>
      </c>
      <c r="J102">
        <f t="shared" ca="1" si="13"/>
        <v>1.0063698630136986</v>
      </c>
      <c r="K102">
        <f ca="1">PRODUCT($J$3:J102)</f>
        <v>1.8590278477007298</v>
      </c>
      <c r="L102">
        <f t="shared" ca="1" si="14"/>
        <v>0.537915556906161</v>
      </c>
      <c r="M102">
        <f ca="1">SUM($L$3:L102)</f>
        <v>74.409261902591979</v>
      </c>
      <c r="O102">
        <f ca="1">(Q101*'Arkusz1 (+5)'!J102)-Q101</f>
        <v>1819.2700385023491</v>
      </c>
      <c r="P102" s="16">
        <f t="shared" ca="1" si="15"/>
        <v>12738.330686130208</v>
      </c>
      <c r="Q102" s="17">
        <f t="shared" ca="1" si="16"/>
        <v>272867.50331531913</v>
      </c>
    </row>
    <row r="103" spans="1:17" x14ac:dyDescent="0.35">
      <c r="A103">
        <v>101</v>
      </c>
      <c r="B103" s="14">
        <f t="shared" ca="1" si="17"/>
        <v>49142</v>
      </c>
      <c r="C103" s="15">
        <f ca="1">(1+(('Symulacja Pożyczka'!$B$5+'Symulacja Pożyczka'!$C$20)/100)*('Arkusz1 (+5)'!B103-'Arkusz1 (+5)'!B102)/365)</f>
        <v>1.0061643835616438</v>
      </c>
      <c r="D103" s="15">
        <f ca="1">(1+(('Symulacja Pożyczka'!$B$5+'Symulacja Pożyczka'!$C$20)/100)*('Arkusz1 (+5)'!B103-'Arkusz1 (+5)'!B102)/366)</f>
        <v>1.0061475409836065</v>
      </c>
      <c r="E103" s="15">
        <f t="shared" ca="1" si="9"/>
        <v>0</v>
      </c>
      <c r="F103" s="15">
        <f t="shared" ca="1" si="10"/>
        <v>0</v>
      </c>
      <c r="G103">
        <f ca="1">IF(E103=1,(1+(('Symulacja Pożyczka'!$B$5+'Symulacja Pożyczka'!$C$20)/100)*(((Arkusz1!B103-DATE(YEAR(B103),1,1)+1)/365)+((DATE(YEAR(B102),12,31)-Arkusz1!B102)/366))),IF(F103=1,(1+(('Symulacja Pożyczka'!$B$5+'Symulacja Pożyczka'!$C$20)/100)*(((Arkusz1!B103-DATE(YEAR(B103),1,1)+1)/366)+((DATE(YEAR(B102),12,31)-Arkusz1!B102)/365))),0))</f>
        <v>0</v>
      </c>
      <c r="H103">
        <f t="shared" ca="1" si="11"/>
        <v>0</v>
      </c>
      <c r="I103">
        <f t="shared" ca="1" si="12"/>
        <v>1.0061643835616438</v>
      </c>
      <c r="J103">
        <f t="shared" ca="1" si="13"/>
        <v>1.0061643835616438</v>
      </c>
      <c r="K103">
        <f ca="1">PRODUCT($J$3:J103)</f>
        <v>1.8704876084057342</v>
      </c>
      <c r="L103">
        <f t="shared" ca="1" si="14"/>
        <v>0.53461995444723975</v>
      </c>
      <c r="M103">
        <f ca="1">SUM($L$3:L103)</f>
        <v>74.943881857039216</v>
      </c>
      <c r="O103">
        <f ca="1">(Q102*'Arkusz1 (+5)'!J103)-Q102</f>
        <v>1682.0599519437528</v>
      </c>
      <c r="P103" s="16">
        <f t="shared" ca="1" si="15"/>
        <v>12875.540772688804</v>
      </c>
      <c r="Q103" s="17">
        <f t="shared" ca="1" si="16"/>
        <v>259991.96254263032</v>
      </c>
    </row>
    <row r="104" spans="1:17" x14ac:dyDescent="0.35">
      <c r="A104">
        <v>102</v>
      </c>
      <c r="B104" s="14">
        <f t="shared" ca="1" si="17"/>
        <v>49173</v>
      </c>
      <c r="C104" s="15">
        <f ca="1">(1+(('Symulacja Pożyczka'!$B$5+'Symulacja Pożyczka'!$C$20)/100)*('Arkusz1 (+5)'!B104-'Arkusz1 (+5)'!B103)/365)</f>
        <v>1.0063698630136986</v>
      </c>
      <c r="D104" s="15">
        <f ca="1">(1+(('Symulacja Pożyczka'!$B$5+'Symulacja Pożyczka'!$C$20)/100)*('Arkusz1 (+5)'!B104-'Arkusz1 (+5)'!B103)/366)</f>
        <v>1.0063524590163935</v>
      </c>
      <c r="E104" s="15">
        <f t="shared" ca="1" si="9"/>
        <v>0</v>
      </c>
      <c r="F104" s="15">
        <f t="shared" ca="1" si="10"/>
        <v>0</v>
      </c>
      <c r="G104">
        <f ca="1">IF(E104=1,(1+(('Symulacja Pożyczka'!$B$5+'Symulacja Pożyczka'!$C$20)/100)*(((Arkusz1!B104-DATE(YEAR(B104),1,1)+1)/365)+((DATE(YEAR(B103),12,31)-Arkusz1!B103)/366))),IF(F104=1,(1+(('Symulacja Pożyczka'!$B$5+'Symulacja Pożyczka'!$C$20)/100)*(((Arkusz1!B104-DATE(YEAR(B104),1,1)+1)/366)+((DATE(YEAR(B103),12,31)-Arkusz1!B103)/365))),0))</f>
        <v>0</v>
      </c>
      <c r="H104">
        <f t="shared" ca="1" si="11"/>
        <v>0</v>
      </c>
      <c r="I104">
        <f t="shared" ca="1" si="12"/>
        <v>1.0063698630136986</v>
      </c>
      <c r="J104">
        <f t="shared" ca="1" si="13"/>
        <v>1.0063698630136986</v>
      </c>
      <c r="K104">
        <f ca="1">PRODUCT($J$3:J104)</f>
        <v>1.8824023582400995</v>
      </c>
      <c r="L104">
        <f t="shared" ca="1" si="14"/>
        <v>0.53123605355813652</v>
      </c>
      <c r="M104">
        <f ca="1">SUM($L$3:L104)</f>
        <v>75.475117910597348</v>
      </c>
      <c r="O104">
        <f ca="1">(Q103*'Arkusz1 (+5)'!J104)-Q103</f>
        <v>1656.1131860591995</v>
      </c>
      <c r="P104" s="16">
        <f t="shared" ca="1" si="15"/>
        <v>12901.487538573358</v>
      </c>
      <c r="Q104" s="17">
        <f t="shared" ca="1" si="16"/>
        <v>247090.47500405696</v>
      </c>
    </row>
    <row r="105" spans="1:17" x14ac:dyDescent="0.35">
      <c r="A105">
        <v>103</v>
      </c>
      <c r="B105" s="14">
        <f t="shared" ca="1" si="17"/>
        <v>49204</v>
      </c>
      <c r="C105" s="15">
        <f ca="1">(1+(('Symulacja Pożyczka'!$B$5+'Symulacja Pożyczka'!$C$20)/100)*('Arkusz1 (+5)'!B105-'Arkusz1 (+5)'!B104)/365)</f>
        <v>1.0063698630136986</v>
      </c>
      <c r="D105" s="15">
        <f ca="1">(1+(('Symulacja Pożyczka'!$B$5+'Symulacja Pożyczka'!$C$20)/100)*('Arkusz1 (+5)'!B105-'Arkusz1 (+5)'!B104)/366)</f>
        <v>1.0063524590163935</v>
      </c>
      <c r="E105" s="15">
        <f t="shared" ca="1" si="9"/>
        <v>0</v>
      </c>
      <c r="F105" s="15">
        <f t="shared" ca="1" si="10"/>
        <v>0</v>
      </c>
      <c r="G105">
        <f ca="1">IF(E105=1,(1+(('Symulacja Pożyczka'!$B$5+'Symulacja Pożyczka'!$C$20)/100)*(((Arkusz1!B105-DATE(YEAR(B105),1,1)+1)/365)+((DATE(YEAR(B104),12,31)-Arkusz1!B104)/366))),IF(F105=1,(1+(('Symulacja Pożyczka'!$B$5+'Symulacja Pożyczka'!$C$20)/100)*(((Arkusz1!B105-DATE(YEAR(B105),1,1)+1)/366)+((DATE(YEAR(B104),12,31)-Arkusz1!B104)/365))),0))</f>
        <v>0</v>
      </c>
      <c r="H105">
        <f t="shared" ca="1" si="11"/>
        <v>0</v>
      </c>
      <c r="I105">
        <f t="shared" ca="1" si="12"/>
        <v>1.0063698630136986</v>
      </c>
      <c r="J105">
        <f t="shared" ca="1" si="13"/>
        <v>1.0063698630136986</v>
      </c>
      <c r="K105">
        <f ca="1">PRODUCT($J$3:J105)</f>
        <v>1.8943930033987522</v>
      </c>
      <c r="L105">
        <f t="shared" ca="1" si="14"/>
        <v>0.5278735712209075</v>
      </c>
      <c r="M105">
        <f ca="1">SUM($L$3:L105)</f>
        <v>76.002991481818256</v>
      </c>
      <c r="O105">
        <f ca="1">(Q104*'Arkusz1 (+5)'!J105)-Q104</f>
        <v>1573.932477765542</v>
      </c>
      <c r="P105" s="16">
        <f t="shared" ca="1" si="15"/>
        <v>12983.668246867015</v>
      </c>
      <c r="Q105" s="17">
        <f t="shared" ca="1" si="16"/>
        <v>234106.80675718994</v>
      </c>
    </row>
    <row r="106" spans="1:17" x14ac:dyDescent="0.35">
      <c r="A106">
        <v>104</v>
      </c>
      <c r="B106" s="14">
        <f t="shared" ca="1" si="17"/>
        <v>49234</v>
      </c>
      <c r="C106" s="15">
        <f ca="1">(1+(('Symulacja Pożyczka'!$B$5+'Symulacja Pożyczka'!$C$20)/100)*('Arkusz1 (+5)'!B106-'Arkusz1 (+5)'!B105)/365)</f>
        <v>1.0061643835616438</v>
      </c>
      <c r="D106" s="15">
        <f ca="1">(1+(('Symulacja Pożyczka'!$B$5+'Symulacja Pożyczka'!$C$20)/100)*('Arkusz1 (+5)'!B106-'Arkusz1 (+5)'!B105)/366)</f>
        <v>1.0061475409836065</v>
      </c>
      <c r="E106" s="15">
        <f t="shared" ca="1" si="9"/>
        <v>0</v>
      </c>
      <c r="F106" s="15">
        <f t="shared" ca="1" si="10"/>
        <v>0</v>
      </c>
      <c r="G106">
        <f ca="1">IF(E106=1,(1+(('Symulacja Pożyczka'!$B$5+'Symulacja Pożyczka'!$C$20)/100)*(((Arkusz1!B106-DATE(YEAR(B106),1,1)+1)/365)+((DATE(YEAR(B105),12,31)-Arkusz1!B105)/366))),IF(F106=1,(1+(('Symulacja Pożyczka'!$B$5+'Symulacja Pożyczka'!$C$20)/100)*(((Arkusz1!B106-DATE(YEAR(B106),1,1)+1)/366)+((DATE(YEAR(B105),12,31)-Arkusz1!B105)/365))),0))</f>
        <v>0</v>
      </c>
      <c r="H106">
        <f t="shared" ca="1" si="11"/>
        <v>0</v>
      </c>
      <c r="I106">
        <f t="shared" ca="1" si="12"/>
        <v>1.0061643835616438</v>
      </c>
      <c r="J106">
        <f t="shared" ca="1" si="13"/>
        <v>1.0061643835616438</v>
      </c>
      <c r="K106">
        <f ca="1">PRODUCT($J$3:J106)</f>
        <v>1.9060707684881966</v>
      </c>
      <c r="L106">
        <f t="shared" ca="1" si="14"/>
        <v>0.52463949215964933</v>
      </c>
      <c r="M106">
        <f ca="1">SUM($L$3:L106)</f>
        <v>76.527630973977907</v>
      </c>
      <c r="O106">
        <f ca="1">(Q105*'Arkusz1 (+5)'!J106)-Q105</f>
        <v>1443.1241512429551</v>
      </c>
      <c r="P106" s="16">
        <f t="shared" ca="1" si="15"/>
        <v>13114.476573389602</v>
      </c>
      <c r="Q106" s="17">
        <f t="shared" ca="1" si="16"/>
        <v>220992.33018380034</v>
      </c>
    </row>
    <row r="107" spans="1:17" x14ac:dyDescent="0.35">
      <c r="A107">
        <v>105</v>
      </c>
      <c r="B107" s="14">
        <f t="shared" ca="1" si="17"/>
        <v>49265</v>
      </c>
      <c r="C107" s="15">
        <f ca="1">(1+(('Symulacja Pożyczka'!$B$5+'Symulacja Pożyczka'!$C$20)/100)*('Arkusz1 (+5)'!B107-'Arkusz1 (+5)'!B106)/365)</f>
        <v>1.0063698630136986</v>
      </c>
      <c r="D107" s="15">
        <f ca="1">(1+(('Symulacja Pożyczka'!$B$5+'Symulacja Pożyczka'!$C$20)/100)*('Arkusz1 (+5)'!B107-'Arkusz1 (+5)'!B106)/366)</f>
        <v>1.0063524590163935</v>
      </c>
      <c r="E107" s="15">
        <f t="shared" ca="1" si="9"/>
        <v>0</v>
      </c>
      <c r="F107" s="15">
        <f t="shared" ca="1" si="10"/>
        <v>0</v>
      </c>
      <c r="G107">
        <f ca="1">IF(E107=1,(1+(('Symulacja Pożyczka'!$B$5+'Symulacja Pożyczka'!$C$20)/100)*(((Arkusz1!B107-DATE(YEAR(B107),1,1)+1)/365)+((DATE(YEAR(B106),12,31)-Arkusz1!B106)/366))),IF(F107=1,(1+(('Symulacja Pożyczka'!$B$5+'Symulacja Pożyczka'!$C$20)/100)*(((Arkusz1!B107-DATE(YEAR(B107),1,1)+1)/366)+((DATE(YEAR(B106),12,31)-Arkusz1!B106)/365))),0))</f>
        <v>0</v>
      </c>
      <c r="H107">
        <f t="shared" ca="1" si="11"/>
        <v>0</v>
      </c>
      <c r="I107">
        <f t="shared" ca="1" si="12"/>
        <v>1.0063698630136986</v>
      </c>
      <c r="J107">
        <f t="shared" ca="1" si="13"/>
        <v>1.0063698630136986</v>
      </c>
      <c r="K107">
        <f ca="1">PRODUCT($J$3:J107)</f>
        <v>1.9182121781778816</v>
      </c>
      <c r="L107">
        <f t="shared" ca="1" si="14"/>
        <v>0.52131876305253388</v>
      </c>
      <c r="M107">
        <f ca="1">SUM($L$3:L107)</f>
        <v>77.048949737030441</v>
      </c>
      <c r="O107">
        <f ca="1">(Q106*'Arkusz1 (+5)'!J107)-Q106</f>
        <v>1407.6908703488589</v>
      </c>
      <c r="P107" s="16">
        <f t="shared" ca="1" si="15"/>
        <v>13149.909854283698</v>
      </c>
      <c r="Q107" s="17">
        <f t="shared" ca="1" si="16"/>
        <v>207842.42032951664</v>
      </c>
    </row>
    <row r="108" spans="1:17" x14ac:dyDescent="0.35">
      <c r="A108">
        <v>106</v>
      </c>
      <c r="B108" s="14">
        <f t="shared" ca="1" si="17"/>
        <v>49295</v>
      </c>
      <c r="C108" s="15">
        <f ca="1">(1+(('Symulacja Pożyczka'!$B$5+'Symulacja Pożyczka'!$C$20)/100)*('Arkusz1 (+5)'!B108-'Arkusz1 (+5)'!B107)/365)</f>
        <v>1.0061643835616438</v>
      </c>
      <c r="D108" s="15">
        <f ca="1">(1+(('Symulacja Pożyczka'!$B$5+'Symulacja Pożyczka'!$C$20)/100)*('Arkusz1 (+5)'!B108-'Arkusz1 (+5)'!B107)/366)</f>
        <v>1.0061475409836065</v>
      </c>
      <c r="E108" s="15">
        <f t="shared" ca="1" si="9"/>
        <v>0</v>
      </c>
      <c r="F108" s="15">
        <f t="shared" ca="1" si="10"/>
        <v>0</v>
      </c>
      <c r="G108">
        <f ca="1">IF(E108=1,(1+(('Symulacja Pożyczka'!$B$5+'Symulacja Pożyczka'!$C$20)/100)*(((Arkusz1!B108-DATE(YEAR(B108),1,1)+1)/365)+((DATE(YEAR(B107),12,31)-Arkusz1!B107)/366))),IF(F108=1,(1+(('Symulacja Pożyczka'!$B$5+'Symulacja Pożyczka'!$C$20)/100)*(((Arkusz1!B108-DATE(YEAR(B108),1,1)+1)/366)+((DATE(YEAR(B107),12,31)-Arkusz1!B107)/365))),0))</f>
        <v>0</v>
      </c>
      <c r="H108">
        <f t="shared" ca="1" si="11"/>
        <v>0</v>
      </c>
      <c r="I108">
        <f t="shared" ca="1" si="12"/>
        <v>1.0061643835616438</v>
      </c>
      <c r="J108">
        <f t="shared" ca="1" si="13"/>
        <v>1.0061643835616438</v>
      </c>
      <c r="K108">
        <f ca="1">PRODUCT($J$3:J108)</f>
        <v>1.9300367737967863</v>
      </c>
      <c r="L108">
        <f t="shared" ca="1" si="14"/>
        <v>0.51812484278876758</v>
      </c>
      <c r="M108">
        <f ca="1">SUM($L$3:L108)</f>
        <v>77.567074579819206</v>
      </c>
      <c r="O108">
        <f ca="1">(Q107*'Arkusz1 (+5)'!J108)-Q107</f>
        <v>1281.2203992915456</v>
      </c>
      <c r="P108" s="16">
        <f t="shared" ca="1" si="15"/>
        <v>13276.380325341011</v>
      </c>
      <c r="Q108" s="17">
        <f t="shared" ca="1" si="16"/>
        <v>194566.04000417562</v>
      </c>
    </row>
    <row r="109" spans="1:17" x14ac:dyDescent="0.35">
      <c r="A109">
        <v>107</v>
      </c>
      <c r="B109" s="14">
        <f t="shared" ca="1" si="17"/>
        <v>49326</v>
      </c>
      <c r="C109" s="15">
        <f ca="1">(1+(('Symulacja Pożyczka'!$B$5+'Symulacja Pożyczka'!$C$20)/100)*('Arkusz1 (+5)'!B109-'Arkusz1 (+5)'!B108)/365)</f>
        <v>1.0063698630136986</v>
      </c>
      <c r="D109" s="15">
        <f ca="1">(1+(('Symulacja Pożyczka'!$B$5+'Symulacja Pożyczka'!$C$20)/100)*('Arkusz1 (+5)'!B109-'Arkusz1 (+5)'!B108)/366)</f>
        <v>1.0063524590163935</v>
      </c>
      <c r="E109" s="15">
        <f t="shared" ca="1" si="9"/>
        <v>0</v>
      </c>
      <c r="F109" s="15">
        <f t="shared" ca="1" si="10"/>
        <v>0</v>
      </c>
      <c r="G109">
        <f ca="1">IF(E109=1,(1+(('Symulacja Pożyczka'!$B$5+'Symulacja Pożyczka'!$C$20)/100)*(((Arkusz1!B109-DATE(YEAR(B109),1,1)+1)/365)+((DATE(YEAR(B108),12,31)-Arkusz1!B108)/366))),IF(F109=1,(1+(('Symulacja Pożyczka'!$B$5+'Symulacja Pożyczka'!$C$20)/100)*(((Arkusz1!B109-DATE(YEAR(B109),1,1)+1)/366)+((DATE(YEAR(B108),12,31)-Arkusz1!B108)/365))),0))</f>
        <v>0</v>
      </c>
      <c r="H109">
        <f t="shared" ca="1" si="11"/>
        <v>0</v>
      </c>
      <c r="I109">
        <f t="shared" ca="1" si="12"/>
        <v>1.0063698630136986</v>
      </c>
      <c r="J109">
        <f t="shared" ca="1" si="13"/>
        <v>1.0063698630136986</v>
      </c>
      <c r="K109">
        <f ca="1">PRODUCT($J$3:J109)</f>
        <v>1.9423308436572726</v>
      </c>
      <c r="L109">
        <f t="shared" ca="1" si="14"/>
        <v>0.51484534844592711</v>
      </c>
      <c r="M109">
        <f ca="1">SUM($L$3:L109)</f>
        <v>78.081919928265137</v>
      </c>
      <c r="O109">
        <f ca="1">(Q108*'Arkusz1 (+5)'!J109)-Q108</f>
        <v>1239.3590219444013</v>
      </c>
      <c r="P109" s="16">
        <f t="shared" ca="1" si="15"/>
        <v>13318.241702688156</v>
      </c>
      <c r="Q109" s="17">
        <f t="shared" ca="1" si="16"/>
        <v>181247.79830148746</v>
      </c>
    </row>
    <row r="110" spans="1:17" x14ac:dyDescent="0.35">
      <c r="A110">
        <v>108</v>
      </c>
      <c r="B110" s="14">
        <f t="shared" ca="1" si="17"/>
        <v>49357</v>
      </c>
      <c r="C110" s="15">
        <f ca="1">(1+(('Symulacja Pożyczka'!$B$5+'Symulacja Pożyczka'!$C$20)/100)*('Arkusz1 (+5)'!B110-'Arkusz1 (+5)'!B109)/365)</f>
        <v>1.0063698630136986</v>
      </c>
      <c r="D110" s="15">
        <f ca="1">(1+(('Symulacja Pożyczka'!$B$5+'Symulacja Pożyczka'!$C$20)/100)*('Arkusz1 (+5)'!B110-'Arkusz1 (+5)'!B109)/366)</f>
        <v>1.0063524590163935</v>
      </c>
      <c r="E110" s="15">
        <f t="shared" ca="1" si="9"/>
        <v>0</v>
      </c>
      <c r="F110" s="15">
        <f t="shared" ca="1" si="10"/>
        <v>0</v>
      </c>
      <c r="G110">
        <f ca="1">IF(E110=1,(1+(('Symulacja Pożyczka'!$B$5+'Symulacja Pożyczka'!$C$20)/100)*(((Arkusz1!B110-DATE(YEAR(B110),1,1)+1)/365)+((DATE(YEAR(B109),12,31)-Arkusz1!B109)/366))),IF(F110=1,(1+(('Symulacja Pożyczka'!$B$5+'Symulacja Pożyczka'!$C$20)/100)*(((Arkusz1!B110-DATE(YEAR(B110),1,1)+1)/366)+((DATE(YEAR(B109),12,31)-Arkusz1!B109)/365))),0))</f>
        <v>0</v>
      </c>
      <c r="H110">
        <f t="shared" ca="1" si="11"/>
        <v>0</v>
      </c>
      <c r="I110">
        <f t="shared" ca="1" si="12"/>
        <v>1.0063698630136986</v>
      </c>
      <c r="J110">
        <f t="shared" ca="1" si="13"/>
        <v>1.0063698630136986</v>
      </c>
      <c r="K110">
        <f ca="1">PRODUCT($J$3:J110)</f>
        <v>1.9547032250586509</v>
      </c>
      <c r="L110">
        <f t="shared" ca="1" si="14"/>
        <v>0.51158661180906118</v>
      </c>
      <c r="M110">
        <f ca="1">SUM($L$3:L110)</f>
        <v>78.593506540074202</v>
      </c>
      <c r="O110">
        <f ca="1">(Q109*'Arkusz1 (+5)'!J110)-Q109</f>
        <v>1154.5236467149516</v>
      </c>
      <c r="P110" s="16">
        <f t="shared" ca="1" si="15"/>
        <v>13403.077077917605</v>
      </c>
      <c r="Q110" s="17">
        <f t="shared" ca="1" si="16"/>
        <v>167844.72122356985</v>
      </c>
    </row>
    <row r="111" spans="1:17" x14ac:dyDescent="0.35">
      <c r="A111">
        <v>109</v>
      </c>
      <c r="B111" s="14">
        <f t="shared" ca="1" si="17"/>
        <v>49385</v>
      </c>
      <c r="C111" s="15">
        <f ca="1">(1+(('Symulacja Pożyczka'!$B$5+'Symulacja Pożyczka'!$C$20)/100)*('Arkusz1 (+5)'!B111-'Arkusz1 (+5)'!B110)/365)</f>
        <v>1.0057534246575341</v>
      </c>
      <c r="D111" s="15">
        <f ca="1">(1+(('Symulacja Pożyczka'!$B$5+'Symulacja Pożyczka'!$C$20)/100)*('Arkusz1 (+5)'!B111-'Arkusz1 (+5)'!B110)/366)</f>
        <v>1.0057377049180327</v>
      </c>
      <c r="E111" s="15">
        <f t="shared" ca="1" si="9"/>
        <v>0</v>
      </c>
      <c r="F111" s="15">
        <f t="shared" ca="1" si="10"/>
        <v>0</v>
      </c>
      <c r="G111">
        <f ca="1">IF(E111=1,(1+(('Symulacja Pożyczka'!$B$5+'Symulacja Pożyczka'!$C$20)/100)*(((Arkusz1!B111-DATE(YEAR(B111),1,1)+1)/365)+((DATE(YEAR(B110),12,31)-Arkusz1!B110)/366))),IF(F111=1,(1+(('Symulacja Pożyczka'!$B$5+'Symulacja Pożyczka'!$C$20)/100)*(((Arkusz1!B111-DATE(YEAR(B111),1,1)+1)/366)+((DATE(YEAR(B110),12,31)-Arkusz1!B110)/365))),0))</f>
        <v>0</v>
      </c>
      <c r="H111">
        <f t="shared" ca="1" si="11"/>
        <v>0</v>
      </c>
      <c r="I111">
        <f t="shared" ca="1" si="12"/>
        <v>1.0057534246575341</v>
      </c>
      <c r="J111">
        <f t="shared" ca="1" si="13"/>
        <v>1.0057534246575341</v>
      </c>
      <c r="K111">
        <f ca="1">PRODUCT($J$3:J111)</f>
        <v>1.9659494627918648</v>
      </c>
      <c r="L111">
        <f t="shared" ca="1" si="14"/>
        <v>0.50866007439473537</v>
      </c>
      <c r="M111">
        <f ca="1">SUM($L$3:L111)</f>
        <v>79.102166614468942</v>
      </c>
      <c r="O111">
        <f ca="1">(Q110*'Arkusz1 (+5)'!J111)-Q110</f>
        <v>965.68195772462059</v>
      </c>
      <c r="P111" s="16">
        <f t="shared" ca="1" si="15"/>
        <v>13591.918766907937</v>
      </c>
      <c r="Q111" s="17">
        <f t="shared" ca="1" si="16"/>
        <v>154252.80245666191</v>
      </c>
    </row>
    <row r="112" spans="1:17" x14ac:dyDescent="0.35">
      <c r="A112">
        <v>110</v>
      </c>
      <c r="B112" s="14">
        <f t="shared" ca="1" si="17"/>
        <v>49416</v>
      </c>
      <c r="C112" s="15">
        <f ca="1">(1+(('Symulacja Pożyczka'!$B$5+'Symulacja Pożyczka'!$C$20)/100)*('Arkusz1 (+5)'!B112-'Arkusz1 (+5)'!B111)/365)</f>
        <v>1.0063698630136986</v>
      </c>
      <c r="D112" s="15">
        <f ca="1">(1+(('Symulacja Pożyczka'!$B$5+'Symulacja Pożyczka'!$C$20)/100)*('Arkusz1 (+5)'!B112-'Arkusz1 (+5)'!B111)/366)</f>
        <v>1.0063524590163935</v>
      </c>
      <c r="E112" s="15">
        <f t="shared" ca="1" si="9"/>
        <v>0</v>
      </c>
      <c r="F112" s="15">
        <f t="shared" ca="1" si="10"/>
        <v>0</v>
      </c>
      <c r="G112">
        <f ca="1">IF(E112=1,(1+(('Symulacja Pożyczka'!$B$5+'Symulacja Pożyczka'!$C$20)/100)*(((Arkusz1!B112-DATE(YEAR(B112),1,1)+1)/365)+((DATE(YEAR(B111),12,31)-Arkusz1!B111)/366))),IF(F112=1,(1+(('Symulacja Pożyczka'!$B$5+'Symulacja Pożyczka'!$C$20)/100)*(((Arkusz1!B112-DATE(YEAR(B112),1,1)+1)/366)+((DATE(YEAR(B111),12,31)-Arkusz1!B111)/365))),0))</f>
        <v>0</v>
      </c>
      <c r="H112">
        <f t="shared" ca="1" si="11"/>
        <v>0</v>
      </c>
      <c r="I112">
        <f t="shared" ca="1" si="12"/>
        <v>1.0063698630136986</v>
      </c>
      <c r="J112">
        <f t="shared" ca="1" si="13"/>
        <v>1.0063698630136986</v>
      </c>
      <c r="K112">
        <f ca="1">PRODUCT($J$3:J112)</f>
        <v>1.9784722915617032</v>
      </c>
      <c r="L112">
        <f t="shared" ca="1" si="14"/>
        <v>0.50544048772634165</v>
      </c>
      <c r="M112">
        <f ca="1">SUM($L$3:L112)</f>
        <v>79.607607102195288</v>
      </c>
      <c r="O112">
        <f ca="1">(Q111*'Arkusz1 (+5)'!J112)-Q111</f>
        <v>982.56922112804023</v>
      </c>
      <c r="P112" s="16">
        <f t="shared" ca="1" si="15"/>
        <v>13575.031503504517</v>
      </c>
      <c r="Q112" s="17">
        <f t="shared" ca="1" si="16"/>
        <v>140677.77095315739</v>
      </c>
    </row>
    <row r="113" spans="1:17" x14ac:dyDescent="0.35">
      <c r="A113">
        <v>111</v>
      </c>
      <c r="B113" s="14">
        <f t="shared" ca="1" si="17"/>
        <v>49446</v>
      </c>
      <c r="C113" s="15">
        <f ca="1">(1+(('Symulacja Pożyczka'!$B$5+'Symulacja Pożyczka'!$C$20)/100)*('Arkusz1 (+5)'!B113-'Arkusz1 (+5)'!B112)/365)</f>
        <v>1.0061643835616438</v>
      </c>
      <c r="D113" s="15">
        <f ca="1">(1+(('Symulacja Pożyczka'!$B$5+'Symulacja Pożyczka'!$C$20)/100)*('Arkusz1 (+5)'!B113-'Arkusz1 (+5)'!B112)/366)</f>
        <v>1.0061475409836065</v>
      </c>
      <c r="E113" s="15">
        <f t="shared" ca="1" si="9"/>
        <v>0</v>
      </c>
      <c r="F113" s="15">
        <f t="shared" ca="1" si="10"/>
        <v>0</v>
      </c>
      <c r="G113">
        <f ca="1">IF(E113=1,(1+(('Symulacja Pożyczka'!$B$5+'Symulacja Pożyczka'!$C$20)/100)*(((Arkusz1!B113-DATE(YEAR(B113),1,1)+1)/365)+((DATE(YEAR(B112),12,31)-Arkusz1!B112)/366))),IF(F113=1,(1+(('Symulacja Pożyczka'!$B$5+'Symulacja Pożyczka'!$C$20)/100)*(((Arkusz1!B113-DATE(YEAR(B113),1,1)+1)/366)+((DATE(YEAR(B112),12,31)-Arkusz1!B112)/365))),0))</f>
        <v>0</v>
      </c>
      <c r="H113">
        <f t="shared" ca="1" si="11"/>
        <v>0</v>
      </c>
      <c r="I113">
        <f t="shared" ca="1" si="12"/>
        <v>1.0061643835616438</v>
      </c>
      <c r="J113">
        <f t="shared" ca="1" si="13"/>
        <v>1.0061643835616438</v>
      </c>
      <c r="K113">
        <f ca="1">PRODUCT($J$3:J113)</f>
        <v>1.9906683536329741</v>
      </c>
      <c r="L113">
        <f t="shared" ca="1" si="14"/>
        <v>0.50234384757008765</v>
      </c>
      <c r="M113">
        <f ca="1">SUM($L$3:L113)</f>
        <v>80.109950949765377</v>
      </c>
      <c r="O113">
        <f ca="1">(Q112*'Arkusz1 (+5)'!J113)-Q112</f>
        <v>867.19173875232809</v>
      </c>
      <c r="P113" s="16">
        <f t="shared" ca="1" si="15"/>
        <v>13690.408985880229</v>
      </c>
      <c r="Q113" s="17">
        <f t="shared" ca="1" si="16"/>
        <v>126987.36196727716</v>
      </c>
    </row>
    <row r="114" spans="1:17" x14ac:dyDescent="0.35">
      <c r="A114">
        <v>112</v>
      </c>
      <c r="B114" s="14">
        <f t="shared" ca="1" si="17"/>
        <v>49477</v>
      </c>
      <c r="C114" s="15">
        <f ca="1">(1+(('Symulacja Pożyczka'!$B$5+'Symulacja Pożyczka'!$C$20)/100)*('Arkusz1 (+5)'!B114-'Arkusz1 (+5)'!B113)/365)</f>
        <v>1.0063698630136986</v>
      </c>
      <c r="D114" s="15">
        <f ca="1">(1+(('Symulacja Pożyczka'!$B$5+'Symulacja Pożyczka'!$C$20)/100)*('Arkusz1 (+5)'!B114-'Arkusz1 (+5)'!B113)/366)</f>
        <v>1.0063524590163935</v>
      </c>
      <c r="E114" s="15">
        <f t="shared" ca="1" si="9"/>
        <v>0</v>
      </c>
      <c r="F114" s="15">
        <f t="shared" ca="1" si="10"/>
        <v>0</v>
      </c>
      <c r="G114">
        <f ca="1">IF(E114=1,(1+(('Symulacja Pożyczka'!$B$5+'Symulacja Pożyczka'!$C$20)/100)*(((Arkusz1!B114-DATE(YEAR(B114),1,1)+1)/365)+((DATE(YEAR(B113),12,31)-Arkusz1!B113)/366))),IF(F114=1,(1+(('Symulacja Pożyczka'!$B$5+'Symulacja Pożyczka'!$C$20)/100)*(((Arkusz1!B114-DATE(YEAR(B114),1,1)+1)/366)+((DATE(YEAR(B113),12,31)-Arkusz1!B113)/365))),0))</f>
        <v>0</v>
      </c>
      <c r="H114">
        <f t="shared" ca="1" si="11"/>
        <v>0</v>
      </c>
      <c r="I114">
        <f t="shared" ca="1" si="12"/>
        <v>1.0063698630136986</v>
      </c>
      <c r="J114">
        <f t="shared" ca="1" si="13"/>
        <v>1.0063698630136986</v>
      </c>
      <c r="K114">
        <f ca="1">PRODUCT($J$3:J114)</f>
        <v>2.003348638351321</v>
      </c>
      <c r="L114">
        <f t="shared" ca="1" si="14"/>
        <v>0.49916423974159663</v>
      </c>
      <c r="M114">
        <f ca="1">SUM($L$3:L114)</f>
        <v>80.60911518950698</v>
      </c>
      <c r="O114">
        <f ca="1">(Q113*'Arkusz1 (+5)'!J114)-Q113</f>
        <v>808.8921002025163</v>
      </c>
      <c r="P114" s="16">
        <f t="shared" ca="1" si="15"/>
        <v>13748.708624430041</v>
      </c>
      <c r="Q114" s="17">
        <f t="shared" ca="1" si="16"/>
        <v>113238.65334284712</v>
      </c>
    </row>
    <row r="115" spans="1:17" x14ac:dyDescent="0.35">
      <c r="A115">
        <v>113</v>
      </c>
      <c r="B115" s="14">
        <f t="shared" ca="1" si="17"/>
        <v>49507</v>
      </c>
      <c r="C115" s="15">
        <f ca="1">(1+(('Symulacja Pożyczka'!$B$5+'Symulacja Pożyczka'!$C$20)/100)*('Arkusz1 (+5)'!B115-'Arkusz1 (+5)'!B114)/365)</f>
        <v>1.0061643835616438</v>
      </c>
      <c r="D115" s="15">
        <f ca="1">(1+(('Symulacja Pożyczka'!$B$5+'Symulacja Pożyczka'!$C$20)/100)*('Arkusz1 (+5)'!B115-'Arkusz1 (+5)'!B114)/366)</f>
        <v>1.0061475409836065</v>
      </c>
      <c r="E115" s="15">
        <f t="shared" ca="1" si="9"/>
        <v>0</v>
      </c>
      <c r="F115" s="15">
        <f t="shared" ca="1" si="10"/>
        <v>0</v>
      </c>
      <c r="G115">
        <f ca="1">IF(E115=1,(1+(('Symulacja Pożyczka'!$B$5+'Symulacja Pożyczka'!$C$20)/100)*(((Arkusz1!B115-DATE(YEAR(B115),1,1)+1)/365)+((DATE(YEAR(B114),12,31)-Arkusz1!B114)/366))),IF(F115=1,(1+(('Symulacja Pożyczka'!$B$5+'Symulacja Pożyczka'!$C$20)/100)*(((Arkusz1!B115-DATE(YEAR(B115),1,1)+1)/366)+((DATE(YEAR(B114),12,31)-Arkusz1!B114)/365))),0))</f>
        <v>0</v>
      </c>
      <c r="H115">
        <f t="shared" ca="1" si="11"/>
        <v>0</v>
      </c>
      <c r="I115">
        <f t="shared" ca="1" si="12"/>
        <v>1.0061643835616438</v>
      </c>
      <c r="J115">
        <f t="shared" ca="1" si="13"/>
        <v>1.0061643835616438</v>
      </c>
      <c r="K115">
        <f ca="1">PRODUCT($J$3:J115)</f>
        <v>2.0156980477658153</v>
      </c>
      <c r="L115">
        <f t="shared" ca="1" si="14"/>
        <v>0.49610605175134864</v>
      </c>
      <c r="M115">
        <f ca="1">SUM($L$3:L115)</f>
        <v>81.105221241258334</v>
      </c>
      <c r="O115">
        <f ca="1">(Q114*'Arkusz1 (+5)'!J115)-Q114</f>
        <v>698.04649320933095</v>
      </c>
      <c r="P115" s="16">
        <f t="shared" ca="1" si="15"/>
        <v>13859.554231423226</v>
      </c>
      <c r="Q115" s="17">
        <f t="shared" ca="1" si="16"/>
        <v>99379.099111423886</v>
      </c>
    </row>
    <row r="116" spans="1:17" x14ac:dyDescent="0.35">
      <c r="A116">
        <v>114</v>
      </c>
      <c r="B116" s="14">
        <f t="shared" ca="1" si="17"/>
        <v>49538</v>
      </c>
      <c r="C116" s="15">
        <f ca="1">(1+(('Symulacja Pożyczka'!$B$5+'Symulacja Pożyczka'!$C$20)/100)*('Arkusz1 (+5)'!B116-'Arkusz1 (+5)'!B115)/365)</f>
        <v>1.0063698630136986</v>
      </c>
      <c r="D116" s="15">
        <f ca="1">(1+(('Symulacja Pożyczka'!$B$5+'Symulacja Pożyczka'!$C$20)/100)*('Arkusz1 (+5)'!B116-'Arkusz1 (+5)'!B115)/366)</f>
        <v>1.0063524590163935</v>
      </c>
      <c r="E116" s="15">
        <f t="shared" ca="1" si="9"/>
        <v>0</v>
      </c>
      <c r="F116" s="15">
        <f t="shared" ca="1" si="10"/>
        <v>0</v>
      </c>
      <c r="G116">
        <f ca="1">IF(E116=1,(1+(('Symulacja Pożyczka'!$B$5+'Symulacja Pożyczka'!$C$20)/100)*(((Arkusz1!B116-DATE(YEAR(B116),1,1)+1)/365)+((DATE(YEAR(B115),12,31)-Arkusz1!B115)/366))),IF(F116=1,(1+(('Symulacja Pożyczka'!$B$5+'Symulacja Pożyczka'!$C$20)/100)*(((Arkusz1!B116-DATE(YEAR(B116),1,1)+1)/366)+((DATE(YEAR(B115),12,31)-Arkusz1!B115)/365))),0))</f>
        <v>0</v>
      </c>
      <c r="H116">
        <f t="shared" ca="1" si="11"/>
        <v>0</v>
      </c>
      <c r="I116">
        <f t="shared" ca="1" si="12"/>
        <v>1.0063698630136986</v>
      </c>
      <c r="J116">
        <f t="shared" ca="1" si="13"/>
        <v>1.0063698630136986</v>
      </c>
      <c r="K116">
        <f ca="1">PRODUCT($J$3:J116)</f>
        <v>2.0285377682070633</v>
      </c>
      <c r="L116">
        <f t="shared" ca="1" si="14"/>
        <v>0.4929659263302042</v>
      </c>
      <c r="M116">
        <f ca="1">SUM($L$3:L116)</f>
        <v>81.598187167588534</v>
      </c>
      <c r="O116">
        <f ca="1">(Q115*'Arkusz1 (+5)'!J116)-Q115</f>
        <v>633.03124776454933</v>
      </c>
      <c r="P116" s="16">
        <f t="shared" ca="1" si="15"/>
        <v>13924.569476868008</v>
      </c>
      <c r="Q116" s="17">
        <f t="shared" ca="1" si="16"/>
        <v>85454.529634555875</v>
      </c>
    </row>
    <row r="117" spans="1:17" x14ac:dyDescent="0.35">
      <c r="A117">
        <v>115</v>
      </c>
      <c r="B117" s="14">
        <f t="shared" ca="1" si="17"/>
        <v>49569</v>
      </c>
      <c r="C117" s="15">
        <f ca="1">(1+(('Symulacja Pożyczka'!$B$5+'Symulacja Pożyczka'!$C$20)/100)*('Arkusz1 (+5)'!B117-'Arkusz1 (+5)'!B116)/365)</f>
        <v>1.0063698630136986</v>
      </c>
      <c r="D117" s="15">
        <f ca="1">(1+(('Symulacja Pożyczka'!$B$5+'Symulacja Pożyczka'!$C$20)/100)*('Arkusz1 (+5)'!B117-'Arkusz1 (+5)'!B116)/366)</f>
        <v>1.0063524590163935</v>
      </c>
      <c r="E117" s="15">
        <f t="shared" ca="1" si="9"/>
        <v>0</v>
      </c>
      <c r="F117" s="15">
        <f t="shared" ca="1" si="10"/>
        <v>0</v>
      </c>
      <c r="G117">
        <f ca="1">IF(E117=1,(1+(('Symulacja Pożyczka'!$B$5+'Symulacja Pożyczka'!$C$20)/100)*(((Arkusz1!B117-DATE(YEAR(B117),1,1)+1)/365)+((DATE(YEAR(B116),12,31)-Arkusz1!B116)/366))),IF(F117=1,(1+(('Symulacja Pożyczka'!$B$5+'Symulacja Pożyczka'!$C$20)/100)*(((Arkusz1!B117-DATE(YEAR(B117),1,1)+1)/366)+((DATE(YEAR(B116),12,31)-Arkusz1!B116)/365))),0))</f>
        <v>0</v>
      </c>
      <c r="H117">
        <f t="shared" ca="1" si="11"/>
        <v>0</v>
      </c>
      <c r="I117">
        <f t="shared" ca="1" si="12"/>
        <v>1.0063698630136986</v>
      </c>
      <c r="J117">
        <f t="shared" ca="1" si="13"/>
        <v>1.0063698630136986</v>
      </c>
      <c r="K117">
        <f ca="1">PRODUCT($J$3:J117)</f>
        <v>2.0414592759086561</v>
      </c>
      <c r="L117">
        <f t="shared" ca="1" si="14"/>
        <v>0.48984567647321731</v>
      </c>
      <c r="M117">
        <f ca="1">SUM($L$3:L117)</f>
        <v>82.088032844061757</v>
      </c>
      <c r="O117">
        <f ca="1">(Q116*'Arkusz1 (+5)'!J117)-Q116</f>
        <v>544.33364767215971</v>
      </c>
      <c r="P117" s="16">
        <f t="shared" ca="1" si="15"/>
        <v>14013.267076960397</v>
      </c>
      <c r="Q117" s="17">
        <f t="shared" ca="1" si="16"/>
        <v>71441.262557595473</v>
      </c>
    </row>
    <row r="118" spans="1:17" x14ac:dyDescent="0.35">
      <c r="A118">
        <v>116</v>
      </c>
      <c r="B118" s="14">
        <f t="shared" ca="1" si="17"/>
        <v>49599</v>
      </c>
      <c r="C118" s="15">
        <f ca="1">(1+(('Symulacja Pożyczka'!$B$5+'Symulacja Pożyczka'!$C$20)/100)*('Arkusz1 (+5)'!B118-'Arkusz1 (+5)'!B117)/365)</f>
        <v>1.0061643835616438</v>
      </c>
      <c r="D118" s="15">
        <f ca="1">(1+(('Symulacja Pożyczka'!$B$5+'Symulacja Pożyczka'!$C$20)/100)*('Arkusz1 (+5)'!B118-'Arkusz1 (+5)'!B117)/366)</f>
        <v>1.0061475409836065</v>
      </c>
      <c r="E118" s="15">
        <f t="shared" ca="1" si="9"/>
        <v>0</v>
      </c>
      <c r="F118" s="15">
        <f t="shared" ca="1" si="10"/>
        <v>0</v>
      </c>
      <c r="G118">
        <f ca="1">IF(E118=1,(1+(('Symulacja Pożyczka'!$B$5+'Symulacja Pożyczka'!$C$20)/100)*(((Arkusz1!B118-DATE(YEAR(B118),1,1)+1)/365)+((DATE(YEAR(B117),12,31)-Arkusz1!B117)/366))),IF(F118=1,(1+(('Symulacja Pożyczka'!$B$5+'Symulacja Pożyczka'!$C$20)/100)*(((Arkusz1!B118-DATE(YEAR(B118),1,1)+1)/366)+((DATE(YEAR(B117),12,31)-Arkusz1!B117)/365))),0))</f>
        <v>0</v>
      </c>
      <c r="H118">
        <f t="shared" ca="1" si="11"/>
        <v>0</v>
      </c>
      <c r="I118">
        <f t="shared" ca="1" si="12"/>
        <v>1.0061643835616438</v>
      </c>
      <c r="J118">
        <f t="shared" ca="1" si="13"/>
        <v>1.0061643835616438</v>
      </c>
      <c r="K118">
        <f ca="1">PRODUCT($J$3:J118)</f>
        <v>2.0540436139108329</v>
      </c>
      <c r="L118">
        <f t="shared" ca="1" si="14"/>
        <v>0.48684457974873874</v>
      </c>
      <c r="M118">
        <f ca="1">SUM($L$3:L118)</f>
        <v>82.574877423810491</v>
      </c>
      <c r="O118">
        <f ca="1">(Q117*'Arkusz1 (+5)'!J118)-Q117</f>
        <v>440.39134453312727</v>
      </c>
      <c r="P118" s="16">
        <f t="shared" ca="1" si="15"/>
        <v>14117.20938009943</v>
      </c>
      <c r="Q118" s="17">
        <f t="shared" ca="1" si="16"/>
        <v>57324.05317749604</v>
      </c>
    </row>
    <row r="119" spans="1:17" x14ac:dyDescent="0.35">
      <c r="A119">
        <v>117</v>
      </c>
      <c r="B119" s="14">
        <f t="shared" ca="1" si="17"/>
        <v>49630</v>
      </c>
      <c r="C119" s="15">
        <f ca="1">(1+(('Symulacja Pożyczka'!$B$5+'Symulacja Pożyczka'!$C$20)/100)*('Arkusz1 (+5)'!B119-'Arkusz1 (+5)'!B118)/365)</f>
        <v>1.0063698630136986</v>
      </c>
      <c r="D119" s="15">
        <f ca="1">(1+(('Symulacja Pożyczka'!$B$5+'Symulacja Pożyczka'!$C$20)/100)*('Arkusz1 (+5)'!B119-'Arkusz1 (+5)'!B118)/366)</f>
        <v>1.0063524590163935</v>
      </c>
      <c r="E119" s="15">
        <f t="shared" ca="1" si="9"/>
        <v>0</v>
      </c>
      <c r="F119" s="15">
        <f t="shared" ca="1" si="10"/>
        <v>0</v>
      </c>
      <c r="G119">
        <f ca="1">IF(E119=1,(1+(('Symulacja Pożyczka'!$B$5+'Symulacja Pożyczka'!$C$20)/100)*(((Arkusz1!B119-DATE(YEAR(B119),1,1)+1)/365)+((DATE(YEAR(B118),12,31)-Arkusz1!B118)/366))),IF(F119=1,(1+(('Symulacja Pożyczka'!$B$5+'Symulacja Pożyczka'!$C$20)/100)*(((Arkusz1!B119-DATE(YEAR(B119),1,1)+1)/366)+((DATE(YEAR(B118),12,31)-Arkusz1!B118)/365))),0))</f>
        <v>0</v>
      </c>
      <c r="H119">
        <f t="shared" ca="1" si="11"/>
        <v>0</v>
      </c>
      <c r="I119">
        <f t="shared" ca="1" si="12"/>
        <v>1.0063698630136986</v>
      </c>
      <c r="J119">
        <f t="shared" ca="1" si="13"/>
        <v>1.0063698630136986</v>
      </c>
      <c r="K119">
        <f ca="1">PRODUCT($J$3:J119)</f>
        <v>2.0671275903556072</v>
      </c>
      <c r="L119">
        <f t="shared" ca="1" si="14"/>
        <v>0.48376307522844797</v>
      </c>
      <c r="M119">
        <f ca="1">SUM($L$3:L119)</f>
        <v>83.058640499038944</v>
      </c>
      <c r="O119">
        <f ca="1">(Q118*'Arkusz1 (+5)'!J119)-Q118</f>
        <v>365.14636613061884</v>
      </c>
      <c r="P119" s="16">
        <f t="shared" ca="1" si="15"/>
        <v>14192.454358501938</v>
      </c>
      <c r="Q119" s="17">
        <f t="shared" ca="1" si="16"/>
        <v>43131.598818994098</v>
      </c>
    </row>
    <row r="120" spans="1:17" x14ac:dyDescent="0.35">
      <c r="A120">
        <v>118</v>
      </c>
      <c r="B120" s="14">
        <f t="shared" ca="1" si="17"/>
        <v>49660</v>
      </c>
      <c r="C120" s="15">
        <f ca="1">(1+(('Symulacja Pożyczka'!$B$5+'Symulacja Pożyczka'!$C$20)/100)*('Arkusz1 (+5)'!B120-'Arkusz1 (+5)'!B119)/365)</f>
        <v>1.0061643835616438</v>
      </c>
      <c r="D120" s="15">
        <f ca="1">(1+(('Symulacja Pożyczka'!$B$5+'Symulacja Pożyczka'!$C$20)/100)*('Arkusz1 (+5)'!B120-'Arkusz1 (+5)'!B119)/366)</f>
        <v>1.0061475409836065</v>
      </c>
      <c r="E120" s="15">
        <f t="shared" ca="1" si="9"/>
        <v>0</v>
      </c>
      <c r="F120" s="15">
        <f t="shared" ca="1" si="10"/>
        <v>0</v>
      </c>
      <c r="G120">
        <f ca="1">IF(E120=1,(1+(('Symulacja Pożyczka'!$B$5+'Symulacja Pożyczka'!$C$20)/100)*(((Arkusz1!B120-DATE(YEAR(B120),1,1)+1)/365)+((DATE(YEAR(B119),12,31)-Arkusz1!B119)/366))),IF(F120=1,(1+(('Symulacja Pożyczka'!$B$5+'Symulacja Pożyczka'!$C$20)/100)*(((Arkusz1!B120-DATE(YEAR(B120),1,1)+1)/366)+((DATE(YEAR(B119),12,31)-Arkusz1!B119)/365))),0))</f>
        <v>0</v>
      </c>
      <c r="H120">
        <f t="shared" ca="1" si="11"/>
        <v>0</v>
      </c>
      <c r="I120">
        <f t="shared" ca="1" si="12"/>
        <v>1.0061643835616438</v>
      </c>
      <c r="J120">
        <f t="shared" ca="1" si="13"/>
        <v>1.0061643835616438</v>
      </c>
      <c r="K120">
        <f ca="1">PRODUCT($J$3:J120)</f>
        <v>2.0798701576934158</v>
      </c>
      <c r="L120">
        <f t="shared" ca="1" si="14"/>
        <v>0.48079924427061543</v>
      </c>
      <c r="M120">
        <f ca="1">SUM($L$3:L120)</f>
        <v>83.539439743309558</v>
      </c>
      <c r="O120">
        <f ca="1">(Q119*'Arkusz1 (+5)'!J120)-Q119</f>
        <v>265.8797187472228</v>
      </c>
      <c r="P120" s="16">
        <f t="shared" ca="1" si="15"/>
        <v>14291.721005885334</v>
      </c>
      <c r="Q120" s="17">
        <f t="shared" ca="1" si="16"/>
        <v>28839.877813108764</v>
      </c>
    </row>
    <row r="121" spans="1:17" x14ac:dyDescent="0.35">
      <c r="A121">
        <v>119</v>
      </c>
      <c r="B121" s="14">
        <f t="shared" ca="1" si="17"/>
        <v>49691</v>
      </c>
      <c r="C121" s="15">
        <f ca="1">(1+(('Symulacja Pożyczka'!$B$5+'Symulacja Pożyczka'!$C$20)/100)*('Arkusz1 (+5)'!B121-'Arkusz1 (+5)'!B120)/365)</f>
        <v>1.0063698630136986</v>
      </c>
      <c r="D121" s="15">
        <f ca="1">(1+(('Symulacja Pożyczka'!$B$5+'Symulacja Pożyczka'!$C$20)/100)*('Arkusz1 (+5)'!B121-'Arkusz1 (+5)'!B120)/366)</f>
        <v>1.0063524590163935</v>
      </c>
      <c r="E121" s="15">
        <f t="shared" ca="1" si="9"/>
        <v>0</v>
      </c>
      <c r="F121" s="15">
        <f t="shared" ca="1" si="10"/>
        <v>1</v>
      </c>
      <c r="G121">
        <f ca="1">IF(E121=1,(1+(('Symulacja Pożyczka'!$B$5+'Symulacja Pożyczka'!$C$20)/100)*(((Arkusz1!B121-DATE(YEAR(B121),1,1)+1)/365)+((DATE(YEAR(B120),12,31)-Arkusz1!B120)/366))),IF(F121=1,(1+(('Symulacja Pożyczka'!$B$5+'Symulacja Pożyczka'!$C$20)/100)*(((Arkusz1!B121-DATE(YEAR(B121),1,1)+1)/366)+((DATE(YEAR(B120),12,31)-Arkusz1!B120)/365))),0))</f>
        <v>1.0063603188861441</v>
      </c>
      <c r="H121">
        <f t="shared" ca="1" si="11"/>
        <v>1</v>
      </c>
      <c r="I121">
        <f t="shared" ca="1" si="12"/>
        <v>1.0063524590163935</v>
      </c>
      <c r="J121">
        <f t="shared" ca="1" si="13"/>
        <v>1.0063603188861441</v>
      </c>
      <c r="K121">
        <f ca="1">PRODUCT($J$3:J121)</f>
        <v>2.0930987951381206</v>
      </c>
      <c r="L121">
        <f t="shared" ca="1" si="14"/>
        <v>0.47776053491732645</v>
      </c>
      <c r="M121">
        <f ca="1">SUM($L$3:L121)</f>
        <v>84.017200278226881</v>
      </c>
      <c r="O121">
        <f ca="1">(Q120*'Arkusz1 (+5)'!J121)-Q120</f>
        <v>183.43081952880311</v>
      </c>
      <c r="P121" s="16">
        <f t="shared" ca="1" si="15"/>
        <v>14374.169905103754</v>
      </c>
      <c r="Q121" s="17">
        <f t="shared" ca="1" si="16"/>
        <v>14465.70790800501</v>
      </c>
    </row>
    <row r="122" spans="1:17" x14ac:dyDescent="0.35">
      <c r="A122">
        <v>120</v>
      </c>
      <c r="B122" s="14">
        <f t="shared" ca="1" si="17"/>
        <v>49722</v>
      </c>
      <c r="C122" s="15">
        <f ca="1">(1+(('Symulacja Pożyczka'!$B$5+'Symulacja Pożyczka'!$C$20)/100)*('Arkusz1 (+5)'!B122-'Arkusz1 (+5)'!B121)/365)</f>
        <v>1.0063698630136986</v>
      </c>
      <c r="D122" s="15">
        <f ca="1">(1+(('Symulacja Pożyczka'!$B$5+'Symulacja Pożyczka'!$C$20)/100)*('Arkusz1 (+5)'!B122-'Arkusz1 (+5)'!B121)/366)</f>
        <v>1.0063524590163935</v>
      </c>
      <c r="E122" s="15">
        <f t="shared" ca="1" si="9"/>
        <v>0</v>
      </c>
      <c r="F122" s="15">
        <f t="shared" ca="1" si="10"/>
        <v>0</v>
      </c>
      <c r="G122">
        <f ca="1">IF(E122=1,(1+(('Symulacja Pożyczka'!$B$5+'Symulacja Pożyczka'!$C$20)/100)*(((Arkusz1!B122-DATE(YEAR(B122),1,1)+1)/365)+((DATE(YEAR(B121),12,31)-Arkusz1!B121)/366))),IF(F122=1,(1+(('Symulacja Pożyczka'!$B$5+'Symulacja Pożyczka'!$C$20)/100)*(((Arkusz1!B122-DATE(YEAR(B122),1,1)+1)/366)+((DATE(YEAR(B121),12,31)-Arkusz1!B121)/365))),0))</f>
        <v>0</v>
      </c>
      <c r="H122">
        <f t="shared" ca="1" si="11"/>
        <v>1</v>
      </c>
      <c r="I122">
        <f t="shared" ca="1" si="12"/>
        <v>1.0063524590163935</v>
      </c>
      <c r="J122">
        <f t="shared" ca="1" si="13"/>
        <v>1.0063524590163935</v>
      </c>
      <c r="K122">
        <f ca="1">PRODUCT($J$3:J122)</f>
        <v>2.106395119451498</v>
      </c>
      <c r="L122">
        <f t="shared" ca="1" si="14"/>
        <v>0.47474473842324438</v>
      </c>
      <c r="M122">
        <f ca="1">SUM($L$3:L122)</f>
        <v>84.491945016650121</v>
      </c>
      <c r="O122">
        <f ca="1">(Q121*'Arkusz1 (+5)'!J122)-Q121</f>
        <v>91.892816628720539</v>
      </c>
      <c r="P122" s="16">
        <f t="shared" ca="1" si="15"/>
        <v>14465.707908003837</v>
      </c>
      <c r="Q122" s="17">
        <f t="shared" ca="1" si="16"/>
        <v>1.1732481652870774E-9</v>
      </c>
    </row>
    <row r="123" spans="1:17" x14ac:dyDescent="0.35">
      <c r="A123">
        <v>121</v>
      </c>
      <c r="B123" s="14">
        <f t="shared" ca="1" si="17"/>
        <v>49751</v>
      </c>
      <c r="C123" s="15">
        <f ca="1">(1+(('Symulacja Pożyczka'!$B$5+'Symulacja Pożyczka'!$C$20)/100)*('Arkusz1 (+5)'!B123-'Arkusz1 (+5)'!B122)/365)</f>
        <v>1.0059589041095891</v>
      </c>
      <c r="D123" s="15">
        <f ca="1">(1+(('Symulacja Pożyczka'!$B$5+'Symulacja Pożyczka'!$C$20)/100)*('Arkusz1 (+5)'!B123-'Arkusz1 (+5)'!B122)/366)</f>
        <v>1.0059426229508197</v>
      </c>
      <c r="E123" s="15">
        <f t="shared" ca="1" si="9"/>
        <v>0</v>
      </c>
      <c r="F123" s="15">
        <f t="shared" ca="1" si="10"/>
        <v>0</v>
      </c>
      <c r="G123">
        <f ca="1">IF(E123=1,(1+(('Symulacja Pożyczka'!$B$5+'Symulacja Pożyczka'!$C$20)/100)*(((Arkusz1!B123-DATE(YEAR(B123),1,1)+1)/365)+((DATE(YEAR(B122),12,31)-Arkusz1!B122)/366))),IF(F123=1,(1+(('Symulacja Pożyczka'!$B$5+'Symulacja Pożyczka'!$C$20)/100)*(((Arkusz1!B123-DATE(YEAR(B123),1,1)+1)/366)+((DATE(YEAR(B122),12,31)-Arkusz1!B122)/365))),0))</f>
        <v>0</v>
      </c>
      <c r="H123">
        <f t="shared" ca="1" si="11"/>
        <v>1</v>
      </c>
      <c r="I123">
        <f t="shared" ca="1" si="12"/>
        <v>1.0059426229508197</v>
      </c>
      <c r="J123">
        <f t="shared" ca="1" si="13"/>
        <v>1.0059426229508197</v>
      </c>
      <c r="K123">
        <f ca="1">PRODUCT($J$3:J123)</f>
        <v>2.1189126314318449</v>
      </c>
      <c r="L123">
        <f t="shared" ca="1" si="14"/>
        <v>0.47194017590251225</v>
      </c>
      <c r="M123">
        <f ca="1">SUM($L$3:L123)</f>
        <v>84.963885192552638</v>
      </c>
      <c r="O123">
        <f ca="1">(Q122*'Arkusz1 (+5)'!J123)-Q122</f>
        <v>6.9721714740420314E-12</v>
      </c>
      <c r="P123" s="16">
        <f t="shared" ca="1" si="15"/>
        <v>14557.60072463255</v>
      </c>
      <c r="Q123" s="17">
        <f t="shared" ca="1" si="16"/>
        <v>-14557.600724631377</v>
      </c>
    </row>
    <row r="124" spans="1:17" x14ac:dyDescent="0.35">
      <c r="A124">
        <v>122</v>
      </c>
      <c r="B124" s="14">
        <f t="shared" ca="1" si="17"/>
        <v>49782</v>
      </c>
      <c r="C124" s="15">
        <f ca="1">(1+(('Symulacja Pożyczka'!$B$5+'Symulacja Pożyczka'!$C$20)/100)*('Arkusz1 (+5)'!B124-'Arkusz1 (+5)'!B123)/365)</f>
        <v>1.0063698630136986</v>
      </c>
      <c r="D124" s="15">
        <f ca="1">(1+(('Symulacja Pożyczka'!$B$5+'Symulacja Pożyczka'!$C$20)/100)*('Arkusz1 (+5)'!B124-'Arkusz1 (+5)'!B123)/366)</f>
        <v>1.0063524590163935</v>
      </c>
      <c r="E124" s="15">
        <f t="shared" ca="1" si="9"/>
        <v>0</v>
      </c>
      <c r="F124" s="15">
        <f t="shared" ca="1" si="10"/>
        <v>0</v>
      </c>
      <c r="G124">
        <f ca="1">IF(E124=1,(1+(('Symulacja Pożyczka'!$B$5+'Symulacja Pożyczka'!$C$20)/100)*(((Arkusz1!B124-DATE(YEAR(B124),1,1)+1)/365)+((DATE(YEAR(B123),12,31)-Arkusz1!B123)/366))),IF(F124=1,(1+(('Symulacja Pożyczka'!$B$5+'Symulacja Pożyczka'!$C$20)/100)*(((Arkusz1!B124-DATE(YEAR(B124),1,1)+1)/366)+((DATE(YEAR(B123),12,31)-Arkusz1!B123)/365))),0))</f>
        <v>0</v>
      </c>
      <c r="H124">
        <f t="shared" ca="1" si="11"/>
        <v>1</v>
      </c>
      <c r="I124">
        <f t="shared" ca="1" si="12"/>
        <v>1.0063524590163935</v>
      </c>
      <c r="J124">
        <f t="shared" ca="1" si="13"/>
        <v>1.0063524590163935</v>
      </c>
      <c r="K124">
        <f ca="1">PRODUCT($J$3:J124)</f>
        <v>2.1323729370823341</v>
      </c>
      <c r="L124">
        <f t="shared" ca="1" si="14"/>
        <v>0.46896111960990833</v>
      </c>
      <c r="M124">
        <f ca="1">SUM($L$3:L124)</f>
        <v>85.432846312162553</v>
      </c>
      <c r="O124">
        <f ca="1">(Q123*'Arkusz1 (+5)'!J124)-Q123</f>
        <v>-92.476561980240149</v>
      </c>
      <c r="P124" s="16">
        <f t="shared" ca="1" si="15"/>
        <v>14650.077286612797</v>
      </c>
      <c r="Q124" s="17">
        <f t="shared" ca="1" si="16"/>
        <v>-29207.678011244174</v>
      </c>
    </row>
    <row r="125" spans="1:17" x14ac:dyDescent="0.35">
      <c r="A125">
        <v>123</v>
      </c>
      <c r="B125" s="14">
        <f t="shared" ca="1" si="17"/>
        <v>49812</v>
      </c>
      <c r="C125" s="15">
        <f ca="1">(1+(('Symulacja Pożyczka'!$B$5+'Symulacja Pożyczka'!$C$20)/100)*('Arkusz1 (+5)'!B125-'Arkusz1 (+5)'!B124)/365)</f>
        <v>1.0061643835616438</v>
      </c>
      <c r="D125" s="15">
        <f ca="1">(1+(('Symulacja Pożyczka'!$B$5+'Symulacja Pożyczka'!$C$20)/100)*('Arkusz1 (+5)'!B125-'Arkusz1 (+5)'!B124)/366)</f>
        <v>1.0061475409836065</v>
      </c>
      <c r="E125" s="15">
        <f t="shared" ca="1" si="9"/>
        <v>0</v>
      </c>
      <c r="F125" s="15">
        <f t="shared" ca="1" si="10"/>
        <v>0</v>
      </c>
      <c r="G125">
        <f ca="1">IF(E125=1,(1+(('Symulacja Pożyczka'!$B$5+'Symulacja Pożyczka'!$C$20)/100)*(((Arkusz1!B125-DATE(YEAR(B125),1,1)+1)/365)+((DATE(YEAR(B124),12,31)-Arkusz1!B124)/366))),IF(F125=1,(1+(('Symulacja Pożyczka'!$B$5+'Symulacja Pożyczka'!$C$20)/100)*(((Arkusz1!B125-DATE(YEAR(B125),1,1)+1)/366)+((DATE(YEAR(B124),12,31)-Arkusz1!B124)/365))),0))</f>
        <v>0</v>
      </c>
      <c r="H125">
        <f t="shared" ca="1" si="11"/>
        <v>1</v>
      </c>
      <c r="I125">
        <f t="shared" ca="1" si="12"/>
        <v>1.0061475409836065</v>
      </c>
      <c r="J125">
        <f t="shared" ca="1" si="13"/>
        <v>1.0061475409836065</v>
      </c>
      <c r="K125">
        <f ca="1">PRODUCT($J$3:J125)</f>
        <v>2.1454817871053811</v>
      </c>
      <c r="L125">
        <f t="shared" ca="1" si="14"/>
        <v>0.46609577672023478</v>
      </c>
      <c r="M125">
        <f ca="1">SUM($L$3:L125)</f>
        <v>85.898942088882791</v>
      </c>
      <c r="O125">
        <f ca="1">(Q124*'Arkusz1 (+5)'!J125)-Q124</f>
        <v>-179.55539761010368</v>
      </c>
      <c r="P125" s="16">
        <f t="shared" ca="1" si="15"/>
        <v>14737.156122242661</v>
      </c>
      <c r="Q125" s="17">
        <f t="shared" ca="1" si="16"/>
        <v>-43944.834133486831</v>
      </c>
    </row>
    <row r="126" spans="1:17" x14ac:dyDescent="0.35">
      <c r="A126">
        <v>124</v>
      </c>
      <c r="B126" s="14">
        <f t="shared" ca="1" si="17"/>
        <v>49843</v>
      </c>
      <c r="C126" s="15">
        <f ca="1">(1+(('Symulacja Pożyczka'!$B$5+'Symulacja Pożyczka'!$C$20)/100)*('Arkusz1 (+5)'!B126-'Arkusz1 (+5)'!B125)/365)</f>
        <v>1.0063698630136986</v>
      </c>
      <c r="D126" s="15">
        <f ca="1">(1+(('Symulacja Pożyczka'!$B$5+'Symulacja Pożyczka'!$C$20)/100)*('Arkusz1 (+5)'!B126-'Arkusz1 (+5)'!B125)/366)</f>
        <v>1.0063524590163935</v>
      </c>
      <c r="E126" s="15">
        <f t="shared" ca="1" si="9"/>
        <v>0</v>
      </c>
      <c r="F126" s="15">
        <f t="shared" ca="1" si="10"/>
        <v>0</v>
      </c>
      <c r="G126">
        <f ca="1">IF(E126=1,(1+(('Symulacja Pożyczka'!$B$5+'Symulacja Pożyczka'!$C$20)/100)*(((Arkusz1!B126-DATE(YEAR(B126),1,1)+1)/365)+((DATE(YEAR(B125),12,31)-Arkusz1!B125)/366))),IF(F126=1,(1+(('Symulacja Pożyczka'!$B$5+'Symulacja Pożyczka'!$C$20)/100)*(((Arkusz1!B126-DATE(YEAR(B126),1,1)+1)/366)+((DATE(YEAR(B125),12,31)-Arkusz1!B125)/365))),0))</f>
        <v>0</v>
      </c>
      <c r="H126">
        <f t="shared" ca="1" si="11"/>
        <v>1</v>
      </c>
      <c r="I126">
        <f t="shared" ca="1" si="12"/>
        <v>1.0063524590163935</v>
      </c>
      <c r="J126">
        <f t="shared" ca="1" si="13"/>
        <v>1.0063524590163935</v>
      </c>
      <c r="K126">
        <f ca="1">PRODUCT($J$3:J126)</f>
        <v>2.1591108722283865</v>
      </c>
      <c r="L126">
        <f t="shared" ca="1" si="14"/>
        <v>0.46315361237930069</v>
      </c>
      <c r="M126">
        <f ca="1">SUM($L$3:L126)</f>
        <v>86.362095701262092</v>
      </c>
      <c r="O126">
        <f ca="1">(Q125*'Arkusz1 (+5)'!J126)-Q125</f>
        <v>-279.1577578151846</v>
      </c>
      <c r="P126" s="16">
        <f t="shared" ca="1" si="15"/>
        <v>14836.758482447742</v>
      </c>
      <c r="Q126" s="17">
        <f t="shared" ca="1" si="16"/>
        <v>-58781.592615934569</v>
      </c>
    </row>
    <row r="127" spans="1:17" x14ac:dyDescent="0.35">
      <c r="A127">
        <v>125</v>
      </c>
      <c r="B127" s="14">
        <f t="shared" ca="1" si="17"/>
        <v>49873</v>
      </c>
      <c r="C127" s="15">
        <f ca="1">(1+(('Symulacja Pożyczka'!$B$5+'Symulacja Pożyczka'!$C$20)/100)*('Arkusz1 (+5)'!B127-'Arkusz1 (+5)'!B126)/365)</f>
        <v>1.0061643835616438</v>
      </c>
      <c r="D127" s="15">
        <f ca="1">(1+(('Symulacja Pożyczka'!$B$5+'Symulacja Pożyczka'!$C$20)/100)*('Arkusz1 (+5)'!B127-'Arkusz1 (+5)'!B126)/366)</f>
        <v>1.0061475409836065</v>
      </c>
      <c r="E127" s="15">
        <f t="shared" ca="1" si="9"/>
        <v>0</v>
      </c>
      <c r="F127" s="15">
        <f t="shared" ca="1" si="10"/>
        <v>0</v>
      </c>
      <c r="G127">
        <f ca="1">IF(E127=1,(1+(('Symulacja Pożyczka'!$B$5+'Symulacja Pożyczka'!$C$20)/100)*(((Arkusz1!B127-DATE(YEAR(B127),1,1)+1)/365)+((DATE(YEAR(B126),12,31)-Arkusz1!B126)/366))),IF(F127=1,(1+(('Symulacja Pożyczka'!$B$5+'Symulacja Pożyczka'!$C$20)/100)*(((Arkusz1!B127-DATE(YEAR(B127),1,1)+1)/366)+((DATE(YEAR(B126),12,31)-Arkusz1!B126)/365))),0))</f>
        <v>0</v>
      </c>
      <c r="H127">
        <f t="shared" ca="1" si="11"/>
        <v>1</v>
      </c>
      <c r="I127">
        <f t="shared" ca="1" si="12"/>
        <v>1.0061475409836065</v>
      </c>
      <c r="J127">
        <f t="shared" ca="1" si="13"/>
        <v>1.0061475409836065</v>
      </c>
      <c r="K127">
        <f ca="1">PRODUCT($J$3:J127)</f>
        <v>2.1723840948035607</v>
      </c>
      <c r="L127">
        <f t="shared" ca="1" si="14"/>
        <v>0.46032375324052704</v>
      </c>
      <c r="M127">
        <f ca="1">SUM($L$3:L127)</f>
        <v>86.822419454502622</v>
      </c>
      <c r="O127">
        <f ca="1">(Q126*'Arkusz1 (+5)'!J127)-Q126</f>
        <v>-361.36224968811439</v>
      </c>
      <c r="P127" s="16">
        <f t="shared" ca="1" si="15"/>
        <v>14918.962974320671</v>
      </c>
      <c r="Q127" s="17">
        <f t="shared" ca="1" si="16"/>
        <v>-73700.555590255244</v>
      </c>
    </row>
    <row r="128" spans="1:17" x14ac:dyDescent="0.35">
      <c r="A128">
        <v>126</v>
      </c>
      <c r="B128" s="14">
        <f t="shared" ca="1" si="17"/>
        <v>49904</v>
      </c>
      <c r="C128" s="15">
        <f ca="1">(1+(('Symulacja Pożyczka'!$B$5+'Symulacja Pożyczka'!$C$20)/100)*('Arkusz1 (+5)'!B128-'Arkusz1 (+5)'!B127)/365)</f>
        <v>1.0063698630136986</v>
      </c>
      <c r="D128" s="15">
        <f ca="1">(1+(('Symulacja Pożyczka'!$B$5+'Symulacja Pożyczka'!$C$20)/100)*('Arkusz1 (+5)'!B128-'Arkusz1 (+5)'!B127)/366)</f>
        <v>1.0063524590163935</v>
      </c>
      <c r="E128" s="15">
        <f t="shared" ca="1" si="9"/>
        <v>0</v>
      </c>
      <c r="F128" s="15">
        <f t="shared" ca="1" si="10"/>
        <v>0</v>
      </c>
      <c r="G128">
        <f ca="1">IF(E128=1,(1+(('Symulacja Pożyczka'!$B$5+'Symulacja Pożyczka'!$C$20)/100)*(((Arkusz1!B128-DATE(YEAR(B128),1,1)+1)/365)+((DATE(YEAR(B127),12,31)-Arkusz1!B127)/366))),IF(F128=1,(1+(('Symulacja Pożyczka'!$B$5+'Symulacja Pożyczka'!$C$20)/100)*(((Arkusz1!B128-DATE(YEAR(B128),1,1)+1)/366)+((DATE(YEAR(B127),12,31)-Arkusz1!B127)/365))),0))</f>
        <v>0</v>
      </c>
      <c r="H128">
        <f t="shared" ca="1" si="11"/>
        <v>1</v>
      </c>
      <c r="I128">
        <f t="shared" ca="1" si="12"/>
        <v>1.0063524590163935</v>
      </c>
      <c r="J128">
        <f t="shared" ca="1" si="13"/>
        <v>1.0063524590163935</v>
      </c>
      <c r="K128">
        <f ca="1">PRODUCT($J$3:J128)</f>
        <v>2.1861840757336655</v>
      </c>
      <c r="L128">
        <f t="shared" ca="1" si="14"/>
        <v>0.45741802398977233</v>
      </c>
      <c r="M128">
        <f ca="1">SUM($L$3:L128)</f>
        <v>87.279837478492396</v>
      </c>
      <c r="O128">
        <f ca="1">(Q127*'Arkusz1 (+5)'!J128)-Q127</f>
        <v>-468.17975887253124</v>
      </c>
      <c r="P128" s="16">
        <f t="shared" ca="1" si="15"/>
        <v>15025.780483505088</v>
      </c>
      <c r="Q128" s="17">
        <f t="shared" ca="1" si="16"/>
        <v>-88726.336073760336</v>
      </c>
    </row>
    <row r="129" spans="1:17" x14ac:dyDescent="0.35">
      <c r="A129">
        <v>127</v>
      </c>
      <c r="B129" s="14">
        <f t="shared" ca="1" si="17"/>
        <v>49935</v>
      </c>
      <c r="C129" s="15">
        <f ca="1">(1+(('Symulacja Pożyczka'!$B$5+'Symulacja Pożyczka'!$C$20)/100)*('Arkusz1 (+5)'!B129-'Arkusz1 (+5)'!B128)/365)</f>
        <v>1.0063698630136986</v>
      </c>
      <c r="D129" s="15">
        <f ca="1">(1+(('Symulacja Pożyczka'!$B$5+'Symulacja Pożyczka'!$C$20)/100)*('Arkusz1 (+5)'!B129-'Arkusz1 (+5)'!B128)/366)</f>
        <v>1.0063524590163935</v>
      </c>
      <c r="E129" s="15">
        <f t="shared" ca="1" si="9"/>
        <v>0</v>
      </c>
      <c r="F129" s="15">
        <f t="shared" ca="1" si="10"/>
        <v>0</v>
      </c>
      <c r="G129">
        <f ca="1">IF(E129=1,(1+(('Symulacja Pożyczka'!$B$5+'Symulacja Pożyczka'!$C$20)/100)*(((Arkusz1!B129-DATE(YEAR(B129),1,1)+1)/365)+((DATE(YEAR(B128),12,31)-Arkusz1!B128)/366))),IF(F129=1,(1+(('Symulacja Pożyczka'!$B$5+'Symulacja Pożyczka'!$C$20)/100)*(((Arkusz1!B129-DATE(YEAR(B129),1,1)+1)/366)+((DATE(YEAR(B128),12,31)-Arkusz1!B128)/365))),0))</f>
        <v>0</v>
      </c>
      <c r="H129">
        <f t="shared" ca="1" si="11"/>
        <v>1</v>
      </c>
      <c r="I129">
        <f t="shared" ca="1" si="12"/>
        <v>1.0063524590163935</v>
      </c>
      <c r="J129">
        <f t="shared" ca="1" si="13"/>
        <v>1.0063524590163935</v>
      </c>
      <c r="K129">
        <f ca="1">PRODUCT($J$3:J129)</f>
        <v>2.2000717204770557</v>
      </c>
      <c r="L129">
        <f t="shared" ca="1" si="14"/>
        <v>0.45453063674813454</v>
      </c>
      <c r="M129">
        <f ca="1">SUM($L$3:L129)</f>
        <v>87.734368115240528</v>
      </c>
      <c r="O129">
        <f ca="1">(Q128*'Arkusz1 (+5)'!J129)-Q128</f>
        <v>-563.63041358331975</v>
      </c>
      <c r="P129" s="16">
        <f t="shared" ca="1" si="15"/>
        <v>15121.231138215877</v>
      </c>
      <c r="Q129" s="17">
        <f t="shared" ca="1" si="16"/>
        <v>-103847.56721197622</v>
      </c>
    </row>
    <row r="130" spans="1:17" x14ac:dyDescent="0.35">
      <c r="A130">
        <v>128</v>
      </c>
      <c r="B130" s="14">
        <f t="shared" ca="1" si="17"/>
        <v>49965</v>
      </c>
      <c r="C130" s="15">
        <f ca="1">(1+(('Symulacja Pożyczka'!$B$5+'Symulacja Pożyczka'!$C$20)/100)*('Arkusz1 (+5)'!B130-'Arkusz1 (+5)'!B129)/365)</f>
        <v>1.0061643835616438</v>
      </c>
      <c r="D130" s="15">
        <f ca="1">(1+(('Symulacja Pożyczka'!$B$5+'Symulacja Pożyczka'!$C$20)/100)*('Arkusz1 (+5)'!B130-'Arkusz1 (+5)'!B129)/366)</f>
        <v>1.0061475409836065</v>
      </c>
      <c r="E130" s="15">
        <f t="shared" ca="1" si="9"/>
        <v>0</v>
      </c>
      <c r="F130" s="15">
        <f t="shared" ca="1" si="10"/>
        <v>0</v>
      </c>
      <c r="G130">
        <f ca="1">IF(E130=1,(1+(('Symulacja Pożyczka'!$B$5+'Symulacja Pożyczka'!$C$20)/100)*(((Arkusz1!B130-DATE(YEAR(B130),1,1)+1)/365)+((DATE(YEAR(B129),12,31)-Arkusz1!B129)/366))),IF(F130=1,(1+(('Symulacja Pożyczka'!$B$5+'Symulacja Pożyczka'!$C$20)/100)*(((Arkusz1!B130-DATE(YEAR(B130),1,1)+1)/366)+((DATE(YEAR(B129),12,31)-Arkusz1!B129)/365))),0))</f>
        <v>0</v>
      </c>
      <c r="H130">
        <f t="shared" ca="1" si="11"/>
        <v>1</v>
      </c>
      <c r="I130">
        <f t="shared" ca="1" si="12"/>
        <v>1.0061475409836065</v>
      </c>
      <c r="J130">
        <f t="shared" ca="1" si="13"/>
        <v>1.0061475409836065</v>
      </c>
      <c r="K130">
        <f ca="1">PRODUCT($J$3:J130)</f>
        <v>2.2135967515455621</v>
      </c>
      <c r="L130">
        <f t="shared" ca="1" si="14"/>
        <v>0.45175346381484655</v>
      </c>
      <c r="M130">
        <f ca="1">SUM($L$3:L130)</f>
        <v>88.186121579055381</v>
      </c>
      <c r="O130">
        <f ca="1">(Q129*'Arkusz1 (+5)'!J130)-Q129</f>
        <v>-638.40717548345856</v>
      </c>
      <c r="P130" s="16">
        <f t="shared" ca="1" si="15"/>
        <v>15196.007900116016</v>
      </c>
      <c r="Q130" s="17">
        <f t="shared" ca="1" si="16"/>
        <v>-119043.57511209224</v>
      </c>
    </row>
    <row r="131" spans="1:17" x14ac:dyDescent="0.35">
      <c r="A131">
        <v>129</v>
      </c>
      <c r="B131" s="14">
        <f t="shared" ca="1" si="17"/>
        <v>49996</v>
      </c>
      <c r="C131" s="15">
        <f ca="1">(1+(('Symulacja Pożyczka'!$B$5+'Symulacja Pożyczka'!$C$20)/100)*('Arkusz1 (+5)'!B131-'Arkusz1 (+5)'!B130)/365)</f>
        <v>1.0063698630136986</v>
      </c>
      <c r="D131" s="15">
        <f ca="1">(1+(('Symulacja Pożyczka'!$B$5+'Symulacja Pożyczka'!$C$20)/100)*('Arkusz1 (+5)'!B131-'Arkusz1 (+5)'!B130)/366)</f>
        <v>1.0063524590163935</v>
      </c>
      <c r="E131" s="15">
        <f t="shared" ca="1" si="9"/>
        <v>0</v>
      </c>
      <c r="F131" s="15">
        <f t="shared" ca="1" si="10"/>
        <v>0</v>
      </c>
      <c r="G131">
        <f ca="1">IF(E131=1,(1+(('Symulacja Pożyczka'!$B$5+'Symulacja Pożyczka'!$C$20)/100)*(((Arkusz1!B131-DATE(YEAR(B131),1,1)+1)/365)+((DATE(YEAR(B130),12,31)-Arkusz1!B130)/366))),IF(F131=1,(1+(('Symulacja Pożyczka'!$B$5+'Symulacja Pożyczka'!$C$20)/100)*(((Arkusz1!B131-DATE(YEAR(B131),1,1)+1)/366)+((DATE(YEAR(B130),12,31)-Arkusz1!B130)/365))),0))</f>
        <v>0</v>
      </c>
      <c r="H131">
        <f t="shared" ca="1" si="11"/>
        <v>1</v>
      </c>
      <c r="I131">
        <f t="shared" ca="1" si="12"/>
        <v>1.0063524590163935</v>
      </c>
      <c r="J131">
        <f t="shared" ca="1" si="13"/>
        <v>1.0063524590163935</v>
      </c>
      <c r="K131">
        <f ca="1">PRODUCT($J$3:J131)</f>
        <v>2.2276585341885768</v>
      </c>
      <c r="L131">
        <f t="shared" ca="1" si="14"/>
        <v>0.44890183331632078</v>
      </c>
      <c r="M131">
        <f ca="1">SUM($L$3:L131)</f>
        <v>88.635023412371709</v>
      </c>
      <c r="O131">
        <f ca="1">(Q130*'Arkusz1 (+5)'!J131)-Q130</f>
        <v>-756.21943206452124</v>
      </c>
      <c r="P131" s="16">
        <f t="shared" ca="1" si="15"/>
        <v>15313.820156697078</v>
      </c>
      <c r="Q131" s="17">
        <f t="shared" ca="1" si="16"/>
        <v>-134357.39526878932</v>
      </c>
    </row>
    <row r="132" spans="1:17" x14ac:dyDescent="0.35">
      <c r="A132">
        <v>130</v>
      </c>
      <c r="B132" s="14">
        <f t="shared" ca="1" si="17"/>
        <v>50026</v>
      </c>
      <c r="C132" s="15">
        <f ca="1">(1+(('Symulacja Pożyczka'!$B$5+'Symulacja Pożyczka'!$C$20)/100)*('Arkusz1 (+5)'!B132-'Arkusz1 (+5)'!B131)/365)</f>
        <v>1.0061643835616438</v>
      </c>
      <c r="D132" s="15">
        <f ca="1">(1+(('Symulacja Pożyczka'!$B$5+'Symulacja Pożyczka'!$C$20)/100)*('Arkusz1 (+5)'!B132-'Arkusz1 (+5)'!B131)/366)</f>
        <v>1.0061475409836065</v>
      </c>
      <c r="E132" s="15">
        <f t="shared" ref="E132:E182" ca="1" si="18">IF(AND(MOD(YEAR(B131),4)=0,MOD(YEAR(B132),4)&lt;&gt;0),1,0)</f>
        <v>0</v>
      </c>
      <c r="F132" s="15">
        <f t="shared" ref="F132:F182" ca="1" si="19">IF(AND(MOD(YEAR(B132),4)=0,MOD(YEAR(B131),4)&lt;&gt;0),1,0)</f>
        <v>0</v>
      </c>
      <c r="G132">
        <f ca="1">IF(E132=1,(1+(('Symulacja Pożyczka'!$B$5+'Symulacja Pożyczka'!$C$20)/100)*(((Arkusz1!B132-DATE(YEAR(B132),1,1)+1)/365)+((DATE(YEAR(B131),12,31)-Arkusz1!B131)/366))),IF(F132=1,(1+(('Symulacja Pożyczka'!$B$5+'Symulacja Pożyczka'!$C$20)/100)*(((Arkusz1!B132-DATE(YEAR(B132),1,1)+1)/366)+((DATE(YEAR(B131),12,31)-Arkusz1!B131)/365))),0))</f>
        <v>0</v>
      </c>
      <c r="H132">
        <f t="shared" ref="H132:H182" ca="1" si="20">IF(MOD(YEAR(B132),4)=0,1,0)</f>
        <v>1</v>
      </c>
      <c r="I132">
        <f t="shared" ref="I132:I182" ca="1" si="21">IF(H132=0,C132,IF(H132=1,D132,"blad"))</f>
        <v>1.0061475409836065</v>
      </c>
      <c r="J132">
        <f t="shared" ref="J132:J182" ca="1" si="22">IF(OR(E132=1,F132=1),G132,I132)</f>
        <v>1.0061475409836065</v>
      </c>
      <c r="K132">
        <f ca="1">PRODUCT($J$3:J132)</f>
        <v>2.241353156324982</v>
      </c>
      <c r="L132">
        <f t="shared" ref="L132:L182" ca="1" si="23">1/K132</f>
        <v>0.44615905225736158</v>
      </c>
      <c r="M132">
        <f ca="1">SUM($L$3:L132)</f>
        <v>89.081182464629066</v>
      </c>
      <c r="O132">
        <f ca="1">(Q131*'Arkusz1 (+5)'!J132)-Q131</f>
        <v>-825.9675938654982</v>
      </c>
      <c r="P132" s="16">
        <f t="shared" ca="1" si="15"/>
        <v>15383.568318498055</v>
      </c>
      <c r="Q132" s="17">
        <f t="shared" ca="1" si="16"/>
        <v>-149740.96358728738</v>
      </c>
    </row>
    <row r="133" spans="1:17" x14ac:dyDescent="0.35">
      <c r="A133">
        <v>131</v>
      </c>
      <c r="B133" s="14">
        <f t="shared" ca="1" si="17"/>
        <v>50057</v>
      </c>
      <c r="C133" s="15">
        <f ca="1">(1+(('Symulacja Pożyczka'!$B$5+'Symulacja Pożyczka'!$C$20)/100)*('Arkusz1 (+5)'!B133-'Arkusz1 (+5)'!B132)/365)</f>
        <v>1.0063698630136986</v>
      </c>
      <c r="D133" s="15">
        <f ca="1">(1+(('Symulacja Pożyczka'!$B$5+'Symulacja Pożyczka'!$C$20)/100)*('Arkusz1 (+5)'!B133-'Arkusz1 (+5)'!B132)/366)</f>
        <v>1.0063524590163935</v>
      </c>
      <c r="E133" s="15">
        <f t="shared" ca="1" si="18"/>
        <v>1</v>
      </c>
      <c r="F133" s="15">
        <f t="shared" ca="1" si="19"/>
        <v>0</v>
      </c>
      <c r="G133">
        <f ca="1">IF(E133=1,(1+(('Symulacja Pożyczka'!$B$5+'Symulacja Pożyczka'!$C$20)/100)*(((Arkusz1!B133-DATE(YEAR(B133),1,1)+1)/365)+((DATE(YEAR(B132),12,31)-Arkusz1!B132)/366))),IF(F133=1,(1+(('Symulacja Pożyczka'!$B$5+'Symulacja Pożyczka'!$C$20)/100)*(((Arkusz1!B133-DATE(YEAR(B133),1,1)+1)/366)+((DATE(YEAR(B132),12,31)-Arkusz1!B132)/365))),0))</f>
        <v>1.006362003143948</v>
      </c>
      <c r="H133">
        <f t="shared" ca="1" si="20"/>
        <v>0</v>
      </c>
      <c r="I133">
        <f t="shared" ca="1" si="21"/>
        <v>1.0063698630136986</v>
      </c>
      <c r="J133">
        <f t="shared" ca="1" si="22"/>
        <v>1.006362003143948</v>
      </c>
      <c r="K133">
        <f ca="1">PRODUCT($J$3:J133)</f>
        <v>2.2556126521522191</v>
      </c>
      <c r="L133">
        <f t="shared" ca="1" si="23"/>
        <v>0.44333853112848892</v>
      </c>
      <c r="M133">
        <f ca="1">SUM($L$3:L133)</f>
        <v>89.524520995757555</v>
      </c>
      <c r="O133">
        <f ca="1">(Q132*'Arkusz1 (+5)'!J133)-Q132</f>
        <v>-952.65248112010886</v>
      </c>
      <c r="P133" s="16">
        <f t="shared" ref="P133:P182" ca="1" si="24">$N$2-O133</f>
        <v>15510.253205752666</v>
      </c>
      <c r="Q133" s="17">
        <f t="shared" ref="Q133:Q182" ca="1" si="25">Q132-P133</f>
        <v>-165251.21679304005</v>
      </c>
    </row>
    <row r="134" spans="1:17" x14ac:dyDescent="0.35">
      <c r="A134">
        <v>132</v>
      </c>
      <c r="B134" s="14">
        <f t="shared" ref="B134:B182" ca="1" si="26">DATE(YEAR((B133)),MONTH((B133))+1,IF(AND(DAY(B133)&gt;28,MONTH((B133))+1=2),IF(MOD(YEAR(B133),4)=0,29,28),IF(AND(OR(DAY(B133)=28,DAY(B133)=29),MONTH((B133))=2),DAY(B132),DAY(B133))))</f>
        <v>50088</v>
      </c>
      <c r="C134" s="15">
        <f ca="1">(1+(('Symulacja Pożyczka'!$B$5+'Symulacja Pożyczka'!$C$20)/100)*('Arkusz1 (+5)'!B134-'Arkusz1 (+5)'!B133)/365)</f>
        <v>1.0063698630136986</v>
      </c>
      <c r="D134" s="15">
        <f ca="1">(1+(('Symulacja Pożyczka'!$B$5+'Symulacja Pożyczka'!$C$20)/100)*('Arkusz1 (+5)'!B134-'Arkusz1 (+5)'!B133)/366)</f>
        <v>1.0063524590163935</v>
      </c>
      <c r="E134" s="15">
        <f t="shared" ca="1" si="18"/>
        <v>0</v>
      </c>
      <c r="F134" s="15">
        <f t="shared" ca="1" si="19"/>
        <v>0</v>
      </c>
      <c r="G134">
        <f ca="1">IF(E134=1,(1+(('Symulacja Pożyczka'!$B$5+'Symulacja Pożyczka'!$C$20)/100)*(((Arkusz1!B134-DATE(YEAR(B134),1,1)+1)/365)+((DATE(YEAR(B133),12,31)-Arkusz1!B133)/366))),IF(F134=1,(1+(('Symulacja Pożyczka'!$B$5+'Symulacja Pożyczka'!$C$20)/100)*(((Arkusz1!B134-DATE(YEAR(B134),1,1)+1)/366)+((DATE(YEAR(B133),12,31)-Arkusz1!B133)/365))),0))</f>
        <v>0</v>
      </c>
      <c r="H134">
        <f t="shared" ca="1" si="20"/>
        <v>0</v>
      </c>
      <c r="I134">
        <f t="shared" ca="1" si="21"/>
        <v>1.0063698630136986</v>
      </c>
      <c r="J134">
        <f t="shared" ca="1" si="22"/>
        <v>1.0063698630136986</v>
      </c>
      <c r="K134">
        <f ca="1">PRODUCT($J$3:J134)</f>
        <v>2.2699805957583941</v>
      </c>
      <c r="L134">
        <f t="shared" ca="1" si="23"/>
        <v>0.44053240008683986</v>
      </c>
      <c r="M134">
        <f ca="1">SUM($L$3:L134)</f>
        <v>89.965053395844393</v>
      </c>
      <c r="O134">
        <f ca="1">(Q133*'Arkusz1 (+5)'!J134)-Q133</f>
        <v>-1052.6276138186804</v>
      </c>
      <c r="P134" s="16">
        <f t="shared" ca="1" si="24"/>
        <v>15610.228338451238</v>
      </c>
      <c r="Q134" s="17">
        <f t="shared" ca="1" si="25"/>
        <v>-180861.44513149129</v>
      </c>
    </row>
    <row r="135" spans="1:17" x14ac:dyDescent="0.35">
      <c r="A135">
        <v>133</v>
      </c>
      <c r="B135" s="14">
        <f t="shared" ca="1" si="26"/>
        <v>50116</v>
      </c>
      <c r="C135" s="15">
        <f ca="1">(1+(('Symulacja Pożyczka'!$B$5+'Symulacja Pożyczka'!$C$20)/100)*('Arkusz1 (+5)'!B135-'Arkusz1 (+5)'!B134)/365)</f>
        <v>1.0057534246575341</v>
      </c>
      <c r="D135" s="15">
        <f ca="1">(1+(('Symulacja Pożyczka'!$B$5+'Symulacja Pożyczka'!$C$20)/100)*('Arkusz1 (+5)'!B135-'Arkusz1 (+5)'!B134)/366)</f>
        <v>1.0057377049180327</v>
      </c>
      <c r="E135" s="15">
        <f t="shared" ca="1" si="18"/>
        <v>0</v>
      </c>
      <c r="F135" s="15">
        <f t="shared" ca="1" si="19"/>
        <v>0</v>
      </c>
      <c r="G135">
        <f ca="1">IF(E135=1,(1+(('Symulacja Pożyczka'!$B$5+'Symulacja Pożyczka'!$C$20)/100)*(((Arkusz1!B135-DATE(YEAR(B135),1,1)+1)/365)+((DATE(YEAR(B134),12,31)-Arkusz1!B134)/366))),IF(F135=1,(1+(('Symulacja Pożyczka'!$B$5+'Symulacja Pożyczka'!$C$20)/100)*(((Arkusz1!B135-DATE(YEAR(B135),1,1)+1)/366)+((DATE(YEAR(B134),12,31)-Arkusz1!B134)/365))),0))</f>
        <v>0</v>
      </c>
      <c r="H135">
        <f t="shared" ca="1" si="20"/>
        <v>0</v>
      </c>
      <c r="I135">
        <f t="shared" ca="1" si="21"/>
        <v>1.0057534246575341</v>
      </c>
      <c r="J135">
        <f t="shared" ca="1" si="22"/>
        <v>1.0057534246575341</v>
      </c>
      <c r="K135">
        <f ca="1">PRODUCT($J$3:J135)</f>
        <v>2.2830407580901544</v>
      </c>
      <c r="L135">
        <f t="shared" ca="1" si="23"/>
        <v>0.43801232915199284</v>
      </c>
      <c r="M135">
        <f ca="1">SUM($L$3:L135)</f>
        <v>90.403065724996381</v>
      </c>
      <c r="O135">
        <f ca="1">(Q134*'Arkusz1 (+5)'!J135)-Q134</f>
        <v>-1040.5726980167674</v>
      </c>
      <c r="P135" s="16">
        <f t="shared" ca="1" si="24"/>
        <v>15598.173422649324</v>
      </c>
      <c r="Q135" s="17">
        <f t="shared" ca="1" si="25"/>
        <v>-196459.61855414062</v>
      </c>
    </row>
    <row r="136" spans="1:17" x14ac:dyDescent="0.35">
      <c r="A136">
        <v>134</v>
      </c>
      <c r="B136" s="14">
        <f t="shared" ca="1" si="26"/>
        <v>50147</v>
      </c>
      <c r="C136" s="15">
        <f ca="1">(1+(('Symulacja Pożyczka'!$B$5+'Symulacja Pożyczka'!$C$20)/100)*('Arkusz1 (+5)'!B136-'Arkusz1 (+5)'!B135)/365)</f>
        <v>1.0063698630136986</v>
      </c>
      <c r="D136" s="15">
        <f ca="1">(1+(('Symulacja Pożyczka'!$B$5+'Symulacja Pożyczka'!$C$20)/100)*('Arkusz1 (+5)'!B136-'Arkusz1 (+5)'!B135)/366)</f>
        <v>1.0063524590163935</v>
      </c>
      <c r="E136" s="15">
        <f t="shared" ca="1" si="18"/>
        <v>0</v>
      </c>
      <c r="F136" s="15">
        <f t="shared" ca="1" si="19"/>
        <v>0</v>
      </c>
      <c r="G136">
        <f ca="1">IF(E136=1,(1+(('Symulacja Pożyczka'!$B$5+'Symulacja Pożyczka'!$C$20)/100)*(((Arkusz1!B136-DATE(YEAR(B136),1,1)+1)/365)+((DATE(YEAR(B135),12,31)-Arkusz1!B135)/366))),IF(F136=1,(1+(('Symulacja Pożyczka'!$B$5+'Symulacja Pożyczka'!$C$20)/100)*(((Arkusz1!B136-DATE(YEAR(B136),1,1)+1)/366)+((DATE(YEAR(B135),12,31)-Arkusz1!B135)/365))),0))</f>
        <v>0</v>
      </c>
      <c r="H136">
        <f t="shared" ca="1" si="20"/>
        <v>0</v>
      </c>
      <c r="I136">
        <f t="shared" ca="1" si="21"/>
        <v>1.0063698630136986</v>
      </c>
      <c r="J136">
        <f t="shared" ca="1" si="22"/>
        <v>1.0063698630136986</v>
      </c>
      <c r="K136">
        <f ca="1">PRODUCT($J$3:J136)</f>
        <v>2.2975834149738792</v>
      </c>
      <c r="L136">
        <f t="shared" ca="1" si="23"/>
        <v>0.43523991054373484</v>
      </c>
      <c r="M136">
        <f ca="1">SUM($L$3:L136)</f>
        <v>90.83830563554011</v>
      </c>
      <c r="O136">
        <f ca="1">(Q135*'Arkusz1 (+5)'!J136)-Q135</f>
        <v>-1251.4208579133556</v>
      </c>
      <c r="P136" s="16">
        <f t="shared" ca="1" si="24"/>
        <v>15809.021582545913</v>
      </c>
      <c r="Q136" s="17">
        <f t="shared" ca="1" si="25"/>
        <v>-212268.64013668653</v>
      </c>
    </row>
    <row r="137" spans="1:17" x14ac:dyDescent="0.35">
      <c r="A137">
        <v>135</v>
      </c>
      <c r="B137" s="14">
        <f t="shared" ca="1" si="26"/>
        <v>50177</v>
      </c>
      <c r="C137" s="15">
        <f ca="1">(1+(('Symulacja Pożyczka'!$B$5+'Symulacja Pożyczka'!$C$20)/100)*('Arkusz1 (+5)'!B137-'Arkusz1 (+5)'!B136)/365)</f>
        <v>1.0061643835616438</v>
      </c>
      <c r="D137" s="15">
        <f ca="1">(1+(('Symulacja Pożyczka'!$B$5+'Symulacja Pożyczka'!$C$20)/100)*('Arkusz1 (+5)'!B137-'Arkusz1 (+5)'!B136)/366)</f>
        <v>1.0061475409836065</v>
      </c>
      <c r="E137" s="15">
        <f t="shared" ca="1" si="18"/>
        <v>0</v>
      </c>
      <c r="F137" s="15">
        <f t="shared" ca="1" si="19"/>
        <v>0</v>
      </c>
      <c r="G137">
        <f ca="1">IF(E137=1,(1+(('Symulacja Pożyczka'!$B$5+'Symulacja Pożyczka'!$C$20)/100)*(((Arkusz1!B137-DATE(YEAR(B137),1,1)+1)/365)+((DATE(YEAR(B136),12,31)-Arkusz1!B136)/366))),IF(F137=1,(1+(('Symulacja Pożyczka'!$B$5+'Symulacja Pożyczka'!$C$20)/100)*(((Arkusz1!B137-DATE(YEAR(B137),1,1)+1)/366)+((DATE(YEAR(B136),12,31)-Arkusz1!B136)/365))),0))</f>
        <v>0</v>
      </c>
      <c r="H137">
        <f t="shared" ca="1" si="20"/>
        <v>0</v>
      </c>
      <c r="I137">
        <f t="shared" ca="1" si="21"/>
        <v>1.0061643835616438</v>
      </c>
      <c r="J137">
        <f t="shared" ca="1" si="22"/>
        <v>1.0061643835616438</v>
      </c>
      <c r="K137">
        <f ca="1">PRODUCT($J$3:J137)</f>
        <v>2.3117466004086498</v>
      </c>
      <c r="L137">
        <f t="shared" ca="1" si="23"/>
        <v>0.43257336241923272</v>
      </c>
      <c r="M137">
        <f ca="1">SUM($L$3:L137)</f>
        <v>91.270878997959343</v>
      </c>
      <c r="O137">
        <f ca="1">(Q136*'Arkusz1 (+5)'!J137)-Q136</f>
        <v>-1308.505315911083</v>
      </c>
      <c r="P137" s="16">
        <f t="shared" ca="1" si="24"/>
        <v>15866.10604054364</v>
      </c>
      <c r="Q137" s="17">
        <f t="shared" ca="1" si="25"/>
        <v>-228134.74617723018</v>
      </c>
    </row>
    <row r="138" spans="1:17" x14ac:dyDescent="0.35">
      <c r="A138">
        <v>136</v>
      </c>
      <c r="B138" s="14">
        <f t="shared" ca="1" si="26"/>
        <v>50208</v>
      </c>
      <c r="C138" s="15">
        <f ca="1">(1+(('Symulacja Pożyczka'!$B$5+'Symulacja Pożyczka'!$C$20)/100)*('Arkusz1 (+5)'!B138-'Arkusz1 (+5)'!B137)/365)</f>
        <v>1.0063698630136986</v>
      </c>
      <c r="D138" s="15">
        <f ca="1">(1+(('Symulacja Pożyczka'!$B$5+'Symulacja Pożyczka'!$C$20)/100)*('Arkusz1 (+5)'!B138-'Arkusz1 (+5)'!B137)/366)</f>
        <v>1.0063524590163935</v>
      </c>
      <c r="E138" s="15">
        <f t="shared" ca="1" si="18"/>
        <v>0</v>
      </c>
      <c r="F138" s="15">
        <f t="shared" ca="1" si="19"/>
        <v>0</v>
      </c>
      <c r="G138">
        <f ca="1">IF(E138=1,(1+(('Symulacja Pożyczka'!$B$5+'Symulacja Pożyczka'!$C$20)/100)*(((Arkusz1!B138-DATE(YEAR(B138),1,1)+1)/365)+((DATE(YEAR(B137),12,31)-Arkusz1!B137)/366))),IF(F138=1,(1+(('Symulacja Pożyczka'!$B$5+'Symulacja Pożyczka'!$C$20)/100)*(((Arkusz1!B138-DATE(YEAR(B138),1,1)+1)/366)+((DATE(YEAR(B137),12,31)-Arkusz1!B137)/365))),0))</f>
        <v>0</v>
      </c>
      <c r="H138">
        <f t="shared" ca="1" si="20"/>
        <v>0</v>
      </c>
      <c r="I138">
        <f t="shared" ca="1" si="21"/>
        <v>1.0063698630136986</v>
      </c>
      <c r="J138">
        <f t="shared" ca="1" si="22"/>
        <v>1.0063698630136986</v>
      </c>
      <c r="K138">
        <f ca="1">PRODUCT($J$3:J138)</f>
        <v>2.3264721095756364</v>
      </c>
      <c r="L138">
        <f t="shared" ca="1" si="23"/>
        <v>0.42983536999392891</v>
      </c>
      <c r="M138">
        <f ca="1">SUM($L$3:L138)</f>
        <v>91.700714367953267</v>
      </c>
      <c r="O138">
        <f ca="1">(Q137*'Arkusz1 (+5)'!J138)-Q137</f>
        <v>-1453.1870818138414</v>
      </c>
      <c r="P138" s="16">
        <f t="shared" ca="1" si="24"/>
        <v>16010.787806446398</v>
      </c>
      <c r="Q138" s="17">
        <f t="shared" ca="1" si="25"/>
        <v>-244145.53398367658</v>
      </c>
    </row>
    <row r="139" spans="1:17" x14ac:dyDescent="0.35">
      <c r="A139">
        <v>137</v>
      </c>
      <c r="B139" s="14">
        <f t="shared" ca="1" si="26"/>
        <v>50238</v>
      </c>
      <c r="C139" s="15">
        <f ca="1">(1+(('Symulacja Pożyczka'!$B$5+'Symulacja Pożyczka'!$C$20)/100)*('Arkusz1 (+5)'!B139-'Arkusz1 (+5)'!B138)/365)</f>
        <v>1.0061643835616438</v>
      </c>
      <c r="D139" s="15">
        <f ca="1">(1+(('Symulacja Pożyczka'!$B$5+'Symulacja Pożyczka'!$C$20)/100)*('Arkusz1 (+5)'!B139-'Arkusz1 (+5)'!B138)/366)</f>
        <v>1.0061475409836065</v>
      </c>
      <c r="E139" s="15">
        <f t="shared" ca="1" si="18"/>
        <v>0</v>
      </c>
      <c r="F139" s="15">
        <f t="shared" ca="1" si="19"/>
        <v>0</v>
      </c>
      <c r="G139">
        <f ca="1">IF(E139=1,(1+(('Symulacja Pożyczka'!$B$5+'Symulacja Pożyczka'!$C$20)/100)*(((Arkusz1!B139-DATE(YEAR(B139),1,1)+1)/365)+((DATE(YEAR(B138),12,31)-Arkusz1!B138)/366))),IF(F139=1,(1+(('Symulacja Pożyczka'!$B$5+'Symulacja Pożyczka'!$C$20)/100)*(((Arkusz1!B139-DATE(YEAR(B139),1,1)+1)/366)+((DATE(YEAR(B138),12,31)-Arkusz1!B138)/365))),0))</f>
        <v>0</v>
      </c>
      <c r="H139">
        <f t="shared" ca="1" si="20"/>
        <v>0</v>
      </c>
      <c r="I139">
        <f t="shared" ca="1" si="21"/>
        <v>1.0061643835616438</v>
      </c>
      <c r="J139">
        <f t="shared" ca="1" si="22"/>
        <v>1.0061643835616438</v>
      </c>
      <c r="K139">
        <f ca="1">PRODUCT($J$3:J139)</f>
        <v>2.3408133760045273</v>
      </c>
      <c r="L139">
        <f t="shared" ca="1" si="23"/>
        <v>0.42720193341806412</v>
      </c>
      <c r="M139">
        <f ca="1">SUM($L$3:L139)</f>
        <v>92.127916301371329</v>
      </c>
      <c r="O139">
        <f ca="1">(Q138*'Arkusz1 (+5)'!J139)-Q138</f>
        <v>-1505.0067163377244</v>
      </c>
      <c r="P139" s="16">
        <f t="shared" ca="1" si="24"/>
        <v>16062.607440970281</v>
      </c>
      <c r="Q139" s="17">
        <f t="shared" ca="1" si="25"/>
        <v>-260208.14142464686</v>
      </c>
    </row>
    <row r="140" spans="1:17" x14ac:dyDescent="0.35">
      <c r="A140">
        <v>138</v>
      </c>
      <c r="B140" s="14">
        <f t="shared" ca="1" si="26"/>
        <v>50269</v>
      </c>
      <c r="C140" s="15">
        <f ca="1">(1+(('Symulacja Pożyczka'!$B$5+'Symulacja Pożyczka'!$C$20)/100)*('Arkusz1 (+5)'!B140-'Arkusz1 (+5)'!B139)/365)</f>
        <v>1.0063698630136986</v>
      </c>
      <c r="D140" s="15">
        <f ca="1">(1+(('Symulacja Pożyczka'!$B$5+'Symulacja Pożyczka'!$C$20)/100)*('Arkusz1 (+5)'!B140-'Arkusz1 (+5)'!B139)/366)</f>
        <v>1.0063524590163935</v>
      </c>
      <c r="E140" s="15">
        <f t="shared" ca="1" si="18"/>
        <v>0</v>
      </c>
      <c r="F140" s="15">
        <f t="shared" ca="1" si="19"/>
        <v>0</v>
      </c>
      <c r="G140">
        <f ca="1">IF(E140=1,(1+(('Symulacja Pożyczka'!$B$5+'Symulacja Pożyczka'!$C$20)/100)*(((Arkusz1!B140-DATE(YEAR(B140),1,1)+1)/365)+((DATE(YEAR(B139),12,31)-Arkusz1!B139)/366))),IF(F140=1,(1+(('Symulacja Pożyczka'!$B$5+'Symulacja Pożyczka'!$C$20)/100)*(((Arkusz1!B140-DATE(YEAR(B140),1,1)+1)/366)+((DATE(YEAR(B139),12,31)-Arkusz1!B139)/365))),0))</f>
        <v>0</v>
      </c>
      <c r="H140">
        <f t="shared" ca="1" si="20"/>
        <v>0</v>
      </c>
      <c r="I140">
        <f t="shared" ca="1" si="21"/>
        <v>1.0063698630136986</v>
      </c>
      <c r="J140">
        <f t="shared" ca="1" si="22"/>
        <v>1.0063698630136986</v>
      </c>
      <c r="K140">
        <f ca="1">PRODUCT($J$3:J140)</f>
        <v>2.3557240365503094</v>
      </c>
      <c r="L140">
        <f t="shared" ca="1" si="23"/>
        <v>0.42449793969262484</v>
      </c>
      <c r="M140">
        <f ca="1">SUM($L$3:L140)</f>
        <v>92.552414241063957</v>
      </c>
      <c r="O140">
        <f ca="1">(Q139*'Arkusz1 (+5)'!J140)-Q139</f>
        <v>-1657.4902159241028</v>
      </c>
      <c r="P140" s="16">
        <f t="shared" ca="1" si="24"/>
        <v>16215.09094055666</v>
      </c>
      <c r="Q140" s="17">
        <f t="shared" ca="1" si="25"/>
        <v>-276423.2323652035</v>
      </c>
    </row>
    <row r="141" spans="1:17" x14ac:dyDescent="0.35">
      <c r="A141">
        <v>139</v>
      </c>
      <c r="B141" s="14">
        <f t="shared" ca="1" si="26"/>
        <v>50300</v>
      </c>
      <c r="C141" s="15">
        <f ca="1">(1+(('Symulacja Pożyczka'!$B$5+'Symulacja Pożyczka'!$C$20)/100)*('Arkusz1 (+5)'!B141-'Arkusz1 (+5)'!B140)/365)</f>
        <v>1.0063698630136986</v>
      </c>
      <c r="D141" s="15">
        <f ca="1">(1+(('Symulacja Pożyczka'!$B$5+'Symulacja Pożyczka'!$C$20)/100)*('Arkusz1 (+5)'!B141-'Arkusz1 (+5)'!B140)/366)</f>
        <v>1.0063524590163935</v>
      </c>
      <c r="E141" s="15">
        <f t="shared" ca="1" si="18"/>
        <v>0</v>
      </c>
      <c r="F141" s="15">
        <f t="shared" ca="1" si="19"/>
        <v>0</v>
      </c>
      <c r="G141">
        <f ca="1">IF(E141=1,(1+(('Symulacja Pożyczka'!$B$5+'Symulacja Pożyczka'!$C$20)/100)*(((Arkusz1!B141-DATE(YEAR(B141),1,1)+1)/365)+((DATE(YEAR(B140),12,31)-Arkusz1!B140)/366))),IF(F141=1,(1+(('Symulacja Pożyczka'!$B$5+'Symulacja Pożyczka'!$C$20)/100)*(((Arkusz1!B141-DATE(YEAR(B141),1,1)+1)/366)+((DATE(YEAR(B140),12,31)-Arkusz1!B140)/365))),0))</f>
        <v>0</v>
      </c>
      <c r="H141">
        <f t="shared" ca="1" si="20"/>
        <v>0</v>
      </c>
      <c r="I141">
        <f t="shared" ca="1" si="21"/>
        <v>1.0063698630136986</v>
      </c>
      <c r="J141">
        <f t="shared" ca="1" si="22"/>
        <v>1.0063698630136986</v>
      </c>
      <c r="K141">
        <f ca="1">PRODUCT($J$3:J141)</f>
        <v>2.3707296759612118</v>
      </c>
      <c r="L141">
        <f t="shared" ca="1" si="23"/>
        <v>0.42181106101628829</v>
      </c>
      <c r="M141">
        <f ca="1">SUM($L$3:L141)</f>
        <v>92.974225302080242</v>
      </c>
      <c r="O141">
        <f ca="1">(Q140*'Arkusz1 (+5)'!J141)-Q140</f>
        <v>-1760.7781239701435</v>
      </c>
      <c r="P141" s="16">
        <f t="shared" ca="1" si="24"/>
        <v>16318.378848602701</v>
      </c>
      <c r="Q141" s="17">
        <f t="shared" ca="1" si="25"/>
        <v>-292741.6112138062</v>
      </c>
    </row>
    <row r="142" spans="1:17" x14ac:dyDescent="0.35">
      <c r="A142">
        <v>140</v>
      </c>
      <c r="B142" s="14">
        <f t="shared" ca="1" si="26"/>
        <v>50330</v>
      </c>
      <c r="C142" s="15">
        <f ca="1">(1+(('Symulacja Pożyczka'!$B$5+'Symulacja Pożyczka'!$C$20)/100)*('Arkusz1 (+5)'!B142-'Arkusz1 (+5)'!B141)/365)</f>
        <v>1.0061643835616438</v>
      </c>
      <c r="D142" s="15">
        <f ca="1">(1+(('Symulacja Pożyczka'!$B$5+'Symulacja Pożyczka'!$C$20)/100)*('Arkusz1 (+5)'!B142-'Arkusz1 (+5)'!B141)/366)</f>
        <v>1.0061475409836065</v>
      </c>
      <c r="E142" s="15">
        <f t="shared" ca="1" si="18"/>
        <v>0</v>
      </c>
      <c r="F142" s="15">
        <f t="shared" ca="1" si="19"/>
        <v>0</v>
      </c>
      <c r="G142">
        <f ca="1">IF(E142=1,(1+(('Symulacja Pożyczka'!$B$5+'Symulacja Pożyczka'!$C$20)/100)*(((Arkusz1!B142-DATE(YEAR(B142),1,1)+1)/365)+((DATE(YEAR(B141),12,31)-Arkusz1!B141)/366))),IF(F142=1,(1+(('Symulacja Pożyczka'!$B$5+'Symulacja Pożyczka'!$C$20)/100)*(((Arkusz1!B142-DATE(YEAR(B142),1,1)+1)/366)+((DATE(YEAR(B141),12,31)-Arkusz1!B141)/365))),0))</f>
        <v>0</v>
      </c>
      <c r="H142">
        <f t="shared" ca="1" si="20"/>
        <v>0</v>
      </c>
      <c r="I142">
        <f t="shared" ca="1" si="21"/>
        <v>1.0061643835616438</v>
      </c>
      <c r="J142">
        <f t="shared" ca="1" si="22"/>
        <v>1.0061643835616438</v>
      </c>
      <c r="K142">
        <f ca="1">PRODUCT($J$3:J142)</f>
        <v>2.3853437630048084</v>
      </c>
      <c r="L142">
        <f t="shared" ca="1" si="23"/>
        <v>0.41922678630618165</v>
      </c>
      <c r="M142">
        <f ca="1">SUM($L$3:L142)</f>
        <v>93.393452088386425</v>
      </c>
      <c r="O142">
        <f ca="1">(Q141*'Arkusz1 (+5)'!J142)-Q141</f>
        <v>-1804.5715759755112</v>
      </c>
      <c r="P142" s="16">
        <f t="shared" ca="1" si="24"/>
        <v>16362.172300608068</v>
      </c>
      <c r="Q142" s="17">
        <f t="shared" ca="1" si="25"/>
        <v>-309103.78351441427</v>
      </c>
    </row>
    <row r="143" spans="1:17" x14ac:dyDescent="0.35">
      <c r="A143">
        <v>141</v>
      </c>
      <c r="B143" s="14">
        <f t="shared" ca="1" si="26"/>
        <v>50361</v>
      </c>
      <c r="C143" s="15">
        <f ca="1">(1+(('Symulacja Pożyczka'!$B$5+'Symulacja Pożyczka'!$C$20)/100)*('Arkusz1 (+5)'!B143-'Arkusz1 (+5)'!B142)/365)</f>
        <v>1.0063698630136986</v>
      </c>
      <c r="D143" s="15">
        <f ca="1">(1+(('Symulacja Pożyczka'!$B$5+'Symulacja Pożyczka'!$C$20)/100)*('Arkusz1 (+5)'!B143-'Arkusz1 (+5)'!B142)/366)</f>
        <v>1.0063524590163935</v>
      </c>
      <c r="E143" s="15">
        <f t="shared" ca="1" si="18"/>
        <v>0</v>
      </c>
      <c r="F143" s="15">
        <f t="shared" ca="1" si="19"/>
        <v>0</v>
      </c>
      <c r="G143">
        <f ca="1">IF(E143=1,(1+(('Symulacja Pożyczka'!$B$5+'Symulacja Pożyczka'!$C$20)/100)*(((Arkusz1!B143-DATE(YEAR(B143),1,1)+1)/365)+((DATE(YEAR(B142),12,31)-Arkusz1!B142)/366))),IF(F143=1,(1+(('Symulacja Pożyczka'!$B$5+'Symulacja Pożyczka'!$C$20)/100)*(((Arkusz1!B143-DATE(YEAR(B143),1,1)+1)/366)+((DATE(YEAR(B142),12,31)-Arkusz1!B142)/365))),0))</f>
        <v>0</v>
      </c>
      <c r="H143">
        <f t="shared" ca="1" si="20"/>
        <v>0</v>
      </c>
      <c r="I143">
        <f t="shared" ca="1" si="21"/>
        <v>1.0063698630136986</v>
      </c>
      <c r="J143">
        <f t="shared" ca="1" si="22"/>
        <v>1.0063698630136986</v>
      </c>
      <c r="K143">
        <f ca="1">PRODUCT($J$3:J143)</f>
        <v>2.4005380760157293</v>
      </c>
      <c r="L143">
        <f t="shared" ca="1" si="23"/>
        <v>0.41657327163072566</v>
      </c>
      <c r="M143">
        <f ca="1">SUM($L$3:L143)</f>
        <v>93.81002536001715</v>
      </c>
      <c r="O143">
        <f ca="1">(Q142*'Arkusz1 (+5)'!J143)-Q142</f>
        <v>-1968.948758002778</v>
      </c>
      <c r="P143" s="16">
        <f t="shared" ca="1" si="24"/>
        <v>16526.549482635335</v>
      </c>
      <c r="Q143" s="17">
        <f t="shared" ca="1" si="25"/>
        <v>-325630.33299704961</v>
      </c>
    </row>
    <row r="144" spans="1:17" x14ac:dyDescent="0.35">
      <c r="A144">
        <v>142</v>
      </c>
      <c r="B144" s="14">
        <f t="shared" ca="1" si="26"/>
        <v>50391</v>
      </c>
      <c r="C144" s="15">
        <f ca="1">(1+(('Symulacja Pożyczka'!$B$5+'Symulacja Pożyczka'!$C$20)/100)*('Arkusz1 (+5)'!B144-'Arkusz1 (+5)'!B143)/365)</f>
        <v>1.0061643835616438</v>
      </c>
      <c r="D144" s="15">
        <f ca="1">(1+(('Symulacja Pożyczka'!$B$5+'Symulacja Pożyczka'!$C$20)/100)*('Arkusz1 (+5)'!B144-'Arkusz1 (+5)'!B143)/366)</f>
        <v>1.0061475409836065</v>
      </c>
      <c r="E144" s="15">
        <f t="shared" ca="1" si="18"/>
        <v>0</v>
      </c>
      <c r="F144" s="15">
        <f t="shared" ca="1" si="19"/>
        <v>0</v>
      </c>
      <c r="G144">
        <f ca="1">IF(E144=1,(1+(('Symulacja Pożyczka'!$B$5+'Symulacja Pożyczka'!$C$20)/100)*(((Arkusz1!B144-DATE(YEAR(B144),1,1)+1)/365)+((DATE(YEAR(B143),12,31)-Arkusz1!B143)/366))),IF(F144=1,(1+(('Symulacja Pożyczka'!$B$5+'Symulacja Pożyczka'!$C$20)/100)*(((Arkusz1!B144-DATE(YEAR(B144),1,1)+1)/366)+((DATE(YEAR(B143),12,31)-Arkusz1!B143)/365))),0))</f>
        <v>0</v>
      </c>
      <c r="H144">
        <f t="shared" ca="1" si="20"/>
        <v>0</v>
      </c>
      <c r="I144">
        <f t="shared" ca="1" si="21"/>
        <v>1.0061643835616438</v>
      </c>
      <c r="J144">
        <f t="shared" ca="1" si="22"/>
        <v>1.0061643835616438</v>
      </c>
      <c r="K144">
        <f ca="1">PRODUCT($J$3:J144)</f>
        <v>2.4153359134706207</v>
      </c>
      <c r="L144">
        <f t="shared" ca="1" si="23"/>
        <v>0.41402108684878114</v>
      </c>
      <c r="M144">
        <f ca="1">SUM($L$3:L144)</f>
        <v>94.224046446865927</v>
      </c>
      <c r="O144">
        <f ca="1">(Q143*'Arkusz1 (+5)'!J144)-Q143</f>
        <v>-2007.3102718996233</v>
      </c>
      <c r="P144" s="16">
        <f t="shared" ca="1" si="24"/>
        <v>16564.91099653218</v>
      </c>
      <c r="Q144" s="17">
        <f t="shared" ca="1" si="25"/>
        <v>-342195.2439935818</v>
      </c>
    </row>
    <row r="145" spans="1:17" x14ac:dyDescent="0.35">
      <c r="A145">
        <v>143</v>
      </c>
      <c r="B145" s="14">
        <f t="shared" ca="1" si="26"/>
        <v>50422</v>
      </c>
      <c r="C145" s="15">
        <f ca="1">(1+(('Symulacja Pożyczka'!$B$5+'Symulacja Pożyczka'!$C$20)/100)*('Arkusz1 (+5)'!B145-'Arkusz1 (+5)'!B144)/365)</f>
        <v>1.0063698630136986</v>
      </c>
      <c r="D145" s="15">
        <f ca="1">(1+(('Symulacja Pożyczka'!$B$5+'Symulacja Pożyczka'!$C$20)/100)*('Arkusz1 (+5)'!B145-'Arkusz1 (+5)'!B144)/366)</f>
        <v>1.0063524590163935</v>
      </c>
      <c r="E145" s="15">
        <f t="shared" ca="1" si="18"/>
        <v>0</v>
      </c>
      <c r="F145" s="15">
        <f t="shared" ca="1" si="19"/>
        <v>0</v>
      </c>
      <c r="G145">
        <f ca="1">IF(E145=1,(1+(('Symulacja Pożyczka'!$B$5+'Symulacja Pożyczka'!$C$20)/100)*(((Arkusz1!B145-DATE(YEAR(B145),1,1)+1)/365)+((DATE(YEAR(B144),12,31)-Arkusz1!B144)/366))),IF(F145=1,(1+(('Symulacja Pożyczka'!$B$5+'Symulacja Pożyczka'!$C$20)/100)*(((Arkusz1!B145-DATE(YEAR(B145),1,1)+1)/366)+((DATE(YEAR(B144),12,31)-Arkusz1!B144)/365))),0))</f>
        <v>0</v>
      </c>
      <c r="H145">
        <f t="shared" ca="1" si="20"/>
        <v>0</v>
      </c>
      <c r="I145">
        <f t="shared" ca="1" si="21"/>
        <v>1.0063698630136986</v>
      </c>
      <c r="J145">
        <f t="shared" ca="1" si="22"/>
        <v>1.0063698630136986</v>
      </c>
      <c r="K145">
        <f ca="1">PRODUCT($J$3:J145)</f>
        <v>2.4307212723714953</v>
      </c>
      <c r="L145">
        <f t="shared" ca="1" si="23"/>
        <v>0.41140052188063736</v>
      </c>
      <c r="M145">
        <f ca="1">SUM($L$3:L145)</f>
        <v>94.635446968746564</v>
      </c>
      <c r="O145">
        <f ca="1">(Q144*'Arkusz1 (+5)'!J145)-Q144</f>
        <v>-2179.7368281782838</v>
      </c>
      <c r="P145" s="16">
        <f t="shared" ca="1" si="24"/>
        <v>16737.337552810841</v>
      </c>
      <c r="Q145" s="17">
        <f t="shared" ca="1" si="25"/>
        <v>-358932.58154639264</v>
      </c>
    </row>
    <row r="146" spans="1:17" x14ac:dyDescent="0.35">
      <c r="A146">
        <v>144</v>
      </c>
      <c r="B146" s="14">
        <f t="shared" ca="1" si="26"/>
        <v>50453</v>
      </c>
      <c r="C146" s="15">
        <f ca="1">(1+(('Symulacja Pożyczka'!$B$5+'Symulacja Pożyczka'!$C$20)/100)*('Arkusz1 (+5)'!B146-'Arkusz1 (+5)'!B145)/365)</f>
        <v>1.0063698630136986</v>
      </c>
      <c r="D146" s="15">
        <f ca="1">(1+(('Symulacja Pożyczka'!$B$5+'Symulacja Pożyczka'!$C$20)/100)*('Arkusz1 (+5)'!B146-'Arkusz1 (+5)'!B145)/366)</f>
        <v>1.0063524590163935</v>
      </c>
      <c r="E146" s="15">
        <f t="shared" ca="1" si="18"/>
        <v>0</v>
      </c>
      <c r="F146" s="15">
        <f t="shared" ca="1" si="19"/>
        <v>0</v>
      </c>
      <c r="G146">
        <f ca="1">IF(E146=1,(1+(('Symulacja Pożyczka'!$B$5+'Symulacja Pożyczka'!$C$20)/100)*(((Arkusz1!B146-DATE(YEAR(B146),1,1)+1)/365)+((DATE(YEAR(B145),12,31)-Arkusz1!B145)/366))),IF(F146=1,(1+(('Symulacja Pożyczka'!$B$5+'Symulacja Pożyczka'!$C$20)/100)*(((Arkusz1!B146-DATE(YEAR(B146),1,1)+1)/366)+((DATE(YEAR(B145),12,31)-Arkusz1!B145)/365))),0))</f>
        <v>0</v>
      </c>
      <c r="H146">
        <f t="shared" ca="1" si="20"/>
        <v>0</v>
      </c>
      <c r="I146">
        <f t="shared" ca="1" si="21"/>
        <v>1.0063698630136986</v>
      </c>
      <c r="J146">
        <f t="shared" ca="1" si="22"/>
        <v>1.0063698630136986</v>
      </c>
      <c r="K146">
        <f ca="1">PRODUCT($J$3:J146)</f>
        <v>2.4462046339009849</v>
      </c>
      <c r="L146">
        <f t="shared" ca="1" si="23"/>
        <v>0.40879654389554926</v>
      </c>
      <c r="M146">
        <f ca="1">SUM($L$3:L146)</f>
        <v>95.044243512642112</v>
      </c>
      <c r="O146">
        <f ca="1">(Q145*'Arkusz1 (+5)'!J146)-Q145</f>
        <v>-2286.3513756036991</v>
      </c>
      <c r="P146" s="16">
        <f t="shared" ca="1" si="24"/>
        <v>16843.952100236256</v>
      </c>
      <c r="Q146" s="17">
        <f t="shared" ca="1" si="25"/>
        <v>-375776.5336466289</v>
      </c>
    </row>
    <row r="147" spans="1:17" x14ac:dyDescent="0.35">
      <c r="A147">
        <v>145</v>
      </c>
      <c r="B147" s="14">
        <f t="shared" ca="1" si="26"/>
        <v>50481</v>
      </c>
      <c r="C147" s="15">
        <f ca="1">(1+(('Symulacja Pożyczka'!$B$5+'Symulacja Pożyczka'!$C$20)/100)*('Arkusz1 (+5)'!B147-'Arkusz1 (+5)'!B146)/365)</f>
        <v>1.0057534246575341</v>
      </c>
      <c r="D147" s="15">
        <f ca="1">(1+(('Symulacja Pożyczka'!$B$5+'Symulacja Pożyczka'!$C$20)/100)*('Arkusz1 (+5)'!B147-'Arkusz1 (+5)'!B146)/366)</f>
        <v>1.0057377049180327</v>
      </c>
      <c r="E147" s="15">
        <f t="shared" ca="1" si="18"/>
        <v>0</v>
      </c>
      <c r="F147" s="15">
        <f t="shared" ca="1" si="19"/>
        <v>0</v>
      </c>
      <c r="G147">
        <f ca="1">IF(E147=1,(1+(('Symulacja Pożyczka'!$B$5+'Symulacja Pożyczka'!$C$20)/100)*(((Arkusz1!B147-DATE(YEAR(B147),1,1)+1)/365)+((DATE(YEAR(B146),12,31)-Arkusz1!B146)/366))),IF(F147=1,(1+(('Symulacja Pożyczka'!$B$5+'Symulacja Pożyczka'!$C$20)/100)*(((Arkusz1!B147-DATE(YEAR(B147),1,1)+1)/366)+((DATE(YEAR(B146),12,31)-Arkusz1!B146)/365))),0))</f>
        <v>0</v>
      </c>
      <c r="H147">
        <f t="shared" ca="1" si="20"/>
        <v>0</v>
      </c>
      <c r="I147">
        <f t="shared" ca="1" si="21"/>
        <v>1.0057534246575341</v>
      </c>
      <c r="J147">
        <f t="shared" ca="1" si="22"/>
        <v>1.0057534246575341</v>
      </c>
      <c r="K147">
        <f ca="1">PRODUCT($J$3:J147)</f>
        <v>2.460278687959045</v>
      </c>
      <c r="L147">
        <f t="shared" ca="1" si="23"/>
        <v>0.40645801831074774</v>
      </c>
      <c r="M147">
        <f ca="1">SUM($L$3:L147)</f>
        <v>95.450701530952855</v>
      </c>
      <c r="O147">
        <f ca="1">(Q146*'Arkusz1 (+5)'!J147)-Q146</f>
        <v>-2162.001974405197</v>
      </c>
      <c r="P147" s="16">
        <f t="shared" ca="1" si="24"/>
        <v>16719.602699037754</v>
      </c>
      <c r="Q147" s="17">
        <f t="shared" ca="1" si="25"/>
        <v>-392496.13634566666</v>
      </c>
    </row>
    <row r="148" spans="1:17" x14ac:dyDescent="0.35">
      <c r="A148">
        <v>146</v>
      </c>
      <c r="B148" s="14">
        <f t="shared" ca="1" si="26"/>
        <v>50512</v>
      </c>
      <c r="C148" s="15">
        <f ca="1">(1+(('Symulacja Pożyczka'!$B$5+'Symulacja Pożyczka'!$C$20)/100)*('Arkusz1 (+5)'!B148-'Arkusz1 (+5)'!B147)/365)</f>
        <v>1.0063698630136986</v>
      </c>
      <c r="D148" s="15">
        <f ca="1">(1+(('Symulacja Pożyczka'!$B$5+'Symulacja Pożyczka'!$C$20)/100)*('Arkusz1 (+5)'!B148-'Arkusz1 (+5)'!B147)/366)</f>
        <v>1.0063524590163935</v>
      </c>
      <c r="E148" s="15">
        <f t="shared" ca="1" si="18"/>
        <v>0</v>
      </c>
      <c r="F148" s="15">
        <f t="shared" ca="1" si="19"/>
        <v>0</v>
      </c>
      <c r="G148">
        <f ca="1">IF(E148=1,(1+(('Symulacja Pożyczka'!$B$5+'Symulacja Pożyczka'!$C$20)/100)*(((Arkusz1!B148-DATE(YEAR(B148),1,1)+1)/365)+((DATE(YEAR(B147),12,31)-Arkusz1!B147)/366))),IF(F148=1,(1+(('Symulacja Pożyczka'!$B$5+'Symulacja Pożyczka'!$C$20)/100)*(((Arkusz1!B148-DATE(YEAR(B148),1,1)+1)/366)+((DATE(YEAR(B147),12,31)-Arkusz1!B147)/365))),0))</f>
        <v>0</v>
      </c>
      <c r="H148">
        <f t="shared" ca="1" si="20"/>
        <v>0</v>
      </c>
      <c r="I148">
        <f t="shared" ca="1" si="21"/>
        <v>1.0063698630136986</v>
      </c>
      <c r="J148">
        <f t="shared" ca="1" si="22"/>
        <v>1.0063698630136986</v>
      </c>
      <c r="K148">
        <f ca="1">PRODUCT($J$3:J148)</f>
        <v>2.4759503261768661</v>
      </c>
      <c r="L148">
        <f t="shared" ca="1" si="23"/>
        <v>0.40388532412284206</v>
      </c>
      <c r="M148">
        <f ca="1">SUM($L$3:L148)</f>
        <v>95.854586855075695</v>
      </c>
      <c r="O148">
        <f ca="1">(Q147*'Arkusz1 (+5)'!J148)-Q147</f>
        <v>-2500.1466219278518</v>
      </c>
      <c r="P148" s="16">
        <f t="shared" ca="1" si="24"/>
        <v>17057.747346560409</v>
      </c>
      <c r="Q148" s="17">
        <f t="shared" ca="1" si="25"/>
        <v>-409553.88369222707</v>
      </c>
    </row>
    <row r="149" spans="1:17" x14ac:dyDescent="0.35">
      <c r="A149">
        <v>147</v>
      </c>
      <c r="B149" s="14">
        <f t="shared" ca="1" si="26"/>
        <v>50542</v>
      </c>
      <c r="C149" s="15">
        <f ca="1">(1+(('Symulacja Pożyczka'!$B$5+'Symulacja Pożyczka'!$C$20)/100)*('Arkusz1 (+5)'!B149-'Arkusz1 (+5)'!B148)/365)</f>
        <v>1.0061643835616438</v>
      </c>
      <c r="D149" s="15">
        <f ca="1">(1+(('Symulacja Pożyczka'!$B$5+'Symulacja Pożyczka'!$C$20)/100)*('Arkusz1 (+5)'!B149-'Arkusz1 (+5)'!B148)/366)</f>
        <v>1.0061475409836065</v>
      </c>
      <c r="E149" s="15">
        <f t="shared" ca="1" si="18"/>
        <v>0</v>
      </c>
      <c r="F149" s="15">
        <f t="shared" ca="1" si="19"/>
        <v>0</v>
      </c>
      <c r="G149">
        <f ca="1">IF(E149=1,(1+(('Symulacja Pożyczka'!$B$5+'Symulacja Pożyczka'!$C$20)/100)*(((Arkusz1!B149-DATE(YEAR(B149),1,1)+1)/365)+((DATE(YEAR(B148),12,31)-Arkusz1!B148)/366))),IF(F149=1,(1+(('Symulacja Pożyczka'!$B$5+'Symulacja Pożyczka'!$C$20)/100)*(((Arkusz1!B149-DATE(YEAR(B149),1,1)+1)/366)+((DATE(YEAR(B148),12,31)-Arkusz1!B148)/365))),0))</f>
        <v>0</v>
      </c>
      <c r="H149">
        <f t="shared" ca="1" si="20"/>
        <v>0</v>
      </c>
      <c r="I149">
        <f t="shared" ca="1" si="21"/>
        <v>1.0061643835616438</v>
      </c>
      <c r="J149">
        <f t="shared" ca="1" si="22"/>
        <v>1.0061643835616438</v>
      </c>
      <c r="K149">
        <f ca="1">PRODUCT($J$3:J149)</f>
        <v>2.4912130336669973</v>
      </c>
      <c r="L149">
        <f t="shared" ca="1" si="23"/>
        <v>0.40141087353257277</v>
      </c>
      <c r="M149">
        <f ca="1">SUM($L$3:L149)</f>
        <v>96.255997728608264</v>
      </c>
      <c r="O149">
        <f ca="1">(Q148*'Arkusz1 (+5)'!J149)-Q148</f>
        <v>-2524.6472282397444</v>
      </c>
      <c r="P149" s="16">
        <f t="shared" ca="1" si="24"/>
        <v>17082.247952872302</v>
      </c>
      <c r="Q149" s="17">
        <f t="shared" ca="1" si="25"/>
        <v>-426636.13164509938</v>
      </c>
    </row>
    <row r="150" spans="1:17" x14ac:dyDescent="0.35">
      <c r="A150">
        <v>148</v>
      </c>
      <c r="B150" s="14">
        <f t="shared" ca="1" si="26"/>
        <v>50573</v>
      </c>
      <c r="C150" s="15">
        <f ca="1">(1+(('Symulacja Pożyczka'!$B$5+'Symulacja Pożyczka'!$C$20)/100)*('Arkusz1 (+5)'!B150-'Arkusz1 (+5)'!B149)/365)</f>
        <v>1.0063698630136986</v>
      </c>
      <c r="D150" s="15">
        <f ca="1">(1+(('Symulacja Pożyczka'!$B$5+'Symulacja Pożyczka'!$C$20)/100)*('Arkusz1 (+5)'!B150-'Arkusz1 (+5)'!B149)/366)</f>
        <v>1.0063524590163935</v>
      </c>
      <c r="E150" s="15">
        <f t="shared" ca="1" si="18"/>
        <v>0</v>
      </c>
      <c r="F150" s="15">
        <f t="shared" ca="1" si="19"/>
        <v>0</v>
      </c>
      <c r="G150">
        <f ca="1">IF(E150=1,(1+(('Symulacja Pożyczka'!$B$5+'Symulacja Pożyczka'!$C$20)/100)*(((Arkusz1!B150-DATE(YEAR(B150),1,1)+1)/365)+((DATE(YEAR(B149),12,31)-Arkusz1!B149)/366))),IF(F150=1,(1+(('Symulacja Pożyczka'!$B$5+'Symulacja Pożyczka'!$C$20)/100)*(((Arkusz1!B150-DATE(YEAR(B150),1,1)+1)/366)+((DATE(YEAR(B149),12,31)-Arkusz1!B149)/365))),0))</f>
        <v>0</v>
      </c>
      <c r="H150">
        <f t="shared" ca="1" si="20"/>
        <v>0</v>
      </c>
      <c r="I150">
        <f t="shared" ca="1" si="21"/>
        <v>1.0063698630136986</v>
      </c>
      <c r="J150">
        <f t="shared" ca="1" si="22"/>
        <v>1.0063698630136986</v>
      </c>
      <c r="K150">
        <f ca="1">PRODUCT($J$3:J150)</f>
        <v>2.5070817194293964</v>
      </c>
      <c r="L150">
        <f t="shared" ca="1" si="23"/>
        <v>0.39887012547305267</v>
      </c>
      <c r="M150">
        <f ca="1">SUM($L$3:L150)</f>
        <v>96.654867854081317</v>
      </c>
      <c r="O150">
        <f ca="1">(Q149*'Arkusz1 (+5)'!J150)-Q149</f>
        <v>-2717.613715273561</v>
      </c>
      <c r="P150" s="16">
        <f t="shared" ca="1" si="24"/>
        <v>17275.214439906118</v>
      </c>
      <c r="Q150" s="17">
        <f t="shared" ca="1" si="25"/>
        <v>-443911.3460850055</v>
      </c>
    </row>
    <row r="151" spans="1:17" x14ac:dyDescent="0.35">
      <c r="A151">
        <v>149</v>
      </c>
      <c r="B151" s="14">
        <f t="shared" ca="1" si="26"/>
        <v>50603</v>
      </c>
      <c r="C151" s="15">
        <f ca="1">(1+(('Symulacja Pożyczka'!$B$5+'Symulacja Pożyczka'!$C$20)/100)*('Arkusz1 (+5)'!B151-'Arkusz1 (+5)'!B150)/365)</f>
        <v>1.0061643835616438</v>
      </c>
      <c r="D151" s="15">
        <f ca="1">(1+(('Symulacja Pożyczka'!$B$5+'Symulacja Pożyczka'!$C$20)/100)*('Arkusz1 (+5)'!B151-'Arkusz1 (+5)'!B150)/366)</f>
        <v>1.0061475409836065</v>
      </c>
      <c r="E151" s="15">
        <f t="shared" ca="1" si="18"/>
        <v>0</v>
      </c>
      <c r="F151" s="15">
        <f t="shared" ca="1" si="19"/>
        <v>0</v>
      </c>
      <c r="G151">
        <f ca="1">IF(E151=1,(1+(('Symulacja Pożyczka'!$B$5+'Symulacja Pożyczka'!$C$20)/100)*(((Arkusz1!B151-DATE(YEAR(B151),1,1)+1)/365)+((DATE(YEAR(B150),12,31)-Arkusz1!B150)/366))),IF(F151=1,(1+(('Symulacja Pożyczka'!$B$5+'Symulacja Pożyczka'!$C$20)/100)*(((Arkusz1!B151-DATE(YEAR(B151),1,1)+1)/366)+((DATE(YEAR(B150),12,31)-Arkusz1!B150)/365))),0))</f>
        <v>0</v>
      </c>
      <c r="H151">
        <f t="shared" ca="1" si="20"/>
        <v>0</v>
      </c>
      <c r="I151">
        <f t="shared" ca="1" si="21"/>
        <v>1.0061643835616438</v>
      </c>
      <c r="J151">
        <f t="shared" ca="1" si="22"/>
        <v>1.0061643835616438</v>
      </c>
      <c r="K151">
        <f ca="1">PRODUCT($J$3:J151)</f>
        <v>2.5225363327683445</v>
      </c>
      <c r="L151">
        <f t="shared" ca="1" si="23"/>
        <v>0.39642640108281618</v>
      </c>
      <c r="M151">
        <f ca="1">SUM($L$3:L151)</f>
        <v>97.051294255164137</v>
      </c>
      <c r="O151">
        <f ca="1">(Q150*'Arkusz1 (+5)'!J151)-Q150</f>
        <v>-2736.4398046336137</v>
      </c>
      <c r="P151" s="16">
        <f t="shared" ca="1" si="24"/>
        <v>17294.040529266171</v>
      </c>
      <c r="Q151" s="17">
        <f t="shared" ca="1" si="25"/>
        <v>-461205.38661427167</v>
      </c>
    </row>
    <row r="152" spans="1:17" x14ac:dyDescent="0.35">
      <c r="A152">
        <v>150</v>
      </c>
      <c r="B152" s="14">
        <f t="shared" ca="1" si="26"/>
        <v>50634</v>
      </c>
      <c r="C152" s="15">
        <f ca="1">(1+(('Symulacja Pożyczka'!$B$5+'Symulacja Pożyczka'!$C$20)/100)*('Arkusz1 (+5)'!B152-'Arkusz1 (+5)'!B151)/365)</f>
        <v>1.0063698630136986</v>
      </c>
      <c r="D152" s="15">
        <f ca="1">(1+(('Symulacja Pożyczka'!$B$5+'Symulacja Pożyczka'!$C$20)/100)*('Arkusz1 (+5)'!B152-'Arkusz1 (+5)'!B151)/366)</f>
        <v>1.0063524590163935</v>
      </c>
      <c r="E152" s="15">
        <f t="shared" ca="1" si="18"/>
        <v>0</v>
      </c>
      <c r="F152" s="15">
        <f t="shared" ca="1" si="19"/>
        <v>0</v>
      </c>
      <c r="G152">
        <f ca="1">IF(E152=1,(1+(('Symulacja Pożyczka'!$B$5+'Symulacja Pożyczka'!$C$20)/100)*(((Arkusz1!B152-DATE(YEAR(B152),1,1)+1)/365)+((DATE(YEAR(B151),12,31)-Arkusz1!B151)/366))),IF(F152=1,(1+(('Symulacja Pożyczka'!$B$5+'Symulacja Pożyczka'!$C$20)/100)*(((Arkusz1!B152-DATE(YEAR(B152),1,1)+1)/366)+((DATE(YEAR(B151),12,31)-Arkusz1!B151)/365))),0))</f>
        <v>0</v>
      </c>
      <c r="H152">
        <f t="shared" ca="1" si="20"/>
        <v>0</v>
      </c>
      <c r="I152">
        <f t="shared" ca="1" si="21"/>
        <v>1.0063698630136986</v>
      </c>
      <c r="J152">
        <f t="shared" ca="1" si="22"/>
        <v>1.0063698630136986</v>
      </c>
      <c r="K152">
        <f ca="1">PRODUCT($J$3:J152)</f>
        <v>2.5386045436551563</v>
      </c>
      <c r="L152">
        <f t="shared" ca="1" si="23"/>
        <v>0.39391720246437872</v>
      </c>
      <c r="M152">
        <f ca="1">SUM($L$3:L152)</f>
        <v>97.445211457628517</v>
      </c>
      <c r="O152">
        <f ca="1">(Q151*'Arkusz1 (+5)'!J152)-Q151</f>
        <v>-2937.8151339127799</v>
      </c>
      <c r="P152" s="16">
        <f t="shared" ca="1" si="24"/>
        <v>17495.415858545337</v>
      </c>
      <c r="Q152" s="17">
        <f t="shared" ca="1" si="25"/>
        <v>-478700.80247281701</v>
      </c>
    </row>
    <row r="153" spans="1:17" x14ac:dyDescent="0.35">
      <c r="A153">
        <v>151</v>
      </c>
      <c r="B153" s="14">
        <f t="shared" ca="1" si="26"/>
        <v>50665</v>
      </c>
      <c r="C153" s="15">
        <f ca="1">(1+(('Symulacja Pożyczka'!$B$5+'Symulacja Pożyczka'!$C$20)/100)*('Arkusz1 (+5)'!B153-'Arkusz1 (+5)'!B152)/365)</f>
        <v>1.0063698630136986</v>
      </c>
      <c r="D153" s="15">
        <f ca="1">(1+(('Symulacja Pożyczka'!$B$5+'Symulacja Pożyczka'!$C$20)/100)*('Arkusz1 (+5)'!B153-'Arkusz1 (+5)'!B152)/366)</f>
        <v>1.0063524590163935</v>
      </c>
      <c r="E153" s="15">
        <f t="shared" ca="1" si="18"/>
        <v>0</v>
      </c>
      <c r="F153" s="15">
        <f t="shared" ca="1" si="19"/>
        <v>0</v>
      </c>
      <c r="G153">
        <f ca="1">IF(E153=1,(1+(('Symulacja Pożyczka'!$B$5+'Symulacja Pożyczka'!$C$20)/100)*(((Arkusz1!B153-DATE(YEAR(B153),1,1)+1)/365)+((DATE(YEAR(B152),12,31)-Arkusz1!B152)/366))),IF(F153=1,(1+(('Symulacja Pożyczka'!$B$5+'Symulacja Pożyczka'!$C$20)/100)*(((Arkusz1!B153-DATE(YEAR(B153),1,1)+1)/366)+((DATE(YEAR(B152),12,31)-Arkusz1!B152)/365))),0))</f>
        <v>0</v>
      </c>
      <c r="H153">
        <f t="shared" ca="1" si="20"/>
        <v>0</v>
      </c>
      <c r="I153">
        <f t="shared" ca="1" si="21"/>
        <v>1.0063698630136986</v>
      </c>
      <c r="J153">
        <f t="shared" ca="1" si="22"/>
        <v>1.0063698630136986</v>
      </c>
      <c r="K153">
        <f ca="1">PRODUCT($J$3:J153)</f>
        <v>2.5547751068441924</v>
      </c>
      <c r="L153">
        <f t="shared" ca="1" si="23"/>
        <v>0.39142388593071054</v>
      </c>
      <c r="M153">
        <f ca="1">SUM($L$3:L153)</f>
        <v>97.836635343559223</v>
      </c>
      <c r="O153">
        <f ca="1">(Q152*'Arkusz1 (+5)'!J153)-Q152</f>
        <v>-3049.2585362993996</v>
      </c>
      <c r="P153" s="16">
        <f t="shared" ca="1" si="24"/>
        <v>17606.859260931957</v>
      </c>
      <c r="Q153" s="17">
        <f t="shared" ca="1" si="25"/>
        <v>-496307.66173374897</v>
      </c>
    </row>
    <row r="154" spans="1:17" x14ac:dyDescent="0.35">
      <c r="A154">
        <v>152</v>
      </c>
      <c r="B154" s="14">
        <f t="shared" ca="1" si="26"/>
        <v>50695</v>
      </c>
      <c r="C154" s="15">
        <f ca="1">(1+(('Symulacja Pożyczka'!$B$5+'Symulacja Pożyczka'!$C$20)/100)*('Arkusz1 (+5)'!B154-'Arkusz1 (+5)'!B153)/365)</f>
        <v>1.0061643835616438</v>
      </c>
      <c r="D154" s="15">
        <f ca="1">(1+(('Symulacja Pożyczka'!$B$5+'Symulacja Pożyczka'!$C$20)/100)*('Arkusz1 (+5)'!B154-'Arkusz1 (+5)'!B153)/366)</f>
        <v>1.0061475409836065</v>
      </c>
      <c r="E154" s="15">
        <f t="shared" ca="1" si="18"/>
        <v>0</v>
      </c>
      <c r="F154" s="15">
        <f t="shared" ca="1" si="19"/>
        <v>0</v>
      </c>
      <c r="G154">
        <f ca="1">IF(E154=1,(1+(('Symulacja Pożyczka'!$B$5+'Symulacja Pożyczka'!$C$20)/100)*(((Arkusz1!B154-DATE(YEAR(B154),1,1)+1)/365)+((DATE(YEAR(B153),12,31)-Arkusz1!B153)/366))),IF(F154=1,(1+(('Symulacja Pożyczka'!$B$5+'Symulacja Pożyczka'!$C$20)/100)*(((Arkusz1!B154-DATE(YEAR(B154),1,1)+1)/366)+((DATE(YEAR(B153),12,31)-Arkusz1!B153)/365))),0))</f>
        <v>0</v>
      </c>
      <c r="H154">
        <f t="shared" ca="1" si="20"/>
        <v>0</v>
      </c>
      <c r="I154">
        <f t="shared" ca="1" si="21"/>
        <v>1.0061643835616438</v>
      </c>
      <c r="J154">
        <f t="shared" ca="1" si="22"/>
        <v>1.0061643835616438</v>
      </c>
      <c r="K154">
        <f ca="1">PRODUCT($J$3:J154)</f>
        <v>2.5705237205165195</v>
      </c>
      <c r="L154">
        <f t="shared" ca="1" si="23"/>
        <v>0.3890257817963495</v>
      </c>
      <c r="M154">
        <f ca="1">SUM($L$3:L154)</f>
        <v>98.225661125355572</v>
      </c>
      <c r="O154">
        <f ca="1">(Q153*'Arkusz1 (+5)'!J154)-Q153</f>
        <v>-3059.4307915093959</v>
      </c>
      <c r="P154" s="16">
        <f t="shared" ca="1" si="24"/>
        <v>17617.031516141953</v>
      </c>
      <c r="Q154" s="17">
        <f t="shared" ca="1" si="25"/>
        <v>-513924.69324989093</v>
      </c>
    </row>
    <row r="155" spans="1:17" x14ac:dyDescent="0.35">
      <c r="A155">
        <v>153</v>
      </c>
      <c r="B155" s="14">
        <f t="shared" ca="1" si="26"/>
        <v>50726</v>
      </c>
      <c r="C155" s="15">
        <f ca="1">(1+(('Symulacja Pożyczka'!$B$5+'Symulacja Pożyczka'!$C$20)/100)*('Arkusz1 (+5)'!B155-'Arkusz1 (+5)'!B154)/365)</f>
        <v>1.0063698630136986</v>
      </c>
      <c r="D155" s="15">
        <f ca="1">(1+(('Symulacja Pożyczka'!$B$5+'Symulacja Pożyczka'!$C$20)/100)*('Arkusz1 (+5)'!B155-'Arkusz1 (+5)'!B154)/366)</f>
        <v>1.0063524590163935</v>
      </c>
      <c r="E155" s="15">
        <f t="shared" ca="1" si="18"/>
        <v>0</v>
      </c>
      <c r="F155" s="15">
        <f t="shared" ca="1" si="19"/>
        <v>0</v>
      </c>
      <c r="G155">
        <f ca="1">IF(E155=1,(1+(('Symulacja Pożyczka'!$B$5+'Symulacja Pożyczka'!$C$20)/100)*(((Arkusz1!B155-DATE(YEAR(B155),1,1)+1)/365)+((DATE(YEAR(B154),12,31)-Arkusz1!B154)/366))),IF(F155=1,(1+(('Symulacja Pożyczka'!$B$5+'Symulacja Pożyczka'!$C$20)/100)*(((Arkusz1!B155-DATE(YEAR(B155),1,1)+1)/366)+((DATE(YEAR(B154),12,31)-Arkusz1!B154)/365))),0))</f>
        <v>0</v>
      </c>
      <c r="H155">
        <f t="shared" ca="1" si="20"/>
        <v>0</v>
      </c>
      <c r="I155">
        <f t="shared" ca="1" si="21"/>
        <v>1.0063698630136986</v>
      </c>
      <c r="J155">
        <f t="shared" ca="1" si="22"/>
        <v>1.0063698630136986</v>
      </c>
      <c r="K155">
        <f ca="1">PRODUCT($J$3:J155)</f>
        <v>2.5868976044896725</v>
      </c>
      <c r="L155">
        <f t="shared" ca="1" si="23"/>
        <v>0.38656342572835384</v>
      </c>
      <c r="M155">
        <f ca="1">SUM($L$3:L155)</f>
        <v>98.612224551083926</v>
      </c>
      <c r="O155">
        <f ca="1">(Q154*'Arkusz1 (+5)'!J155)-Q154</f>
        <v>-3273.6298953588703</v>
      </c>
      <c r="P155" s="16">
        <f t="shared" ca="1" si="24"/>
        <v>17831.230619991427</v>
      </c>
      <c r="Q155" s="17">
        <f t="shared" ca="1" si="25"/>
        <v>-531755.92386988236</v>
      </c>
    </row>
    <row r="156" spans="1:17" x14ac:dyDescent="0.35">
      <c r="A156">
        <v>154</v>
      </c>
      <c r="B156" s="14">
        <f t="shared" ca="1" si="26"/>
        <v>50756</v>
      </c>
      <c r="C156" s="15">
        <f ca="1">(1+(('Symulacja Pożyczka'!$B$5+'Symulacja Pożyczka'!$C$20)/100)*('Arkusz1 (+5)'!B156-'Arkusz1 (+5)'!B155)/365)</f>
        <v>1.0061643835616438</v>
      </c>
      <c r="D156" s="15">
        <f ca="1">(1+(('Symulacja Pożyczka'!$B$5+'Symulacja Pożyczka'!$C$20)/100)*('Arkusz1 (+5)'!B156-'Arkusz1 (+5)'!B155)/366)</f>
        <v>1.0061475409836065</v>
      </c>
      <c r="E156" s="15">
        <f t="shared" ca="1" si="18"/>
        <v>0</v>
      </c>
      <c r="F156" s="15">
        <f t="shared" ca="1" si="19"/>
        <v>0</v>
      </c>
      <c r="G156">
        <f ca="1">IF(E156=1,(1+(('Symulacja Pożyczka'!$B$5+'Symulacja Pożyczka'!$C$20)/100)*(((Arkusz1!B156-DATE(YEAR(B156),1,1)+1)/365)+((DATE(YEAR(B155),12,31)-Arkusz1!B155)/366))),IF(F156=1,(1+(('Symulacja Pożyczka'!$B$5+'Symulacja Pożyczka'!$C$20)/100)*(((Arkusz1!B156-DATE(YEAR(B156),1,1)+1)/366)+((DATE(YEAR(B155),12,31)-Arkusz1!B155)/365))),0))</f>
        <v>0</v>
      </c>
      <c r="H156">
        <f t="shared" ca="1" si="20"/>
        <v>0</v>
      </c>
      <c r="I156">
        <f t="shared" ca="1" si="21"/>
        <v>1.0061643835616438</v>
      </c>
      <c r="J156">
        <f t="shared" ca="1" si="22"/>
        <v>1.0061643835616438</v>
      </c>
      <c r="K156">
        <f ca="1">PRODUCT($J$3:J156)</f>
        <v>2.6028442335584443</v>
      </c>
      <c r="L156">
        <f t="shared" ca="1" si="23"/>
        <v>0.38419509977086225</v>
      </c>
      <c r="M156">
        <f ca="1">SUM($L$3:L156)</f>
        <v>98.99641965085479</v>
      </c>
      <c r="O156">
        <f ca="1">(Q155*'Arkusz1 (+5)'!J156)-Q155</f>
        <v>-3277.9474759101868</v>
      </c>
      <c r="P156" s="16">
        <f t="shared" ca="1" si="24"/>
        <v>17835.548200542744</v>
      </c>
      <c r="Q156" s="17">
        <f t="shared" ca="1" si="25"/>
        <v>-549591.47207042505</v>
      </c>
    </row>
    <row r="157" spans="1:17" x14ac:dyDescent="0.35">
      <c r="A157">
        <v>155</v>
      </c>
      <c r="B157" s="14">
        <f t="shared" ca="1" si="26"/>
        <v>50787</v>
      </c>
      <c r="C157" s="15">
        <f ca="1">(1+(('Symulacja Pożyczka'!$B$5+'Symulacja Pożyczka'!$C$20)/100)*('Arkusz1 (+5)'!B157-'Arkusz1 (+5)'!B156)/365)</f>
        <v>1.0063698630136986</v>
      </c>
      <c r="D157" s="15">
        <f ca="1">(1+(('Symulacja Pożyczka'!$B$5+'Symulacja Pożyczka'!$C$20)/100)*('Arkusz1 (+5)'!B157-'Arkusz1 (+5)'!B156)/366)</f>
        <v>1.0063524590163935</v>
      </c>
      <c r="E157" s="15">
        <f t="shared" ca="1" si="18"/>
        <v>0</v>
      </c>
      <c r="F157" s="15">
        <f t="shared" ca="1" si="19"/>
        <v>0</v>
      </c>
      <c r="G157">
        <f ca="1">IF(E157=1,(1+(('Symulacja Pożyczka'!$B$5+'Symulacja Pożyczka'!$C$20)/100)*(((Arkusz1!B157-DATE(YEAR(B157),1,1)+1)/365)+((DATE(YEAR(B156),12,31)-Arkusz1!B156)/366))),IF(F157=1,(1+(('Symulacja Pożyczka'!$B$5+'Symulacja Pożyczka'!$C$20)/100)*(((Arkusz1!B157-DATE(YEAR(B157),1,1)+1)/366)+((DATE(YEAR(B156),12,31)-Arkusz1!B156)/365))),0))</f>
        <v>0</v>
      </c>
      <c r="H157">
        <f t="shared" ca="1" si="20"/>
        <v>0</v>
      </c>
      <c r="I157">
        <f t="shared" ca="1" si="21"/>
        <v>1.0063698630136986</v>
      </c>
      <c r="J157">
        <f t="shared" ca="1" si="22"/>
        <v>1.0063698630136986</v>
      </c>
      <c r="K157">
        <f ca="1">PRODUCT($J$3:J157)</f>
        <v>2.6194239947722067</v>
      </c>
      <c r="L157">
        <f t="shared" ca="1" si="23"/>
        <v>0.3817633197205873</v>
      </c>
      <c r="M157">
        <f ca="1">SUM($L$3:L157)</f>
        <v>99.378182970575381</v>
      </c>
      <c r="O157">
        <f ca="1">(Q156*'Arkusz1 (+5)'!J157)-Q156</f>
        <v>-3500.8223905855557</v>
      </c>
      <c r="P157" s="16">
        <f t="shared" ca="1" si="24"/>
        <v>18058.423115218113</v>
      </c>
      <c r="Q157" s="17">
        <f t="shared" ca="1" si="25"/>
        <v>-567649.89518564311</v>
      </c>
    </row>
    <row r="158" spans="1:17" x14ac:dyDescent="0.35">
      <c r="A158">
        <v>156</v>
      </c>
      <c r="B158" s="14">
        <f t="shared" ca="1" si="26"/>
        <v>50818</v>
      </c>
      <c r="C158" s="15">
        <f ca="1">(1+(('Symulacja Pożyczka'!$B$5+'Symulacja Pożyczka'!$C$20)/100)*('Arkusz1 (+5)'!B158-'Arkusz1 (+5)'!B157)/365)</f>
        <v>1.0063698630136986</v>
      </c>
      <c r="D158" s="15">
        <f ca="1">(1+(('Symulacja Pożyczka'!$B$5+'Symulacja Pożyczka'!$C$20)/100)*('Arkusz1 (+5)'!B158-'Arkusz1 (+5)'!B157)/366)</f>
        <v>1.0063524590163935</v>
      </c>
      <c r="E158" s="15">
        <f t="shared" ca="1" si="18"/>
        <v>0</v>
      </c>
      <c r="F158" s="15">
        <f t="shared" ca="1" si="19"/>
        <v>0</v>
      </c>
      <c r="G158">
        <f ca="1">IF(E158=1,(1+(('Symulacja Pożyczka'!$B$5+'Symulacja Pożyczka'!$C$20)/100)*(((Arkusz1!B158-DATE(YEAR(B158),1,1)+1)/365)+((DATE(YEAR(B157),12,31)-Arkusz1!B157)/366))),IF(F158=1,(1+(('Symulacja Pożyczka'!$B$5+'Symulacja Pożyczka'!$C$20)/100)*(((Arkusz1!B158-DATE(YEAR(B158),1,1)+1)/366)+((DATE(YEAR(B157),12,31)-Arkusz1!B157)/365))),0))</f>
        <v>0</v>
      </c>
      <c r="H158">
        <f t="shared" ca="1" si="20"/>
        <v>0</v>
      </c>
      <c r="I158">
        <f t="shared" ca="1" si="21"/>
        <v>1.0063698630136986</v>
      </c>
      <c r="J158">
        <f t="shared" ca="1" si="22"/>
        <v>1.0063698630136986</v>
      </c>
      <c r="K158">
        <f ca="1">PRODUCT($J$3:J158)</f>
        <v>2.6361093667937006</v>
      </c>
      <c r="L158">
        <f t="shared" ca="1" si="23"/>
        <v>0.37934693173079531</v>
      </c>
      <c r="M158">
        <f ca="1">SUM($L$3:L158)</f>
        <v>99.757529902306175</v>
      </c>
      <c r="O158">
        <f ca="1">(Q157*'Arkusz1 (+5)'!J158)-Q157</f>
        <v>-3615.8520720729139</v>
      </c>
      <c r="P158" s="16">
        <f t="shared" ca="1" si="24"/>
        <v>18173.452796705471</v>
      </c>
      <c r="Q158" s="17">
        <f t="shared" ca="1" si="25"/>
        <v>-585823.34798234852</v>
      </c>
    </row>
    <row r="159" spans="1:17" x14ac:dyDescent="0.35">
      <c r="A159">
        <v>157</v>
      </c>
      <c r="B159" s="14">
        <f t="shared" ca="1" si="26"/>
        <v>50846</v>
      </c>
      <c r="C159" s="15">
        <f ca="1">(1+(('Symulacja Pożyczka'!$B$5+'Symulacja Pożyczka'!$C$20)/100)*('Arkusz1 (+5)'!B159-'Arkusz1 (+5)'!B158)/365)</f>
        <v>1.0057534246575341</v>
      </c>
      <c r="D159" s="15">
        <f ca="1">(1+(('Symulacja Pożyczka'!$B$5+'Symulacja Pożyczka'!$C$20)/100)*('Arkusz1 (+5)'!B159-'Arkusz1 (+5)'!B158)/366)</f>
        <v>1.0057377049180327</v>
      </c>
      <c r="E159" s="15">
        <f t="shared" ca="1" si="18"/>
        <v>0</v>
      </c>
      <c r="F159" s="15">
        <f t="shared" ca="1" si="19"/>
        <v>0</v>
      </c>
      <c r="G159">
        <f ca="1">IF(E159=1,(1+(('Symulacja Pożyczka'!$B$5+'Symulacja Pożyczka'!$C$20)/100)*(((Arkusz1!B159-DATE(YEAR(B159),1,1)+1)/365)+((DATE(YEAR(B158),12,31)-Arkusz1!B158)/366))),IF(F159=1,(1+(('Symulacja Pożyczka'!$B$5+'Symulacja Pożyczka'!$C$20)/100)*(((Arkusz1!B159-DATE(YEAR(B159),1,1)+1)/366)+((DATE(YEAR(B158),12,31)-Arkusz1!B158)/365))),0))</f>
        <v>0</v>
      </c>
      <c r="H159">
        <f t="shared" ca="1" si="20"/>
        <v>0</v>
      </c>
      <c r="I159">
        <f t="shared" ca="1" si="21"/>
        <v>1.0057534246575341</v>
      </c>
      <c r="J159">
        <f t="shared" ca="1" si="22"/>
        <v>1.0057534246575341</v>
      </c>
      <c r="K159">
        <f ca="1">PRODUCT($J$3:J159)</f>
        <v>2.6512760234245683</v>
      </c>
      <c r="L159">
        <f t="shared" ca="1" si="23"/>
        <v>0.37717687300937158</v>
      </c>
      <c r="M159">
        <f ca="1">SUM($L$3:L159)</f>
        <v>100.13470677531555</v>
      </c>
      <c r="O159">
        <f ca="1">(Q158*'Arkusz1 (+5)'!J159)-Q158</f>
        <v>-3370.4904952408979</v>
      </c>
      <c r="P159" s="16">
        <f t="shared" ca="1" si="24"/>
        <v>17928.091219873455</v>
      </c>
      <c r="Q159" s="17">
        <f t="shared" ca="1" si="25"/>
        <v>-603751.43920222193</v>
      </c>
    </row>
    <row r="160" spans="1:17" x14ac:dyDescent="0.35">
      <c r="A160">
        <v>158</v>
      </c>
      <c r="B160" s="14">
        <f t="shared" ca="1" si="26"/>
        <v>50877</v>
      </c>
      <c r="C160" s="15">
        <f ca="1">(1+(('Symulacja Pożyczka'!$B$5+'Symulacja Pożyczka'!$C$20)/100)*('Arkusz1 (+5)'!B160-'Arkusz1 (+5)'!B159)/365)</f>
        <v>1.0063698630136986</v>
      </c>
      <c r="D160" s="15">
        <f ca="1">(1+(('Symulacja Pożyczka'!$B$5+'Symulacja Pożyczka'!$C$20)/100)*('Arkusz1 (+5)'!B160-'Arkusz1 (+5)'!B159)/366)</f>
        <v>1.0063524590163935</v>
      </c>
      <c r="E160" s="15">
        <f t="shared" ca="1" si="18"/>
        <v>0</v>
      </c>
      <c r="F160" s="15">
        <f t="shared" ca="1" si="19"/>
        <v>0</v>
      </c>
      <c r="G160">
        <f ca="1">IF(E160=1,(1+(('Symulacja Pożyczka'!$B$5+'Symulacja Pożyczka'!$C$20)/100)*(((Arkusz1!B160-DATE(YEAR(B160),1,1)+1)/365)+((DATE(YEAR(B159),12,31)-Arkusz1!B159)/366))),IF(F160=1,(1+(('Symulacja Pożyczka'!$B$5+'Symulacja Pożyczka'!$C$20)/100)*(((Arkusz1!B160-DATE(YEAR(B160),1,1)+1)/366)+((DATE(YEAR(B159),12,31)-Arkusz1!B159)/365))),0))</f>
        <v>0</v>
      </c>
      <c r="H160">
        <f t="shared" ca="1" si="20"/>
        <v>0</v>
      </c>
      <c r="I160">
        <f t="shared" ca="1" si="21"/>
        <v>1.0063698630136986</v>
      </c>
      <c r="J160">
        <f t="shared" ca="1" si="22"/>
        <v>1.0063698630136986</v>
      </c>
      <c r="K160">
        <f ca="1">PRODUCT($J$3:J160)</f>
        <v>2.6681642885052863</v>
      </c>
      <c r="L160">
        <f t="shared" ca="1" si="23"/>
        <v>0.37478951513896586</v>
      </c>
      <c r="M160">
        <f ca="1">SUM($L$3:L160)</f>
        <v>100.50949629045452</v>
      </c>
      <c r="O160">
        <f ca="1">(Q159*'Arkusz1 (+5)'!J160)-Q159</f>
        <v>-3845.8139620415168</v>
      </c>
      <c r="P160" s="16">
        <f t="shared" ca="1" si="24"/>
        <v>18403.414686674074</v>
      </c>
      <c r="Q160" s="17">
        <f t="shared" ca="1" si="25"/>
        <v>-622154.85388889594</v>
      </c>
    </row>
    <row r="161" spans="1:17" x14ac:dyDescent="0.35">
      <c r="A161">
        <v>159</v>
      </c>
      <c r="B161" s="14">
        <f t="shared" ca="1" si="26"/>
        <v>50907</v>
      </c>
      <c r="C161" s="15">
        <f ca="1">(1+(('Symulacja Pożyczka'!$B$5+'Symulacja Pożyczka'!$C$20)/100)*('Arkusz1 (+5)'!B161-'Arkusz1 (+5)'!B160)/365)</f>
        <v>1.0061643835616438</v>
      </c>
      <c r="D161" s="15">
        <f ca="1">(1+(('Symulacja Pożyczka'!$B$5+'Symulacja Pożyczka'!$C$20)/100)*('Arkusz1 (+5)'!B161-'Arkusz1 (+5)'!B160)/366)</f>
        <v>1.0061475409836065</v>
      </c>
      <c r="E161" s="15">
        <f t="shared" ca="1" si="18"/>
        <v>0</v>
      </c>
      <c r="F161" s="15">
        <f t="shared" ca="1" si="19"/>
        <v>0</v>
      </c>
      <c r="G161">
        <f ca="1">IF(E161=1,(1+(('Symulacja Pożyczka'!$B$5+'Symulacja Pożyczka'!$C$20)/100)*(((Arkusz1!B161-DATE(YEAR(B161),1,1)+1)/365)+((DATE(YEAR(B160),12,31)-Arkusz1!B160)/366))),IF(F161=1,(1+(('Symulacja Pożyczka'!$B$5+'Symulacja Pożyczka'!$C$20)/100)*(((Arkusz1!B161-DATE(YEAR(B161),1,1)+1)/366)+((DATE(YEAR(B160),12,31)-Arkusz1!B160)/365))),0))</f>
        <v>0</v>
      </c>
      <c r="H161">
        <f t="shared" ca="1" si="20"/>
        <v>0</v>
      </c>
      <c r="I161">
        <f t="shared" ca="1" si="21"/>
        <v>1.0061643835616438</v>
      </c>
      <c r="J161">
        <f t="shared" ca="1" si="22"/>
        <v>1.0061643835616438</v>
      </c>
      <c r="K161">
        <f ca="1">PRODUCT($J$3:J161)</f>
        <v>2.6846118765851132</v>
      </c>
      <c r="L161">
        <f t="shared" ca="1" si="23"/>
        <v>0.37249332341925812</v>
      </c>
      <c r="M161">
        <f ca="1">SUM($L$3:L161)</f>
        <v>100.88198961387378</v>
      </c>
      <c r="O161">
        <f ca="1">(Q160*'Arkusz1 (+5)'!J161)-Q160</f>
        <v>-3835.2011541096726</v>
      </c>
      <c r="P161" s="16">
        <f t="shared" ca="1" si="24"/>
        <v>18392.80187874223</v>
      </c>
      <c r="Q161" s="17">
        <f t="shared" ca="1" si="25"/>
        <v>-640547.65576763812</v>
      </c>
    </row>
    <row r="162" spans="1:17" x14ac:dyDescent="0.35">
      <c r="A162">
        <v>160</v>
      </c>
      <c r="B162" s="14">
        <f t="shared" ca="1" si="26"/>
        <v>50938</v>
      </c>
      <c r="C162" s="15">
        <f ca="1">(1+(('Symulacja Pożyczka'!$B$5+'Symulacja Pożyczka'!$C$20)/100)*('Arkusz1 (+5)'!B162-'Arkusz1 (+5)'!B161)/365)</f>
        <v>1.0063698630136986</v>
      </c>
      <c r="D162" s="15">
        <f ca="1">(1+(('Symulacja Pożyczka'!$B$5+'Symulacja Pożyczka'!$C$20)/100)*('Arkusz1 (+5)'!B162-'Arkusz1 (+5)'!B161)/366)</f>
        <v>1.0063524590163935</v>
      </c>
      <c r="E162" s="15">
        <f t="shared" ca="1" si="18"/>
        <v>0</v>
      </c>
      <c r="F162" s="15">
        <f t="shared" ca="1" si="19"/>
        <v>0</v>
      </c>
      <c r="G162">
        <f ca="1">IF(E162=1,(1+(('Symulacja Pożyczka'!$B$5+'Symulacja Pożyczka'!$C$20)/100)*(((Arkusz1!B162-DATE(YEAR(B162),1,1)+1)/365)+((DATE(YEAR(B161),12,31)-Arkusz1!B161)/366))),IF(F162=1,(1+(('Symulacja Pożyczka'!$B$5+'Symulacja Pożyczka'!$C$20)/100)*(((Arkusz1!B162-DATE(YEAR(B162),1,1)+1)/366)+((DATE(YEAR(B161),12,31)-Arkusz1!B161)/365))),0))</f>
        <v>0</v>
      </c>
      <c r="H162">
        <f t="shared" ca="1" si="20"/>
        <v>0</v>
      </c>
      <c r="I162">
        <f t="shared" ca="1" si="21"/>
        <v>1.0063698630136986</v>
      </c>
      <c r="J162">
        <f t="shared" ca="1" si="22"/>
        <v>1.0063698630136986</v>
      </c>
      <c r="K162">
        <f ca="1">PRODUCT($J$3:J162)</f>
        <v>2.7017124864839088</v>
      </c>
      <c r="L162">
        <f t="shared" ca="1" si="23"/>
        <v>0.37013561028524933</v>
      </c>
      <c r="M162">
        <f ca="1">SUM($L$3:L162)</f>
        <v>101.25212522415903</v>
      </c>
      <c r="O162">
        <f ca="1">(Q161*'Arkusz1 (+5)'!J162)-Q161</f>
        <v>-4080.2008209855994</v>
      </c>
      <c r="P162" s="16">
        <f t="shared" ca="1" si="24"/>
        <v>18637.801545618157</v>
      </c>
      <c r="Q162" s="17">
        <f t="shared" ca="1" si="25"/>
        <v>-659185.45731325622</v>
      </c>
    </row>
    <row r="163" spans="1:17" x14ac:dyDescent="0.35">
      <c r="A163">
        <v>161</v>
      </c>
      <c r="B163" s="14">
        <f t="shared" ca="1" si="26"/>
        <v>50968</v>
      </c>
      <c r="C163" s="15">
        <f ca="1">(1+(('Symulacja Pożyczka'!$B$5+'Symulacja Pożyczka'!$C$20)/100)*('Arkusz1 (+5)'!B163-'Arkusz1 (+5)'!B162)/365)</f>
        <v>1.0061643835616438</v>
      </c>
      <c r="D163" s="15">
        <f ca="1">(1+(('Symulacja Pożyczka'!$B$5+'Symulacja Pożyczka'!$C$20)/100)*('Arkusz1 (+5)'!B163-'Arkusz1 (+5)'!B162)/366)</f>
        <v>1.0061475409836065</v>
      </c>
      <c r="E163" s="15">
        <f t="shared" ca="1" si="18"/>
        <v>0</v>
      </c>
      <c r="F163" s="15">
        <f t="shared" ca="1" si="19"/>
        <v>0</v>
      </c>
      <c r="G163">
        <f ca="1">IF(E163=1,(1+(('Symulacja Pożyczka'!$B$5+'Symulacja Pożyczka'!$C$20)/100)*(((Arkusz1!B163-DATE(YEAR(B163),1,1)+1)/365)+((DATE(YEAR(B162),12,31)-Arkusz1!B162)/366))),IF(F163=1,(1+(('Symulacja Pożyczka'!$B$5+'Symulacja Pożyczka'!$C$20)/100)*(((Arkusz1!B163-DATE(YEAR(B163),1,1)+1)/366)+((DATE(YEAR(B162),12,31)-Arkusz1!B162)/365))),0))</f>
        <v>0</v>
      </c>
      <c r="H163">
        <f t="shared" ca="1" si="20"/>
        <v>0</v>
      </c>
      <c r="I163">
        <f t="shared" ca="1" si="21"/>
        <v>1.0061643835616438</v>
      </c>
      <c r="J163">
        <f t="shared" ca="1" si="22"/>
        <v>1.0061643835616438</v>
      </c>
      <c r="K163">
        <f ca="1">PRODUCT($J$3:J163)</f>
        <v>2.7183668785238781</v>
      </c>
      <c r="L163">
        <f t="shared" ca="1" si="23"/>
        <v>0.36786793125695305</v>
      </c>
      <c r="M163">
        <f ca="1">SUM($L$3:L163)</f>
        <v>101.61999315541598</v>
      </c>
      <c r="O163">
        <f ca="1">(Q162*'Arkusz1 (+5)'!J163)-Q162</f>
        <v>-4063.471997136483</v>
      </c>
      <c r="P163" s="16">
        <f t="shared" ca="1" si="24"/>
        <v>18621.07272176904</v>
      </c>
      <c r="Q163" s="17">
        <f t="shared" ca="1" si="25"/>
        <v>-677806.53003502521</v>
      </c>
    </row>
    <row r="164" spans="1:17" x14ac:dyDescent="0.35">
      <c r="A164">
        <v>162</v>
      </c>
      <c r="B164" s="14">
        <f t="shared" ca="1" si="26"/>
        <v>50999</v>
      </c>
      <c r="C164" s="15">
        <f ca="1">(1+(('Symulacja Pożyczka'!$B$5+'Symulacja Pożyczka'!$C$20)/100)*('Arkusz1 (+5)'!B164-'Arkusz1 (+5)'!B163)/365)</f>
        <v>1.0063698630136986</v>
      </c>
      <c r="D164" s="15">
        <f ca="1">(1+(('Symulacja Pożyczka'!$B$5+'Symulacja Pożyczka'!$C$20)/100)*('Arkusz1 (+5)'!B164-'Arkusz1 (+5)'!B163)/366)</f>
        <v>1.0063524590163935</v>
      </c>
      <c r="E164" s="15">
        <f t="shared" ca="1" si="18"/>
        <v>0</v>
      </c>
      <c r="F164" s="15">
        <f t="shared" ca="1" si="19"/>
        <v>0</v>
      </c>
      <c r="G164">
        <f ca="1">IF(E164=1,(1+(('Symulacja Pożyczka'!$B$5+'Symulacja Pożyczka'!$C$20)/100)*(((Arkusz1!B164-DATE(YEAR(B164),1,1)+1)/365)+((DATE(YEAR(B163),12,31)-Arkusz1!B163)/366))),IF(F164=1,(1+(('Symulacja Pożyczka'!$B$5+'Symulacja Pożyczka'!$C$20)/100)*(((Arkusz1!B164-DATE(YEAR(B164),1,1)+1)/366)+((DATE(YEAR(B163),12,31)-Arkusz1!B163)/365))),0))</f>
        <v>0</v>
      </c>
      <c r="H164">
        <f t="shared" ca="1" si="20"/>
        <v>0</v>
      </c>
      <c r="I164">
        <f t="shared" ca="1" si="21"/>
        <v>1.0063698630136986</v>
      </c>
      <c r="J164">
        <f t="shared" ca="1" si="22"/>
        <v>1.0063698630136986</v>
      </c>
      <c r="K164">
        <f ca="1">PRODUCT($J$3:J164)</f>
        <v>2.7356825031610508</v>
      </c>
      <c r="L164">
        <f t="shared" ca="1" si="23"/>
        <v>0.36553949474930336</v>
      </c>
      <c r="M164">
        <f ca="1">SUM($L$3:L164)</f>
        <v>101.98553265016528</v>
      </c>
      <c r="O164">
        <f ca="1">(Q163*'Arkusz1 (+5)'!J164)-Q163</f>
        <v>-4317.5347461134661</v>
      </c>
      <c r="P164" s="16">
        <f t="shared" ca="1" si="24"/>
        <v>18875.135470746023</v>
      </c>
      <c r="Q164" s="17">
        <f t="shared" ca="1" si="25"/>
        <v>-696681.66550577118</v>
      </c>
    </row>
    <row r="165" spans="1:17" x14ac:dyDescent="0.35">
      <c r="A165">
        <v>163</v>
      </c>
      <c r="B165" s="14">
        <f t="shared" ca="1" si="26"/>
        <v>51030</v>
      </c>
      <c r="C165" s="15">
        <f ca="1">(1+(('Symulacja Pożyczka'!$B$5+'Symulacja Pożyczka'!$C$20)/100)*('Arkusz1 (+5)'!B165-'Arkusz1 (+5)'!B164)/365)</f>
        <v>1.0063698630136986</v>
      </c>
      <c r="D165" s="15">
        <f ca="1">(1+(('Symulacja Pożyczka'!$B$5+'Symulacja Pożyczka'!$C$20)/100)*('Arkusz1 (+5)'!B165-'Arkusz1 (+5)'!B164)/366)</f>
        <v>1.0063524590163935</v>
      </c>
      <c r="E165" s="15">
        <f t="shared" ca="1" si="18"/>
        <v>0</v>
      </c>
      <c r="F165" s="15">
        <f t="shared" ca="1" si="19"/>
        <v>0</v>
      </c>
      <c r="G165">
        <f ca="1">IF(E165=1,(1+(('Symulacja Pożyczka'!$B$5+'Symulacja Pożyczka'!$C$20)/100)*(((Arkusz1!B165-DATE(YEAR(B165),1,1)+1)/365)+((DATE(YEAR(B164),12,31)-Arkusz1!B164)/366))),IF(F165=1,(1+(('Symulacja Pożyczka'!$B$5+'Symulacja Pożyczka'!$C$20)/100)*(((Arkusz1!B165-DATE(YEAR(B165),1,1)+1)/366)+((DATE(YEAR(B164),12,31)-Arkusz1!B164)/365))),0))</f>
        <v>0</v>
      </c>
      <c r="H165">
        <f t="shared" ca="1" si="20"/>
        <v>0</v>
      </c>
      <c r="I165">
        <f t="shared" ca="1" si="21"/>
        <v>1.0063698630136986</v>
      </c>
      <c r="J165">
        <f t="shared" ca="1" si="22"/>
        <v>1.0063698630136986</v>
      </c>
      <c r="K165">
        <f ca="1">PRODUCT($J$3:J165)</f>
        <v>2.7531084259551588</v>
      </c>
      <c r="L165">
        <f t="shared" ca="1" si="23"/>
        <v>0.36322579618456607</v>
      </c>
      <c r="M165">
        <f ca="1">SUM($L$3:L165)</f>
        <v>102.34875844634985</v>
      </c>
      <c r="O165">
        <f ca="1">(Q164*'Arkusz1 (+5)'!J165)-Q164</f>
        <v>-4437.7667734271381</v>
      </c>
      <c r="P165" s="16">
        <f t="shared" ca="1" si="24"/>
        <v>18995.367498059695</v>
      </c>
      <c r="Q165" s="17">
        <f t="shared" ca="1" si="25"/>
        <v>-715677.03300383082</v>
      </c>
    </row>
    <row r="166" spans="1:17" x14ac:dyDescent="0.35">
      <c r="A166">
        <v>164</v>
      </c>
      <c r="B166" s="14">
        <f t="shared" ca="1" si="26"/>
        <v>51060</v>
      </c>
      <c r="C166" s="15">
        <f ca="1">(1+(('Symulacja Pożyczka'!$B$5+'Symulacja Pożyczka'!$C$20)/100)*('Arkusz1 (+5)'!B166-'Arkusz1 (+5)'!B165)/365)</f>
        <v>1.0061643835616438</v>
      </c>
      <c r="D166" s="15">
        <f ca="1">(1+(('Symulacja Pożyczka'!$B$5+'Symulacja Pożyczka'!$C$20)/100)*('Arkusz1 (+5)'!B166-'Arkusz1 (+5)'!B165)/366)</f>
        <v>1.0061475409836065</v>
      </c>
      <c r="E166" s="15">
        <f t="shared" ca="1" si="18"/>
        <v>0</v>
      </c>
      <c r="F166" s="15">
        <f t="shared" ca="1" si="19"/>
        <v>0</v>
      </c>
      <c r="G166">
        <f ca="1">IF(E166=1,(1+(('Symulacja Pożyczka'!$B$5+'Symulacja Pożyczka'!$C$20)/100)*(((Arkusz1!B166-DATE(YEAR(B166),1,1)+1)/365)+((DATE(YEAR(B165),12,31)-Arkusz1!B165)/366))),IF(F166=1,(1+(('Symulacja Pożyczka'!$B$5+'Symulacja Pożyczka'!$C$20)/100)*(((Arkusz1!B166-DATE(YEAR(B166),1,1)+1)/366)+((DATE(YEAR(B165),12,31)-Arkusz1!B165)/365))),0))</f>
        <v>0</v>
      </c>
      <c r="H166">
        <f t="shared" ca="1" si="20"/>
        <v>0</v>
      </c>
      <c r="I166">
        <f t="shared" ca="1" si="21"/>
        <v>1.0061643835616438</v>
      </c>
      <c r="J166">
        <f t="shared" ca="1" si="22"/>
        <v>1.0061643835616438</v>
      </c>
      <c r="K166">
        <f ca="1">PRODUCT($J$3:J166)</f>
        <v>2.7700796422795397</v>
      </c>
      <c r="L166">
        <f t="shared" ca="1" si="23"/>
        <v>0.36100045093905136</v>
      </c>
      <c r="M166">
        <f ca="1">SUM($L$3:L166)</f>
        <v>102.70975889728889</v>
      </c>
      <c r="O166">
        <f ca="1">(Q165*'Arkusz1 (+5)'!J166)-Q165</f>
        <v>-4411.7077376948437</v>
      </c>
      <c r="P166" s="16">
        <f t="shared" ca="1" si="24"/>
        <v>18969.308462327401</v>
      </c>
      <c r="Q166" s="17">
        <f t="shared" ca="1" si="25"/>
        <v>-734646.34146615816</v>
      </c>
    </row>
    <row r="167" spans="1:17" x14ac:dyDescent="0.35">
      <c r="A167">
        <v>165</v>
      </c>
      <c r="B167" s="14">
        <f t="shared" ca="1" si="26"/>
        <v>51091</v>
      </c>
      <c r="C167" s="15">
        <f ca="1">(1+(('Symulacja Pożyczka'!$B$5+'Symulacja Pożyczka'!$C$20)/100)*('Arkusz1 (+5)'!B167-'Arkusz1 (+5)'!B166)/365)</f>
        <v>1.0063698630136986</v>
      </c>
      <c r="D167" s="15">
        <f ca="1">(1+(('Symulacja Pożyczka'!$B$5+'Symulacja Pożyczka'!$C$20)/100)*('Arkusz1 (+5)'!B167-'Arkusz1 (+5)'!B166)/366)</f>
        <v>1.0063524590163935</v>
      </c>
      <c r="E167" s="15">
        <f t="shared" ca="1" si="18"/>
        <v>0</v>
      </c>
      <c r="F167" s="15">
        <f t="shared" ca="1" si="19"/>
        <v>0</v>
      </c>
      <c r="G167">
        <f ca="1">IF(E167=1,(1+(('Symulacja Pożyczka'!$B$5+'Symulacja Pożyczka'!$C$20)/100)*(((Arkusz1!B167-DATE(YEAR(B167),1,1)+1)/365)+((DATE(YEAR(B166),12,31)-Arkusz1!B166)/366))),IF(F167=1,(1+(('Symulacja Pożyczka'!$B$5+'Symulacja Pożyczka'!$C$20)/100)*(((Arkusz1!B167-DATE(YEAR(B167),1,1)+1)/366)+((DATE(YEAR(B166),12,31)-Arkusz1!B166)/365))),0))</f>
        <v>0</v>
      </c>
      <c r="H167">
        <f t="shared" ca="1" si="20"/>
        <v>0</v>
      </c>
      <c r="I167">
        <f t="shared" ca="1" si="21"/>
        <v>1.0063698630136986</v>
      </c>
      <c r="J167">
        <f t="shared" ca="1" si="22"/>
        <v>1.0063698630136986</v>
      </c>
      <c r="K167">
        <f ca="1">PRODUCT($J$3:J167)</f>
        <v>2.7877246701378957</v>
      </c>
      <c r="L167">
        <f t="shared" ca="1" si="23"/>
        <v>0.35871548245492074</v>
      </c>
      <c r="M167">
        <f ca="1">SUM($L$3:L167)</f>
        <v>103.06847437974382</v>
      </c>
      <c r="O167">
        <f ca="1">(Q166*'Arkusz1 (+5)'!J167)-Q166</f>
        <v>-4679.5965586542152</v>
      </c>
      <c r="P167" s="16">
        <f t="shared" ca="1" si="24"/>
        <v>19237.197283286772</v>
      </c>
      <c r="Q167" s="17">
        <f t="shared" ca="1" si="25"/>
        <v>-753883.53874944488</v>
      </c>
    </row>
    <row r="168" spans="1:17" x14ac:dyDescent="0.35">
      <c r="A168">
        <v>166</v>
      </c>
      <c r="B168" s="14">
        <f t="shared" ca="1" si="26"/>
        <v>51121</v>
      </c>
      <c r="C168" s="15">
        <f ca="1">(1+(('Symulacja Pożyczka'!$B$5+'Symulacja Pożyczka'!$C$20)/100)*('Arkusz1 (+5)'!B168-'Arkusz1 (+5)'!B167)/365)</f>
        <v>1.0061643835616438</v>
      </c>
      <c r="D168" s="15">
        <f ca="1">(1+(('Symulacja Pożyczka'!$B$5+'Symulacja Pożyczka'!$C$20)/100)*('Arkusz1 (+5)'!B168-'Arkusz1 (+5)'!B167)/366)</f>
        <v>1.0061475409836065</v>
      </c>
      <c r="E168" s="15">
        <f t="shared" ca="1" si="18"/>
        <v>0</v>
      </c>
      <c r="F168" s="15">
        <f t="shared" ca="1" si="19"/>
        <v>0</v>
      </c>
      <c r="G168">
        <f ca="1">IF(E168=1,(1+(('Symulacja Pożyczka'!$B$5+'Symulacja Pożyczka'!$C$20)/100)*(((Arkusz1!B168-DATE(YEAR(B168),1,1)+1)/365)+((DATE(YEAR(B167),12,31)-Arkusz1!B167)/366))),IF(F168=1,(1+(('Symulacja Pożyczka'!$B$5+'Symulacja Pożyczka'!$C$20)/100)*(((Arkusz1!B168-DATE(YEAR(B168),1,1)+1)/366)+((DATE(YEAR(B167),12,31)-Arkusz1!B167)/365))),0))</f>
        <v>0</v>
      </c>
      <c r="H168">
        <f t="shared" ca="1" si="20"/>
        <v>0</v>
      </c>
      <c r="I168">
        <f t="shared" ca="1" si="21"/>
        <v>1.0061643835616438</v>
      </c>
      <c r="J168">
        <f t="shared" ca="1" si="22"/>
        <v>1.0061643835616438</v>
      </c>
      <c r="K168">
        <f ca="1">PRODUCT($J$3:J168)</f>
        <v>2.8049092742688826</v>
      </c>
      <c r="L168">
        <f t="shared" ca="1" si="23"/>
        <v>0.35651777017303221</v>
      </c>
      <c r="M168">
        <f ca="1">SUM($L$3:L168)</f>
        <v>103.42499214991685</v>
      </c>
      <c r="O168">
        <f ca="1">(Q167*'Arkusz1 (+5)'!J168)-Q167</f>
        <v>-4647.2272936609806</v>
      </c>
      <c r="P168" s="16">
        <f t="shared" ca="1" si="24"/>
        <v>19204.828018293538</v>
      </c>
      <c r="Q168" s="17">
        <f t="shared" ca="1" si="25"/>
        <v>-773088.36676773836</v>
      </c>
    </row>
    <row r="169" spans="1:17" x14ac:dyDescent="0.35">
      <c r="A169">
        <v>167</v>
      </c>
      <c r="B169" s="14">
        <f t="shared" ca="1" si="26"/>
        <v>51152</v>
      </c>
      <c r="C169" s="15">
        <f ca="1">(1+(('Symulacja Pożyczka'!$B$5+'Symulacja Pożyczka'!$C$20)/100)*('Arkusz1 (+5)'!B169-'Arkusz1 (+5)'!B168)/365)</f>
        <v>1.0063698630136986</v>
      </c>
      <c r="D169" s="15">
        <f ca="1">(1+(('Symulacja Pożyczka'!$B$5+'Symulacja Pożyczka'!$C$20)/100)*('Arkusz1 (+5)'!B169-'Arkusz1 (+5)'!B168)/366)</f>
        <v>1.0063524590163935</v>
      </c>
      <c r="E169" s="15">
        <f t="shared" ca="1" si="18"/>
        <v>0</v>
      </c>
      <c r="F169" s="15">
        <f t="shared" ca="1" si="19"/>
        <v>1</v>
      </c>
      <c r="G169">
        <f ca="1">IF(E169=1,(1+(('Symulacja Pożyczka'!$B$5+'Symulacja Pożyczka'!$C$20)/100)*(((Arkusz1!B169-DATE(YEAR(B169),1,1)+1)/365)+((DATE(YEAR(B168),12,31)-Arkusz1!B168)/366))),IF(F169=1,(1+(('Symulacja Pożyczka'!$B$5+'Symulacja Pożyczka'!$C$20)/100)*(((Arkusz1!B169-DATE(YEAR(B169),1,1)+1)/366)+((DATE(YEAR(B168),12,31)-Arkusz1!B168)/365))),0))</f>
        <v>1.0063603188861441</v>
      </c>
      <c r="H169">
        <f t="shared" ca="1" si="20"/>
        <v>1</v>
      </c>
      <c r="I169">
        <f t="shared" ca="1" si="21"/>
        <v>1.0063524590163935</v>
      </c>
      <c r="J169">
        <f t="shared" ca="1" si="22"/>
        <v>1.0063603188861441</v>
      </c>
      <c r="K169">
        <f ca="1">PRODUCT($J$3:J169)</f>
        <v>2.8227493916999356</v>
      </c>
      <c r="L169">
        <f t="shared" ca="1" si="23"/>
        <v>0.35426453476189507</v>
      </c>
      <c r="M169">
        <f ca="1">SUM($L$3:L169)</f>
        <v>103.77925668467874</v>
      </c>
      <c r="O169">
        <f ca="1">(Q168*'Arkusz1 (+5)'!J169)-Q168</f>
        <v>-4917.088539811084</v>
      </c>
      <c r="P169" s="16">
        <f t="shared" ca="1" si="24"/>
        <v>19474.689264443641</v>
      </c>
      <c r="Q169" s="17">
        <f t="shared" ca="1" si="25"/>
        <v>-792563.05603218195</v>
      </c>
    </row>
    <row r="170" spans="1:17" x14ac:dyDescent="0.35">
      <c r="A170">
        <v>168</v>
      </c>
      <c r="B170" s="14">
        <f t="shared" ca="1" si="26"/>
        <v>51183</v>
      </c>
      <c r="C170" s="15">
        <f ca="1">(1+(('Symulacja Pożyczka'!$B$5+'Symulacja Pożyczka'!$C$20)/100)*('Arkusz1 (+5)'!B170-'Arkusz1 (+5)'!B169)/365)</f>
        <v>1.0063698630136986</v>
      </c>
      <c r="D170" s="15">
        <f ca="1">(1+(('Symulacja Pożyczka'!$B$5+'Symulacja Pożyczka'!$C$20)/100)*('Arkusz1 (+5)'!B170-'Arkusz1 (+5)'!B169)/366)</f>
        <v>1.0063524590163935</v>
      </c>
      <c r="E170" s="15">
        <f t="shared" ca="1" si="18"/>
        <v>0</v>
      </c>
      <c r="F170" s="15">
        <f t="shared" ca="1" si="19"/>
        <v>0</v>
      </c>
      <c r="G170">
        <f ca="1">IF(E170=1,(1+(('Symulacja Pożyczka'!$B$5+'Symulacja Pożyczka'!$C$20)/100)*(((Arkusz1!B170-DATE(YEAR(B170),1,1)+1)/365)+((DATE(YEAR(B169),12,31)-Arkusz1!B169)/366))),IF(F170=1,(1+(('Symulacja Pożyczka'!$B$5+'Symulacja Pożyczka'!$C$20)/100)*(((Arkusz1!B170-DATE(YEAR(B170),1,1)+1)/366)+((DATE(YEAR(B169),12,31)-Arkusz1!B169)/365))),0))</f>
        <v>0</v>
      </c>
      <c r="H170">
        <f t="shared" ca="1" si="20"/>
        <v>1</v>
      </c>
      <c r="I170">
        <f t="shared" ca="1" si="21"/>
        <v>1.0063524590163935</v>
      </c>
      <c r="J170">
        <f t="shared" ca="1" si="22"/>
        <v>1.0063524590163935</v>
      </c>
      <c r="K170">
        <f ca="1">PRODUCT($J$3:J170)</f>
        <v>2.8406807915242589</v>
      </c>
      <c r="L170">
        <f t="shared" ca="1" si="23"/>
        <v>0.35202828948036002</v>
      </c>
      <c r="M170">
        <f ca="1">SUM($L$3:L170)</f>
        <v>104.1312849741591</v>
      </c>
      <c r="O170">
        <f ca="1">(Q169*'Arkusz1 (+5)'!J170)-Q169</f>
        <v>-5034.7243313520448</v>
      </c>
      <c r="P170" s="16">
        <f t="shared" ca="1" si="24"/>
        <v>19592.325055984602</v>
      </c>
      <c r="Q170" s="17">
        <f t="shared" ca="1" si="25"/>
        <v>-812155.3810881665</v>
      </c>
    </row>
    <row r="171" spans="1:17" x14ac:dyDescent="0.35">
      <c r="A171">
        <v>169</v>
      </c>
      <c r="B171" s="14">
        <f t="shared" ca="1" si="26"/>
        <v>51212</v>
      </c>
      <c r="C171" s="15">
        <f ca="1">(1+(('Symulacja Pożyczka'!$B$5+'Symulacja Pożyczka'!$C$20)/100)*('Arkusz1 (+5)'!B171-'Arkusz1 (+5)'!B170)/365)</f>
        <v>1.0059589041095891</v>
      </c>
      <c r="D171" s="15">
        <f ca="1">(1+(('Symulacja Pożyczka'!$B$5+'Symulacja Pożyczka'!$C$20)/100)*('Arkusz1 (+5)'!B171-'Arkusz1 (+5)'!B170)/366)</f>
        <v>1.0059426229508197</v>
      </c>
      <c r="E171" s="15">
        <f t="shared" ca="1" si="18"/>
        <v>0</v>
      </c>
      <c r="F171" s="15">
        <f t="shared" ca="1" si="19"/>
        <v>0</v>
      </c>
      <c r="G171">
        <f ca="1">IF(E171=1,(1+(('Symulacja Pożyczka'!$B$5+'Symulacja Pożyczka'!$C$20)/100)*(((Arkusz1!B171-DATE(YEAR(B171),1,1)+1)/365)+((DATE(YEAR(B170),12,31)-Arkusz1!B170)/366))),IF(F171=1,(1+(('Symulacja Pożyczka'!$B$5+'Symulacja Pożyczka'!$C$20)/100)*(((Arkusz1!B171-DATE(YEAR(B171),1,1)+1)/366)+((DATE(YEAR(B170),12,31)-Arkusz1!B170)/365))),0))</f>
        <v>0</v>
      </c>
      <c r="H171">
        <f t="shared" ca="1" si="20"/>
        <v>1</v>
      </c>
      <c r="I171">
        <f t="shared" ca="1" si="21"/>
        <v>1.0059426229508197</v>
      </c>
      <c r="J171">
        <f t="shared" ca="1" si="22"/>
        <v>1.0059426229508197</v>
      </c>
      <c r="K171">
        <f ca="1">PRODUCT($J$3:J171)</f>
        <v>2.8575618863919239</v>
      </c>
      <c r="L171">
        <f t="shared" ca="1" si="23"/>
        <v>0.3499486764441142</v>
      </c>
      <c r="M171">
        <f ca="1">SUM($L$3:L171)</f>
        <v>104.48123365060322</v>
      </c>
      <c r="O171">
        <f ca="1">(Q170*'Arkusz1 (+5)'!J171)-Q170</f>
        <v>-4826.3332072863122</v>
      </c>
      <c r="P171" s="16">
        <f t="shared" ca="1" si="24"/>
        <v>19383.933931918869</v>
      </c>
      <c r="Q171" s="17">
        <f t="shared" ca="1" si="25"/>
        <v>-831539.31502008531</v>
      </c>
    </row>
    <row r="172" spans="1:17" x14ac:dyDescent="0.35">
      <c r="A172">
        <v>170</v>
      </c>
      <c r="B172" s="14">
        <f t="shared" ca="1" si="26"/>
        <v>51243</v>
      </c>
      <c r="C172" s="15">
        <f ca="1">(1+(('Symulacja Pożyczka'!$B$5+'Symulacja Pożyczka'!$C$20)/100)*('Arkusz1 (+5)'!B172-'Arkusz1 (+5)'!B171)/365)</f>
        <v>1.0063698630136986</v>
      </c>
      <c r="D172" s="15">
        <f ca="1">(1+(('Symulacja Pożyczka'!$B$5+'Symulacja Pożyczka'!$C$20)/100)*('Arkusz1 (+5)'!B172-'Arkusz1 (+5)'!B171)/366)</f>
        <v>1.0063524590163935</v>
      </c>
      <c r="E172" s="15">
        <f t="shared" ca="1" si="18"/>
        <v>0</v>
      </c>
      <c r="F172" s="15">
        <f t="shared" ca="1" si="19"/>
        <v>0</v>
      </c>
      <c r="G172">
        <f ca="1">IF(E172=1,(1+(('Symulacja Pożyczka'!$B$5+'Symulacja Pożyczka'!$C$20)/100)*(((Arkusz1!B172-DATE(YEAR(B172),1,1)+1)/365)+((DATE(YEAR(B171),12,31)-Arkusz1!B171)/366))),IF(F172=1,(1+(('Symulacja Pożyczka'!$B$5+'Symulacja Pożyczka'!$C$20)/100)*(((Arkusz1!B172-DATE(YEAR(B172),1,1)+1)/366)+((DATE(YEAR(B171),12,31)-Arkusz1!B171)/365))),0))</f>
        <v>0</v>
      </c>
      <c r="H172">
        <f t="shared" ca="1" si="20"/>
        <v>1</v>
      </c>
      <c r="I172">
        <f t="shared" ca="1" si="21"/>
        <v>1.0063524590163935</v>
      </c>
      <c r="J172">
        <f t="shared" ca="1" si="22"/>
        <v>1.0063524590163935</v>
      </c>
      <c r="K172">
        <f ca="1">PRODUCT($J$3:J172)</f>
        <v>2.8757144311620366</v>
      </c>
      <c r="L172">
        <f t="shared" ca="1" si="23"/>
        <v>0.34773967441402509</v>
      </c>
      <c r="M172">
        <f ca="1">SUM($L$3:L172)</f>
        <v>104.82897332501724</v>
      </c>
      <c r="O172">
        <f ca="1">(Q171*'Arkusz1 (+5)'!J172)-Q171</f>
        <v>-5282.3194191850489</v>
      </c>
      <c r="P172" s="16">
        <f t="shared" ca="1" si="24"/>
        <v>19839.920143817606</v>
      </c>
      <c r="Q172" s="17">
        <f t="shared" ca="1" si="25"/>
        <v>-851379.23516390286</v>
      </c>
    </row>
    <row r="173" spans="1:17" x14ac:dyDescent="0.35">
      <c r="A173">
        <v>171</v>
      </c>
      <c r="B173" s="14">
        <f t="shared" ca="1" si="26"/>
        <v>51273</v>
      </c>
      <c r="C173" s="15">
        <f ca="1">(1+(('Symulacja Pożyczka'!$B$5+'Symulacja Pożyczka'!$C$20)/100)*('Arkusz1 (+5)'!B173-'Arkusz1 (+5)'!B172)/365)</f>
        <v>1.0061643835616438</v>
      </c>
      <c r="D173" s="15">
        <f ca="1">(1+(('Symulacja Pożyczka'!$B$5+'Symulacja Pożyczka'!$C$20)/100)*('Arkusz1 (+5)'!B173-'Arkusz1 (+5)'!B172)/366)</f>
        <v>1.0061475409836065</v>
      </c>
      <c r="E173" s="15">
        <f t="shared" ca="1" si="18"/>
        <v>0</v>
      </c>
      <c r="F173" s="15">
        <f t="shared" ca="1" si="19"/>
        <v>0</v>
      </c>
      <c r="G173">
        <f ca="1">IF(E173=1,(1+(('Symulacja Pożyczka'!$B$5+'Symulacja Pożyczka'!$C$20)/100)*(((Arkusz1!B173-DATE(YEAR(B173),1,1)+1)/365)+((DATE(YEAR(B172),12,31)-Arkusz1!B172)/366))),IF(F173=1,(1+(('Symulacja Pożyczka'!$B$5+'Symulacja Pożyczka'!$C$20)/100)*(((Arkusz1!B173-DATE(YEAR(B173),1,1)+1)/366)+((DATE(YEAR(B172),12,31)-Arkusz1!B172)/365))),0))</f>
        <v>0</v>
      </c>
      <c r="H173">
        <f t="shared" ca="1" si="20"/>
        <v>1</v>
      </c>
      <c r="I173">
        <f t="shared" ca="1" si="21"/>
        <v>1.0061475409836065</v>
      </c>
      <c r="J173">
        <f t="shared" ca="1" si="22"/>
        <v>1.0061475409836065</v>
      </c>
      <c r="K173">
        <f ca="1">PRODUCT($J$3:J173)</f>
        <v>2.8933930034847539</v>
      </c>
      <c r="L173">
        <f t="shared" ca="1" si="23"/>
        <v>0.34561499208562985</v>
      </c>
      <c r="M173">
        <f ca="1">SUM($L$3:L173)</f>
        <v>105.17458831710287</v>
      </c>
      <c r="O173">
        <f ca="1">(Q172*'Arkusz1 (+5)'!J173)-Q172</f>
        <v>-5233.8887407616712</v>
      </c>
      <c r="P173" s="16">
        <f t="shared" ca="1" si="24"/>
        <v>19791.489465394228</v>
      </c>
      <c r="Q173" s="17">
        <f t="shared" ca="1" si="25"/>
        <v>-871170.72462929704</v>
      </c>
    </row>
    <row r="174" spans="1:17" x14ac:dyDescent="0.35">
      <c r="A174">
        <v>172</v>
      </c>
      <c r="B174" s="14">
        <f t="shared" ca="1" si="26"/>
        <v>51304</v>
      </c>
      <c r="C174" s="15">
        <f ca="1">(1+(('Symulacja Pożyczka'!$B$5+'Symulacja Pożyczka'!$C$20)/100)*('Arkusz1 (+5)'!B174-'Arkusz1 (+5)'!B173)/365)</f>
        <v>1.0063698630136986</v>
      </c>
      <c r="D174" s="15">
        <f ca="1">(1+(('Symulacja Pożyczka'!$B$5+'Symulacja Pożyczka'!$C$20)/100)*('Arkusz1 (+5)'!B174-'Arkusz1 (+5)'!B173)/366)</f>
        <v>1.0063524590163935</v>
      </c>
      <c r="E174" s="15">
        <f t="shared" ca="1" si="18"/>
        <v>0</v>
      </c>
      <c r="F174" s="15">
        <f t="shared" ca="1" si="19"/>
        <v>0</v>
      </c>
      <c r="G174">
        <f ca="1">IF(E174=1,(1+(('Symulacja Pożyczka'!$B$5+'Symulacja Pożyczka'!$C$20)/100)*(((Arkusz1!B174-DATE(YEAR(B174),1,1)+1)/365)+((DATE(YEAR(B173),12,31)-Arkusz1!B173)/366))),IF(F174=1,(1+(('Symulacja Pożyczka'!$B$5+'Symulacja Pożyczka'!$C$20)/100)*(((Arkusz1!B174-DATE(YEAR(B174),1,1)+1)/366)+((DATE(YEAR(B173),12,31)-Arkusz1!B173)/365))),0))</f>
        <v>0</v>
      </c>
      <c r="H174">
        <f t="shared" ca="1" si="20"/>
        <v>1</v>
      </c>
      <c r="I174">
        <f t="shared" ca="1" si="21"/>
        <v>1.0063524590163935</v>
      </c>
      <c r="J174">
        <f t="shared" ca="1" si="22"/>
        <v>1.0063524590163935</v>
      </c>
      <c r="K174">
        <f ca="1">PRODUCT($J$3:J174)</f>
        <v>2.9117731639577102</v>
      </c>
      <c r="L174">
        <f t="shared" ca="1" si="23"/>
        <v>0.34343334583137319</v>
      </c>
      <c r="M174">
        <f ca="1">SUM($L$3:L174)</f>
        <v>105.51802166293425</v>
      </c>
      <c r="O174">
        <f ca="1">(Q173*'Arkusz1 (+5)'!J174)-Q173</f>
        <v>-5534.0763244894333</v>
      </c>
      <c r="P174" s="16">
        <f t="shared" ca="1" si="24"/>
        <v>20091.67704912199</v>
      </c>
      <c r="Q174" s="17">
        <f t="shared" ca="1" si="25"/>
        <v>-891262.40167841897</v>
      </c>
    </row>
    <row r="175" spans="1:17" x14ac:dyDescent="0.35">
      <c r="A175">
        <v>173</v>
      </c>
      <c r="B175" s="14">
        <f t="shared" ca="1" si="26"/>
        <v>51334</v>
      </c>
      <c r="C175" s="15">
        <f ca="1">(1+(('Symulacja Pożyczka'!$B$5+'Symulacja Pożyczka'!$C$20)/100)*('Arkusz1 (+5)'!B175-'Arkusz1 (+5)'!B174)/365)</f>
        <v>1.0061643835616438</v>
      </c>
      <c r="D175" s="15">
        <f ca="1">(1+(('Symulacja Pożyczka'!$B$5+'Symulacja Pożyczka'!$C$20)/100)*('Arkusz1 (+5)'!B175-'Arkusz1 (+5)'!B174)/366)</f>
        <v>1.0061475409836065</v>
      </c>
      <c r="E175" s="15">
        <f t="shared" ca="1" si="18"/>
        <v>0</v>
      </c>
      <c r="F175" s="15">
        <f t="shared" ca="1" si="19"/>
        <v>0</v>
      </c>
      <c r="G175">
        <f ca="1">IF(E175=1,(1+(('Symulacja Pożyczka'!$B$5+'Symulacja Pożyczka'!$C$20)/100)*(((Arkusz1!B175-DATE(YEAR(B175),1,1)+1)/365)+((DATE(YEAR(B174),12,31)-Arkusz1!B174)/366))),IF(F175=1,(1+(('Symulacja Pożyczka'!$B$5+'Symulacja Pożyczka'!$C$20)/100)*(((Arkusz1!B175-DATE(YEAR(B175),1,1)+1)/366)+((DATE(YEAR(B174),12,31)-Arkusz1!B174)/365))),0))</f>
        <v>0</v>
      </c>
      <c r="H175">
        <f t="shared" ca="1" si="20"/>
        <v>1</v>
      </c>
      <c r="I175">
        <f t="shared" ca="1" si="21"/>
        <v>1.0061475409836065</v>
      </c>
      <c r="J175">
        <f t="shared" ca="1" si="22"/>
        <v>1.0061475409836065</v>
      </c>
      <c r="K175">
        <f ca="1">PRODUCT($J$3:J175)</f>
        <v>2.9296734088181058</v>
      </c>
      <c r="L175">
        <f t="shared" ca="1" si="23"/>
        <v>0.34133497508291266</v>
      </c>
      <c r="M175">
        <f ca="1">SUM($L$3:L175)</f>
        <v>105.85935663801716</v>
      </c>
      <c r="O175">
        <f ca="1">(Q174*'Arkusz1 (+5)'!J175)-Q174</f>
        <v>-5479.0721414656145</v>
      </c>
      <c r="P175" s="16">
        <f t="shared" ca="1" si="24"/>
        <v>20036.672866098172</v>
      </c>
      <c r="Q175" s="17">
        <f t="shared" ca="1" si="25"/>
        <v>-911299.07454451709</v>
      </c>
    </row>
    <row r="176" spans="1:17" x14ac:dyDescent="0.35">
      <c r="A176">
        <v>174</v>
      </c>
      <c r="B176" s="14">
        <f t="shared" ca="1" si="26"/>
        <v>51365</v>
      </c>
      <c r="C176" s="15">
        <f ca="1">(1+(('Symulacja Pożyczka'!$B$5+'Symulacja Pożyczka'!$C$20)/100)*('Arkusz1 (+5)'!B176-'Arkusz1 (+5)'!B175)/365)</f>
        <v>1.0063698630136986</v>
      </c>
      <c r="D176" s="15">
        <f ca="1">(1+(('Symulacja Pożyczka'!$B$5+'Symulacja Pożyczka'!$C$20)/100)*('Arkusz1 (+5)'!B176-'Arkusz1 (+5)'!B175)/366)</f>
        <v>1.0063524590163935</v>
      </c>
      <c r="E176" s="15">
        <f t="shared" ca="1" si="18"/>
        <v>0</v>
      </c>
      <c r="F176" s="15">
        <f t="shared" ca="1" si="19"/>
        <v>0</v>
      </c>
      <c r="G176">
        <f ca="1">IF(E176=1,(1+(('Symulacja Pożyczka'!$B$5+'Symulacja Pożyczka'!$C$20)/100)*(((Arkusz1!B176-DATE(YEAR(B176),1,1)+1)/365)+((DATE(YEAR(B175),12,31)-Arkusz1!B175)/366))),IF(F176=1,(1+(('Symulacja Pożyczka'!$B$5+'Symulacja Pożyczka'!$C$20)/100)*(((Arkusz1!B176-DATE(YEAR(B176),1,1)+1)/366)+((DATE(YEAR(B175),12,31)-Arkusz1!B175)/365))),0))</f>
        <v>0</v>
      </c>
      <c r="H176">
        <f t="shared" ca="1" si="20"/>
        <v>1</v>
      </c>
      <c r="I176">
        <f t="shared" ca="1" si="21"/>
        <v>1.0063524590163935</v>
      </c>
      <c r="J176">
        <f t="shared" ca="1" si="22"/>
        <v>1.0063524590163935</v>
      </c>
      <c r="K176">
        <f ca="1">PRODUCT($J$3:J176)</f>
        <v>2.9482840390790406</v>
      </c>
      <c r="L176">
        <f t="shared" ca="1" si="23"/>
        <v>0.33918034583681811</v>
      </c>
      <c r="M176">
        <f ca="1">SUM($L$3:L176)</f>
        <v>106.19853698385398</v>
      </c>
      <c r="O176">
        <f ca="1">(Q175*'Arkusz1 (+5)'!J176)-Q175</f>
        <v>-5788.9900227213511</v>
      </c>
      <c r="P176" s="16">
        <f t="shared" ca="1" si="24"/>
        <v>20346.590747353908</v>
      </c>
      <c r="Q176" s="17">
        <f t="shared" ca="1" si="25"/>
        <v>-931645.66529187094</v>
      </c>
    </row>
    <row r="177" spans="1:17" x14ac:dyDescent="0.35">
      <c r="A177">
        <v>175</v>
      </c>
      <c r="B177" s="14">
        <f t="shared" ca="1" si="26"/>
        <v>51396</v>
      </c>
      <c r="C177" s="15">
        <f ca="1">(1+(('Symulacja Pożyczka'!$B$5+'Symulacja Pożyczka'!$C$20)/100)*('Arkusz1 (+5)'!B177-'Arkusz1 (+5)'!B176)/365)</f>
        <v>1.0063698630136986</v>
      </c>
      <c r="D177" s="15">
        <f ca="1">(1+(('Symulacja Pożyczka'!$B$5+'Symulacja Pożyczka'!$C$20)/100)*('Arkusz1 (+5)'!B177-'Arkusz1 (+5)'!B176)/366)</f>
        <v>1.0063524590163935</v>
      </c>
      <c r="E177" s="15">
        <f t="shared" ca="1" si="18"/>
        <v>0</v>
      </c>
      <c r="F177" s="15">
        <f t="shared" ca="1" si="19"/>
        <v>0</v>
      </c>
      <c r="G177">
        <f ca="1">IF(E177=1,(1+(('Symulacja Pożyczka'!$B$5+'Symulacja Pożyczka'!$C$20)/100)*(((Arkusz1!B177-DATE(YEAR(B177),1,1)+1)/365)+((DATE(YEAR(B176),12,31)-Arkusz1!B176)/366))),IF(F177=1,(1+(('Symulacja Pożyczka'!$B$5+'Symulacja Pożyczka'!$C$20)/100)*(((Arkusz1!B177-DATE(YEAR(B177),1,1)+1)/366)+((DATE(YEAR(B176),12,31)-Arkusz1!B176)/365))),0))</f>
        <v>0</v>
      </c>
      <c r="H177">
        <f t="shared" ca="1" si="20"/>
        <v>1</v>
      </c>
      <c r="I177">
        <f t="shared" ca="1" si="21"/>
        <v>1.0063524590163935</v>
      </c>
      <c r="J177">
        <f t="shared" ca="1" si="22"/>
        <v>1.0063524590163935</v>
      </c>
      <c r="K177">
        <f ca="1">PRODUCT($J$3:J177)</f>
        <v>2.9670128926059771</v>
      </c>
      <c r="L177">
        <f t="shared" ca="1" si="23"/>
        <v>0.33703931738620901</v>
      </c>
      <c r="M177">
        <f ca="1">SUM($L$3:L177)</f>
        <v>106.5355763012402</v>
      </c>
      <c r="O177">
        <f ca="1">(Q176*'Arkusz1 (+5)'!J177)-Q176</f>
        <v>-5918.2409065671964</v>
      </c>
      <c r="P177" s="16">
        <f t="shared" ca="1" si="24"/>
        <v>20475.841631199753</v>
      </c>
      <c r="Q177" s="17">
        <f t="shared" ca="1" si="25"/>
        <v>-952121.50692307064</v>
      </c>
    </row>
    <row r="178" spans="1:17" x14ac:dyDescent="0.35">
      <c r="A178">
        <v>176</v>
      </c>
      <c r="B178" s="14">
        <f t="shared" ca="1" si="26"/>
        <v>51426</v>
      </c>
      <c r="C178" s="15">
        <f ca="1">(1+(('Symulacja Pożyczka'!$B$5+'Symulacja Pożyczka'!$C$20)/100)*('Arkusz1 (+5)'!B178-'Arkusz1 (+5)'!B177)/365)</f>
        <v>1.0061643835616438</v>
      </c>
      <c r="D178" s="15">
        <f ca="1">(1+(('Symulacja Pożyczka'!$B$5+'Symulacja Pożyczka'!$C$20)/100)*('Arkusz1 (+5)'!B178-'Arkusz1 (+5)'!B177)/366)</f>
        <v>1.0061475409836065</v>
      </c>
      <c r="E178" s="15">
        <f t="shared" ca="1" si="18"/>
        <v>0</v>
      </c>
      <c r="F178" s="15">
        <f t="shared" ca="1" si="19"/>
        <v>0</v>
      </c>
      <c r="G178">
        <f ca="1">IF(E178=1,(1+(('Symulacja Pożyczka'!$B$5+'Symulacja Pożyczka'!$C$20)/100)*(((Arkusz1!B178-DATE(YEAR(B178),1,1)+1)/365)+((DATE(YEAR(B177),12,31)-Arkusz1!B177)/366))),IF(F178=1,(1+(('Symulacja Pożyczka'!$B$5+'Symulacja Pożyczka'!$C$20)/100)*(((Arkusz1!B178-DATE(YEAR(B178),1,1)+1)/366)+((DATE(YEAR(B177),12,31)-Arkusz1!B177)/365))),0))</f>
        <v>0</v>
      </c>
      <c r="H178">
        <f t="shared" ca="1" si="20"/>
        <v>1</v>
      </c>
      <c r="I178">
        <f t="shared" ca="1" si="21"/>
        <v>1.0061475409836065</v>
      </c>
      <c r="J178">
        <f t="shared" ca="1" si="22"/>
        <v>1.0061475409836065</v>
      </c>
      <c r="K178">
        <f ca="1">PRODUCT($J$3:J178)</f>
        <v>2.9852527259621611</v>
      </c>
      <c r="L178">
        <f t="shared" ca="1" si="23"/>
        <v>0.33498001402132388</v>
      </c>
      <c r="M178">
        <f ca="1">SUM($L$3:L178)</f>
        <v>106.87055631526152</v>
      </c>
      <c r="O178">
        <f ca="1">(Q177*'Arkusz1 (+5)'!J178)-Q177</f>
        <v>-5853.2059851827798</v>
      </c>
      <c r="P178" s="16">
        <f t="shared" ca="1" si="24"/>
        <v>20410.806709815337</v>
      </c>
      <c r="Q178" s="17">
        <f t="shared" ca="1" si="25"/>
        <v>-972532.31363288593</v>
      </c>
    </row>
    <row r="179" spans="1:17" x14ac:dyDescent="0.35">
      <c r="A179">
        <v>177</v>
      </c>
      <c r="B179" s="14">
        <f t="shared" ca="1" si="26"/>
        <v>51457</v>
      </c>
      <c r="C179" s="15">
        <f ca="1">(1+(('Symulacja Pożyczka'!$B$5+'Symulacja Pożyczka'!$C$20)/100)*('Arkusz1 (+5)'!B179-'Arkusz1 (+5)'!B178)/365)</f>
        <v>1.0063698630136986</v>
      </c>
      <c r="D179" s="15">
        <f ca="1">(1+(('Symulacja Pożyczka'!$B$5+'Symulacja Pożyczka'!$C$20)/100)*('Arkusz1 (+5)'!B179-'Arkusz1 (+5)'!B178)/366)</f>
        <v>1.0063524590163935</v>
      </c>
      <c r="E179" s="15">
        <f t="shared" ca="1" si="18"/>
        <v>0</v>
      </c>
      <c r="F179" s="15">
        <f t="shared" ca="1" si="19"/>
        <v>0</v>
      </c>
      <c r="G179">
        <f ca="1">IF(E179=1,(1+(('Symulacja Pożyczka'!$B$5+'Symulacja Pożyczka'!$C$20)/100)*(((Arkusz1!B179-DATE(YEAR(B179),1,1)+1)/365)+((DATE(YEAR(B178),12,31)-Arkusz1!B178)/366))),IF(F179=1,(1+(('Symulacja Pożyczka'!$B$5+'Symulacja Pożyczka'!$C$20)/100)*(((Arkusz1!B179-DATE(YEAR(B179),1,1)+1)/366)+((DATE(YEAR(B178),12,31)-Arkusz1!B178)/365))),0))</f>
        <v>0</v>
      </c>
      <c r="H179">
        <f t="shared" ca="1" si="20"/>
        <v>1</v>
      </c>
      <c r="I179">
        <f t="shared" ca="1" si="21"/>
        <v>1.0063524590163935</v>
      </c>
      <c r="J179">
        <f t="shared" ca="1" si="22"/>
        <v>1.0063524590163935</v>
      </c>
      <c r="K179">
        <f ca="1">PRODUCT($J$3:J179)</f>
        <v>3.0042164215574125</v>
      </c>
      <c r="L179">
        <f t="shared" ca="1" si="23"/>
        <v>0.33286549957728784</v>
      </c>
      <c r="M179">
        <f ca="1">SUM($L$3:L179)</f>
        <v>107.2034218148388</v>
      </c>
      <c r="O179">
        <f ca="1">(Q178*'Arkusz1 (+5)'!J179)-Q178</f>
        <v>-6177.9716644712025</v>
      </c>
      <c r="P179" s="16">
        <f t="shared" ca="1" si="24"/>
        <v>20735.57238910376</v>
      </c>
      <c r="Q179" s="17">
        <f t="shared" ca="1" si="25"/>
        <v>-993267.88602198963</v>
      </c>
    </row>
    <row r="180" spans="1:17" x14ac:dyDescent="0.35">
      <c r="A180">
        <v>178</v>
      </c>
      <c r="B180" s="14">
        <f t="shared" ca="1" si="26"/>
        <v>51487</v>
      </c>
      <c r="C180" s="15">
        <f ca="1">(1+(('Symulacja Pożyczka'!$B$5+'Symulacja Pożyczka'!$C$20)/100)*('Arkusz1 (+5)'!B180-'Arkusz1 (+5)'!B179)/365)</f>
        <v>1.0061643835616438</v>
      </c>
      <c r="D180" s="15">
        <f ca="1">(1+(('Symulacja Pożyczka'!$B$5+'Symulacja Pożyczka'!$C$20)/100)*('Arkusz1 (+5)'!B180-'Arkusz1 (+5)'!B179)/366)</f>
        <v>1.0061475409836065</v>
      </c>
      <c r="E180" s="15">
        <f t="shared" ca="1" si="18"/>
        <v>0</v>
      </c>
      <c r="F180" s="15">
        <f t="shared" ca="1" si="19"/>
        <v>0</v>
      </c>
      <c r="G180">
        <f ca="1">IF(E180=1,(1+(('Symulacja Pożyczka'!$B$5+'Symulacja Pożyczka'!$C$20)/100)*(((Arkusz1!B180-DATE(YEAR(B180),1,1)+1)/365)+((DATE(YEAR(B179),12,31)-Arkusz1!B179)/366))),IF(F180=1,(1+(('Symulacja Pożyczka'!$B$5+'Symulacja Pożyczka'!$C$20)/100)*(((Arkusz1!B180-DATE(YEAR(B180),1,1)+1)/366)+((DATE(YEAR(B179),12,31)-Arkusz1!B179)/365))),0))</f>
        <v>0</v>
      </c>
      <c r="H180">
        <f t="shared" ca="1" si="20"/>
        <v>1</v>
      </c>
      <c r="I180">
        <f t="shared" ca="1" si="21"/>
        <v>1.0061475409836065</v>
      </c>
      <c r="J180">
        <f t="shared" ca="1" si="22"/>
        <v>1.0061475409836065</v>
      </c>
      <c r="K180">
        <f ca="1">PRODUCT($J$3:J180)</f>
        <v>3.0226849651325605</v>
      </c>
      <c r="L180">
        <f t="shared" ca="1" si="23"/>
        <v>0.33083169815420865</v>
      </c>
      <c r="M180">
        <f ca="1">SUM($L$3:L180)</f>
        <v>107.53425351299302</v>
      </c>
      <c r="O180">
        <f ca="1">(Q179*'Arkusz1 (+5)'!J180)-Q179</f>
        <v>-6106.1550370203331</v>
      </c>
      <c r="P180" s="16">
        <f t="shared" ca="1" si="24"/>
        <v>20663.75576165289</v>
      </c>
      <c r="Q180" s="17">
        <f t="shared" ca="1" si="25"/>
        <v>-1013931.6417836425</v>
      </c>
    </row>
    <row r="181" spans="1:17" x14ac:dyDescent="0.35">
      <c r="A181">
        <v>179</v>
      </c>
      <c r="B181" s="14">
        <f t="shared" ca="1" si="26"/>
        <v>51518</v>
      </c>
      <c r="C181" s="15">
        <f ca="1">(1+(('Symulacja Pożyczka'!$B$5+'Symulacja Pożyczka'!$C$20)/100)*('Arkusz1 (+5)'!B181-'Arkusz1 (+5)'!B180)/365)</f>
        <v>1.0063698630136986</v>
      </c>
      <c r="D181" s="15">
        <f ca="1">(1+(('Symulacja Pożyczka'!$B$5+'Symulacja Pożyczka'!$C$20)/100)*('Arkusz1 (+5)'!B181-'Arkusz1 (+5)'!B180)/366)</f>
        <v>1.0063524590163935</v>
      </c>
      <c r="E181" s="15">
        <f t="shared" ca="1" si="18"/>
        <v>1</v>
      </c>
      <c r="F181" s="15">
        <f t="shared" ca="1" si="19"/>
        <v>0</v>
      </c>
      <c r="G181">
        <f ca="1">IF(E181=1,(1+(('Symulacja Pożyczka'!$B$5+'Symulacja Pożyczka'!$C$20)/100)*(((Arkusz1!B181-DATE(YEAR(B181),1,1)+1)/365)+((DATE(YEAR(B180),12,31)-Arkusz1!B180)/366))),IF(F181=1,(1+(('Symulacja Pożyczka'!$B$5+'Symulacja Pożyczka'!$C$20)/100)*(((Arkusz1!B181-DATE(YEAR(B181),1,1)+1)/366)+((DATE(YEAR(B180),12,31)-Arkusz1!B180)/365))),0))</f>
        <v>1.006362003143948</v>
      </c>
      <c r="H181">
        <f t="shared" ca="1" si="20"/>
        <v>0</v>
      </c>
      <c r="I181">
        <f t="shared" ca="1" si="21"/>
        <v>1.0063698630136986</v>
      </c>
      <c r="J181">
        <f t="shared" ca="1" si="22"/>
        <v>1.006362003143948</v>
      </c>
      <c r="K181">
        <f ca="1">PRODUCT($J$3:J181)</f>
        <v>3.0419152963838982</v>
      </c>
      <c r="L181">
        <f t="shared" ca="1" si="23"/>
        <v>0.32874025163973442</v>
      </c>
      <c r="M181">
        <f ca="1">SUM($L$3:L181)</f>
        <v>107.86299376463275</v>
      </c>
      <c r="O181">
        <f ca="1">(Q180*'Arkusz1 (+5)'!J181)-Q180</f>
        <v>-6450.6362927758601</v>
      </c>
      <c r="P181" s="16">
        <f t="shared" ca="1" si="24"/>
        <v>21008.237017408417</v>
      </c>
      <c r="Q181" s="17">
        <f t="shared" ca="1" si="25"/>
        <v>-1034939.8788010508</v>
      </c>
    </row>
    <row r="182" spans="1:17" x14ac:dyDescent="0.35">
      <c r="A182">
        <v>180</v>
      </c>
      <c r="B182" s="14">
        <f t="shared" ca="1" si="26"/>
        <v>51549</v>
      </c>
      <c r="C182" s="15">
        <f ca="1">(1+(('Symulacja Pożyczka'!$B$5+'Symulacja Pożyczka'!$C$20)/100)*('Arkusz1 (+5)'!B182-'Arkusz1 (+5)'!B181)/365)</f>
        <v>1.0063698630136986</v>
      </c>
      <c r="D182" s="15">
        <f ca="1">(1+(('Symulacja Pożyczka'!$B$5+'Symulacja Pożyczka'!$C$20)/100)*('Arkusz1 (+5)'!B182-'Arkusz1 (+5)'!B181)/366)</f>
        <v>1.0063524590163935</v>
      </c>
      <c r="E182" s="15">
        <f t="shared" ca="1" si="18"/>
        <v>0</v>
      </c>
      <c r="F182" s="15">
        <f t="shared" ca="1" si="19"/>
        <v>0</v>
      </c>
      <c r="G182">
        <f ca="1">IF(E182=1,(1+(('Symulacja Pożyczka'!$B$5+'Symulacja Pożyczka'!$C$20)/100)*(((Arkusz1!B182-DATE(YEAR(B182),1,1)+1)/365)+((DATE(YEAR(B181),12,31)-Arkusz1!B181)/366))),IF(F182=1,(1+(('Symulacja Pożyczka'!$B$5+'Symulacja Pożyczka'!$C$20)/100)*(((Arkusz1!B182-DATE(YEAR(B182),1,1)+1)/366)+((DATE(YEAR(B181),12,31)-Arkusz1!B181)/365))),0))</f>
        <v>0</v>
      </c>
      <c r="H182">
        <f t="shared" ca="1" si="20"/>
        <v>0</v>
      </c>
      <c r="I182">
        <f t="shared" ca="1" si="21"/>
        <v>1.0063698630136986</v>
      </c>
      <c r="J182">
        <f t="shared" ca="1" si="22"/>
        <v>1.0063698630136986</v>
      </c>
      <c r="K182">
        <f ca="1">PRODUCT($J$3:J182)</f>
        <v>3.061291880121138</v>
      </c>
      <c r="L182">
        <f t="shared" ca="1" si="23"/>
        <v>0.32665947552849128</v>
      </c>
      <c r="M182">
        <f ca="1">SUM($L$3:L182)</f>
        <v>108.18965324016123</v>
      </c>
      <c r="O182">
        <f ca="1">(Q181*'Arkusz1 (+5)'!J182)-Q181</f>
        <v>-6592.4252553764964</v>
      </c>
      <c r="P182" s="16">
        <f t="shared" ca="1" si="24"/>
        <v>21150.025980009053</v>
      </c>
      <c r="Q182" s="17">
        <f t="shared" ca="1" si="25"/>
        <v>-1056089.9047810598</v>
      </c>
    </row>
  </sheetData>
  <pageMargins left="0.7" right="0.7" top="0.75" bottom="0.75" header="0.3" footer="0.3"/>
  <pageSetup paperSize="9" orientation="portrait" horizontalDpi="300"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Arkusz36"/>
  <dimension ref="A1:Q182"/>
  <sheetViews>
    <sheetView workbookViewId="0">
      <pane ySplit="1" topLeftCell="A2" activePane="bottomLeft" state="frozen"/>
      <selection pane="bottomLeft" activeCell="G3" sqref="G3:G182"/>
    </sheetView>
  </sheetViews>
  <sheetFormatPr defaultRowHeight="14.5" x14ac:dyDescent="0.35"/>
  <cols>
    <col min="1" max="1" width="4" bestFit="1" customWidth="1"/>
    <col min="2" max="2" width="16.1796875" customWidth="1"/>
    <col min="3" max="3" width="16.1796875" style="15" customWidth="1"/>
    <col min="4" max="11" width="16.1796875" customWidth="1"/>
    <col min="12" max="12" width="17.453125" customWidth="1"/>
    <col min="13" max="13" width="12.1796875" customWidth="1"/>
    <col min="15" max="15" width="15.1796875" customWidth="1"/>
    <col min="16" max="16" width="16.81640625" customWidth="1"/>
    <col min="17" max="17" width="16.1796875" customWidth="1"/>
  </cols>
  <sheetData>
    <row r="1" spans="1:17" x14ac:dyDescent="0.35">
      <c r="A1" s="1" t="s">
        <v>6</v>
      </c>
      <c r="B1" s="2"/>
      <c r="C1" s="3" t="s">
        <v>7</v>
      </c>
      <c r="D1" s="2" t="s">
        <v>8</v>
      </c>
      <c r="E1" s="2" t="s">
        <v>9</v>
      </c>
      <c r="F1" s="2" t="s">
        <v>10</v>
      </c>
      <c r="G1" s="2" t="s">
        <v>11</v>
      </c>
      <c r="H1" s="2" t="s">
        <v>12</v>
      </c>
      <c r="I1" s="2" t="s">
        <v>13</v>
      </c>
      <c r="J1" s="2" t="s">
        <v>14</v>
      </c>
      <c r="K1" s="2" t="s">
        <v>15</v>
      </c>
      <c r="L1" s="4" t="s">
        <v>16</v>
      </c>
      <c r="M1" s="5" t="s">
        <v>17</v>
      </c>
      <c r="N1" s="4" t="s">
        <v>18</v>
      </c>
      <c r="O1" s="6" t="s">
        <v>19</v>
      </c>
      <c r="P1" s="7" t="s">
        <v>20</v>
      </c>
      <c r="Q1" s="7" t="s">
        <v>21</v>
      </c>
    </row>
    <row r="2" spans="1:17" x14ac:dyDescent="0.35">
      <c r="A2" s="8">
        <v>0</v>
      </c>
      <c r="B2" s="9">
        <f ca="1">'Symulacja Pożyczka'!B10</f>
        <v>46083</v>
      </c>
      <c r="C2" s="10"/>
      <c r="D2" s="9"/>
      <c r="E2" s="9"/>
      <c r="F2" s="9"/>
      <c r="G2" s="11"/>
      <c r="H2" s="11"/>
      <c r="I2" s="11"/>
      <c r="J2" s="11"/>
      <c r="K2" s="11"/>
      <c r="L2" s="7"/>
      <c r="M2" s="12"/>
      <c r="N2" s="13">
        <f ca="1">'Symulacja Pożyczka'!B3/VLOOKUP('Symulacja Pożyczka'!B4,'Arkusz1 (+10)'!$A$1:$O$182,13,1)</f>
        <v>17916.766450754702</v>
      </c>
      <c r="O2" s="7"/>
    </row>
    <row r="3" spans="1:17" x14ac:dyDescent="0.35">
      <c r="A3">
        <v>1</v>
      </c>
      <c r="B3" s="14">
        <f ca="1">'Symulacja Pożyczka'!B11</f>
        <v>46098</v>
      </c>
      <c r="C3" s="15">
        <f ca="1">(1+(('Symulacja Pożyczka'!$B$5+'Symulacja Pożyczka'!$C$21)/100)*('Arkusz1 (+10)'!B3-'Arkusz1 (+10)'!B2)/365)</f>
        <v>1.0051369863013699</v>
      </c>
      <c r="D3" s="15">
        <f ca="1">(1+(('Symulacja Pożyczka'!$B$5+'Symulacja Pożyczka'!$C$21)/100)*('Arkusz1 (+10)'!B3-'Arkusz1 (+10)'!B2)/366)</f>
        <v>1.0051229508196722</v>
      </c>
      <c r="E3" s="15">
        <f ca="1">IF(AND(MOD(YEAR(B2),4)=0,MOD(YEAR(B3),4)&lt;&gt;0),1,0)</f>
        <v>0</v>
      </c>
      <c r="F3" s="15">
        <f ca="1">IF(AND(MOD(YEAR(B3),4)=0,MOD(YEAR(B2),4)&lt;&gt;0),1,0)</f>
        <v>0</v>
      </c>
      <c r="G3">
        <f ca="1">IF(E3=1,(1+(('Symulacja Pożyczka'!$B$5+'Symulacja Pożyczka'!$C$21)/100)*(((Arkusz1!B3-DATE(YEAR(B3),1,1)+1)/365)+((DATE(YEAR(B2),12,31)-Arkusz1!B2)/366))),IF(F3=1,(1+(('Symulacja Pożyczka'!$B$5+'Symulacja Pożyczka'!$C$21)/100)*(((Arkusz1!B3-DATE(YEAR(B3),1,1)+1)/366)+((DATE(YEAR(B2),12,31)-Arkusz1!B2)/365))),0))</f>
        <v>0</v>
      </c>
      <c r="H3">
        <f ca="1">IF(MOD(YEAR(B3),4)=0,1,0)</f>
        <v>0</v>
      </c>
      <c r="I3">
        <f ca="1">IF(H3=0,C3,IF(H3=1,D3,"blad"))</f>
        <v>1.0051369863013699</v>
      </c>
      <c r="J3">
        <f ca="1">IF(OR(E3=1,F3=1),G3,I3)</f>
        <v>1.0051369863013699</v>
      </c>
      <c r="K3">
        <f ca="1">J3</f>
        <v>1.0051369863013699</v>
      </c>
      <c r="L3">
        <f ca="1">1/K3</f>
        <v>0.99488926746166939</v>
      </c>
      <c r="O3">
        <f ca="1">('Symulacja Pożyczka'!$B$3*'Arkusz1 (+10)'!J3)-'Symulacja Pożyczka'!$B$3</f>
        <v>6318.4931506849825</v>
      </c>
      <c r="P3" s="16">
        <f ca="1">$N$2-O3</f>
        <v>11598.273300069719</v>
      </c>
      <c r="Q3" s="17">
        <f ca="1">'Symulacja Pożyczka'!B3-P3</f>
        <v>1218401.7266999304</v>
      </c>
    </row>
    <row r="4" spans="1:17" x14ac:dyDescent="0.35">
      <c r="A4">
        <v>2</v>
      </c>
      <c r="B4" s="14">
        <f ca="1">DATE(YEAR((B3)),MONTH((B3))+1,IF(AND(DAY(B3)&gt;28,MONTH((B3))+1=2),IF(MOD(YEAR(B3),4)=0,29,28),DAY(B3)))</f>
        <v>46129</v>
      </c>
      <c r="C4" s="15">
        <f ca="1">(1+(('Symulacja Pożyczka'!$B$5+'Symulacja Pożyczka'!$C$21)/100)*('Arkusz1 (+10)'!B4-'Arkusz1 (+10)'!B3)/365)</f>
        <v>1.0106164383561644</v>
      </c>
      <c r="D4" s="15">
        <f ca="1">(1+(('Symulacja Pożyczka'!$B$5+'Symulacja Pożyczka'!$C$21)/100)*('Arkusz1 (+10)'!B4-'Arkusz1 (+10)'!B3)/366)</f>
        <v>1.0105874316939891</v>
      </c>
      <c r="E4" s="15">
        <f t="shared" ref="E4:E67" ca="1" si="0">IF(AND(MOD(YEAR(B3),4)=0,MOD(YEAR(B4),4)&lt;&gt;0),1,0)</f>
        <v>0</v>
      </c>
      <c r="F4" s="15">
        <f t="shared" ref="F4:F67" ca="1" si="1">IF(AND(MOD(YEAR(B4),4)=0,MOD(YEAR(B3),4)&lt;&gt;0),1,0)</f>
        <v>0</v>
      </c>
      <c r="G4">
        <f ca="1">IF(E4=1,(1+(('Symulacja Pożyczka'!$B$5+'Symulacja Pożyczka'!$C$21)/100)*(((Arkusz1!B4-DATE(YEAR(B4),1,1)+1)/365)+((DATE(YEAR(B3),12,31)-Arkusz1!B3)/366))),IF(F4=1,(1+(('Symulacja Pożyczka'!$B$5+'Symulacja Pożyczka'!$C$21)/100)*(((Arkusz1!B4-DATE(YEAR(B4),1,1)+1)/366)+((DATE(YEAR(B3),12,31)-Arkusz1!B3)/365))),0))</f>
        <v>0</v>
      </c>
      <c r="H4">
        <f t="shared" ref="H4:H67" ca="1" si="2">IF(MOD(YEAR(B4),4)=0,1,0)</f>
        <v>0</v>
      </c>
      <c r="I4">
        <f t="shared" ref="I4:I67" ca="1" si="3">IF(H4=0,C4,IF(H4=1,D4,"blad"))</f>
        <v>1.0106164383561644</v>
      </c>
      <c r="J4">
        <f t="shared" ref="J4:J67" ca="1" si="4">IF(OR(E4=1,F4=1),G4,I4)</f>
        <v>1.0106164383561644</v>
      </c>
      <c r="K4">
        <f ca="1">PRODUCT($J$3:J4)</f>
        <v>1.0158079611559394</v>
      </c>
      <c r="L4">
        <f t="shared" ref="L4:L67" ca="1" si="5">1/K4</f>
        <v>0.98443804167674498</v>
      </c>
      <c r="M4">
        <f ca="1">L3+L4</f>
        <v>1.9793273091384145</v>
      </c>
      <c r="O4">
        <f ca="1">(Q3*'Arkusz1 (+10)'!J4)-Q3</f>
        <v>12935.086824554019</v>
      </c>
      <c r="P4" s="16">
        <f ca="1">$N$2-O4</f>
        <v>4981.6796262006828</v>
      </c>
      <c r="Q4" s="17">
        <f ca="1">Q3-P4</f>
        <v>1213420.0470737298</v>
      </c>
    </row>
    <row r="5" spans="1:17" x14ac:dyDescent="0.35">
      <c r="A5">
        <v>3</v>
      </c>
      <c r="B5" s="14">
        <f ca="1">DATE(YEAR((B4)),MONTH((B4))+1,IF(AND(DAY(B4)&gt;28,MONTH((B4))+1=2),IF(MOD(YEAR(B4),4)=0,29,28),IF(AND(OR(DAY(B4)=28,DAY(B4)=29),MONTH((B4))=2),DAY(B3),DAY(B4))))</f>
        <v>46159</v>
      </c>
      <c r="C5" s="15">
        <f ca="1">(1+(('Symulacja Pożyczka'!$B$5+'Symulacja Pożyczka'!$C$21)/100)*('Arkusz1 (+10)'!B5-'Arkusz1 (+10)'!B4)/365)</f>
        <v>1.0102739726027397</v>
      </c>
      <c r="D5" s="15">
        <f ca="1">(1+(('Symulacja Pożyczka'!$B$5+'Symulacja Pożyczka'!$C$21)/100)*('Arkusz1 (+10)'!B5-'Arkusz1 (+10)'!B4)/366)</f>
        <v>1.0102459016393444</v>
      </c>
      <c r="E5" s="15">
        <f t="shared" ca="1" si="0"/>
        <v>0</v>
      </c>
      <c r="F5" s="15">
        <f t="shared" ca="1" si="1"/>
        <v>0</v>
      </c>
      <c r="G5">
        <f ca="1">IF(E5=1,(1+(('Symulacja Pożyczka'!$B$5+'Symulacja Pożyczka'!$C$21)/100)*(((Arkusz1!B5-DATE(YEAR(B5),1,1)+1)/365)+((DATE(YEAR(B4),12,31)-Arkusz1!B4)/366))),IF(F5=1,(1+(('Symulacja Pożyczka'!$B$5+'Symulacja Pożyczka'!$C$21)/100)*(((Arkusz1!B5-DATE(YEAR(B5),1,1)+1)/366)+((DATE(YEAR(B4),12,31)-Arkusz1!B4)/365))),0))</f>
        <v>0</v>
      </c>
      <c r="H5">
        <f t="shared" ca="1" si="2"/>
        <v>0</v>
      </c>
      <c r="I5">
        <f t="shared" ca="1" si="3"/>
        <v>1.0102739726027397</v>
      </c>
      <c r="J5">
        <f t="shared" ca="1" si="4"/>
        <v>1.0102739726027397</v>
      </c>
      <c r="K5">
        <f ca="1">PRODUCT($J$3:J5)</f>
        <v>1.0262443443185003</v>
      </c>
      <c r="L5">
        <f t="shared" ca="1" si="5"/>
        <v>0.97442680735460863</v>
      </c>
      <c r="M5">
        <f ca="1">SUM($L$3:L5)</f>
        <v>2.9537541164930232</v>
      </c>
      <c r="O5">
        <f ca="1">(Q4*'Arkusz1 (+10)'!J5)-Q4</f>
        <v>12466.644319250481</v>
      </c>
      <c r="P5" s="16">
        <f t="shared" ref="P5:P68" ca="1" si="6">$N$2-O5</f>
        <v>5450.1221315042203</v>
      </c>
      <c r="Q5" s="17">
        <f t="shared" ref="Q5:Q68" ca="1" si="7">Q4-P5</f>
        <v>1207969.9249422257</v>
      </c>
    </row>
    <row r="6" spans="1:17" x14ac:dyDescent="0.35">
      <c r="A6">
        <v>4</v>
      </c>
      <c r="B6" s="14">
        <f t="shared" ref="B6:B69" ca="1" si="8">DATE(YEAR((B5)),MONTH((B5))+1,IF(AND(DAY(B5)&gt;28,MONTH((B5))+1=2),IF(MOD(YEAR(B5),4)=0,29,28),IF(AND(OR(DAY(B5)=28,DAY(B5)=29),MONTH((B5))=2),DAY(B4),DAY(B5))))</f>
        <v>46190</v>
      </c>
      <c r="C6" s="15">
        <f ca="1">(1+(('Symulacja Pożyczka'!$B$5+'Symulacja Pożyczka'!$C$21)/100)*('Arkusz1 (+10)'!B6-'Arkusz1 (+10)'!B5)/365)</f>
        <v>1.0106164383561644</v>
      </c>
      <c r="D6" s="15">
        <f ca="1">(1+(('Symulacja Pożyczka'!$B$5+'Symulacja Pożyczka'!$C$21)/100)*('Arkusz1 (+10)'!B6-'Arkusz1 (+10)'!B5)/366)</f>
        <v>1.0105874316939891</v>
      </c>
      <c r="E6" s="15">
        <f t="shared" ca="1" si="0"/>
        <v>0</v>
      </c>
      <c r="F6" s="15">
        <f t="shared" ca="1" si="1"/>
        <v>0</v>
      </c>
      <c r="G6">
        <f ca="1">IF(E6=1,(1+(('Symulacja Pożyczka'!$B$5+'Symulacja Pożyczka'!$C$21)/100)*(((Arkusz1!B6-DATE(YEAR(B6),1,1)+1)/365)+((DATE(YEAR(B5),12,31)-Arkusz1!B5)/366))),IF(F6=1,(1+(('Symulacja Pożyczka'!$B$5+'Symulacja Pożyczka'!$C$21)/100)*(((Arkusz1!B6-DATE(YEAR(B6),1,1)+1)/366)+((DATE(YEAR(B5),12,31)-Arkusz1!B5)/365))),0))</f>
        <v>0</v>
      </c>
      <c r="H6">
        <f t="shared" ca="1" si="2"/>
        <v>0</v>
      </c>
      <c r="I6">
        <f t="shared" ca="1" si="3"/>
        <v>1.0106164383561644</v>
      </c>
      <c r="J6">
        <f t="shared" ca="1" si="4"/>
        <v>1.0106164383561644</v>
      </c>
      <c r="K6">
        <f ca="1">PRODUCT($J$3:J6)</f>
        <v>1.03713940413832</v>
      </c>
      <c r="L6">
        <f t="shared" ca="1" si="5"/>
        <v>0.96419053794491949</v>
      </c>
      <c r="M6">
        <f ca="1">SUM($L$3:L6)</f>
        <v>3.9179446544379428</v>
      </c>
      <c r="O6">
        <f ca="1">(Q5*'Arkusz1 (+10)'!J6)-Q5</f>
        <v>12824.338244249811</v>
      </c>
      <c r="P6" s="16">
        <f t="shared" ca="1" si="6"/>
        <v>5092.4282065048901</v>
      </c>
      <c r="Q6" s="17">
        <f t="shared" ca="1" si="7"/>
        <v>1202877.4967357209</v>
      </c>
    </row>
    <row r="7" spans="1:17" x14ac:dyDescent="0.35">
      <c r="A7">
        <v>5</v>
      </c>
      <c r="B7" s="14">
        <f t="shared" ca="1" si="8"/>
        <v>46220</v>
      </c>
      <c r="C7" s="15">
        <f ca="1">(1+(('Symulacja Pożyczka'!$B$5+'Symulacja Pożyczka'!$C$21)/100)*('Arkusz1 (+10)'!B7-'Arkusz1 (+10)'!B6)/365)</f>
        <v>1.0102739726027397</v>
      </c>
      <c r="D7" s="15">
        <f ca="1">(1+(('Symulacja Pożyczka'!$B$5+'Symulacja Pożyczka'!$C$21)/100)*('Arkusz1 (+10)'!B7-'Arkusz1 (+10)'!B6)/366)</f>
        <v>1.0102459016393444</v>
      </c>
      <c r="E7" s="15">
        <f t="shared" ca="1" si="0"/>
        <v>0</v>
      </c>
      <c r="F7" s="15">
        <f t="shared" ca="1" si="1"/>
        <v>0</v>
      </c>
      <c r="G7">
        <f ca="1">IF(E7=1,(1+(('Symulacja Pożyczka'!$B$5+'Symulacja Pożyczka'!$C$21)/100)*(((Arkusz1!B7-DATE(YEAR(B7),1,1)+1)/365)+((DATE(YEAR(B6),12,31)-Arkusz1!B6)/366))),IF(F7=1,(1+(('Symulacja Pożyczka'!$B$5+'Symulacja Pożyczka'!$C$21)/100)*(((Arkusz1!B7-DATE(YEAR(B7),1,1)+1)/366)+((DATE(YEAR(B6),12,31)-Arkusz1!B6)/365))),0))</f>
        <v>0</v>
      </c>
      <c r="H7">
        <f t="shared" ca="1" si="2"/>
        <v>0</v>
      </c>
      <c r="I7">
        <f t="shared" ca="1" si="3"/>
        <v>1.0102739726027397</v>
      </c>
      <c r="J7">
        <f t="shared" ca="1" si="4"/>
        <v>1.0102739726027397</v>
      </c>
      <c r="K7">
        <f ca="1">PRODUCT($J$3:J7)</f>
        <v>1.0477949459616587</v>
      </c>
      <c r="L7">
        <f t="shared" ca="1" si="5"/>
        <v>0.95438521044039504</v>
      </c>
      <c r="M7">
        <f ca="1">SUM($L$3:L7)</f>
        <v>4.8723298648783375</v>
      </c>
      <c r="O7">
        <f ca="1">(Q6*'Arkusz1 (+10)'!J7)-Q6</f>
        <v>12358.330445914762</v>
      </c>
      <c r="P7" s="16">
        <f t="shared" ca="1" si="6"/>
        <v>5558.4360048399394</v>
      </c>
      <c r="Q7" s="17">
        <f t="shared" ca="1" si="7"/>
        <v>1197319.0607308811</v>
      </c>
    </row>
    <row r="8" spans="1:17" x14ac:dyDescent="0.35">
      <c r="A8">
        <v>6</v>
      </c>
      <c r="B8" s="14">
        <f t="shared" ca="1" si="8"/>
        <v>46251</v>
      </c>
      <c r="C8" s="15">
        <f ca="1">(1+(('Symulacja Pożyczka'!$B$5+'Symulacja Pożyczka'!$C$21)/100)*('Arkusz1 (+10)'!B8-'Arkusz1 (+10)'!B7)/365)</f>
        <v>1.0106164383561644</v>
      </c>
      <c r="D8" s="15">
        <f ca="1">(1+(('Symulacja Pożyczka'!$B$5+'Symulacja Pożyczka'!$C$21)/100)*('Arkusz1 (+10)'!B8-'Arkusz1 (+10)'!B7)/366)</f>
        <v>1.0105874316939891</v>
      </c>
      <c r="E8" s="15">
        <f t="shared" ca="1" si="0"/>
        <v>0</v>
      </c>
      <c r="F8" s="15">
        <f t="shared" ca="1" si="1"/>
        <v>0</v>
      </c>
      <c r="G8">
        <f ca="1">IF(E8=1,(1+(('Symulacja Pożyczka'!$B$5+'Symulacja Pożyczka'!$C$21)/100)*(((Arkusz1!B8-DATE(YEAR(B8),1,1)+1)/365)+((DATE(YEAR(B7),12,31)-Arkusz1!B7)/366))),IF(F8=1,(1+(('Symulacja Pożyczka'!$B$5+'Symulacja Pożyczka'!$C$21)/100)*(((Arkusz1!B8-DATE(YEAR(B8),1,1)+1)/366)+((DATE(YEAR(B7),12,31)-Arkusz1!B7)/365))),0))</f>
        <v>0</v>
      </c>
      <c r="H8">
        <f t="shared" ca="1" si="2"/>
        <v>0</v>
      </c>
      <c r="I8">
        <f t="shared" ca="1" si="3"/>
        <v>1.0106164383561644</v>
      </c>
      <c r="J8">
        <f t="shared" ca="1" si="4"/>
        <v>1.0106164383561644</v>
      </c>
      <c r="K8">
        <f ca="1">PRODUCT($J$3:J8)</f>
        <v>1.0589187964153612</v>
      </c>
      <c r="L8">
        <f t="shared" ca="1" si="5"/>
        <v>0.94435947627446748</v>
      </c>
      <c r="M8">
        <f ca="1">SUM($L$3:L8)</f>
        <v>5.8166893411528049</v>
      </c>
      <c r="O8">
        <f ca="1">(Q7*'Arkusz1 (+10)'!J8)-Q7</f>
        <v>12711.264000910101</v>
      </c>
      <c r="P8" s="16">
        <f t="shared" ca="1" si="6"/>
        <v>5205.5024498446001</v>
      </c>
      <c r="Q8" s="17">
        <f t="shared" ca="1" si="7"/>
        <v>1192113.5582810366</v>
      </c>
    </row>
    <row r="9" spans="1:17" x14ac:dyDescent="0.35">
      <c r="A9">
        <v>7</v>
      </c>
      <c r="B9" s="14">
        <f t="shared" ca="1" si="8"/>
        <v>46282</v>
      </c>
      <c r="C9" s="15">
        <f ca="1">(1+(('Symulacja Pożyczka'!$B$5+'Symulacja Pożyczka'!$C$21)/100)*('Arkusz1 (+10)'!B9-'Arkusz1 (+10)'!B8)/365)</f>
        <v>1.0106164383561644</v>
      </c>
      <c r="D9" s="15">
        <f ca="1">(1+(('Symulacja Pożyczka'!$B$5+'Symulacja Pożyczka'!$C$21)/100)*('Arkusz1 (+10)'!B9-'Arkusz1 (+10)'!B8)/366)</f>
        <v>1.0105874316939891</v>
      </c>
      <c r="E9" s="15">
        <f t="shared" ca="1" si="0"/>
        <v>0</v>
      </c>
      <c r="F9" s="15">
        <f t="shared" ca="1" si="1"/>
        <v>0</v>
      </c>
      <c r="G9">
        <f ca="1">IF(E9=1,(1+(('Symulacja Pożyczka'!$B$5+'Symulacja Pożyczka'!$C$21)/100)*(((Arkusz1!B9-DATE(YEAR(B9),1,1)+1)/365)+((DATE(YEAR(B8),12,31)-Arkusz1!B8)/366))),IF(F9=1,(1+(('Symulacja Pożyczka'!$B$5+'Symulacja Pożyczka'!$C$21)/100)*(((Arkusz1!B9-DATE(YEAR(B9),1,1)+1)/366)+((DATE(YEAR(B8),12,31)-Arkusz1!B8)/365))),0))</f>
        <v>0</v>
      </c>
      <c r="H9">
        <f t="shared" ca="1" si="2"/>
        <v>0</v>
      </c>
      <c r="I9">
        <f t="shared" ca="1" si="3"/>
        <v>1.0106164383561644</v>
      </c>
      <c r="J9">
        <f t="shared" ca="1" si="4"/>
        <v>1.0106164383561644</v>
      </c>
      <c r="K9">
        <f ca="1">PRODUCT($J$3:J9)</f>
        <v>1.0701607425416888</v>
      </c>
      <c r="L9">
        <f t="shared" ca="1" si="5"/>
        <v>0.93443906157961532</v>
      </c>
      <c r="M9">
        <f ca="1">SUM($L$3:L9)</f>
        <v>6.7511284027324203</v>
      </c>
      <c r="O9">
        <f ca="1">(Q8*'Arkusz1 (+10)'!J9)-Q8</f>
        <v>12656.000105038518</v>
      </c>
      <c r="P9" s="16">
        <f t="shared" ca="1" si="6"/>
        <v>5260.7663457161834</v>
      </c>
      <c r="Q9" s="17">
        <f t="shared" ca="1" si="7"/>
        <v>1186852.7919353205</v>
      </c>
    </row>
    <row r="10" spans="1:17" x14ac:dyDescent="0.35">
      <c r="A10">
        <v>8</v>
      </c>
      <c r="B10" s="14">
        <f t="shared" ca="1" si="8"/>
        <v>46312</v>
      </c>
      <c r="C10" s="15">
        <f ca="1">(1+(('Symulacja Pożyczka'!$B$5+'Symulacja Pożyczka'!$C$21)/100)*('Arkusz1 (+10)'!B10-'Arkusz1 (+10)'!B9)/365)</f>
        <v>1.0102739726027397</v>
      </c>
      <c r="D10" s="15">
        <f ca="1">(1+(('Symulacja Pożyczka'!$B$5+'Symulacja Pożyczka'!$C$21)/100)*('Arkusz1 (+10)'!B10-'Arkusz1 (+10)'!B9)/366)</f>
        <v>1.0102459016393444</v>
      </c>
      <c r="E10" s="15">
        <f t="shared" ca="1" si="0"/>
        <v>0</v>
      </c>
      <c r="F10" s="15">
        <f t="shared" ca="1" si="1"/>
        <v>0</v>
      </c>
      <c r="G10">
        <f ca="1">IF(E10=1,(1+(('Symulacja Pożyczka'!$B$5+'Symulacja Pożyczka'!$C$21)/100)*(((Arkusz1!B10-DATE(YEAR(B10),1,1)+1)/365)+((DATE(YEAR(B9),12,31)-Arkusz1!B9)/366))),IF(F10=1,(1+(('Symulacja Pożyczka'!$B$5+'Symulacja Pożyczka'!$C$21)/100)*(((Arkusz1!B10-DATE(YEAR(B10),1,1)+1)/366)+((DATE(YEAR(B9),12,31)-Arkusz1!B9)/365))),0))</f>
        <v>0</v>
      </c>
      <c r="H10">
        <f t="shared" ca="1" si="2"/>
        <v>0</v>
      </c>
      <c r="I10">
        <f t="shared" ca="1" si="3"/>
        <v>1.0102739726027397</v>
      </c>
      <c r="J10">
        <f t="shared" ca="1" si="4"/>
        <v>1.0102739726027397</v>
      </c>
      <c r="K10">
        <f ca="1">PRODUCT($J$3:J10)</f>
        <v>1.0811555446910897</v>
      </c>
      <c r="L10">
        <f t="shared" ca="1" si="5"/>
        <v>0.92493629146185652</v>
      </c>
      <c r="M10">
        <f ca="1">SUM($L$3:L10)</f>
        <v>7.6760646941942765</v>
      </c>
      <c r="O10">
        <f ca="1">(Q9*'Arkusz1 (+10)'!J10)-Q9</f>
        <v>12193.693067828659</v>
      </c>
      <c r="P10" s="16">
        <f t="shared" ca="1" si="6"/>
        <v>5723.0733829260425</v>
      </c>
      <c r="Q10" s="17">
        <f t="shared" ca="1" si="7"/>
        <v>1181129.7185523945</v>
      </c>
    </row>
    <row r="11" spans="1:17" x14ac:dyDescent="0.35">
      <c r="A11">
        <v>9</v>
      </c>
      <c r="B11" s="14">
        <f t="shared" ca="1" si="8"/>
        <v>46343</v>
      </c>
      <c r="C11" s="15">
        <f ca="1">(1+(('Symulacja Pożyczka'!$B$5+'Symulacja Pożyczka'!$C$21)/100)*('Arkusz1 (+10)'!B11-'Arkusz1 (+10)'!B10)/365)</f>
        <v>1.0106164383561644</v>
      </c>
      <c r="D11" s="15">
        <f ca="1">(1+(('Symulacja Pożyczka'!$B$5+'Symulacja Pożyczka'!$C$21)/100)*('Arkusz1 (+10)'!B11-'Arkusz1 (+10)'!B10)/366)</f>
        <v>1.0105874316939891</v>
      </c>
      <c r="E11" s="15">
        <f t="shared" ca="1" si="0"/>
        <v>0</v>
      </c>
      <c r="F11" s="15">
        <f t="shared" ca="1" si="1"/>
        <v>0</v>
      </c>
      <c r="G11">
        <f ca="1">IF(E11=1,(1+(('Symulacja Pożyczka'!$B$5+'Symulacja Pożyczka'!$C$21)/100)*(((Arkusz1!B11-DATE(YEAR(B11),1,1)+1)/365)+((DATE(YEAR(B10),12,31)-Arkusz1!B10)/366))),IF(F11=1,(1+(('Symulacja Pożyczka'!$B$5+'Symulacja Pożyczka'!$C$21)/100)*(((Arkusz1!B11-DATE(YEAR(B11),1,1)+1)/366)+((DATE(YEAR(B10),12,31)-Arkusz1!B10)/365))),0))</f>
        <v>0</v>
      </c>
      <c r="H11">
        <f t="shared" ca="1" si="2"/>
        <v>0</v>
      </c>
      <c r="I11">
        <f t="shared" ca="1" si="3"/>
        <v>1.0106164383561644</v>
      </c>
      <c r="J11">
        <f t="shared" ca="1" si="4"/>
        <v>1.0106164383561644</v>
      </c>
      <c r="K11">
        <f ca="1">PRODUCT($J$3:J11)</f>
        <v>1.0926335658847279</v>
      </c>
      <c r="L11">
        <f t="shared" ca="1" si="5"/>
        <v>0.91521991564507665</v>
      </c>
      <c r="M11">
        <f ca="1">SUM($L$3:L11)</f>
        <v>8.5912846098393523</v>
      </c>
      <c r="O11">
        <f ca="1">(Q10*'Arkusz1 (+10)'!J11)-Q10</f>
        <v>12539.390847645234</v>
      </c>
      <c r="P11" s="16">
        <f t="shared" ca="1" si="6"/>
        <v>5377.3756031094672</v>
      </c>
      <c r="Q11" s="17">
        <f t="shared" ca="1" si="7"/>
        <v>1175752.3429492852</v>
      </c>
    </row>
    <row r="12" spans="1:17" x14ac:dyDescent="0.35">
      <c r="A12">
        <v>10</v>
      </c>
      <c r="B12" s="14">
        <f t="shared" ca="1" si="8"/>
        <v>46373</v>
      </c>
      <c r="C12" s="15">
        <f ca="1">(1+(('Symulacja Pożyczka'!$B$5+'Symulacja Pożyczka'!$C$21)/100)*('Arkusz1 (+10)'!B12-'Arkusz1 (+10)'!B11)/365)</f>
        <v>1.0102739726027397</v>
      </c>
      <c r="D12" s="15">
        <f ca="1">(1+(('Symulacja Pożyczka'!$B$5+'Symulacja Pożyczka'!$C$21)/100)*('Arkusz1 (+10)'!B12-'Arkusz1 (+10)'!B11)/366)</f>
        <v>1.0102459016393444</v>
      </c>
      <c r="E12" s="15">
        <f t="shared" ca="1" si="0"/>
        <v>0</v>
      </c>
      <c r="F12" s="15">
        <f t="shared" ca="1" si="1"/>
        <v>0</v>
      </c>
      <c r="G12">
        <f ca="1">IF(E12=1,(1+(('Symulacja Pożyczka'!$B$5+'Symulacja Pożyczka'!$C$21)/100)*(((Arkusz1!B12-DATE(YEAR(B12),1,1)+1)/365)+((DATE(YEAR(B11),12,31)-Arkusz1!B11)/366))),IF(F12=1,(1+(('Symulacja Pożyczka'!$B$5+'Symulacja Pożyczka'!$C$21)/100)*(((Arkusz1!B12-DATE(YEAR(B12),1,1)+1)/366)+((DATE(YEAR(B11),12,31)-Arkusz1!B11)/365))),0))</f>
        <v>0</v>
      </c>
      <c r="H12">
        <f t="shared" ca="1" si="2"/>
        <v>0</v>
      </c>
      <c r="I12">
        <f t="shared" ca="1" si="3"/>
        <v>1.0102739726027397</v>
      </c>
      <c r="J12">
        <f t="shared" ca="1" si="4"/>
        <v>1.0102739726027397</v>
      </c>
      <c r="K12">
        <f ca="1">PRODUCT($J$3:J12)</f>
        <v>1.1038592532054614</v>
      </c>
      <c r="L12">
        <f t="shared" ca="1" si="5"/>
        <v>0.90591259446902506</v>
      </c>
      <c r="M12">
        <f ca="1">SUM($L$3:L12)</f>
        <v>9.4971972043083781</v>
      </c>
      <c r="O12">
        <f ca="1">(Q11*'Arkusz1 (+10)'!J12)-Q11</f>
        <v>12079.647359067807</v>
      </c>
      <c r="P12" s="16">
        <f t="shared" ca="1" si="6"/>
        <v>5837.1190916868945</v>
      </c>
      <c r="Q12" s="17">
        <f t="shared" ca="1" si="7"/>
        <v>1169915.2238575984</v>
      </c>
    </row>
    <row r="13" spans="1:17" x14ac:dyDescent="0.35">
      <c r="A13">
        <v>11</v>
      </c>
      <c r="B13" s="14">
        <f t="shared" ca="1" si="8"/>
        <v>46404</v>
      </c>
      <c r="C13" s="15">
        <f ca="1">(1+(('Symulacja Pożyczka'!$B$5+'Symulacja Pożyczka'!$C$21)/100)*('Arkusz1 (+10)'!B13-'Arkusz1 (+10)'!B12)/365)</f>
        <v>1.0106164383561644</v>
      </c>
      <c r="D13" s="15">
        <f ca="1">(1+(('Symulacja Pożyczka'!$B$5+'Symulacja Pożyczka'!$C$21)/100)*('Arkusz1 (+10)'!B13-'Arkusz1 (+10)'!B12)/366)</f>
        <v>1.0105874316939891</v>
      </c>
      <c r="E13" s="15">
        <f t="shared" ca="1" si="0"/>
        <v>0</v>
      </c>
      <c r="F13" s="15">
        <f t="shared" ca="1" si="1"/>
        <v>0</v>
      </c>
      <c r="G13">
        <f ca="1">IF(E13=1,(1+(('Symulacja Pożyczka'!$B$5+'Symulacja Pożyczka'!$C$21)/100)*(((Arkusz1!B13-DATE(YEAR(B13),1,1)+1)/365)+((DATE(YEAR(B12),12,31)-Arkusz1!B12)/366))),IF(F13=1,(1+(('Symulacja Pożyczka'!$B$5+'Symulacja Pożyczka'!$C$21)/100)*(((Arkusz1!B13-DATE(YEAR(B13),1,1)+1)/366)+((DATE(YEAR(B12),12,31)-Arkusz1!B12)/365))),0))</f>
        <v>0</v>
      </c>
      <c r="H13">
        <f t="shared" ca="1" si="2"/>
        <v>0</v>
      </c>
      <c r="I13">
        <f t="shared" ca="1" si="3"/>
        <v>1.0106164383561644</v>
      </c>
      <c r="J13">
        <f t="shared" ca="1" si="4"/>
        <v>1.0106164383561644</v>
      </c>
      <c r="K13">
        <f ca="1">PRODUCT($J$3:J13)</f>
        <v>1.1155783069209988</v>
      </c>
      <c r="L13">
        <f t="shared" ca="1" si="5"/>
        <v>0.89639606094529078</v>
      </c>
      <c r="M13">
        <f ca="1">SUM($L$3:L13)</f>
        <v>10.393593265253669</v>
      </c>
      <c r="O13">
        <f ca="1">(Q12*'Arkusz1 (+10)'!J13)-Q12</f>
        <v>12420.33285602252</v>
      </c>
      <c r="P13" s="16">
        <f t="shared" ca="1" si="6"/>
        <v>5496.4335947321815</v>
      </c>
      <c r="Q13" s="17">
        <f t="shared" ca="1" si="7"/>
        <v>1164418.7902628663</v>
      </c>
    </row>
    <row r="14" spans="1:17" x14ac:dyDescent="0.35">
      <c r="A14">
        <v>12</v>
      </c>
      <c r="B14" s="14">
        <f t="shared" ca="1" si="8"/>
        <v>46435</v>
      </c>
      <c r="C14" s="15">
        <f ca="1">(1+(('Symulacja Pożyczka'!$B$5+'Symulacja Pożyczka'!$C$21)/100)*('Arkusz1 (+10)'!B14-'Arkusz1 (+10)'!B13)/365)</f>
        <v>1.0106164383561644</v>
      </c>
      <c r="D14" s="15">
        <f ca="1">(1+(('Symulacja Pożyczka'!$B$5+'Symulacja Pożyczka'!$C$21)/100)*('Arkusz1 (+10)'!B14-'Arkusz1 (+10)'!B13)/366)</f>
        <v>1.0105874316939891</v>
      </c>
      <c r="E14" s="15">
        <f t="shared" ca="1" si="0"/>
        <v>0</v>
      </c>
      <c r="F14" s="15">
        <f t="shared" ca="1" si="1"/>
        <v>0</v>
      </c>
      <c r="G14">
        <f ca="1">IF(E14=1,(1+(('Symulacja Pożyczka'!$B$5+'Symulacja Pożyczka'!$C$21)/100)*(((Arkusz1!B14-DATE(YEAR(B14),1,1)+1)/365)+((DATE(YEAR(B13),12,31)-Arkusz1!B13)/366))),IF(F14=1,(1+(('Symulacja Pożyczka'!$B$5+'Symulacja Pożyczka'!$C$21)/100)*(((Arkusz1!B14-DATE(YEAR(B14),1,1)+1)/366)+((DATE(YEAR(B13),12,31)-Arkusz1!B13)/365))),0))</f>
        <v>0</v>
      </c>
      <c r="H14">
        <f t="shared" ca="1" si="2"/>
        <v>0</v>
      </c>
      <c r="I14">
        <f t="shared" ca="1" si="3"/>
        <v>1.0106164383561644</v>
      </c>
      <c r="J14">
        <f t="shared" ca="1" si="4"/>
        <v>1.0106164383561644</v>
      </c>
      <c r="K14">
        <f ca="1">PRODUCT($J$3:J14)</f>
        <v>1.1274217752478999</v>
      </c>
      <c r="L14">
        <f t="shared" ca="1" si="5"/>
        <v>0.88697949778388652</v>
      </c>
      <c r="M14">
        <f ca="1">SUM($L$3:L14)</f>
        <v>11.280572763037556</v>
      </c>
      <c r="O14">
        <f ca="1">(Q13*'Arkusz1 (+10)'!J14)-Q13</f>
        <v>12361.980307585327</v>
      </c>
      <c r="P14" s="16">
        <f t="shared" ca="1" si="6"/>
        <v>5554.7861431693746</v>
      </c>
      <c r="Q14" s="17">
        <f t="shared" ca="1" si="7"/>
        <v>1158864.004119697</v>
      </c>
    </row>
    <row r="15" spans="1:17" x14ac:dyDescent="0.35">
      <c r="A15">
        <v>13</v>
      </c>
      <c r="B15" s="14">
        <f t="shared" ca="1" si="8"/>
        <v>46463</v>
      </c>
      <c r="C15" s="15">
        <f ca="1">(1+(('Symulacja Pożyczka'!$B$5+'Symulacja Pożyczka'!$C$21)/100)*('Arkusz1 (+10)'!B15-'Arkusz1 (+10)'!B14)/365)</f>
        <v>1.0095890410958903</v>
      </c>
      <c r="D15" s="15">
        <f ca="1">(1+(('Symulacja Pożyczka'!$B$5+'Symulacja Pożyczka'!$C$21)/100)*('Arkusz1 (+10)'!B15-'Arkusz1 (+10)'!B14)/366)</f>
        <v>1.0095628415300546</v>
      </c>
      <c r="E15" s="15">
        <f t="shared" ca="1" si="0"/>
        <v>0</v>
      </c>
      <c r="F15" s="15">
        <f t="shared" ca="1" si="1"/>
        <v>0</v>
      </c>
      <c r="G15">
        <f ca="1">IF(E15=1,(1+(('Symulacja Pożyczka'!$B$5+'Symulacja Pożyczka'!$C$21)/100)*(((Arkusz1!B15-DATE(YEAR(B15),1,1)+1)/365)+((DATE(YEAR(B14),12,31)-Arkusz1!B14)/366))),IF(F15=1,(1+(('Symulacja Pożyczka'!$B$5+'Symulacja Pożyczka'!$C$21)/100)*(((Arkusz1!B15-DATE(YEAR(B15),1,1)+1)/366)+((DATE(YEAR(B14),12,31)-Arkusz1!B14)/365))),0))</f>
        <v>0</v>
      </c>
      <c r="H15">
        <f t="shared" ca="1" si="2"/>
        <v>0</v>
      </c>
      <c r="I15">
        <f t="shared" ca="1" si="3"/>
        <v>1.0095890410958903</v>
      </c>
      <c r="J15">
        <f t="shared" ca="1" si="4"/>
        <v>1.0095890410958903</v>
      </c>
      <c r="K15">
        <f ca="1">PRODUCT($J$3:J15)</f>
        <v>1.1382326689831537</v>
      </c>
      <c r="L15">
        <f t="shared" ca="1" si="5"/>
        <v>0.87855499780493507</v>
      </c>
      <c r="M15">
        <f ca="1">SUM($L$3:L15)</f>
        <v>12.159127760842491</v>
      </c>
      <c r="O15">
        <f ca="1">(Q14*'Arkusz1 (+10)'!J15)-Q14</f>
        <v>11112.394560051849</v>
      </c>
      <c r="P15" s="16">
        <f t="shared" ca="1" si="6"/>
        <v>6804.3718907028524</v>
      </c>
      <c r="Q15" s="17">
        <f t="shared" ca="1" si="7"/>
        <v>1152059.6322289943</v>
      </c>
    </row>
    <row r="16" spans="1:17" x14ac:dyDescent="0.35">
      <c r="A16">
        <v>14</v>
      </c>
      <c r="B16" s="14">
        <f t="shared" ca="1" si="8"/>
        <v>46494</v>
      </c>
      <c r="C16" s="15">
        <f ca="1">(1+(('Symulacja Pożyczka'!$B$5+'Symulacja Pożyczka'!$C$21)/100)*('Arkusz1 (+10)'!B16-'Arkusz1 (+10)'!B15)/365)</f>
        <v>1.0106164383561644</v>
      </c>
      <c r="D16" s="15">
        <f ca="1">(1+(('Symulacja Pożyczka'!$B$5+'Symulacja Pożyczka'!$C$21)/100)*('Arkusz1 (+10)'!B16-'Arkusz1 (+10)'!B15)/366)</f>
        <v>1.0105874316939891</v>
      </c>
      <c r="E16" s="15">
        <f t="shared" ca="1" si="0"/>
        <v>0</v>
      </c>
      <c r="F16" s="15">
        <f t="shared" ca="1" si="1"/>
        <v>0</v>
      </c>
      <c r="G16">
        <f ca="1">IF(E16=1,(1+(('Symulacja Pożyczka'!$B$5+'Symulacja Pożyczka'!$C$21)/100)*(((Arkusz1!B16-DATE(YEAR(B16),1,1)+1)/365)+((DATE(YEAR(B15),12,31)-Arkusz1!B15)/366))),IF(F16=1,(1+(('Symulacja Pożyczka'!$B$5+'Symulacja Pożyczka'!$C$21)/100)*(((Arkusz1!B16-DATE(YEAR(B16),1,1)+1)/366)+((DATE(YEAR(B15),12,31)-Arkusz1!B15)/365))),0))</f>
        <v>0</v>
      </c>
      <c r="H16">
        <f t="shared" ca="1" si="2"/>
        <v>0</v>
      </c>
      <c r="I16">
        <f t="shared" ca="1" si="3"/>
        <v>1.0106164383561644</v>
      </c>
      <c r="J16">
        <f t="shared" ca="1" si="4"/>
        <v>1.0106164383561644</v>
      </c>
      <c r="K16">
        <f ca="1">PRODUCT($J$3:J16)</f>
        <v>1.1503166459483858</v>
      </c>
      <c r="L16">
        <f t="shared" ca="1" si="5"/>
        <v>0.86932585347014923</v>
      </c>
      <c r="M16">
        <f ca="1">SUM($L$3:L16)</f>
        <v>13.028453614312641</v>
      </c>
      <c r="O16">
        <f ca="1">(Q15*'Arkusz1 (+10)'!J16)-Q15</f>
        <v>12230.770068184705</v>
      </c>
      <c r="P16" s="16">
        <f t="shared" ca="1" si="6"/>
        <v>5685.9963825699961</v>
      </c>
      <c r="Q16" s="17">
        <f t="shared" ca="1" si="7"/>
        <v>1146373.6358464244</v>
      </c>
    </row>
    <row r="17" spans="1:17" x14ac:dyDescent="0.35">
      <c r="A17">
        <v>15</v>
      </c>
      <c r="B17" s="14">
        <f t="shared" ca="1" si="8"/>
        <v>46524</v>
      </c>
      <c r="C17" s="15">
        <f ca="1">(1+(('Symulacja Pożyczka'!$B$5+'Symulacja Pożyczka'!$C$21)/100)*('Arkusz1 (+10)'!B17-'Arkusz1 (+10)'!B16)/365)</f>
        <v>1.0102739726027397</v>
      </c>
      <c r="D17" s="15">
        <f ca="1">(1+(('Symulacja Pożyczka'!$B$5+'Symulacja Pożyczka'!$C$21)/100)*('Arkusz1 (+10)'!B17-'Arkusz1 (+10)'!B16)/366)</f>
        <v>1.0102459016393444</v>
      </c>
      <c r="E17" s="15">
        <f t="shared" ca="1" si="0"/>
        <v>0</v>
      </c>
      <c r="F17" s="15">
        <f t="shared" ca="1" si="1"/>
        <v>0</v>
      </c>
      <c r="G17">
        <f ca="1">IF(E17=1,(1+(('Symulacja Pożyczka'!$B$5+'Symulacja Pożyczka'!$C$21)/100)*(((Arkusz1!B17-DATE(YEAR(B17),1,1)+1)/365)+((DATE(YEAR(B16),12,31)-Arkusz1!B16)/366))),IF(F17=1,(1+(('Symulacja Pożyczka'!$B$5+'Symulacja Pożyczka'!$C$21)/100)*(((Arkusz1!B17-DATE(YEAR(B17),1,1)+1)/366)+((DATE(YEAR(B16),12,31)-Arkusz1!B16)/365))),0))</f>
        <v>0</v>
      </c>
      <c r="H17">
        <f t="shared" ca="1" si="2"/>
        <v>0</v>
      </c>
      <c r="I17">
        <f t="shared" ca="1" si="3"/>
        <v>1.0102739726027397</v>
      </c>
      <c r="J17">
        <f t="shared" ca="1" si="4"/>
        <v>1.0102739726027397</v>
      </c>
      <c r="K17">
        <f ca="1">PRODUCT($J$3:J17)</f>
        <v>1.1621349676533348</v>
      </c>
      <c r="L17">
        <f t="shared" ca="1" si="5"/>
        <v>0.86048525157045297</v>
      </c>
      <c r="M17">
        <f ca="1">SUM($L$3:L17)</f>
        <v>13.888938865883093</v>
      </c>
      <c r="O17">
        <f ca="1">(Q16*'Arkusz1 (+10)'!J17)-Q16</f>
        <v>11777.811327189207</v>
      </c>
      <c r="P17" s="16">
        <f t="shared" ca="1" si="6"/>
        <v>6138.9551235654944</v>
      </c>
      <c r="Q17" s="17">
        <f t="shared" ca="1" si="7"/>
        <v>1140234.680722859</v>
      </c>
    </row>
    <row r="18" spans="1:17" x14ac:dyDescent="0.35">
      <c r="A18">
        <v>16</v>
      </c>
      <c r="B18" s="14">
        <f t="shared" ca="1" si="8"/>
        <v>46555</v>
      </c>
      <c r="C18" s="15">
        <f ca="1">(1+(('Symulacja Pożyczka'!$B$5+'Symulacja Pożyczka'!$C$21)/100)*('Arkusz1 (+10)'!B18-'Arkusz1 (+10)'!B17)/365)</f>
        <v>1.0106164383561644</v>
      </c>
      <c r="D18" s="15">
        <f ca="1">(1+(('Symulacja Pożyczka'!$B$5+'Symulacja Pożyczka'!$C$21)/100)*('Arkusz1 (+10)'!B18-'Arkusz1 (+10)'!B17)/366)</f>
        <v>1.0105874316939891</v>
      </c>
      <c r="E18" s="15">
        <f t="shared" ca="1" si="0"/>
        <v>0</v>
      </c>
      <c r="F18" s="15">
        <f t="shared" ca="1" si="1"/>
        <v>0</v>
      </c>
      <c r="G18">
        <f ca="1">IF(E18=1,(1+(('Symulacja Pożyczka'!$B$5+'Symulacja Pożyczka'!$C$21)/100)*(((Arkusz1!B18-DATE(YEAR(B18),1,1)+1)/365)+((DATE(YEAR(B17),12,31)-Arkusz1!B17)/366))),IF(F18=1,(1+(('Symulacja Pożyczka'!$B$5+'Symulacja Pożyczka'!$C$21)/100)*(((Arkusz1!B18-DATE(YEAR(B18),1,1)+1)/366)+((DATE(YEAR(B17),12,31)-Arkusz1!B17)/365))),0))</f>
        <v>0</v>
      </c>
      <c r="H18">
        <f t="shared" ca="1" si="2"/>
        <v>0</v>
      </c>
      <c r="I18">
        <f t="shared" ca="1" si="3"/>
        <v>1.0106164383561644</v>
      </c>
      <c r="J18">
        <f t="shared" ca="1" si="4"/>
        <v>1.0106164383561644</v>
      </c>
      <c r="K18">
        <f ca="1">PRODUCT($J$3:J18)</f>
        <v>1.1744727018989696</v>
      </c>
      <c r="L18">
        <f t="shared" ca="1" si="5"/>
        <v>0.85144592835842847</v>
      </c>
      <c r="M18">
        <f ca="1">SUM($L$3:L18)</f>
        <v>14.740384794241521</v>
      </c>
      <c r="O18">
        <f ca="1">(Q17*'Arkusz1 (+10)'!J18)-Q17</f>
        <v>12105.231199454982</v>
      </c>
      <c r="P18" s="16">
        <f t="shared" ca="1" si="6"/>
        <v>5811.5352512997197</v>
      </c>
      <c r="Q18" s="17">
        <f t="shared" ca="1" si="7"/>
        <v>1134423.1454715594</v>
      </c>
    </row>
    <row r="19" spans="1:17" x14ac:dyDescent="0.35">
      <c r="A19">
        <v>17</v>
      </c>
      <c r="B19" s="14">
        <f t="shared" ca="1" si="8"/>
        <v>46585</v>
      </c>
      <c r="C19" s="15">
        <f ca="1">(1+(('Symulacja Pożyczka'!$B$5+'Symulacja Pożyczka'!$C$21)/100)*('Arkusz1 (+10)'!B19-'Arkusz1 (+10)'!B18)/365)</f>
        <v>1.0102739726027397</v>
      </c>
      <c r="D19" s="15">
        <f ca="1">(1+(('Symulacja Pożyczka'!$B$5+'Symulacja Pożyczka'!$C$21)/100)*('Arkusz1 (+10)'!B19-'Arkusz1 (+10)'!B18)/366)</f>
        <v>1.0102459016393444</v>
      </c>
      <c r="E19" s="15">
        <f t="shared" ca="1" si="0"/>
        <v>0</v>
      </c>
      <c r="F19" s="15">
        <f t="shared" ca="1" si="1"/>
        <v>0</v>
      </c>
      <c r="G19">
        <f ca="1">IF(E19=1,(1+(('Symulacja Pożyczka'!$B$5+'Symulacja Pożyczka'!$C$21)/100)*(((Arkusz1!B19-DATE(YEAR(B19),1,1)+1)/365)+((DATE(YEAR(B18),12,31)-Arkusz1!B18)/366))),IF(F19=1,(1+(('Symulacja Pożyczka'!$B$5+'Symulacja Pożyczka'!$C$21)/100)*(((Arkusz1!B19-DATE(YEAR(B19),1,1)+1)/366)+((DATE(YEAR(B18),12,31)-Arkusz1!B18)/365))),0))</f>
        <v>0</v>
      </c>
      <c r="H19">
        <f t="shared" ca="1" si="2"/>
        <v>0</v>
      </c>
      <c r="I19">
        <f t="shared" ca="1" si="3"/>
        <v>1.0102739726027397</v>
      </c>
      <c r="J19">
        <f t="shared" ca="1" si="4"/>
        <v>1.0102739726027397</v>
      </c>
      <c r="K19">
        <f ca="1">PRODUCT($J$3:J19)</f>
        <v>1.1865392022609451</v>
      </c>
      <c r="L19">
        <f t="shared" ca="1" si="5"/>
        <v>0.84278715620563105</v>
      </c>
      <c r="M19">
        <f ca="1">SUM($L$3:L19)</f>
        <v>15.583171950447152</v>
      </c>
      <c r="O19">
        <f ca="1">(Q18*'Arkusz1 (+10)'!J19)-Q18</f>
        <v>11655.032316488447</v>
      </c>
      <c r="P19" s="16">
        <f t="shared" ca="1" si="6"/>
        <v>6261.7341342662548</v>
      </c>
      <c r="Q19" s="17">
        <f t="shared" ca="1" si="7"/>
        <v>1128161.4113372932</v>
      </c>
    </row>
    <row r="20" spans="1:17" x14ac:dyDescent="0.35">
      <c r="A20">
        <v>18</v>
      </c>
      <c r="B20" s="14">
        <f t="shared" ca="1" si="8"/>
        <v>46616</v>
      </c>
      <c r="C20" s="15">
        <f ca="1">(1+(('Symulacja Pożyczka'!$B$5+'Symulacja Pożyczka'!$C$21)/100)*('Arkusz1 (+10)'!B20-'Arkusz1 (+10)'!B19)/365)</f>
        <v>1.0106164383561644</v>
      </c>
      <c r="D20" s="15">
        <f ca="1">(1+(('Symulacja Pożyczka'!$B$5+'Symulacja Pożyczka'!$C$21)/100)*('Arkusz1 (+10)'!B20-'Arkusz1 (+10)'!B19)/366)</f>
        <v>1.0105874316939891</v>
      </c>
      <c r="E20" s="15">
        <f t="shared" ca="1" si="0"/>
        <v>0</v>
      </c>
      <c r="F20" s="15">
        <f t="shared" ca="1" si="1"/>
        <v>0</v>
      </c>
      <c r="G20">
        <f ca="1">IF(E20=1,(1+(('Symulacja Pożyczka'!$B$5+'Symulacja Pożyczka'!$C$21)/100)*(((Arkusz1!B20-DATE(YEAR(B20),1,1)+1)/365)+((DATE(YEAR(B19),12,31)-Arkusz1!B19)/366))),IF(F20=1,(1+(('Symulacja Pożyczka'!$B$5+'Symulacja Pożyczka'!$C$21)/100)*(((Arkusz1!B20-DATE(YEAR(B20),1,1)+1)/366)+((DATE(YEAR(B19),12,31)-Arkusz1!B19)/365))),0))</f>
        <v>0</v>
      </c>
      <c r="H20">
        <f t="shared" ca="1" si="2"/>
        <v>0</v>
      </c>
      <c r="I20">
        <f t="shared" ca="1" si="3"/>
        <v>1.0106164383561644</v>
      </c>
      <c r="J20">
        <f t="shared" ca="1" si="4"/>
        <v>1.0106164383561644</v>
      </c>
      <c r="K20">
        <f ca="1">PRODUCT($J$3:J20)</f>
        <v>1.1991360225589209</v>
      </c>
      <c r="L20">
        <f t="shared" ca="1" si="5"/>
        <v>0.83393374995609715</v>
      </c>
      <c r="M20">
        <f ca="1">SUM($L$3:L20)</f>
        <v>16.417105700403248</v>
      </c>
      <c r="O20">
        <f ca="1">(Q19*'Arkusz1 (+10)'!J20)-Q19</f>
        <v>11977.056079265894</v>
      </c>
      <c r="P20" s="16">
        <f t="shared" ca="1" si="6"/>
        <v>5939.7103714888071</v>
      </c>
      <c r="Q20" s="17">
        <f t="shared" ca="1" si="7"/>
        <v>1122221.7009658045</v>
      </c>
    </row>
    <row r="21" spans="1:17" x14ac:dyDescent="0.35">
      <c r="A21">
        <v>19</v>
      </c>
      <c r="B21" s="14">
        <f t="shared" ca="1" si="8"/>
        <v>46647</v>
      </c>
      <c r="C21" s="15">
        <f ca="1">(1+(('Symulacja Pożyczka'!$B$5+'Symulacja Pożyczka'!$C$21)/100)*('Arkusz1 (+10)'!B21-'Arkusz1 (+10)'!B20)/365)</f>
        <v>1.0106164383561644</v>
      </c>
      <c r="D21" s="15">
        <f ca="1">(1+(('Symulacja Pożyczka'!$B$5+'Symulacja Pożyczka'!$C$21)/100)*('Arkusz1 (+10)'!B21-'Arkusz1 (+10)'!B20)/366)</f>
        <v>1.0105874316939891</v>
      </c>
      <c r="E21" s="15">
        <f t="shared" ca="1" si="0"/>
        <v>0</v>
      </c>
      <c r="F21" s="15">
        <f t="shared" ca="1" si="1"/>
        <v>0</v>
      </c>
      <c r="G21">
        <f ca="1">IF(E21=1,(1+(('Symulacja Pożyczka'!$B$5+'Symulacja Pożyczka'!$C$21)/100)*(((Arkusz1!B21-DATE(YEAR(B21),1,1)+1)/365)+((DATE(YEAR(B20),12,31)-Arkusz1!B20)/366))),IF(F21=1,(1+(('Symulacja Pożyczka'!$B$5+'Symulacja Pożyczka'!$C$21)/100)*(((Arkusz1!B21-DATE(YEAR(B21),1,1)+1)/366)+((DATE(YEAR(B20),12,31)-Arkusz1!B20)/365))),0))</f>
        <v>0</v>
      </c>
      <c r="H21">
        <f t="shared" ca="1" si="2"/>
        <v>0</v>
      </c>
      <c r="I21">
        <f t="shared" ca="1" si="3"/>
        <v>1.0106164383561644</v>
      </c>
      <c r="J21">
        <f t="shared" ca="1" si="4"/>
        <v>1.0106164383561644</v>
      </c>
      <c r="K21">
        <f ca="1">PRODUCT($J$3:J21)</f>
        <v>1.211866576223074</v>
      </c>
      <c r="L21">
        <f t="shared" ca="1" si="5"/>
        <v>0.82517334797417929</v>
      </c>
      <c r="M21">
        <f ca="1">SUM($L$3:L21)</f>
        <v>17.242279048377426</v>
      </c>
      <c r="O21">
        <f ca="1">(Q20*'Arkusz1 (+10)'!J21)-Q20</f>
        <v>11913.997510253452</v>
      </c>
      <c r="P21" s="16">
        <f t="shared" ca="1" si="6"/>
        <v>6002.7689405012497</v>
      </c>
      <c r="Q21" s="17">
        <f t="shared" ca="1" si="7"/>
        <v>1116218.9320253034</v>
      </c>
    </row>
    <row r="22" spans="1:17" x14ac:dyDescent="0.35">
      <c r="A22">
        <v>20</v>
      </c>
      <c r="B22" s="14">
        <f t="shared" ca="1" si="8"/>
        <v>46677</v>
      </c>
      <c r="C22" s="15">
        <f ca="1">(1+(('Symulacja Pożyczka'!$B$5+'Symulacja Pożyczka'!$C$21)/100)*('Arkusz1 (+10)'!B22-'Arkusz1 (+10)'!B21)/365)</f>
        <v>1.0102739726027397</v>
      </c>
      <c r="D22" s="15">
        <f ca="1">(1+(('Symulacja Pożyczka'!$B$5+'Symulacja Pożyczka'!$C$21)/100)*('Arkusz1 (+10)'!B22-'Arkusz1 (+10)'!B21)/366)</f>
        <v>1.0102459016393444</v>
      </c>
      <c r="E22" s="15">
        <f t="shared" ca="1" si="0"/>
        <v>0</v>
      </c>
      <c r="F22" s="15">
        <f t="shared" ca="1" si="1"/>
        <v>0</v>
      </c>
      <c r="G22">
        <f ca="1">IF(E22=1,(1+(('Symulacja Pożyczka'!$B$5+'Symulacja Pożyczka'!$C$21)/100)*(((Arkusz1!B22-DATE(YEAR(B22),1,1)+1)/365)+((DATE(YEAR(B21),12,31)-Arkusz1!B21)/366))),IF(F22=1,(1+(('Symulacja Pożyczka'!$B$5+'Symulacja Pożyczka'!$C$21)/100)*(((Arkusz1!B22-DATE(YEAR(B22),1,1)+1)/366)+((DATE(YEAR(B21),12,31)-Arkusz1!B21)/365))),0))</f>
        <v>0</v>
      </c>
      <c r="H22">
        <f t="shared" ca="1" si="2"/>
        <v>0</v>
      </c>
      <c r="I22">
        <f t="shared" ca="1" si="3"/>
        <v>1.0102739726027397</v>
      </c>
      <c r="J22">
        <f t="shared" ca="1" si="4"/>
        <v>1.0102739726027397</v>
      </c>
      <c r="K22">
        <f ca="1">PRODUCT($J$3:J22)</f>
        <v>1.2243172602253658</v>
      </c>
      <c r="L22">
        <f t="shared" ca="1" si="5"/>
        <v>0.81678175460495051</v>
      </c>
      <c r="M22">
        <f ca="1">SUM($L$3:L22)</f>
        <v>18.059060802982376</v>
      </c>
      <c r="O22">
        <f ca="1">(Q21*'Arkusz1 (+10)'!J22)-Q21</f>
        <v>11468.002726287348</v>
      </c>
      <c r="P22" s="16">
        <f t="shared" ca="1" si="6"/>
        <v>6448.7637244673533</v>
      </c>
      <c r="Q22" s="17">
        <f t="shared" ca="1" si="7"/>
        <v>1109770.1683008361</v>
      </c>
    </row>
    <row r="23" spans="1:17" x14ac:dyDescent="0.35">
      <c r="A23">
        <v>21</v>
      </c>
      <c r="B23" s="14">
        <f t="shared" ca="1" si="8"/>
        <v>46708</v>
      </c>
      <c r="C23" s="15">
        <f ca="1">(1+(('Symulacja Pożyczka'!$B$5+'Symulacja Pożyczka'!$C$21)/100)*('Arkusz1 (+10)'!B23-'Arkusz1 (+10)'!B22)/365)</f>
        <v>1.0106164383561644</v>
      </c>
      <c r="D23" s="15">
        <f ca="1">(1+(('Symulacja Pożyczka'!$B$5+'Symulacja Pożyczka'!$C$21)/100)*('Arkusz1 (+10)'!B23-'Arkusz1 (+10)'!B22)/366)</f>
        <v>1.0105874316939891</v>
      </c>
      <c r="E23" s="15">
        <f t="shared" ca="1" si="0"/>
        <v>0</v>
      </c>
      <c r="F23" s="15">
        <f t="shared" ca="1" si="1"/>
        <v>0</v>
      </c>
      <c r="G23">
        <f ca="1">IF(E23=1,(1+(('Symulacja Pożyczka'!$B$5+'Symulacja Pożyczka'!$C$21)/100)*(((Arkusz1!B23-DATE(YEAR(B23),1,1)+1)/365)+((DATE(YEAR(B22),12,31)-Arkusz1!B22)/366))),IF(F23=1,(1+(('Symulacja Pożyczka'!$B$5+'Symulacja Pożyczka'!$C$21)/100)*(((Arkusz1!B23-DATE(YEAR(B23),1,1)+1)/366)+((DATE(YEAR(B22),12,31)-Arkusz1!B22)/365))),0))</f>
        <v>0</v>
      </c>
      <c r="H23">
        <f t="shared" ca="1" si="2"/>
        <v>0</v>
      </c>
      <c r="I23">
        <f t="shared" ca="1" si="3"/>
        <v>1.0106164383561644</v>
      </c>
      <c r="J23">
        <f t="shared" ca="1" si="4"/>
        <v>1.0106164383561644</v>
      </c>
      <c r="K23">
        <f ca="1">PRODUCT($J$3:J23)</f>
        <v>1.2373151489469365</v>
      </c>
      <c r="L23">
        <f t="shared" ca="1" si="5"/>
        <v>0.80820153285206886</v>
      </c>
      <c r="M23">
        <f ca="1">SUM($L$3:L23)</f>
        <v>18.867262335834447</v>
      </c>
      <c r="O23">
        <f ca="1">(Q22*'Arkusz1 (+10)'!J23)-Q22</f>
        <v>11781.806581276003</v>
      </c>
      <c r="P23" s="16">
        <f t="shared" ca="1" si="6"/>
        <v>6134.9598694786982</v>
      </c>
      <c r="Q23" s="17">
        <f t="shared" ca="1" si="7"/>
        <v>1103635.2084313575</v>
      </c>
    </row>
    <row r="24" spans="1:17" x14ac:dyDescent="0.35">
      <c r="A24">
        <v>22</v>
      </c>
      <c r="B24" s="14">
        <f t="shared" ca="1" si="8"/>
        <v>46738</v>
      </c>
      <c r="C24" s="15">
        <f ca="1">(1+(('Symulacja Pożyczka'!$B$5+'Symulacja Pożyczka'!$C$21)/100)*('Arkusz1 (+10)'!B24-'Arkusz1 (+10)'!B23)/365)</f>
        <v>1.0102739726027397</v>
      </c>
      <c r="D24" s="15">
        <f ca="1">(1+(('Symulacja Pożyczka'!$B$5+'Symulacja Pożyczka'!$C$21)/100)*('Arkusz1 (+10)'!B24-'Arkusz1 (+10)'!B23)/366)</f>
        <v>1.0102459016393444</v>
      </c>
      <c r="E24" s="15">
        <f t="shared" ca="1" si="0"/>
        <v>0</v>
      </c>
      <c r="F24" s="15">
        <f t="shared" ca="1" si="1"/>
        <v>0</v>
      </c>
      <c r="G24">
        <f ca="1">IF(E24=1,(1+(('Symulacja Pożyczka'!$B$5+'Symulacja Pożyczka'!$C$21)/100)*(((Arkusz1!B24-DATE(YEAR(B24),1,1)+1)/365)+((DATE(YEAR(B23),12,31)-Arkusz1!B23)/366))),IF(F24=1,(1+(('Symulacja Pożyczka'!$B$5+'Symulacja Pożyczka'!$C$21)/100)*(((Arkusz1!B24-DATE(YEAR(B24),1,1)+1)/366)+((DATE(YEAR(B23),12,31)-Arkusz1!B23)/365))),0))</f>
        <v>0</v>
      </c>
      <c r="H24">
        <f t="shared" ca="1" si="2"/>
        <v>0</v>
      </c>
      <c r="I24">
        <f t="shared" ca="1" si="3"/>
        <v>1.0102739726027397</v>
      </c>
      <c r="J24">
        <f t="shared" ca="1" si="4"/>
        <v>1.0102739726027397</v>
      </c>
      <c r="K24">
        <f ca="1">PRODUCT($J$3:J24)</f>
        <v>1.250027290888172</v>
      </c>
      <c r="L24">
        <f t="shared" ca="1" si="5"/>
        <v>0.79998253421289545</v>
      </c>
      <c r="M24">
        <f ca="1">SUM($L$3:L24)</f>
        <v>19.667244870047341</v>
      </c>
      <c r="O24">
        <f ca="1">(Q23*'Arkusz1 (+10)'!J24)-Q23</f>
        <v>11338.717894842615</v>
      </c>
      <c r="P24" s="16">
        <f t="shared" ca="1" si="6"/>
        <v>6578.0485559120862</v>
      </c>
      <c r="Q24" s="17">
        <f t="shared" ca="1" si="7"/>
        <v>1097057.1598754455</v>
      </c>
    </row>
    <row r="25" spans="1:17" x14ac:dyDescent="0.35">
      <c r="A25">
        <v>23</v>
      </c>
      <c r="B25" s="14">
        <f t="shared" ca="1" si="8"/>
        <v>46769</v>
      </c>
      <c r="C25" s="15">
        <f ca="1">(1+(('Symulacja Pożyczka'!$B$5+'Symulacja Pożyczka'!$C$21)/100)*('Arkusz1 (+10)'!B25-'Arkusz1 (+10)'!B24)/365)</f>
        <v>1.0106164383561644</v>
      </c>
      <c r="D25" s="15">
        <f ca="1">(1+(('Symulacja Pożyczka'!$B$5+'Symulacja Pożyczka'!$C$21)/100)*('Arkusz1 (+10)'!B25-'Arkusz1 (+10)'!B24)/366)</f>
        <v>1.0105874316939891</v>
      </c>
      <c r="E25" s="15">
        <f t="shared" ca="1" si="0"/>
        <v>0</v>
      </c>
      <c r="F25" s="15">
        <f t="shared" ca="1" si="1"/>
        <v>1</v>
      </c>
      <c r="G25">
        <f ca="1">IF(E25=1,(1+(('Symulacja Pożyczka'!$B$5+'Symulacja Pożyczka'!$C$21)/100)*(((Arkusz1!B25-DATE(YEAR(B25),1,1)+1)/365)+((DATE(YEAR(B24),12,31)-Arkusz1!B24)/366))),IF(F25=1,(1+(('Symulacja Pożyczka'!$B$5+'Symulacja Pożyczka'!$C$21)/100)*(((Arkusz1!B25-DATE(YEAR(B25),1,1)+1)/366)+((DATE(YEAR(B24),12,31)-Arkusz1!B24)/365))),0))</f>
        <v>1.0106005314769069</v>
      </c>
      <c r="H25">
        <f t="shared" ca="1" si="2"/>
        <v>1</v>
      </c>
      <c r="I25">
        <f t="shared" ca="1" si="3"/>
        <v>1.0105874316939891</v>
      </c>
      <c r="J25">
        <f t="shared" ca="1" si="4"/>
        <v>1.0106005314769069</v>
      </c>
      <c r="K25">
        <f ca="1">PRODUCT($J$3:J25)</f>
        <v>1.2632782445322246</v>
      </c>
      <c r="L25">
        <f t="shared" ca="1" si="5"/>
        <v>0.79159124628975697</v>
      </c>
      <c r="M25">
        <f ca="1">SUM($L$3:L25)</f>
        <v>20.458836116337096</v>
      </c>
      <c r="O25">
        <f ca="1">(Q24*'Arkusz1 (+10)'!J25)-Q24</f>
        <v>11629.388955225702</v>
      </c>
      <c r="P25" s="16">
        <f t="shared" ca="1" si="6"/>
        <v>6287.3774955289991</v>
      </c>
      <c r="Q25" s="17">
        <f t="shared" ca="1" si="7"/>
        <v>1090769.7823799166</v>
      </c>
    </row>
    <row r="26" spans="1:17" x14ac:dyDescent="0.35">
      <c r="A26">
        <v>24</v>
      </c>
      <c r="B26" s="14">
        <f t="shared" ca="1" si="8"/>
        <v>46800</v>
      </c>
      <c r="C26" s="15">
        <f ca="1">(1+(('Symulacja Pożyczka'!$B$5+'Symulacja Pożyczka'!$C$21)/100)*('Arkusz1 (+10)'!B26-'Arkusz1 (+10)'!B25)/365)</f>
        <v>1.0106164383561644</v>
      </c>
      <c r="D26" s="15">
        <f ca="1">(1+(('Symulacja Pożyczka'!$B$5+'Symulacja Pożyczka'!$C$21)/100)*('Arkusz1 (+10)'!B26-'Arkusz1 (+10)'!B25)/366)</f>
        <v>1.0105874316939891</v>
      </c>
      <c r="E26" s="15">
        <f t="shared" ca="1" si="0"/>
        <v>0</v>
      </c>
      <c r="F26" s="15">
        <f t="shared" ca="1" si="1"/>
        <v>0</v>
      </c>
      <c r="G26">
        <f ca="1">IF(E26=1,(1+(('Symulacja Pożyczka'!$B$5+'Symulacja Pożyczka'!$C$21)/100)*(((Arkusz1!B26-DATE(YEAR(B26),1,1)+1)/365)+((DATE(YEAR(B25),12,31)-Arkusz1!B25)/366))),IF(F26=1,(1+(('Symulacja Pożyczka'!$B$5+'Symulacja Pożyczka'!$C$21)/100)*(((Arkusz1!B26-DATE(YEAR(B26),1,1)+1)/366)+((DATE(YEAR(B25),12,31)-Arkusz1!B25)/365))),0))</f>
        <v>0</v>
      </c>
      <c r="H26">
        <f t="shared" ca="1" si="2"/>
        <v>1</v>
      </c>
      <c r="I26">
        <f t="shared" ca="1" si="3"/>
        <v>1.0105874316939891</v>
      </c>
      <c r="J26">
        <f t="shared" ca="1" si="4"/>
        <v>1.0105874316939891</v>
      </c>
      <c r="K26">
        <f ca="1">PRODUCT($J$3:J26)</f>
        <v>1.2766531166567121</v>
      </c>
      <c r="L26">
        <f t="shared" ca="1" si="5"/>
        <v>0.78329813083352751</v>
      </c>
      <c r="M26">
        <f ca="1">SUM($L$3:L26)</f>
        <v>21.242134247170625</v>
      </c>
      <c r="O26">
        <f ca="1">(Q25*'Arkusz1 (+10)'!J26)-Q25</f>
        <v>11548.450564814731</v>
      </c>
      <c r="P26" s="16">
        <f t="shared" ca="1" si="6"/>
        <v>6368.31588593997</v>
      </c>
      <c r="Q26" s="17">
        <f t="shared" ca="1" si="7"/>
        <v>1084401.4664939768</v>
      </c>
    </row>
    <row r="27" spans="1:17" x14ac:dyDescent="0.35">
      <c r="A27">
        <v>25</v>
      </c>
      <c r="B27" s="14">
        <f t="shared" ca="1" si="8"/>
        <v>46829</v>
      </c>
      <c r="C27" s="15">
        <f ca="1">(1+(('Symulacja Pożyczka'!$B$5+'Symulacja Pożyczka'!$C$21)/100)*('Arkusz1 (+10)'!B27-'Arkusz1 (+10)'!B26)/365)</f>
        <v>1.0099315068493151</v>
      </c>
      <c r="D27" s="15">
        <f ca="1">(1+(('Symulacja Pożyczka'!$B$5+'Symulacja Pożyczka'!$C$21)/100)*('Arkusz1 (+10)'!B27-'Arkusz1 (+10)'!B26)/366)</f>
        <v>1.0099043715846994</v>
      </c>
      <c r="E27" s="15">
        <f t="shared" ca="1" si="0"/>
        <v>0</v>
      </c>
      <c r="F27" s="15">
        <f t="shared" ca="1" si="1"/>
        <v>0</v>
      </c>
      <c r="G27">
        <f ca="1">IF(E27=1,(1+(('Symulacja Pożyczka'!$B$5+'Symulacja Pożyczka'!$C$21)/100)*(((Arkusz1!B27-DATE(YEAR(B27),1,1)+1)/365)+((DATE(YEAR(B26),12,31)-Arkusz1!B26)/366))),IF(F27=1,(1+(('Symulacja Pożyczka'!$B$5+'Symulacja Pożyczka'!$C$21)/100)*(((Arkusz1!B27-DATE(YEAR(B27),1,1)+1)/366)+((DATE(YEAR(B26),12,31)-Arkusz1!B26)/365))),0))</f>
        <v>0</v>
      </c>
      <c r="H27">
        <f t="shared" ca="1" si="2"/>
        <v>1</v>
      </c>
      <c r="I27">
        <f t="shared" ca="1" si="3"/>
        <v>1.0099043715846994</v>
      </c>
      <c r="J27">
        <f t="shared" ca="1" si="4"/>
        <v>1.0099043715846994</v>
      </c>
      <c r="K27">
        <f ca="1">PRODUCT($J$3:J27)</f>
        <v>1.2892975635088448</v>
      </c>
      <c r="L27">
        <f t="shared" ca="1" si="5"/>
        <v>0.77561614037219095</v>
      </c>
      <c r="M27">
        <f ca="1">SUM($L$3:L27)</f>
        <v>22.017750387542815</v>
      </c>
      <c r="O27">
        <f ca="1">(Q26*'Arkusz1 (+10)'!J27)-Q26</f>
        <v>10740.315071149264</v>
      </c>
      <c r="P27" s="16">
        <f t="shared" ca="1" si="6"/>
        <v>7176.451379605438</v>
      </c>
      <c r="Q27" s="17">
        <f t="shared" ca="1" si="7"/>
        <v>1077225.0151143714</v>
      </c>
    </row>
    <row r="28" spans="1:17" x14ac:dyDescent="0.35">
      <c r="A28">
        <v>26</v>
      </c>
      <c r="B28" s="14">
        <f t="shared" ca="1" si="8"/>
        <v>46860</v>
      </c>
      <c r="C28" s="15">
        <f ca="1">(1+(('Symulacja Pożyczka'!$B$5+'Symulacja Pożyczka'!$C$21)/100)*('Arkusz1 (+10)'!B28-'Arkusz1 (+10)'!B27)/365)</f>
        <v>1.0106164383561644</v>
      </c>
      <c r="D28" s="15">
        <f ca="1">(1+(('Symulacja Pożyczka'!$B$5+'Symulacja Pożyczka'!$C$21)/100)*('Arkusz1 (+10)'!B28-'Arkusz1 (+10)'!B27)/366)</f>
        <v>1.0105874316939891</v>
      </c>
      <c r="E28" s="15">
        <f t="shared" ca="1" si="0"/>
        <v>0</v>
      </c>
      <c r="F28" s="15">
        <f t="shared" ca="1" si="1"/>
        <v>0</v>
      </c>
      <c r="G28">
        <f ca="1">IF(E28=1,(1+(('Symulacja Pożyczka'!$B$5+'Symulacja Pożyczka'!$C$21)/100)*(((Arkusz1!B28-DATE(YEAR(B28),1,1)+1)/365)+((DATE(YEAR(B27),12,31)-Arkusz1!B27)/366))),IF(F28=1,(1+(('Symulacja Pożyczka'!$B$5+'Symulacja Pożyczka'!$C$21)/100)*(((Arkusz1!B28-DATE(YEAR(B28),1,1)+1)/366)+((DATE(YEAR(B27),12,31)-Arkusz1!B27)/365))),0))</f>
        <v>0</v>
      </c>
      <c r="H28">
        <f t="shared" ca="1" si="2"/>
        <v>1</v>
      </c>
      <c r="I28">
        <f t="shared" ca="1" si="3"/>
        <v>1.0105874316939891</v>
      </c>
      <c r="J28">
        <f t="shared" ca="1" si="4"/>
        <v>1.0105874316939891</v>
      </c>
      <c r="K28">
        <f ca="1">PRODUCT($J$3:J28)</f>
        <v>1.3029479133957214</v>
      </c>
      <c r="L28">
        <f t="shared" ca="1" si="5"/>
        <v>0.76749038831016392</v>
      </c>
      <c r="M28">
        <f ca="1">SUM($L$3:L28)</f>
        <v>22.78524077585298</v>
      </c>
      <c r="O28">
        <f ca="1">(Q27*'Arkusz1 (+10)'!J28)-Q27</f>
        <v>11405.046266579768</v>
      </c>
      <c r="P28" s="16">
        <f t="shared" ca="1" si="6"/>
        <v>6511.7201841749338</v>
      </c>
      <c r="Q28" s="17">
        <f t="shared" ca="1" si="7"/>
        <v>1070713.2949301966</v>
      </c>
    </row>
    <row r="29" spans="1:17" x14ac:dyDescent="0.35">
      <c r="A29">
        <v>27</v>
      </c>
      <c r="B29" s="14">
        <f t="shared" ca="1" si="8"/>
        <v>46890</v>
      </c>
      <c r="C29" s="15">
        <f ca="1">(1+(('Symulacja Pożyczka'!$B$5+'Symulacja Pożyczka'!$C$21)/100)*('Arkusz1 (+10)'!B29-'Arkusz1 (+10)'!B28)/365)</f>
        <v>1.0102739726027397</v>
      </c>
      <c r="D29" s="15">
        <f ca="1">(1+(('Symulacja Pożyczka'!$B$5+'Symulacja Pożyczka'!$C$21)/100)*('Arkusz1 (+10)'!B29-'Arkusz1 (+10)'!B28)/366)</f>
        <v>1.0102459016393444</v>
      </c>
      <c r="E29" s="15">
        <f t="shared" ca="1" si="0"/>
        <v>0</v>
      </c>
      <c r="F29" s="15">
        <f t="shared" ca="1" si="1"/>
        <v>0</v>
      </c>
      <c r="G29">
        <f ca="1">IF(E29=1,(1+(('Symulacja Pożyczka'!$B$5+'Symulacja Pożyczka'!$C$21)/100)*(((Arkusz1!B29-DATE(YEAR(B29),1,1)+1)/365)+((DATE(YEAR(B28),12,31)-Arkusz1!B28)/366))),IF(F29=1,(1+(('Symulacja Pożyczka'!$B$5+'Symulacja Pożyczka'!$C$21)/100)*(((Arkusz1!B29-DATE(YEAR(B29),1,1)+1)/366)+((DATE(YEAR(B28),12,31)-Arkusz1!B28)/365))),0))</f>
        <v>0</v>
      </c>
      <c r="H29">
        <f t="shared" ca="1" si="2"/>
        <v>1</v>
      </c>
      <c r="I29">
        <f t="shared" ca="1" si="3"/>
        <v>1.0102459016393444</v>
      </c>
      <c r="J29">
        <f t="shared" ca="1" si="4"/>
        <v>1.0102459016393444</v>
      </c>
      <c r="K29">
        <f ca="1">PRODUCT($J$3:J29)</f>
        <v>1.3162977895575629</v>
      </c>
      <c r="L29">
        <f t="shared" ca="1" si="5"/>
        <v>0.75970651013257595</v>
      </c>
      <c r="M29">
        <f ca="1">SUM($L$3:L29)</f>
        <v>23.544947285985558</v>
      </c>
      <c r="O29">
        <f ca="1">(Q28*'Arkusz1 (+10)'!J29)-Q28</f>
        <v>10970.423103793059</v>
      </c>
      <c r="P29" s="16">
        <f t="shared" ca="1" si="6"/>
        <v>6946.343346961643</v>
      </c>
      <c r="Q29" s="17">
        <f t="shared" ca="1" si="7"/>
        <v>1063766.9515832351</v>
      </c>
    </row>
    <row r="30" spans="1:17" x14ac:dyDescent="0.35">
      <c r="A30">
        <v>28</v>
      </c>
      <c r="B30" s="14">
        <f t="shared" ca="1" si="8"/>
        <v>46921</v>
      </c>
      <c r="C30" s="15">
        <f ca="1">(1+(('Symulacja Pożyczka'!$B$5+'Symulacja Pożyczka'!$C$21)/100)*('Arkusz1 (+10)'!B30-'Arkusz1 (+10)'!B29)/365)</f>
        <v>1.0106164383561644</v>
      </c>
      <c r="D30" s="15">
        <f ca="1">(1+(('Symulacja Pożyczka'!$B$5+'Symulacja Pożyczka'!$C$21)/100)*('Arkusz1 (+10)'!B30-'Arkusz1 (+10)'!B29)/366)</f>
        <v>1.0105874316939891</v>
      </c>
      <c r="E30" s="15">
        <f t="shared" ca="1" si="0"/>
        <v>0</v>
      </c>
      <c r="F30" s="15">
        <f t="shared" ca="1" si="1"/>
        <v>0</v>
      </c>
      <c r="G30">
        <f ca="1">IF(E30=1,(1+(('Symulacja Pożyczka'!$B$5+'Symulacja Pożyczka'!$C$21)/100)*(((Arkusz1!B30-DATE(YEAR(B30),1,1)+1)/365)+((DATE(YEAR(B29),12,31)-Arkusz1!B29)/366))),IF(F30=1,(1+(('Symulacja Pożyczka'!$B$5+'Symulacja Pożyczka'!$C$21)/100)*(((Arkusz1!B30-DATE(YEAR(B30),1,1)+1)/366)+((DATE(YEAR(B29),12,31)-Arkusz1!B29)/365))),0))</f>
        <v>0</v>
      </c>
      <c r="H30">
        <f t="shared" ca="1" si="2"/>
        <v>1</v>
      </c>
      <c r="I30">
        <f t="shared" ca="1" si="3"/>
        <v>1.0105874316939891</v>
      </c>
      <c r="J30">
        <f t="shared" ca="1" si="4"/>
        <v>1.0105874316939891</v>
      </c>
      <c r="K30">
        <f ca="1">PRODUCT($J$3:J30)</f>
        <v>1.3302340024934525</v>
      </c>
      <c r="L30">
        <f t="shared" ca="1" si="5"/>
        <v>0.75174743550800349</v>
      </c>
      <c r="M30">
        <f ca="1">SUM($L$3:L30)</f>
        <v>24.296694721493562</v>
      </c>
      <c r="O30">
        <f ca="1">(Q29*'Arkusz1 (+10)'!J30)-Q29</f>
        <v>11262.559938210528</v>
      </c>
      <c r="P30" s="16">
        <f t="shared" ca="1" si="6"/>
        <v>6654.2065125441732</v>
      </c>
      <c r="Q30" s="17">
        <f t="shared" ca="1" si="7"/>
        <v>1057112.745070691</v>
      </c>
    </row>
    <row r="31" spans="1:17" x14ac:dyDescent="0.35">
      <c r="A31">
        <v>29</v>
      </c>
      <c r="B31" s="14">
        <f t="shared" ca="1" si="8"/>
        <v>46951</v>
      </c>
      <c r="C31" s="15">
        <f ca="1">(1+(('Symulacja Pożyczka'!$B$5+'Symulacja Pożyczka'!$C$21)/100)*('Arkusz1 (+10)'!B31-'Arkusz1 (+10)'!B30)/365)</f>
        <v>1.0102739726027397</v>
      </c>
      <c r="D31" s="15">
        <f ca="1">(1+(('Symulacja Pożyczka'!$B$5+'Symulacja Pożyczka'!$C$21)/100)*('Arkusz1 (+10)'!B31-'Arkusz1 (+10)'!B30)/366)</f>
        <v>1.0102459016393444</v>
      </c>
      <c r="E31" s="15">
        <f t="shared" ca="1" si="0"/>
        <v>0</v>
      </c>
      <c r="F31" s="15">
        <f t="shared" ca="1" si="1"/>
        <v>0</v>
      </c>
      <c r="G31">
        <f ca="1">IF(E31=1,(1+(('Symulacja Pożyczka'!$B$5+'Symulacja Pożyczka'!$C$21)/100)*(((Arkusz1!B31-DATE(YEAR(B31),1,1)+1)/365)+((DATE(YEAR(B30),12,31)-Arkusz1!B30)/366))),IF(F31=1,(1+(('Symulacja Pożyczka'!$B$5+'Symulacja Pożyczka'!$C$21)/100)*(((Arkusz1!B31-DATE(YEAR(B31),1,1)+1)/366)+((DATE(YEAR(B30),12,31)-Arkusz1!B30)/365))),0))</f>
        <v>0</v>
      </c>
      <c r="H31">
        <f t="shared" ca="1" si="2"/>
        <v>1</v>
      </c>
      <c r="I31">
        <f t="shared" ca="1" si="3"/>
        <v>1.0102459016393444</v>
      </c>
      <c r="J31">
        <f t="shared" ca="1" si="4"/>
        <v>1.0102459016393444</v>
      </c>
      <c r="K31">
        <f ca="1">PRODUCT($J$3:J31)</f>
        <v>1.3438634492403116</v>
      </c>
      <c r="L31">
        <f t="shared" ca="1" si="5"/>
        <v>0.74412322216613735</v>
      </c>
      <c r="M31">
        <f ca="1">SUM($L$3:L31)</f>
        <v>25.0408179436597</v>
      </c>
      <c r="O31">
        <f ca="1">(Q30*'Arkusz1 (+10)'!J31)-Q30</f>
        <v>10831.073207691545</v>
      </c>
      <c r="P31" s="16">
        <f t="shared" ca="1" si="6"/>
        <v>7085.6932430631568</v>
      </c>
      <c r="Q31" s="17">
        <f t="shared" ca="1" si="7"/>
        <v>1050027.0518276279</v>
      </c>
    </row>
    <row r="32" spans="1:17" x14ac:dyDescent="0.35">
      <c r="A32">
        <v>30</v>
      </c>
      <c r="B32" s="14">
        <f t="shared" ca="1" si="8"/>
        <v>46982</v>
      </c>
      <c r="C32" s="15">
        <f ca="1">(1+(('Symulacja Pożyczka'!$B$5+'Symulacja Pożyczka'!$C$21)/100)*('Arkusz1 (+10)'!B32-'Arkusz1 (+10)'!B31)/365)</f>
        <v>1.0106164383561644</v>
      </c>
      <c r="D32" s="15">
        <f ca="1">(1+(('Symulacja Pożyczka'!$B$5+'Symulacja Pożyczka'!$C$21)/100)*('Arkusz1 (+10)'!B32-'Arkusz1 (+10)'!B31)/366)</f>
        <v>1.0105874316939891</v>
      </c>
      <c r="E32" s="15">
        <f t="shared" ca="1" si="0"/>
        <v>0</v>
      </c>
      <c r="F32" s="15">
        <f t="shared" ca="1" si="1"/>
        <v>0</v>
      </c>
      <c r="G32">
        <f ca="1">IF(E32=1,(1+(('Symulacja Pożyczka'!$B$5+'Symulacja Pożyczka'!$C$21)/100)*(((Arkusz1!B32-DATE(YEAR(B32),1,1)+1)/365)+((DATE(YEAR(B31),12,31)-Arkusz1!B31)/366))),IF(F32=1,(1+(('Symulacja Pożyczka'!$B$5+'Symulacja Pożyczka'!$C$21)/100)*(((Arkusz1!B32-DATE(YEAR(B32),1,1)+1)/366)+((DATE(YEAR(B31),12,31)-Arkusz1!B31)/365))),0))</f>
        <v>0</v>
      </c>
      <c r="H32">
        <f t="shared" ca="1" si="2"/>
        <v>1</v>
      </c>
      <c r="I32">
        <f t="shared" ca="1" si="3"/>
        <v>1.0105874316939891</v>
      </c>
      <c r="J32">
        <f t="shared" ca="1" si="4"/>
        <v>1.0105874316939891</v>
      </c>
      <c r="K32">
        <f ca="1">PRODUCT($J$3:J32)</f>
        <v>1.3580915117151922</v>
      </c>
      <c r="L32">
        <f t="shared" ca="1" si="5"/>
        <v>0.73632740605016889</v>
      </c>
      <c r="M32">
        <f ca="1">SUM($L$3:L32)</f>
        <v>25.777145349709869</v>
      </c>
      <c r="O32">
        <f ca="1">(Q31*'Arkusz1 (+10)'!J32)-Q31</f>
        <v>11117.089688065695</v>
      </c>
      <c r="P32" s="16">
        <f t="shared" ca="1" si="6"/>
        <v>6799.6767626890069</v>
      </c>
      <c r="Q32" s="17">
        <f t="shared" ca="1" si="7"/>
        <v>1043227.3750649389</v>
      </c>
    </row>
    <row r="33" spans="1:17" x14ac:dyDescent="0.35">
      <c r="A33">
        <v>31</v>
      </c>
      <c r="B33" s="14">
        <f t="shared" ca="1" si="8"/>
        <v>47013</v>
      </c>
      <c r="C33" s="15">
        <f ca="1">(1+(('Symulacja Pożyczka'!$B$5+'Symulacja Pożyczka'!$C$21)/100)*('Arkusz1 (+10)'!B33-'Arkusz1 (+10)'!B32)/365)</f>
        <v>1.0106164383561644</v>
      </c>
      <c r="D33" s="15">
        <f ca="1">(1+(('Symulacja Pożyczka'!$B$5+'Symulacja Pożyczka'!$C$21)/100)*('Arkusz1 (+10)'!B33-'Arkusz1 (+10)'!B32)/366)</f>
        <v>1.0105874316939891</v>
      </c>
      <c r="E33" s="15">
        <f t="shared" ca="1" si="0"/>
        <v>0</v>
      </c>
      <c r="F33" s="15">
        <f t="shared" ca="1" si="1"/>
        <v>0</v>
      </c>
      <c r="G33">
        <f ca="1">IF(E33=1,(1+(('Symulacja Pożyczka'!$B$5+'Symulacja Pożyczka'!$C$21)/100)*(((Arkusz1!B33-DATE(YEAR(B33),1,1)+1)/365)+((DATE(YEAR(B32),12,31)-Arkusz1!B32)/366))),IF(F33=1,(1+(('Symulacja Pożyczka'!$B$5+'Symulacja Pożyczka'!$C$21)/100)*(((Arkusz1!B33-DATE(YEAR(B33),1,1)+1)/366)+((DATE(YEAR(B32),12,31)-Arkusz1!B32)/365))),0))</f>
        <v>0</v>
      </c>
      <c r="H33">
        <f t="shared" ca="1" si="2"/>
        <v>1</v>
      </c>
      <c r="I33">
        <f t="shared" ca="1" si="3"/>
        <v>1.0105874316939891</v>
      </c>
      <c r="J33">
        <f t="shared" ca="1" si="4"/>
        <v>1.0105874316939891</v>
      </c>
      <c r="K33">
        <f ca="1">PRODUCT($J$3:J33)</f>
        <v>1.3724702128296631</v>
      </c>
      <c r="L33">
        <f t="shared" ca="1" si="5"/>
        <v>0.72861326289790285</v>
      </c>
      <c r="M33">
        <f ca="1">SUM($L$3:L33)</f>
        <v>26.505758612607771</v>
      </c>
      <c r="O33">
        <f ca="1">(Q32*'Arkusz1 (+10)'!J33)-Q32</f>
        <v>11045.098574799602</v>
      </c>
      <c r="P33" s="16">
        <f t="shared" ca="1" si="6"/>
        <v>6871.6678759550996</v>
      </c>
      <c r="Q33" s="17">
        <f t="shared" ca="1" si="7"/>
        <v>1036355.7071889838</v>
      </c>
    </row>
    <row r="34" spans="1:17" x14ac:dyDescent="0.35">
      <c r="A34">
        <v>32</v>
      </c>
      <c r="B34" s="14">
        <f t="shared" ca="1" si="8"/>
        <v>47043</v>
      </c>
      <c r="C34" s="15">
        <f ca="1">(1+(('Symulacja Pożyczka'!$B$5+'Symulacja Pożyczka'!$C$21)/100)*('Arkusz1 (+10)'!B34-'Arkusz1 (+10)'!B33)/365)</f>
        <v>1.0102739726027397</v>
      </c>
      <c r="D34" s="15">
        <f ca="1">(1+(('Symulacja Pożyczka'!$B$5+'Symulacja Pożyczka'!$C$21)/100)*('Arkusz1 (+10)'!B34-'Arkusz1 (+10)'!B33)/366)</f>
        <v>1.0102459016393444</v>
      </c>
      <c r="E34" s="15">
        <f t="shared" ca="1" si="0"/>
        <v>0</v>
      </c>
      <c r="F34" s="15">
        <f t="shared" ca="1" si="1"/>
        <v>0</v>
      </c>
      <c r="G34">
        <f ca="1">IF(E34=1,(1+(('Symulacja Pożyczka'!$B$5+'Symulacja Pożyczka'!$C$21)/100)*(((Arkusz1!B34-DATE(YEAR(B34),1,1)+1)/365)+((DATE(YEAR(B33),12,31)-Arkusz1!B33)/366))),IF(F34=1,(1+(('Symulacja Pożyczka'!$B$5+'Symulacja Pożyczka'!$C$21)/100)*(((Arkusz1!B34-DATE(YEAR(B34),1,1)+1)/366)+((DATE(YEAR(B33),12,31)-Arkusz1!B33)/365))),0))</f>
        <v>0</v>
      </c>
      <c r="H34">
        <f t="shared" ca="1" si="2"/>
        <v>1</v>
      </c>
      <c r="I34">
        <f t="shared" ca="1" si="3"/>
        <v>1.0102459016393444</v>
      </c>
      <c r="J34">
        <f t="shared" ca="1" si="4"/>
        <v>1.0102459016393444</v>
      </c>
      <c r="K34">
        <f ca="1">PRODUCT($J$3:J34)</f>
        <v>1.3865324076332459</v>
      </c>
      <c r="L34">
        <f t="shared" ca="1" si="5"/>
        <v>0.72122367605309645</v>
      </c>
      <c r="M34">
        <f ca="1">SUM($L$3:L34)</f>
        <v>27.226982288660867</v>
      </c>
      <c r="O34">
        <f ca="1">(Q33*'Arkusz1 (+10)'!J34)-Q33</f>
        <v>10618.398639231455</v>
      </c>
      <c r="P34" s="16">
        <f t="shared" ca="1" si="6"/>
        <v>7298.3678115232469</v>
      </c>
      <c r="Q34" s="17">
        <f t="shared" ca="1" si="7"/>
        <v>1029057.3393774605</v>
      </c>
    </row>
    <row r="35" spans="1:17" x14ac:dyDescent="0.35">
      <c r="A35">
        <v>33</v>
      </c>
      <c r="B35" s="14">
        <f t="shared" ca="1" si="8"/>
        <v>47074</v>
      </c>
      <c r="C35" s="15">
        <f ca="1">(1+(('Symulacja Pożyczka'!$B$5+'Symulacja Pożyczka'!$C$21)/100)*('Arkusz1 (+10)'!B35-'Arkusz1 (+10)'!B34)/365)</f>
        <v>1.0106164383561644</v>
      </c>
      <c r="D35" s="15">
        <f ca="1">(1+(('Symulacja Pożyczka'!$B$5+'Symulacja Pożyczka'!$C$21)/100)*('Arkusz1 (+10)'!B35-'Arkusz1 (+10)'!B34)/366)</f>
        <v>1.0105874316939891</v>
      </c>
      <c r="E35" s="15">
        <f t="shared" ca="1" si="0"/>
        <v>0</v>
      </c>
      <c r="F35" s="15">
        <f t="shared" ca="1" si="1"/>
        <v>0</v>
      </c>
      <c r="G35">
        <f ca="1">IF(E35=1,(1+(('Symulacja Pożyczka'!$B$5+'Symulacja Pożyczka'!$C$21)/100)*(((Arkusz1!B35-DATE(YEAR(B35),1,1)+1)/365)+((DATE(YEAR(B34),12,31)-Arkusz1!B34)/366))),IF(F35=1,(1+(('Symulacja Pożyczka'!$B$5+'Symulacja Pożyczka'!$C$21)/100)*(((Arkusz1!B35-DATE(YEAR(B35),1,1)+1)/366)+((DATE(YEAR(B34),12,31)-Arkusz1!B34)/365))),0))</f>
        <v>0</v>
      </c>
      <c r="H35">
        <f t="shared" ca="1" si="2"/>
        <v>1</v>
      </c>
      <c r="I35">
        <f t="shared" ca="1" si="3"/>
        <v>1.0105874316939891</v>
      </c>
      <c r="J35">
        <f t="shared" ca="1" si="4"/>
        <v>1.0105874316939891</v>
      </c>
      <c r="K35">
        <f ca="1">PRODUCT($J$3:J35)</f>
        <v>1.4012122247905652</v>
      </c>
      <c r="L35">
        <f t="shared" ca="1" si="5"/>
        <v>0.71366776731445292</v>
      </c>
      <c r="M35">
        <f ca="1">SUM($L$3:L35)</f>
        <v>27.940650055975318</v>
      </c>
      <c r="O35">
        <f ca="1">(Q34*'Arkusz1 (+10)'!J35)-Q34</f>
        <v>10895.074289857061</v>
      </c>
      <c r="P35" s="16">
        <f t="shared" ca="1" si="6"/>
        <v>7021.6921608976409</v>
      </c>
      <c r="Q35" s="17">
        <f t="shared" ca="1" si="7"/>
        <v>1022035.6472165629</v>
      </c>
    </row>
    <row r="36" spans="1:17" x14ac:dyDescent="0.35">
      <c r="A36">
        <v>34</v>
      </c>
      <c r="B36" s="14">
        <f t="shared" ca="1" si="8"/>
        <v>47104</v>
      </c>
      <c r="C36" s="15">
        <f ca="1">(1+(('Symulacja Pożyczka'!$B$5+'Symulacja Pożyczka'!$C$21)/100)*('Arkusz1 (+10)'!B36-'Arkusz1 (+10)'!B35)/365)</f>
        <v>1.0102739726027397</v>
      </c>
      <c r="D36" s="15">
        <f ca="1">(1+(('Symulacja Pożyczka'!$B$5+'Symulacja Pożyczka'!$C$21)/100)*('Arkusz1 (+10)'!B36-'Arkusz1 (+10)'!B35)/366)</f>
        <v>1.0102459016393444</v>
      </c>
      <c r="E36" s="15">
        <f t="shared" ca="1" si="0"/>
        <v>0</v>
      </c>
      <c r="F36" s="15">
        <f t="shared" ca="1" si="1"/>
        <v>0</v>
      </c>
      <c r="G36">
        <f ca="1">IF(E36=1,(1+(('Symulacja Pożyczka'!$B$5+'Symulacja Pożyczka'!$C$21)/100)*(((Arkusz1!B36-DATE(YEAR(B36),1,1)+1)/365)+((DATE(YEAR(B35),12,31)-Arkusz1!B35)/366))),IF(F36=1,(1+(('Symulacja Pożyczka'!$B$5+'Symulacja Pożyczka'!$C$21)/100)*(((Arkusz1!B36-DATE(YEAR(B36),1,1)+1)/366)+((DATE(YEAR(B35),12,31)-Arkusz1!B35)/365))),0))</f>
        <v>0</v>
      </c>
      <c r="H36">
        <f t="shared" ca="1" si="2"/>
        <v>1</v>
      </c>
      <c r="I36">
        <f t="shared" ca="1" si="3"/>
        <v>1.0102459016393444</v>
      </c>
      <c r="J36">
        <f t="shared" ca="1" si="4"/>
        <v>1.0102459016393444</v>
      </c>
      <c r="K36">
        <f ca="1">PRODUCT($J$3:J36)</f>
        <v>1.4155689074216162</v>
      </c>
      <c r="L36">
        <f t="shared" ca="1" si="5"/>
        <v>0.70642975750396142</v>
      </c>
      <c r="M36">
        <f ca="1">SUM($L$3:L36)</f>
        <v>28.64707981347928</v>
      </c>
      <c r="O36">
        <f ca="1">(Q35*'Arkusz1 (+10)'!J36)-Q35</f>
        <v>10471.676713284571</v>
      </c>
      <c r="P36" s="16">
        <f t="shared" ca="1" si="6"/>
        <v>7445.0897374701308</v>
      </c>
      <c r="Q36" s="17">
        <f t="shared" ca="1" si="7"/>
        <v>1014590.5574790927</v>
      </c>
    </row>
    <row r="37" spans="1:17" x14ac:dyDescent="0.35">
      <c r="A37">
        <v>35</v>
      </c>
      <c r="B37" s="14">
        <f t="shared" ca="1" si="8"/>
        <v>47135</v>
      </c>
      <c r="C37" s="15">
        <f ca="1">(1+(('Symulacja Pożyczka'!$B$5+'Symulacja Pożyczka'!$C$21)/100)*('Arkusz1 (+10)'!B37-'Arkusz1 (+10)'!B36)/365)</f>
        <v>1.0106164383561644</v>
      </c>
      <c r="D37" s="15">
        <f ca="1">(1+(('Symulacja Pożyczka'!$B$5+'Symulacja Pożyczka'!$C$21)/100)*('Arkusz1 (+10)'!B37-'Arkusz1 (+10)'!B36)/366)</f>
        <v>1.0105874316939891</v>
      </c>
      <c r="E37" s="15">
        <f t="shared" ca="1" si="0"/>
        <v>1</v>
      </c>
      <c r="F37" s="15">
        <f t="shared" ca="1" si="1"/>
        <v>0</v>
      </c>
      <c r="G37">
        <f ca="1">IF(E37=1,(1+(('Symulacja Pożyczka'!$B$5+'Symulacja Pożyczka'!$C$21)/100)*(((Arkusz1!B37-DATE(YEAR(B37),1,1)+1)/365)+((DATE(YEAR(B36),12,31)-Arkusz1!B36)/366))),IF(F37=1,(1+(('Symulacja Pożyczka'!$B$5+'Symulacja Pożyczka'!$C$21)/100)*(((Arkusz1!B37-DATE(YEAR(B37),1,1)+1)/366)+((DATE(YEAR(B36),12,31)-Arkusz1!B36)/365))),0))</f>
        <v>1.0106033385732465</v>
      </c>
      <c r="H37">
        <f t="shared" ca="1" si="2"/>
        <v>0</v>
      </c>
      <c r="I37">
        <f t="shared" ca="1" si="3"/>
        <v>1.0106164383561644</v>
      </c>
      <c r="J37">
        <f t="shared" ca="1" si="4"/>
        <v>1.0106033385732465</v>
      </c>
      <c r="K37">
        <f ca="1">PRODUCT($J$3:J37)</f>
        <v>1.4305786638207683</v>
      </c>
      <c r="L37">
        <f t="shared" ca="1" si="5"/>
        <v>0.69901783473354406</v>
      </c>
      <c r="M37">
        <f ca="1">SUM($L$3:L37)</f>
        <v>29.346097648212826</v>
      </c>
      <c r="O37">
        <f ca="1">(Q36*'Arkusz1 (+10)'!J37)-Q36</f>
        <v>10758.047194169718</v>
      </c>
      <c r="P37" s="16">
        <f t="shared" ca="1" si="6"/>
        <v>7158.7192565849837</v>
      </c>
      <c r="Q37" s="17">
        <f t="shared" ca="1" si="7"/>
        <v>1007431.8382225077</v>
      </c>
    </row>
    <row r="38" spans="1:17" x14ac:dyDescent="0.35">
      <c r="A38">
        <v>36</v>
      </c>
      <c r="B38" s="14">
        <f t="shared" ca="1" si="8"/>
        <v>47166</v>
      </c>
      <c r="C38" s="15">
        <f ca="1">(1+(('Symulacja Pożyczka'!$B$5+'Symulacja Pożyczka'!$C$21)/100)*('Arkusz1 (+10)'!B38-'Arkusz1 (+10)'!B37)/365)</f>
        <v>1.0106164383561644</v>
      </c>
      <c r="D38" s="15">
        <f ca="1">(1+(('Symulacja Pożyczka'!$B$5+'Symulacja Pożyczka'!$C$21)/100)*('Arkusz1 (+10)'!B38-'Arkusz1 (+10)'!B37)/366)</f>
        <v>1.0105874316939891</v>
      </c>
      <c r="E38" s="15">
        <f t="shared" ca="1" si="0"/>
        <v>0</v>
      </c>
      <c r="F38" s="15">
        <f t="shared" ca="1" si="1"/>
        <v>0</v>
      </c>
      <c r="G38">
        <f ca="1">IF(E38=1,(1+(('Symulacja Pożyczka'!$B$5+'Symulacja Pożyczka'!$C$21)/100)*(((Arkusz1!B38-DATE(YEAR(B38),1,1)+1)/365)+((DATE(YEAR(B37),12,31)-Arkusz1!B37)/366))),IF(F38=1,(1+(('Symulacja Pożyczka'!$B$5+'Symulacja Pożyczka'!$C$21)/100)*(((Arkusz1!B38-DATE(YEAR(B38),1,1)+1)/366)+((DATE(YEAR(B37),12,31)-Arkusz1!B37)/365))),0))</f>
        <v>0</v>
      </c>
      <c r="H38">
        <f t="shared" ca="1" si="2"/>
        <v>0</v>
      </c>
      <c r="I38">
        <f t="shared" ca="1" si="3"/>
        <v>1.0106164383561644</v>
      </c>
      <c r="J38">
        <f t="shared" ca="1" si="4"/>
        <v>1.0106164383561644</v>
      </c>
      <c r="K38">
        <f ca="1">PRODUCT($J$3:J38)</f>
        <v>1.4457663140188655</v>
      </c>
      <c r="L38">
        <f t="shared" ca="1" si="5"/>
        <v>0.69167471278276804</v>
      </c>
      <c r="M38">
        <f ca="1">SUM($L$3:L38)</f>
        <v>30.037772360995593</v>
      </c>
      <c r="O38">
        <f ca="1">(Q37*'Arkusz1 (+10)'!J38)-Q37</f>
        <v>10695.338008526713</v>
      </c>
      <c r="P38" s="16">
        <f t="shared" ca="1" si="6"/>
        <v>7221.4284422279889</v>
      </c>
      <c r="Q38" s="17">
        <f t="shared" ca="1" si="7"/>
        <v>1000210.4097802797</v>
      </c>
    </row>
    <row r="39" spans="1:17" x14ac:dyDescent="0.35">
      <c r="A39">
        <v>37</v>
      </c>
      <c r="B39" s="14">
        <f t="shared" ca="1" si="8"/>
        <v>47194</v>
      </c>
      <c r="C39" s="15">
        <f ca="1">(1+(('Symulacja Pożyczka'!$B$5+'Symulacja Pożyczka'!$C$21)/100)*('Arkusz1 (+10)'!B39-'Arkusz1 (+10)'!B38)/365)</f>
        <v>1.0095890410958903</v>
      </c>
      <c r="D39" s="15">
        <f ca="1">(1+(('Symulacja Pożyczka'!$B$5+'Symulacja Pożyczka'!$C$21)/100)*('Arkusz1 (+10)'!B39-'Arkusz1 (+10)'!B38)/366)</f>
        <v>1.0095628415300546</v>
      </c>
      <c r="E39" s="15">
        <f t="shared" ca="1" si="0"/>
        <v>0</v>
      </c>
      <c r="F39" s="15">
        <f t="shared" ca="1" si="1"/>
        <v>0</v>
      </c>
      <c r="G39">
        <f ca="1">IF(E39=1,(1+(('Symulacja Pożyczka'!$B$5+'Symulacja Pożyczka'!$C$21)/100)*(((Arkusz1!B39-DATE(YEAR(B39),1,1)+1)/365)+((DATE(YEAR(B38),12,31)-Arkusz1!B38)/366))),IF(F39=1,(1+(('Symulacja Pożyczka'!$B$5+'Symulacja Pożyczka'!$C$21)/100)*(((Arkusz1!B39-DATE(YEAR(B39),1,1)+1)/366)+((DATE(YEAR(B38),12,31)-Arkusz1!B38)/365))),0))</f>
        <v>0</v>
      </c>
      <c r="H39">
        <f t="shared" ca="1" si="2"/>
        <v>0</v>
      </c>
      <c r="I39">
        <f t="shared" ca="1" si="3"/>
        <v>1.0095890410958903</v>
      </c>
      <c r="J39">
        <f t="shared" ca="1" si="4"/>
        <v>1.0095890410958903</v>
      </c>
      <c r="K39">
        <f ca="1">PRODUCT($J$3:J39)</f>
        <v>1.4596298266190462</v>
      </c>
      <c r="L39">
        <f t="shared" ca="1" si="5"/>
        <v>0.68510521076176489</v>
      </c>
      <c r="M39">
        <f ca="1">SUM($L$3:L39)</f>
        <v>30.722877571757358</v>
      </c>
      <c r="O39">
        <f ca="1">(Q38*'Arkusz1 (+10)'!J39)-Q38</f>
        <v>9591.0587239203742</v>
      </c>
      <c r="P39" s="16">
        <f t="shared" ca="1" si="6"/>
        <v>8325.7077268343273</v>
      </c>
      <c r="Q39" s="17">
        <f t="shared" ca="1" si="7"/>
        <v>991884.70205344539</v>
      </c>
    </row>
    <row r="40" spans="1:17" x14ac:dyDescent="0.35">
      <c r="A40">
        <v>38</v>
      </c>
      <c r="B40" s="14">
        <f t="shared" ca="1" si="8"/>
        <v>47225</v>
      </c>
      <c r="C40" s="15">
        <f ca="1">(1+(('Symulacja Pożyczka'!$B$5+'Symulacja Pożyczka'!$C$21)/100)*('Arkusz1 (+10)'!B40-'Arkusz1 (+10)'!B39)/365)</f>
        <v>1.0106164383561644</v>
      </c>
      <c r="D40" s="15">
        <f ca="1">(1+(('Symulacja Pożyczka'!$B$5+'Symulacja Pożyczka'!$C$21)/100)*('Arkusz1 (+10)'!B40-'Arkusz1 (+10)'!B39)/366)</f>
        <v>1.0105874316939891</v>
      </c>
      <c r="E40" s="15">
        <f t="shared" ca="1" si="0"/>
        <v>0</v>
      </c>
      <c r="F40" s="15">
        <f t="shared" ca="1" si="1"/>
        <v>0</v>
      </c>
      <c r="G40">
        <f ca="1">IF(E40=1,(1+(('Symulacja Pożyczka'!$B$5+'Symulacja Pożyczka'!$C$21)/100)*(((Arkusz1!B40-DATE(YEAR(B40),1,1)+1)/365)+((DATE(YEAR(B39),12,31)-Arkusz1!B39)/366))),IF(F40=1,(1+(('Symulacja Pożyczka'!$B$5+'Symulacja Pożyczka'!$C$21)/100)*(((Arkusz1!B40-DATE(YEAR(B40),1,1)+1)/366)+((DATE(YEAR(B39),12,31)-Arkusz1!B39)/365))),0))</f>
        <v>0</v>
      </c>
      <c r="H40">
        <f t="shared" ca="1" si="2"/>
        <v>0</v>
      </c>
      <c r="I40">
        <f t="shared" ca="1" si="3"/>
        <v>1.0106164383561644</v>
      </c>
      <c r="J40">
        <f t="shared" ca="1" si="4"/>
        <v>1.0106164383561644</v>
      </c>
      <c r="K40">
        <f ca="1">PRODUCT($J$3:J40)</f>
        <v>1.4751258966961662</v>
      </c>
      <c r="L40">
        <f t="shared" ca="1" si="5"/>
        <v>0.67790823972360337</v>
      </c>
      <c r="M40">
        <f ca="1">SUM($L$3:L40)</f>
        <v>31.400785811480961</v>
      </c>
      <c r="O40">
        <f ca="1">(Q39*'Arkusz1 (+10)'!J40)-Q39</f>
        <v>10530.282795772888</v>
      </c>
      <c r="P40" s="16">
        <f t="shared" ca="1" si="6"/>
        <v>7386.4836549818137</v>
      </c>
      <c r="Q40" s="17">
        <f t="shared" ca="1" si="7"/>
        <v>984498.21839846356</v>
      </c>
    </row>
    <row r="41" spans="1:17" x14ac:dyDescent="0.35">
      <c r="A41">
        <v>39</v>
      </c>
      <c r="B41" s="14">
        <f t="shared" ca="1" si="8"/>
        <v>47255</v>
      </c>
      <c r="C41" s="15">
        <f ca="1">(1+(('Symulacja Pożyczka'!$B$5+'Symulacja Pożyczka'!$C$21)/100)*('Arkusz1 (+10)'!B41-'Arkusz1 (+10)'!B40)/365)</f>
        <v>1.0102739726027397</v>
      </c>
      <c r="D41" s="15">
        <f ca="1">(1+(('Symulacja Pożyczka'!$B$5+'Symulacja Pożyczka'!$C$21)/100)*('Arkusz1 (+10)'!B41-'Arkusz1 (+10)'!B40)/366)</f>
        <v>1.0102459016393444</v>
      </c>
      <c r="E41" s="15">
        <f t="shared" ca="1" si="0"/>
        <v>0</v>
      </c>
      <c r="F41" s="15">
        <f t="shared" ca="1" si="1"/>
        <v>0</v>
      </c>
      <c r="G41">
        <f ca="1">IF(E41=1,(1+(('Symulacja Pożyczka'!$B$5+'Symulacja Pożyczka'!$C$21)/100)*(((Arkusz1!B41-DATE(YEAR(B41),1,1)+1)/365)+((DATE(YEAR(B40),12,31)-Arkusz1!B40)/366))),IF(F41=1,(1+(('Symulacja Pożyczka'!$B$5+'Symulacja Pożyczka'!$C$21)/100)*(((Arkusz1!B41-DATE(YEAR(B41),1,1)+1)/366)+((DATE(YEAR(B40),12,31)-Arkusz1!B40)/365))),0))</f>
        <v>0</v>
      </c>
      <c r="H41">
        <f t="shared" ca="1" si="2"/>
        <v>0</v>
      </c>
      <c r="I41">
        <f t="shared" ca="1" si="3"/>
        <v>1.0102739726027397</v>
      </c>
      <c r="J41">
        <f t="shared" ca="1" si="4"/>
        <v>1.0102739726027397</v>
      </c>
      <c r="K41">
        <f ca="1">PRODUCT($J$3:J41)</f>
        <v>1.4902812997444144</v>
      </c>
      <c r="L41">
        <f t="shared" ca="1" si="5"/>
        <v>0.67101425762471933</v>
      </c>
      <c r="M41">
        <f ca="1">SUM($L$3:L41)</f>
        <v>32.071800069105677</v>
      </c>
      <c r="O41">
        <f ca="1">(Q40*'Arkusz1 (+10)'!J41)-Q40</f>
        <v>10114.7077232718</v>
      </c>
      <c r="P41" s="16">
        <f t="shared" ca="1" si="6"/>
        <v>7802.0587274829013</v>
      </c>
      <c r="Q41" s="17">
        <f t="shared" ca="1" si="7"/>
        <v>976696.15967098065</v>
      </c>
    </row>
    <row r="42" spans="1:17" x14ac:dyDescent="0.35">
      <c r="A42">
        <v>40</v>
      </c>
      <c r="B42" s="14">
        <f t="shared" ca="1" si="8"/>
        <v>47286</v>
      </c>
      <c r="C42" s="15">
        <f ca="1">(1+(('Symulacja Pożyczka'!$B$5+'Symulacja Pożyczka'!$C$21)/100)*('Arkusz1 (+10)'!B42-'Arkusz1 (+10)'!B41)/365)</f>
        <v>1.0106164383561644</v>
      </c>
      <c r="D42" s="15">
        <f ca="1">(1+(('Symulacja Pożyczka'!$B$5+'Symulacja Pożyczka'!$C$21)/100)*('Arkusz1 (+10)'!B42-'Arkusz1 (+10)'!B41)/366)</f>
        <v>1.0105874316939891</v>
      </c>
      <c r="E42" s="15">
        <f t="shared" ca="1" si="0"/>
        <v>0</v>
      </c>
      <c r="F42" s="15">
        <f t="shared" ca="1" si="1"/>
        <v>0</v>
      </c>
      <c r="G42">
        <f ca="1">IF(E42=1,(1+(('Symulacja Pożyczka'!$B$5+'Symulacja Pożyczka'!$C$21)/100)*(((Arkusz1!B42-DATE(YEAR(B42),1,1)+1)/365)+((DATE(YEAR(B41),12,31)-Arkusz1!B41)/366))),IF(F42=1,(1+(('Symulacja Pożyczka'!$B$5+'Symulacja Pożyczka'!$C$21)/100)*(((Arkusz1!B42-DATE(YEAR(B42),1,1)+1)/366)+((DATE(YEAR(B41),12,31)-Arkusz1!B41)/365))),0))</f>
        <v>0</v>
      </c>
      <c r="H42">
        <f t="shared" ca="1" si="2"/>
        <v>0</v>
      </c>
      <c r="I42">
        <f t="shared" ca="1" si="3"/>
        <v>1.0106164383561644</v>
      </c>
      <c r="J42">
        <f t="shared" ca="1" si="4"/>
        <v>1.0106164383561644</v>
      </c>
      <c r="K42">
        <f ca="1">PRODUCT($J$3:J42)</f>
        <v>1.5061027792964956</v>
      </c>
      <c r="L42">
        <f t="shared" ca="1" si="5"/>
        <v>0.66396531083164356</v>
      </c>
      <c r="M42">
        <f ca="1">SUM($L$3:L42)</f>
        <v>32.73576537993732</v>
      </c>
      <c r="O42">
        <f ca="1">(Q41*'Arkusz1 (+10)'!J42)-Q41</f>
        <v>10369.034571849508</v>
      </c>
      <c r="P42" s="16">
        <f t="shared" ca="1" si="6"/>
        <v>7547.7318789051933</v>
      </c>
      <c r="Q42" s="17">
        <f t="shared" ca="1" si="7"/>
        <v>969148.42779207544</v>
      </c>
    </row>
    <row r="43" spans="1:17" x14ac:dyDescent="0.35">
      <c r="A43">
        <v>41</v>
      </c>
      <c r="B43" s="14">
        <f t="shared" ca="1" si="8"/>
        <v>47316</v>
      </c>
      <c r="C43" s="15">
        <f ca="1">(1+(('Symulacja Pożyczka'!$B$5+'Symulacja Pożyczka'!$C$21)/100)*('Arkusz1 (+10)'!B43-'Arkusz1 (+10)'!B42)/365)</f>
        <v>1.0102739726027397</v>
      </c>
      <c r="D43" s="15">
        <f ca="1">(1+(('Symulacja Pożyczka'!$B$5+'Symulacja Pożyczka'!$C$21)/100)*('Arkusz1 (+10)'!B43-'Arkusz1 (+10)'!B42)/366)</f>
        <v>1.0102459016393444</v>
      </c>
      <c r="E43" s="15">
        <f t="shared" ca="1" si="0"/>
        <v>0</v>
      </c>
      <c r="F43" s="15">
        <f t="shared" ca="1" si="1"/>
        <v>0</v>
      </c>
      <c r="G43">
        <f ca="1">IF(E43=1,(1+(('Symulacja Pożyczka'!$B$5+'Symulacja Pożyczka'!$C$21)/100)*(((Arkusz1!B43-DATE(YEAR(B43),1,1)+1)/365)+((DATE(YEAR(B42),12,31)-Arkusz1!B42)/366))),IF(F43=1,(1+(('Symulacja Pożyczka'!$B$5+'Symulacja Pożyczka'!$C$21)/100)*(((Arkusz1!B43-DATE(YEAR(B43),1,1)+1)/366)+((DATE(YEAR(B42),12,31)-Arkusz1!B42)/365))),0))</f>
        <v>0</v>
      </c>
      <c r="H43">
        <f t="shared" ca="1" si="2"/>
        <v>0</v>
      </c>
      <c r="I43">
        <f t="shared" ca="1" si="3"/>
        <v>1.0102739726027397</v>
      </c>
      <c r="J43">
        <f t="shared" ca="1" si="4"/>
        <v>1.0102739726027397</v>
      </c>
      <c r="K43">
        <f ca="1">PRODUCT($J$3:J43)</f>
        <v>1.5215764379878978</v>
      </c>
      <c r="L43">
        <f t="shared" ca="1" si="5"/>
        <v>0.65721312122996589</v>
      </c>
      <c r="M43">
        <f ca="1">SUM($L$3:L43)</f>
        <v>33.392978501167285</v>
      </c>
      <c r="O43">
        <f ca="1">(Q42*'Arkusz1 (+10)'!J43)-Q42</f>
        <v>9957.0043951240368</v>
      </c>
      <c r="P43" s="16">
        <f t="shared" ca="1" si="6"/>
        <v>7959.7620556306647</v>
      </c>
      <c r="Q43" s="17">
        <f t="shared" ca="1" si="7"/>
        <v>961188.66573644476</v>
      </c>
    </row>
    <row r="44" spans="1:17" x14ac:dyDescent="0.35">
      <c r="A44">
        <v>42</v>
      </c>
      <c r="B44" s="14">
        <f t="shared" ca="1" si="8"/>
        <v>47347</v>
      </c>
      <c r="C44" s="15">
        <f ca="1">(1+(('Symulacja Pożyczka'!$B$5+'Symulacja Pożyczka'!$C$21)/100)*('Arkusz1 (+10)'!B44-'Arkusz1 (+10)'!B43)/365)</f>
        <v>1.0106164383561644</v>
      </c>
      <c r="D44" s="15">
        <f ca="1">(1+(('Symulacja Pożyczka'!$B$5+'Symulacja Pożyczka'!$C$21)/100)*('Arkusz1 (+10)'!B44-'Arkusz1 (+10)'!B43)/366)</f>
        <v>1.0105874316939891</v>
      </c>
      <c r="E44" s="15">
        <f t="shared" ca="1" si="0"/>
        <v>0</v>
      </c>
      <c r="F44" s="15">
        <f t="shared" ca="1" si="1"/>
        <v>0</v>
      </c>
      <c r="G44">
        <f ca="1">IF(E44=1,(1+(('Symulacja Pożyczka'!$B$5+'Symulacja Pożyczka'!$C$21)/100)*(((Arkusz1!B44-DATE(YEAR(B44),1,1)+1)/365)+((DATE(YEAR(B43),12,31)-Arkusz1!B43)/366))),IF(F44=1,(1+(('Symulacja Pożyczka'!$B$5+'Symulacja Pożyczka'!$C$21)/100)*(((Arkusz1!B44-DATE(YEAR(B44),1,1)+1)/366)+((DATE(YEAR(B43),12,31)-Arkusz1!B43)/365))),0))</f>
        <v>0</v>
      </c>
      <c r="H44">
        <f t="shared" ca="1" si="2"/>
        <v>0</v>
      </c>
      <c r="I44">
        <f t="shared" ca="1" si="3"/>
        <v>1.0106164383561644</v>
      </c>
      <c r="J44">
        <f t="shared" ca="1" si="4"/>
        <v>1.0106164383561644</v>
      </c>
      <c r="K44">
        <f ca="1">PRODUCT($J$3:J44)</f>
        <v>1.5377301604459885</v>
      </c>
      <c r="L44">
        <f t="shared" ca="1" si="5"/>
        <v>0.65030915418214175</v>
      </c>
      <c r="M44">
        <f ca="1">SUM($L$3:L44)</f>
        <v>34.043287655349424</v>
      </c>
      <c r="O44">
        <f ca="1">(Q43*'Arkusz1 (+10)'!J44)-Q43</f>
        <v>10204.400218434865</v>
      </c>
      <c r="P44" s="16">
        <f t="shared" ca="1" si="6"/>
        <v>7712.3662323198369</v>
      </c>
      <c r="Q44" s="17">
        <f t="shared" ca="1" si="7"/>
        <v>953476.29950412491</v>
      </c>
    </row>
    <row r="45" spans="1:17" x14ac:dyDescent="0.35">
      <c r="A45">
        <v>43</v>
      </c>
      <c r="B45" s="14">
        <f t="shared" ca="1" si="8"/>
        <v>47378</v>
      </c>
      <c r="C45" s="15">
        <f ca="1">(1+(('Symulacja Pożyczka'!$B$5+'Symulacja Pożyczka'!$C$21)/100)*('Arkusz1 (+10)'!B45-'Arkusz1 (+10)'!B44)/365)</f>
        <v>1.0106164383561644</v>
      </c>
      <c r="D45" s="15">
        <f ca="1">(1+(('Symulacja Pożyczka'!$B$5+'Symulacja Pożyczka'!$C$21)/100)*('Arkusz1 (+10)'!B45-'Arkusz1 (+10)'!B44)/366)</f>
        <v>1.0105874316939891</v>
      </c>
      <c r="E45" s="15">
        <f t="shared" ca="1" si="0"/>
        <v>0</v>
      </c>
      <c r="F45" s="15">
        <f t="shared" ca="1" si="1"/>
        <v>0</v>
      </c>
      <c r="G45">
        <f ca="1">IF(E45=1,(1+(('Symulacja Pożyczka'!$B$5+'Symulacja Pożyczka'!$C$21)/100)*(((Arkusz1!B45-DATE(YEAR(B45),1,1)+1)/365)+((DATE(YEAR(B44),12,31)-Arkusz1!B44)/366))),IF(F45=1,(1+(('Symulacja Pożyczka'!$B$5+'Symulacja Pożyczka'!$C$21)/100)*(((Arkusz1!B45-DATE(YEAR(B45),1,1)+1)/366)+((DATE(YEAR(B44),12,31)-Arkusz1!B44)/365))),0))</f>
        <v>0</v>
      </c>
      <c r="H45">
        <f t="shared" ca="1" si="2"/>
        <v>0</v>
      </c>
      <c r="I45">
        <f t="shared" ca="1" si="3"/>
        <v>1.0106164383561644</v>
      </c>
      <c r="J45">
        <f t="shared" ca="1" si="4"/>
        <v>1.0106164383561644</v>
      </c>
      <c r="K45">
        <f ca="1">PRODUCT($J$3:J45)</f>
        <v>1.5540553779027781</v>
      </c>
      <c r="L45">
        <f t="shared" ca="1" si="5"/>
        <v>0.64347771271157372</v>
      </c>
      <c r="M45">
        <f ca="1">SUM($L$3:L45)</f>
        <v>34.686765368060996</v>
      </c>
      <c r="O45">
        <f ca="1">(Q44*'Arkusz1 (+10)'!J45)-Q44</f>
        <v>10122.522357749287</v>
      </c>
      <c r="P45" s="16">
        <f t="shared" ca="1" si="6"/>
        <v>7794.2440930054145</v>
      </c>
      <c r="Q45" s="17">
        <f t="shared" ca="1" si="7"/>
        <v>945682.05541111948</v>
      </c>
    </row>
    <row r="46" spans="1:17" x14ac:dyDescent="0.35">
      <c r="A46">
        <v>44</v>
      </c>
      <c r="B46" s="14">
        <f t="shared" ca="1" si="8"/>
        <v>47408</v>
      </c>
      <c r="C46" s="15">
        <f ca="1">(1+(('Symulacja Pożyczka'!$B$5+'Symulacja Pożyczka'!$C$21)/100)*('Arkusz1 (+10)'!B46-'Arkusz1 (+10)'!B45)/365)</f>
        <v>1.0102739726027397</v>
      </c>
      <c r="D46" s="15">
        <f ca="1">(1+(('Symulacja Pożyczka'!$B$5+'Symulacja Pożyczka'!$C$21)/100)*('Arkusz1 (+10)'!B46-'Arkusz1 (+10)'!B45)/366)</f>
        <v>1.0102459016393444</v>
      </c>
      <c r="E46" s="15">
        <f t="shared" ca="1" si="0"/>
        <v>0</v>
      </c>
      <c r="F46" s="15">
        <f t="shared" ca="1" si="1"/>
        <v>0</v>
      </c>
      <c r="G46">
        <f ca="1">IF(E46=1,(1+(('Symulacja Pożyczka'!$B$5+'Symulacja Pożyczka'!$C$21)/100)*(((Arkusz1!B46-DATE(YEAR(B46),1,1)+1)/365)+((DATE(YEAR(B45),12,31)-Arkusz1!B45)/366))),IF(F46=1,(1+(('Symulacja Pożyczka'!$B$5+'Symulacja Pożyczka'!$C$21)/100)*(((Arkusz1!B46-DATE(YEAR(B46),1,1)+1)/366)+((DATE(YEAR(B45),12,31)-Arkusz1!B45)/365))),0))</f>
        <v>0</v>
      </c>
      <c r="H46">
        <f t="shared" ca="1" si="2"/>
        <v>0</v>
      </c>
      <c r="I46">
        <f t="shared" ca="1" si="3"/>
        <v>1.0102739726027397</v>
      </c>
      <c r="J46">
        <f t="shared" ca="1" si="4"/>
        <v>1.0102739726027397</v>
      </c>
      <c r="K46">
        <f ca="1">PRODUCT($J$3:J46)</f>
        <v>1.5700217002784915</v>
      </c>
      <c r="L46">
        <f t="shared" ca="1" si="5"/>
        <v>0.63693387156535441</v>
      </c>
      <c r="M46">
        <f ca="1">SUM($L$3:L46)</f>
        <v>35.32369923962635</v>
      </c>
      <c r="O46">
        <f ca="1">(Q45*'Arkusz1 (+10)'!J46)-Q45</f>
        <v>9715.9115281964187</v>
      </c>
      <c r="P46" s="16">
        <f t="shared" ca="1" si="6"/>
        <v>8200.8549225582829</v>
      </c>
      <c r="Q46" s="17">
        <f t="shared" ca="1" si="7"/>
        <v>937481.20048856118</v>
      </c>
    </row>
    <row r="47" spans="1:17" x14ac:dyDescent="0.35">
      <c r="A47">
        <v>45</v>
      </c>
      <c r="B47" s="14">
        <f t="shared" ca="1" si="8"/>
        <v>47439</v>
      </c>
      <c r="C47" s="15">
        <f ca="1">(1+(('Symulacja Pożyczka'!$B$5+'Symulacja Pożyczka'!$C$21)/100)*('Arkusz1 (+10)'!B47-'Arkusz1 (+10)'!B46)/365)</f>
        <v>1.0106164383561644</v>
      </c>
      <c r="D47" s="15">
        <f ca="1">(1+(('Symulacja Pożyczka'!$B$5+'Symulacja Pożyczka'!$C$21)/100)*('Arkusz1 (+10)'!B47-'Arkusz1 (+10)'!B46)/366)</f>
        <v>1.0105874316939891</v>
      </c>
      <c r="E47" s="15">
        <f t="shared" ca="1" si="0"/>
        <v>0</v>
      </c>
      <c r="F47" s="15">
        <f t="shared" ca="1" si="1"/>
        <v>0</v>
      </c>
      <c r="G47">
        <f ca="1">IF(E47=1,(1+(('Symulacja Pożyczka'!$B$5+'Symulacja Pożyczka'!$C$21)/100)*(((Arkusz1!B47-DATE(YEAR(B47),1,1)+1)/365)+((DATE(YEAR(B46),12,31)-Arkusz1!B46)/366))),IF(F47=1,(1+(('Symulacja Pożyczka'!$B$5+'Symulacja Pożyczka'!$C$21)/100)*(((Arkusz1!B47-DATE(YEAR(B47),1,1)+1)/366)+((DATE(YEAR(B46),12,31)-Arkusz1!B46)/365))),0))</f>
        <v>0</v>
      </c>
      <c r="H47">
        <f t="shared" ca="1" si="2"/>
        <v>0</v>
      </c>
      <c r="I47">
        <f t="shared" ca="1" si="3"/>
        <v>1.0106164383561644</v>
      </c>
      <c r="J47">
        <f t="shared" ca="1" si="4"/>
        <v>1.0106164383561644</v>
      </c>
      <c r="K47">
        <f ca="1">PRODUCT($J$3:J47)</f>
        <v>1.5866897388773387</v>
      </c>
      <c r="L47">
        <f t="shared" ca="1" si="5"/>
        <v>0.63024293628289885</v>
      </c>
      <c r="M47">
        <f ca="1">SUM($L$3:L47)</f>
        <v>35.953942175909248</v>
      </c>
      <c r="O47">
        <f ca="1">(Q46*'Arkusz1 (+10)'!J47)-Q46</f>
        <v>9952.7113750498975</v>
      </c>
      <c r="P47" s="16">
        <f t="shared" ca="1" si="6"/>
        <v>7964.055075704804</v>
      </c>
      <c r="Q47" s="17">
        <f t="shared" ca="1" si="7"/>
        <v>929517.14541285636</v>
      </c>
    </row>
    <row r="48" spans="1:17" x14ac:dyDescent="0.35">
      <c r="A48">
        <v>46</v>
      </c>
      <c r="B48" s="14">
        <f t="shared" ca="1" si="8"/>
        <v>47469</v>
      </c>
      <c r="C48" s="15">
        <f ca="1">(1+(('Symulacja Pożyczka'!$B$5+'Symulacja Pożyczka'!$C$21)/100)*('Arkusz1 (+10)'!B48-'Arkusz1 (+10)'!B47)/365)</f>
        <v>1.0102739726027397</v>
      </c>
      <c r="D48" s="15">
        <f ca="1">(1+(('Symulacja Pożyczka'!$B$5+'Symulacja Pożyczka'!$C$21)/100)*('Arkusz1 (+10)'!B48-'Arkusz1 (+10)'!B47)/366)</f>
        <v>1.0102459016393444</v>
      </c>
      <c r="E48" s="15">
        <f t="shared" ca="1" si="0"/>
        <v>0</v>
      </c>
      <c r="F48" s="15">
        <f t="shared" ca="1" si="1"/>
        <v>0</v>
      </c>
      <c r="G48">
        <f ca="1">IF(E48=1,(1+(('Symulacja Pożyczka'!$B$5+'Symulacja Pożyczka'!$C$21)/100)*(((Arkusz1!B48-DATE(YEAR(B48),1,1)+1)/365)+((DATE(YEAR(B47),12,31)-Arkusz1!B47)/366))),IF(F48=1,(1+(('Symulacja Pożyczka'!$B$5+'Symulacja Pożyczka'!$C$21)/100)*(((Arkusz1!B48-DATE(YEAR(B48),1,1)+1)/366)+((DATE(YEAR(B47),12,31)-Arkusz1!B47)/365))),0))</f>
        <v>0</v>
      </c>
      <c r="H48">
        <f t="shared" ca="1" si="2"/>
        <v>0</v>
      </c>
      <c r="I48">
        <f t="shared" ca="1" si="3"/>
        <v>1.0102739726027397</v>
      </c>
      <c r="J48">
        <f t="shared" ca="1" si="4"/>
        <v>1.0102739726027397</v>
      </c>
      <c r="K48">
        <f ca="1">PRODUCT($J$3:J48)</f>
        <v>1.6029913457836127</v>
      </c>
      <c r="L48">
        <f t="shared" ca="1" si="5"/>
        <v>0.62383368608341172</v>
      </c>
      <c r="M48">
        <f ca="1">SUM($L$3:L48)</f>
        <v>36.577775861992663</v>
      </c>
      <c r="O48">
        <f ca="1">(Q47*'Arkusz1 (+10)'!J48)-Q47</f>
        <v>9549.8336857485119</v>
      </c>
      <c r="P48" s="16">
        <f t="shared" ca="1" si="6"/>
        <v>8366.9327650061896</v>
      </c>
      <c r="Q48" s="17">
        <f t="shared" ca="1" si="7"/>
        <v>921150.21264785016</v>
      </c>
    </row>
    <row r="49" spans="1:17" x14ac:dyDescent="0.35">
      <c r="A49">
        <v>47</v>
      </c>
      <c r="B49" s="14">
        <f t="shared" ca="1" si="8"/>
        <v>47500</v>
      </c>
      <c r="C49" s="15">
        <f ca="1">(1+(('Symulacja Pożyczka'!$B$5+'Symulacja Pożyczka'!$C$21)/100)*('Arkusz1 (+10)'!B49-'Arkusz1 (+10)'!B48)/365)</f>
        <v>1.0106164383561644</v>
      </c>
      <c r="D49" s="15">
        <f ca="1">(1+(('Symulacja Pożyczka'!$B$5+'Symulacja Pożyczka'!$C$21)/100)*('Arkusz1 (+10)'!B49-'Arkusz1 (+10)'!B48)/366)</f>
        <v>1.0105874316939891</v>
      </c>
      <c r="E49" s="15">
        <f t="shared" ca="1" si="0"/>
        <v>0</v>
      </c>
      <c r="F49" s="15">
        <f t="shared" ca="1" si="1"/>
        <v>0</v>
      </c>
      <c r="G49">
        <f ca="1">IF(E49=1,(1+(('Symulacja Pożyczka'!$B$5+'Symulacja Pożyczka'!$C$21)/100)*(((Arkusz1!B49-DATE(YEAR(B49),1,1)+1)/365)+((DATE(YEAR(B48),12,31)-Arkusz1!B48)/366))),IF(F49=1,(1+(('Symulacja Pożyczka'!$B$5+'Symulacja Pożyczka'!$C$21)/100)*(((Arkusz1!B49-DATE(YEAR(B49),1,1)+1)/366)+((DATE(YEAR(B48),12,31)-Arkusz1!B48)/365))),0))</f>
        <v>0</v>
      </c>
      <c r="H49">
        <f t="shared" ca="1" si="2"/>
        <v>0</v>
      </c>
      <c r="I49">
        <f t="shared" ca="1" si="3"/>
        <v>1.0106164383561644</v>
      </c>
      <c r="J49">
        <f t="shared" ca="1" si="4"/>
        <v>1.0106164383561644</v>
      </c>
      <c r="K49">
        <f ca="1">PRODUCT($J$3:J49)</f>
        <v>1.6200094045915894</v>
      </c>
      <c r="L49">
        <f t="shared" ca="1" si="5"/>
        <v>0.61728036711743894</v>
      </c>
      <c r="M49">
        <f ca="1">SUM($L$3:L49)</f>
        <v>37.195056229110101</v>
      </c>
      <c r="O49">
        <f ca="1">(Q48*'Arkusz1 (+10)'!J49)-Q48</f>
        <v>9779.3344493436161</v>
      </c>
      <c r="P49" s="16">
        <f t="shared" ca="1" si="6"/>
        <v>8137.4320014110854</v>
      </c>
      <c r="Q49" s="17">
        <f t="shared" ca="1" si="7"/>
        <v>913012.78064643906</v>
      </c>
    </row>
    <row r="50" spans="1:17" x14ac:dyDescent="0.35">
      <c r="A50">
        <v>48</v>
      </c>
      <c r="B50" s="14">
        <f t="shared" ca="1" si="8"/>
        <v>47531</v>
      </c>
      <c r="C50" s="15">
        <f ca="1">(1+(('Symulacja Pożyczka'!$B$5+'Symulacja Pożyczka'!$C$21)/100)*('Arkusz1 (+10)'!B50-'Arkusz1 (+10)'!B49)/365)</f>
        <v>1.0106164383561644</v>
      </c>
      <c r="D50" s="15">
        <f ca="1">(1+(('Symulacja Pożyczka'!$B$5+'Symulacja Pożyczka'!$C$21)/100)*('Arkusz1 (+10)'!B50-'Arkusz1 (+10)'!B49)/366)</f>
        <v>1.0105874316939891</v>
      </c>
      <c r="E50" s="15">
        <f t="shared" ca="1" si="0"/>
        <v>0</v>
      </c>
      <c r="F50" s="15">
        <f t="shared" ca="1" si="1"/>
        <v>0</v>
      </c>
      <c r="G50">
        <f ca="1">IF(E50=1,(1+(('Symulacja Pożyczka'!$B$5+'Symulacja Pożyczka'!$C$21)/100)*(((Arkusz1!B50-DATE(YEAR(B50),1,1)+1)/365)+((DATE(YEAR(B49),12,31)-Arkusz1!B49)/366))),IF(F50=1,(1+(('Symulacja Pożyczka'!$B$5+'Symulacja Pożyczka'!$C$21)/100)*(((Arkusz1!B50-DATE(YEAR(B50),1,1)+1)/366)+((DATE(YEAR(B49),12,31)-Arkusz1!B49)/365))),0))</f>
        <v>0</v>
      </c>
      <c r="H50">
        <f t="shared" ca="1" si="2"/>
        <v>0</v>
      </c>
      <c r="I50">
        <f t="shared" ca="1" si="3"/>
        <v>1.0106164383561644</v>
      </c>
      <c r="J50">
        <f t="shared" ca="1" si="4"/>
        <v>1.0106164383561644</v>
      </c>
      <c r="K50">
        <f ca="1">PRODUCT($J$3:J50)</f>
        <v>1.6372081345718426</v>
      </c>
      <c r="L50">
        <f t="shared" ca="1" si="5"/>
        <v>0.61079589020092229</v>
      </c>
      <c r="M50">
        <f ca="1">SUM($L$3:L50)</f>
        <v>37.805852119311027</v>
      </c>
      <c r="O50">
        <f ca="1">(Q49*'Arkusz1 (+10)'!J50)-Q49</f>
        <v>9692.9439041231526</v>
      </c>
      <c r="P50" s="16">
        <f t="shared" ca="1" si="6"/>
        <v>8223.8225466315489</v>
      </c>
      <c r="Q50" s="17">
        <f t="shared" ca="1" si="7"/>
        <v>904788.9580998075</v>
      </c>
    </row>
    <row r="51" spans="1:17" x14ac:dyDescent="0.35">
      <c r="A51">
        <v>49</v>
      </c>
      <c r="B51" s="14">
        <f t="shared" ca="1" si="8"/>
        <v>47559</v>
      </c>
      <c r="C51" s="15">
        <f ca="1">(1+(('Symulacja Pożyczka'!$B$5+'Symulacja Pożyczka'!$C$21)/100)*('Arkusz1 (+10)'!B51-'Arkusz1 (+10)'!B50)/365)</f>
        <v>1.0095890410958903</v>
      </c>
      <c r="D51" s="15">
        <f ca="1">(1+(('Symulacja Pożyczka'!$B$5+'Symulacja Pożyczka'!$C$21)/100)*('Arkusz1 (+10)'!B51-'Arkusz1 (+10)'!B50)/366)</f>
        <v>1.0095628415300546</v>
      </c>
      <c r="E51" s="15">
        <f t="shared" ca="1" si="0"/>
        <v>0</v>
      </c>
      <c r="F51" s="15">
        <f t="shared" ca="1" si="1"/>
        <v>0</v>
      </c>
      <c r="G51">
        <f ca="1">IF(E51=1,(1+(('Symulacja Pożyczka'!$B$5+'Symulacja Pożyczka'!$C$21)/100)*(((Arkusz1!B51-DATE(YEAR(B51),1,1)+1)/365)+((DATE(YEAR(B50),12,31)-Arkusz1!B50)/366))),IF(F51=1,(1+(('Symulacja Pożyczka'!$B$5+'Symulacja Pożyczka'!$C$21)/100)*(((Arkusz1!B51-DATE(YEAR(B51),1,1)+1)/366)+((DATE(YEAR(B50),12,31)-Arkusz1!B50)/365))),0))</f>
        <v>0</v>
      </c>
      <c r="H51">
        <f t="shared" ca="1" si="2"/>
        <v>0</v>
      </c>
      <c r="I51">
        <f t="shared" ca="1" si="3"/>
        <v>1.0095890410958903</v>
      </c>
      <c r="J51">
        <f t="shared" ca="1" si="4"/>
        <v>1.0095890410958903</v>
      </c>
      <c r="K51">
        <f ca="1">PRODUCT($J$3:J51)</f>
        <v>1.6529073906567779</v>
      </c>
      <c r="L51">
        <f t="shared" ca="1" si="5"/>
        <v>0.60499457238354593</v>
      </c>
      <c r="M51">
        <f ca="1">SUM($L$3:L51)</f>
        <v>38.410846691694573</v>
      </c>
      <c r="O51">
        <f ca="1">(Q50*'Arkusz1 (+10)'!J51)-Q50</f>
        <v>8676.0585023268359</v>
      </c>
      <c r="P51" s="16">
        <f t="shared" ca="1" si="6"/>
        <v>9240.7079484278656</v>
      </c>
      <c r="Q51" s="17">
        <f t="shared" ca="1" si="7"/>
        <v>895548.25015137962</v>
      </c>
    </row>
    <row r="52" spans="1:17" x14ac:dyDescent="0.35">
      <c r="A52">
        <v>50</v>
      </c>
      <c r="B52" s="14">
        <f t="shared" ca="1" si="8"/>
        <v>47590</v>
      </c>
      <c r="C52" s="15">
        <f ca="1">(1+(('Symulacja Pożyczka'!$B$5+'Symulacja Pożyczka'!$C$21)/100)*('Arkusz1 (+10)'!B52-'Arkusz1 (+10)'!B51)/365)</f>
        <v>1.0106164383561644</v>
      </c>
      <c r="D52" s="15">
        <f ca="1">(1+(('Symulacja Pożyczka'!$B$5+'Symulacja Pożyczka'!$C$21)/100)*('Arkusz1 (+10)'!B52-'Arkusz1 (+10)'!B51)/366)</f>
        <v>1.0105874316939891</v>
      </c>
      <c r="E52" s="15">
        <f t="shared" ca="1" si="0"/>
        <v>0</v>
      </c>
      <c r="F52" s="15">
        <f t="shared" ca="1" si="1"/>
        <v>0</v>
      </c>
      <c r="G52">
        <f ca="1">IF(E52=1,(1+(('Symulacja Pożyczka'!$B$5+'Symulacja Pożyczka'!$C$21)/100)*(((Arkusz1!B52-DATE(YEAR(B52),1,1)+1)/365)+((DATE(YEAR(B51),12,31)-Arkusz1!B51)/366))),IF(F52=1,(1+(('Symulacja Pożyczka'!$B$5+'Symulacja Pożyczka'!$C$21)/100)*(((Arkusz1!B52-DATE(YEAR(B52),1,1)+1)/366)+((DATE(YEAR(B51),12,31)-Arkusz1!B51)/365))),0))</f>
        <v>0</v>
      </c>
      <c r="H52">
        <f t="shared" ca="1" si="2"/>
        <v>0</v>
      </c>
      <c r="I52">
        <f t="shared" ca="1" si="3"/>
        <v>1.0106164383561644</v>
      </c>
      <c r="J52">
        <f t="shared" ca="1" si="4"/>
        <v>1.0106164383561644</v>
      </c>
      <c r="K52">
        <f ca="1">PRODUCT($J$3:J52)</f>
        <v>1.6704553800781343</v>
      </c>
      <c r="L52">
        <f t="shared" ca="1" si="5"/>
        <v>0.59863915667907619</v>
      </c>
      <c r="M52">
        <f ca="1">SUM($L$3:L52)</f>
        <v>39.00948584837365</v>
      </c>
      <c r="O52">
        <f ca="1">(Q51*'Arkusz1 (+10)'!J52)-Q51</f>
        <v>9507.5327927030157</v>
      </c>
      <c r="P52" s="16">
        <f t="shared" ca="1" si="6"/>
        <v>8409.2336580516858</v>
      </c>
      <c r="Q52" s="17">
        <f t="shared" ca="1" si="7"/>
        <v>887139.01649332792</v>
      </c>
    </row>
    <row r="53" spans="1:17" x14ac:dyDescent="0.35">
      <c r="A53">
        <v>51</v>
      </c>
      <c r="B53" s="14">
        <f t="shared" ca="1" si="8"/>
        <v>47620</v>
      </c>
      <c r="C53" s="15">
        <f ca="1">(1+(('Symulacja Pożyczka'!$B$5+'Symulacja Pożyczka'!$C$21)/100)*('Arkusz1 (+10)'!B53-'Arkusz1 (+10)'!B52)/365)</f>
        <v>1.0102739726027397</v>
      </c>
      <c r="D53" s="15">
        <f ca="1">(1+(('Symulacja Pożyczka'!$B$5+'Symulacja Pożyczka'!$C$21)/100)*('Arkusz1 (+10)'!B53-'Arkusz1 (+10)'!B52)/366)</f>
        <v>1.0102459016393444</v>
      </c>
      <c r="E53" s="15">
        <f t="shared" ca="1" si="0"/>
        <v>0</v>
      </c>
      <c r="F53" s="15">
        <f t="shared" ca="1" si="1"/>
        <v>0</v>
      </c>
      <c r="G53">
        <f ca="1">IF(E53=1,(1+(('Symulacja Pożyczka'!$B$5+'Symulacja Pożyczka'!$C$21)/100)*(((Arkusz1!B53-DATE(YEAR(B53),1,1)+1)/365)+((DATE(YEAR(B52),12,31)-Arkusz1!B52)/366))),IF(F53=1,(1+(('Symulacja Pożyczka'!$B$5+'Symulacja Pożyczka'!$C$21)/100)*(((Arkusz1!B53-DATE(YEAR(B53),1,1)+1)/366)+((DATE(YEAR(B52),12,31)-Arkusz1!B52)/365))),0))</f>
        <v>0</v>
      </c>
      <c r="H53">
        <f t="shared" ca="1" si="2"/>
        <v>0</v>
      </c>
      <c r="I53">
        <f t="shared" ca="1" si="3"/>
        <v>1.0102739726027397</v>
      </c>
      <c r="J53">
        <f t="shared" ca="1" si="4"/>
        <v>1.0102739726027397</v>
      </c>
      <c r="K53">
        <f ca="1">PRODUCT($J$3:J53)</f>
        <v>1.6876175928871562</v>
      </c>
      <c r="L53">
        <f t="shared" ca="1" si="5"/>
        <v>0.59255130084844154</v>
      </c>
      <c r="M53">
        <f ca="1">SUM($L$3:L53)</f>
        <v>39.602037149222092</v>
      </c>
      <c r="O53">
        <f ca="1">(Q52*'Arkusz1 (+10)'!J53)-Q52</f>
        <v>9114.4419502738165</v>
      </c>
      <c r="P53" s="16">
        <f t="shared" ca="1" si="6"/>
        <v>8802.324500480885</v>
      </c>
      <c r="Q53" s="17">
        <f t="shared" ca="1" si="7"/>
        <v>878336.69199284702</v>
      </c>
    </row>
    <row r="54" spans="1:17" x14ac:dyDescent="0.35">
      <c r="A54">
        <v>52</v>
      </c>
      <c r="B54" s="14">
        <f t="shared" ca="1" si="8"/>
        <v>47651</v>
      </c>
      <c r="C54" s="15">
        <f ca="1">(1+(('Symulacja Pożyczka'!$B$5+'Symulacja Pożyczka'!$C$21)/100)*('Arkusz1 (+10)'!B54-'Arkusz1 (+10)'!B53)/365)</f>
        <v>1.0106164383561644</v>
      </c>
      <c r="D54" s="15">
        <f ca="1">(1+(('Symulacja Pożyczka'!$B$5+'Symulacja Pożyczka'!$C$21)/100)*('Arkusz1 (+10)'!B54-'Arkusz1 (+10)'!B53)/366)</f>
        <v>1.0105874316939891</v>
      </c>
      <c r="E54" s="15">
        <f t="shared" ca="1" si="0"/>
        <v>0</v>
      </c>
      <c r="F54" s="15">
        <f t="shared" ca="1" si="1"/>
        <v>0</v>
      </c>
      <c r="G54">
        <f ca="1">IF(E54=1,(1+(('Symulacja Pożyczka'!$B$5+'Symulacja Pożyczka'!$C$21)/100)*(((Arkusz1!B54-DATE(YEAR(B54),1,1)+1)/365)+((DATE(YEAR(B53),12,31)-Arkusz1!B53)/366))),IF(F54=1,(1+(('Symulacja Pożyczka'!$B$5+'Symulacja Pożyczka'!$C$21)/100)*(((Arkusz1!B54-DATE(YEAR(B54),1,1)+1)/366)+((DATE(YEAR(B53),12,31)-Arkusz1!B53)/365))),0))</f>
        <v>0</v>
      </c>
      <c r="H54">
        <f t="shared" ca="1" si="2"/>
        <v>0</v>
      </c>
      <c r="I54">
        <f t="shared" ca="1" si="3"/>
        <v>1.0106164383561644</v>
      </c>
      <c r="J54">
        <f t="shared" ca="1" si="4"/>
        <v>1.0106164383561644</v>
      </c>
      <c r="K54">
        <f ca="1">PRODUCT($J$3:J54)</f>
        <v>1.7055340810308213</v>
      </c>
      <c r="L54">
        <f t="shared" ca="1" si="5"/>
        <v>0.58632660063620778</v>
      </c>
      <c r="M54">
        <f ca="1">SUM($L$3:L54)</f>
        <v>40.188363749858297</v>
      </c>
      <c r="O54">
        <f ca="1">(Q53*'Arkusz1 (+10)'!J54)-Q53</f>
        <v>9324.8073464994086</v>
      </c>
      <c r="P54" s="16">
        <f t="shared" ca="1" si="6"/>
        <v>8591.9591042552929</v>
      </c>
      <c r="Q54" s="17">
        <f t="shared" ca="1" si="7"/>
        <v>869744.73288859171</v>
      </c>
    </row>
    <row r="55" spans="1:17" x14ac:dyDescent="0.35">
      <c r="A55">
        <v>53</v>
      </c>
      <c r="B55" s="14">
        <f t="shared" ca="1" si="8"/>
        <v>47681</v>
      </c>
      <c r="C55" s="15">
        <f ca="1">(1+(('Symulacja Pożyczka'!$B$5+'Symulacja Pożyczka'!$C$21)/100)*('Arkusz1 (+10)'!B55-'Arkusz1 (+10)'!B54)/365)</f>
        <v>1.0102739726027397</v>
      </c>
      <c r="D55" s="15">
        <f ca="1">(1+(('Symulacja Pożyczka'!$B$5+'Symulacja Pożyczka'!$C$21)/100)*('Arkusz1 (+10)'!B55-'Arkusz1 (+10)'!B54)/366)</f>
        <v>1.0102459016393444</v>
      </c>
      <c r="E55" s="15">
        <f t="shared" ca="1" si="0"/>
        <v>0</v>
      </c>
      <c r="F55" s="15">
        <f t="shared" ca="1" si="1"/>
        <v>0</v>
      </c>
      <c r="G55">
        <f ca="1">IF(E55=1,(1+(('Symulacja Pożyczka'!$B$5+'Symulacja Pożyczka'!$C$21)/100)*(((Arkusz1!B55-DATE(YEAR(B55),1,1)+1)/365)+((DATE(YEAR(B54),12,31)-Arkusz1!B54)/366))),IF(F55=1,(1+(('Symulacja Pożyczka'!$B$5+'Symulacja Pożyczka'!$C$21)/100)*(((Arkusz1!B55-DATE(YEAR(B55),1,1)+1)/366)+((DATE(YEAR(B54),12,31)-Arkusz1!B54)/365))),0))</f>
        <v>0</v>
      </c>
      <c r="H55">
        <f t="shared" ca="1" si="2"/>
        <v>0</v>
      </c>
      <c r="I55">
        <f t="shared" ca="1" si="3"/>
        <v>1.0102739726027397</v>
      </c>
      <c r="J55">
        <f t="shared" ca="1" si="4"/>
        <v>1.0102739726027397</v>
      </c>
      <c r="K55">
        <f ca="1">PRODUCT($J$3:J55)</f>
        <v>1.7230566914523706</v>
      </c>
      <c r="L55">
        <f t="shared" ca="1" si="5"/>
        <v>0.58036395723990741</v>
      </c>
      <c r="M55">
        <f ca="1">SUM($L$3:L55)</f>
        <v>40.768727707098208</v>
      </c>
      <c r="O55">
        <f ca="1">(Q54*'Arkusz1 (+10)'!J55)-Q54</f>
        <v>8935.7335570745636</v>
      </c>
      <c r="P55" s="16">
        <f t="shared" ca="1" si="6"/>
        <v>8981.0328936801379</v>
      </c>
      <c r="Q55" s="17">
        <f t="shared" ca="1" si="7"/>
        <v>860763.69999491156</v>
      </c>
    </row>
    <row r="56" spans="1:17" x14ac:dyDescent="0.35">
      <c r="A56">
        <v>54</v>
      </c>
      <c r="B56" s="14">
        <f t="shared" ca="1" si="8"/>
        <v>47712</v>
      </c>
      <c r="C56" s="15">
        <f ca="1">(1+(('Symulacja Pożyczka'!$B$5+'Symulacja Pożyczka'!$C$21)/100)*('Arkusz1 (+10)'!B56-'Arkusz1 (+10)'!B55)/365)</f>
        <v>1.0106164383561644</v>
      </c>
      <c r="D56" s="15">
        <f ca="1">(1+(('Symulacja Pożyczka'!$B$5+'Symulacja Pożyczka'!$C$21)/100)*('Arkusz1 (+10)'!B56-'Arkusz1 (+10)'!B55)/366)</f>
        <v>1.0105874316939891</v>
      </c>
      <c r="E56" s="15">
        <f t="shared" ca="1" si="0"/>
        <v>0</v>
      </c>
      <c r="F56" s="15">
        <f t="shared" ca="1" si="1"/>
        <v>0</v>
      </c>
      <c r="G56">
        <f ca="1">IF(E56=1,(1+(('Symulacja Pożyczka'!$B$5+'Symulacja Pożyczka'!$C$21)/100)*(((Arkusz1!B56-DATE(YEAR(B56),1,1)+1)/365)+((DATE(YEAR(B55),12,31)-Arkusz1!B55)/366))),IF(F56=1,(1+(('Symulacja Pożyczka'!$B$5+'Symulacja Pożyczka'!$C$21)/100)*(((Arkusz1!B56-DATE(YEAR(B56),1,1)+1)/366)+((DATE(YEAR(B55),12,31)-Arkusz1!B55)/365))),0))</f>
        <v>0</v>
      </c>
      <c r="H56">
        <f t="shared" ca="1" si="2"/>
        <v>0</v>
      </c>
      <c r="I56">
        <f t="shared" ca="1" si="3"/>
        <v>1.0106164383561644</v>
      </c>
      <c r="J56">
        <f t="shared" ca="1" si="4"/>
        <v>1.0106164383561644</v>
      </c>
      <c r="K56">
        <f ca="1">PRODUCT($J$3:J56)</f>
        <v>1.7413494166013515</v>
      </c>
      <c r="L56">
        <f t="shared" ca="1" si="5"/>
        <v>0.57426728401915605</v>
      </c>
      <c r="M56">
        <f ca="1">SUM($L$3:L56)</f>
        <v>41.342994991117365</v>
      </c>
      <c r="O56">
        <f ca="1">(Q55*'Arkusz1 (+10)'!J56)-Q55</f>
        <v>9138.2447602200555</v>
      </c>
      <c r="P56" s="16">
        <f t="shared" ca="1" si="6"/>
        <v>8778.521690534646</v>
      </c>
      <c r="Q56" s="17">
        <f t="shared" ca="1" si="7"/>
        <v>851985.1783043769</v>
      </c>
    </row>
    <row r="57" spans="1:17" x14ac:dyDescent="0.35">
      <c r="A57">
        <v>55</v>
      </c>
      <c r="B57" s="14">
        <f t="shared" ca="1" si="8"/>
        <v>47743</v>
      </c>
      <c r="C57" s="15">
        <f ca="1">(1+(('Symulacja Pożyczka'!$B$5+'Symulacja Pożyczka'!$C$21)/100)*('Arkusz1 (+10)'!B57-'Arkusz1 (+10)'!B56)/365)</f>
        <v>1.0106164383561644</v>
      </c>
      <c r="D57" s="15">
        <f ca="1">(1+(('Symulacja Pożyczka'!$B$5+'Symulacja Pożyczka'!$C$21)/100)*('Arkusz1 (+10)'!B57-'Arkusz1 (+10)'!B56)/366)</f>
        <v>1.0105874316939891</v>
      </c>
      <c r="E57" s="15">
        <f t="shared" ca="1" si="0"/>
        <v>0</v>
      </c>
      <c r="F57" s="15">
        <f t="shared" ca="1" si="1"/>
        <v>0</v>
      </c>
      <c r="G57">
        <f ca="1">IF(E57=1,(1+(('Symulacja Pożyczka'!$B$5+'Symulacja Pożyczka'!$C$21)/100)*(((Arkusz1!B57-DATE(YEAR(B57),1,1)+1)/365)+((DATE(YEAR(B56),12,31)-Arkusz1!B56)/366))),IF(F57=1,(1+(('Symulacja Pożyczka'!$B$5+'Symulacja Pożyczka'!$C$21)/100)*(((Arkusz1!B57-DATE(YEAR(B57),1,1)+1)/366)+((DATE(YEAR(B56),12,31)-Arkusz1!B56)/365))),0))</f>
        <v>0</v>
      </c>
      <c r="H57">
        <f t="shared" ca="1" si="2"/>
        <v>0</v>
      </c>
      <c r="I57">
        <f t="shared" ca="1" si="3"/>
        <v>1.0106164383561644</v>
      </c>
      <c r="J57">
        <f t="shared" ca="1" si="4"/>
        <v>1.0106164383561644</v>
      </c>
      <c r="K57">
        <f ca="1">PRODUCT($J$3:J57)</f>
        <v>1.7598363453392427</v>
      </c>
      <c r="L57">
        <f t="shared" ca="1" si="5"/>
        <v>0.56823465582376664</v>
      </c>
      <c r="M57">
        <f ca="1">SUM($L$3:L57)</f>
        <v>41.911229646941131</v>
      </c>
      <c r="O57">
        <f ca="1">(Q56*'Arkusz1 (+10)'!J57)-Q56</f>
        <v>9045.0481258342043</v>
      </c>
      <c r="P57" s="16">
        <f t="shared" ca="1" si="6"/>
        <v>8871.7183249204973</v>
      </c>
      <c r="Q57" s="17">
        <f t="shared" ca="1" si="7"/>
        <v>843113.45997945638</v>
      </c>
    </row>
    <row r="58" spans="1:17" x14ac:dyDescent="0.35">
      <c r="A58">
        <v>56</v>
      </c>
      <c r="B58" s="14">
        <f t="shared" ca="1" si="8"/>
        <v>47773</v>
      </c>
      <c r="C58" s="15">
        <f ca="1">(1+(('Symulacja Pożyczka'!$B$5+'Symulacja Pożyczka'!$C$21)/100)*('Arkusz1 (+10)'!B58-'Arkusz1 (+10)'!B57)/365)</f>
        <v>1.0102739726027397</v>
      </c>
      <c r="D58" s="15">
        <f ca="1">(1+(('Symulacja Pożyczka'!$B$5+'Symulacja Pożyczka'!$C$21)/100)*('Arkusz1 (+10)'!B58-'Arkusz1 (+10)'!B57)/366)</f>
        <v>1.0102459016393444</v>
      </c>
      <c r="E58" s="15">
        <f t="shared" ca="1" si="0"/>
        <v>0</v>
      </c>
      <c r="F58" s="15">
        <f t="shared" ca="1" si="1"/>
        <v>0</v>
      </c>
      <c r="G58">
        <f ca="1">IF(E58=1,(1+(('Symulacja Pożyczka'!$B$5+'Symulacja Pożyczka'!$C$21)/100)*(((Arkusz1!B58-DATE(YEAR(B58),1,1)+1)/365)+((DATE(YEAR(B57),12,31)-Arkusz1!B57)/366))),IF(F58=1,(1+(('Symulacja Pożyczka'!$B$5+'Symulacja Pożyczka'!$C$21)/100)*(((Arkusz1!B58-DATE(YEAR(B58),1,1)+1)/366)+((DATE(YEAR(B57),12,31)-Arkusz1!B57)/365))),0))</f>
        <v>0</v>
      </c>
      <c r="H58">
        <f t="shared" ca="1" si="2"/>
        <v>0</v>
      </c>
      <c r="I58">
        <f t="shared" ca="1" si="3"/>
        <v>1.0102739726027397</v>
      </c>
      <c r="J58">
        <f t="shared" ca="1" si="4"/>
        <v>1.0102739726027397</v>
      </c>
      <c r="K58">
        <f ca="1">PRODUCT($J$3:J58)</f>
        <v>1.7779168557365637</v>
      </c>
      <c r="L58">
        <f t="shared" ca="1" si="5"/>
        <v>0.56245599830691484</v>
      </c>
      <c r="M58">
        <f ca="1">SUM($L$3:L58)</f>
        <v>42.473685645248047</v>
      </c>
      <c r="O58">
        <f ca="1">(Q57*'Arkusz1 (+10)'!J58)-Q57</f>
        <v>8662.1245888299309</v>
      </c>
      <c r="P58" s="16">
        <f t="shared" ca="1" si="6"/>
        <v>9254.6418619247706</v>
      </c>
      <c r="Q58" s="17">
        <f t="shared" ca="1" si="7"/>
        <v>833858.8181175316</v>
      </c>
    </row>
    <row r="59" spans="1:17" x14ac:dyDescent="0.35">
      <c r="A59">
        <v>57</v>
      </c>
      <c r="B59" s="14">
        <f t="shared" ca="1" si="8"/>
        <v>47804</v>
      </c>
      <c r="C59" s="15">
        <f ca="1">(1+(('Symulacja Pożyczka'!$B$5+'Symulacja Pożyczka'!$C$21)/100)*('Arkusz1 (+10)'!B59-'Arkusz1 (+10)'!B58)/365)</f>
        <v>1.0106164383561644</v>
      </c>
      <c r="D59" s="15">
        <f ca="1">(1+(('Symulacja Pożyczka'!$B$5+'Symulacja Pożyczka'!$C$21)/100)*('Arkusz1 (+10)'!B59-'Arkusz1 (+10)'!B58)/366)</f>
        <v>1.0105874316939891</v>
      </c>
      <c r="E59" s="15">
        <f t="shared" ca="1" si="0"/>
        <v>0</v>
      </c>
      <c r="F59" s="15">
        <f t="shared" ca="1" si="1"/>
        <v>0</v>
      </c>
      <c r="G59">
        <f ca="1">IF(E59=1,(1+(('Symulacja Pożyczka'!$B$5+'Symulacja Pożyczka'!$C$21)/100)*(((Arkusz1!B59-DATE(YEAR(B59),1,1)+1)/365)+((DATE(YEAR(B58),12,31)-Arkusz1!B58)/366))),IF(F59=1,(1+(('Symulacja Pożyczka'!$B$5+'Symulacja Pożyczka'!$C$21)/100)*(((Arkusz1!B59-DATE(YEAR(B59),1,1)+1)/366)+((DATE(YEAR(B58),12,31)-Arkusz1!B58)/365))),0))</f>
        <v>0</v>
      </c>
      <c r="H59">
        <f t="shared" ca="1" si="2"/>
        <v>0</v>
      </c>
      <c r="I59">
        <f t="shared" ca="1" si="3"/>
        <v>1.0106164383561644</v>
      </c>
      <c r="J59">
        <f t="shared" ca="1" si="4"/>
        <v>1.0106164383561644</v>
      </c>
      <c r="K59">
        <f ca="1">PRODUCT($J$3:J59)</f>
        <v>1.7967920004378766</v>
      </c>
      <c r="L59">
        <f t="shared" ca="1" si="5"/>
        <v>0.55654744664730305</v>
      </c>
      <c r="M59">
        <f ca="1">SUM($L$3:L59)</f>
        <v>43.030233091895347</v>
      </c>
      <c r="O59">
        <f ca="1">(Q58*'Arkusz1 (+10)'!J59)-Q58</f>
        <v>8852.6107402888592</v>
      </c>
      <c r="P59" s="16">
        <f t="shared" ca="1" si="6"/>
        <v>9064.1557104658423</v>
      </c>
      <c r="Q59" s="17">
        <f t="shared" ca="1" si="7"/>
        <v>824794.66240706574</v>
      </c>
    </row>
    <row r="60" spans="1:17" x14ac:dyDescent="0.35">
      <c r="A60">
        <v>58</v>
      </c>
      <c r="B60" s="14">
        <f t="shared" ca="1" si="8"/>
        <v>47834</v>
      </c>
      <c r="C60" s="15">
        <f ca="1">(1+(('Symulacja Pożyczka'!$B$5+'Symulacja Pożyczka'!$C$21)/100)*('Arkusz1 (+10)'!B60-'Arkusz1 (+10)'!B59)/365)</f>
        <v>1.0102739726027397</v>
      </c>
      <c r="D60" s="15">
        <f ca="1">(1+(('Symulacja Pożyczka'!$B$5+'Symulacja Pożyczka'!$C$21)/100)*('Arkusz1 (+10)'!B60-'Arkusz1 (+10)'!B59)/366)</f>
        <v>1.0102459016393444</v>
      </c>
      <c r="E60" s="15">
        <f t="shared" ca="1" si="0"/>
        <v>0</v>
      </c>
      <c r="F60" s="15">
        <f t="shared" ca="1" si="1"/>
        <v>0</v>
      </c>
      <c r="G60">
        <f ca="1">IF(E60=1,(1+(('Symulacja Pożyczka'!$B$5+'Symulacja Pożyczka'!$C$21)/100)*(((Arkusz1!B60-DATE(YEAR(B60),1,1)+1)/365)+((DATE(YEAR(B59),12,31)-Arkusz1!B59)/366))),IF(F60=1,(1+(('Symulacja Pożyczka'!$B$5+'Symulacja Pożyczka'!$C$21)/100)*(((Arkusz1!B60-DATE(YEAR(B60),1,1)+1)/366)+((DATE(YEAR(B59),12,31)-Arkusz1!B59)/365))),0))</f>
        <v>0</v>
      </c>
      <c r="H60">
        <f t="shared" ca="1" si="2"/>
        <v>0</v>
      </c>
      <c r="I60">
        <f t="shared" ca="1" si="3"/>
        <v>1.0102739726027397</v>
      </c>
      <c r="J60">
        <f t="shared" ca="1" si="4"/>
        <v>1.0102739726027397</v>
      </c>
      <c r="K60">
        <f ca="1">PRODUCT($J$3:J60)</f>
        <v>1.815252192223197</v>
      </c>
      <c r="L60">
        <f t="shared" ca="1" si="5"/>
        <v>0.55088764210512708</v>
      </c>
      <c r="M60">
        <f ca="1">SUM($L$3:L60)</f>
        <v>43.581120734000471</v>
      </c>
      <c r="O60">
        <f ca="1">(Q59*'Arkusz1 (+10)'!J60)-Q59</f>
        <v>8473.9177644561278</v>
      </c>
      <c r="P60" s="16">
        <f t="shared" ca="1" si="6"/>
        <v>9442.8486862985737</v>
      </c>
      <c r="Q60" s="17">
        <f t="shared" ca="1" si="7"/>
        <v>815351.81372076715</v>
      </c>
    </row>
    <row r="61" spans="1:17" x14ac:dyDescent="0.35">
      <c r="A61">
        <v>59</v>
      </c>
      <c r="B61" s="14">
        <f t="shared" ca="1" si="8"/>
        <v>47865</v>
      </c>
      <c r="C61" s="15">
        <f ca="1">(1+(('Symulacja Pożyczka'!$B$5+'Symulacja Pożyczka'!$C$21)/100)*('Arkusz1 (+10)'!B61-'Arkusz1 (+10)'!B60)/365)</f>
        <v>1.0106164383561644</v>
      </c>
      <c r="D61" s="15">
        <f ca="1">(1+(('Symulacja Pożyczka'!$B$5+'Symulacja Pożyczka'!$C$21)/100)*('Arkusz1 (+10)'!B61-'Arkusz1 (+10)'!B60)/366)</f>
        <v>1.0105874316939891</v>
      </c>
      <c r="E61" s="15">
        <f t="shared" ca="1" si="0"/>
        <v>0</v>
      </c>
      <c r="F61" s="15">
        <f t="shared" ca="1" si="1"/>
        <v>0</v>
      </c>
      <c r="G61">
        <f ca="1">IF(E61=1,(1+(('Symulacja Pożyczka'!$B$5+'Symulacja Pożyczka'!$C$21)/100)*(((Arkusz1!B61-DATE(YEAR(B61),1,1)+1)/365)+((DATE(YEAR(B60),12,31)-Arkusz1!B60)/366))),IF(F61=1,(1+(('Symulacja Pożyczka'!$B$5+'Symulacja Pożyczka'!$C$21)/100)*(((Arkusz1!B61-DATE(YEAR(B61),1,1)+1)/366)+((DATE(YEAR(B60),12,31)-Arkusz1!B60)/365))),0))</f>
        <v>0</v>
      </c>
      <c r="H61">
        <f t="shared" ca="1" si="2"/>
        <v>0</v>
      </c>
      <c r="I61">
        <f t="shared" ca="1" si="3"/>
        <v>1.0106164383561644</v>
      </c>
      <c r="J61">
        <f t="shared" ca="1" si="4"/>
        <v>1.0106164383561644</v>
      </c>
      <c r="K61">
        <f ca="1">PRODUCT($J$3:J61)</f>
        <v>1.8345237052228269</v>
      </c>
      <c r="L61">
        <f t="shared" ca="1" si="5"/>
        <v>0.5451006150277774</v>
      </c>
      <c r="M61">
        <f ca="1">SUM($L$3:L61)</f>
        <v>44.126221349028249</v>
      </c>
      <c r="O61">
        <f ca="1">(Q60*'Arkusz1 (+10)'!J61)-Q60</f>
        <v>8656.1322689533699</v>
      </c>
      <c r="P61" s="16">
        <f t="shared" ca="1" si="6"/>
        <v>9260.6341818013316</v>
      </c>
      <c r="Q61" s="17">
        <f t="shared" ca="1" si="7"/>
        <v>806091.17953896581</v>
      </c>
    </row>
    <row r="62" spans="1:17" x14ac:dyDescent="0.35">
      <c r="A62">
        <v>60</v>
      </c>
      <c r="B62" s="14">
        <f t="shared" ca="1" si="8"/>
        <v>47896</v>
      </c>
      <c r="C62" s="15">
        <f ca="1">(1+(('Symulacja Pożyczka'!$B$5+'Symulacja Pożyczka'!$C$21)/100)*('Arkusz1 (+10)'!B62-'Arkusz1 (+10)'!B61)/365)</f>
        <v>1.0106164383561644</v>
      </c>
      <c r="D62" s="15">
        <f ca="1">(1+(('Symulacja Pożyczka'!$B$5+'Symulacja Pożyczka'!$C$21)/100)*('Arkusz1 (+10)'!B62-'Arkusz1 (+10)'!B61)/366)</f>
        <v>1.0105874316939891</v>
      </c>
      <c r="E62" s="15">
        <f t="shared" ca="1" si="0"/>
        <v>0</v>
      </c>
      <c r="F62" s="15">
        <f t="shared" ca="1" si="1"/>
        <v>0</v>
      </c>
      <c r="G62">
        <f ca="1">IF(E62=1,(1+(('Symulacja Pożyczka'!$B$5+'Symulacja Pożyczka'!$C$21)/100)*(((Arkusz1!B62-DATE(YEAR(B62),1,1)+1)/365)+((DATE(YEAR(B61),12,31)-Arkusz1!B61)/366))),IF(F62=1,(1+(('Symulacja Pożyczka'!$B$5+'Symulacja Pożyczka'!$C$21)/100)*(((Arkusz1!B62-DATE(YEAR(B62),1,1)+1)/366)+((DATE(YEAR(B61),12,31)-Arkusz1!B61)/365))),0))</f>
        <v>0</v>
      </c>
      <c r="H62">
        <f t="shared" ca="1" si="2"/>
        <v>0</v>
      </c>
      <c r="I62">
        <f t="shared" ca="1" si="3"/>
        <v>1.0106164383561644</v>
      </c>
      <c r="J62">
        <f t="shared" ca="1" si="4"/>
        <v>1.0106164383561644</v>
      </c>
      <c r="K62">
        <f ca="1">PRODUCT($J$3:J62)</f>
        <v>1.8539998130522475</v>
      </c>
      <c r="L62">
        <f t="shared" ca="1" si="5"/>
        <v>0.53937438016981021</v>
      </c>
      <c r="M62">
        <f ca="1">SUM($L$3:L62)</f>
        <v>44.66559572919806</v>
      </c>
      <c r="O62">
        <f ca="1">(Q61*'Arkusz1 (+10)'!J62)-Q61</f>
        <v>8557.8173170232913</v>
      </c>
      <c r="P62" s="16">
        <f t="shared" ca="1" si="6"/>
        <v>9358.9491337314103</v>
      </c>
      <c r="Q62" s="17">
        <f t="shared" ca="1" si="7"/>
        <v>796732.23040523438</v>
      </c>
    </row>
    <row r="63" spans="1:17" x14ac:dyDescent="0.35">
      <c r="A63">
        <v>61</v>
      </c>
      <c r="B63" s="14">
        <f t="shared" ca="1" si="8"/>
        <v>47924</v>
      </c>
      <c r="C63" s="15">
        <f ca="1">(1+(('Symulacja Pożyczka'!$B$5+'Symulacja Pożyczka'!$C$21)/100)*('Arkusz1 (+10)'!B63-'Arkusz1 (+10)'!B62)/365)</f>
        <v>1.0095890410958903</v>
      </c>
      <c r="D63" s="15">
        <f ca="1">(1+(('Symulacja Pożyczka'!$B$5+'Symulacja Pożyczka'!$C$21)/100)*('Arkusz1 (+10)'!B63-'Arkusz1 (+10)'!B62)/366)</f>
        <v>1.0095628415300546</v>
      </c>
      <c r="E63" s="15">
        <f t="shared" ca="1" si="0"/>
        <v>0</v>
      </c>
      <c r="F63" s="15">
        <f t="shared" ca="1" si="1"/>
        <v>0</v>
      </c>
      <c r="G63">
        <f ca="1">IF(E63=1,(1+(('Symulacja Pożyczka'!$B$5+'Symulacja Pożyczka'!$C$21)/100)*(((Arkusz1!B63-DATE(YEAR(B63),1,1)+1)/365)+((DATE(YEAR(B62),12,31)-Arkusz1!B62)/366))),IF(F63=1,(1+(('Symulacja Pożyczka'!$B$5+'Symulacja Pożyczka'!$C$21)/100)*(((Arkusz1!B63-DATE(YEAR(B63),1,1)+1)/366)+((DATE(YEAR(B62),12,31)-Arkusz1!B62)/365))),0))</f>
        <v>0</v>
      </c>
      <c r="H63">
        <f t="shared" ca="1" si="2"/>
        <v>0</v>
      </c>
      <c r="I63">
        <f t="shared" ca="1" si="3"/>
        <v>1.0095890410958903</v>
      </c>
      <c r="J63">
        <f t="shared" ca="1" si="4"/>
        <v>1.0095890410958903</v>
      </c>
      <c r="K63">
        <f ca="1">PRODUCT($J$3:J63)</f>
        <v>1.8717778934513785</v>
      </c>
      <c r="L63">
        <f t="shared" ca="1" si="5"/>
        <v>0.53425142133509018</v>
      </c>
      <c r="M63">
        <f ca="1">SUM($L$3:L63)</f>
        <v>45.199847150533152</v>
      </c>
      <c r="O63">
        <f ca="1">(Q62*'Arkusz1 (+10)'!J63)-Q62</f>
        <v>7639.8980997761246</v>
      </c>
      <c r="P63" s="16">
        <f t="shared" ca="1" si="6"/>
        <v>10276.868350978577</v>
      </c>
      <c r="Q63" s="17">
        <f t="shared" ca="1" si="7"/>
        <v>786455.36205425579</v>
      </c>
    </row>
    <row r="64" spans="1:17" x14ac:dyDescent="0.35">
      <c r="A64">
        <v>62</v>
      </c>
      <c r="B64" s="14">
        <f t="shared" ca="1" si="8"/>
        <v>47955</v>
      </c>
      <c r="C64" s="15">
        <f ca="1">(1+(('Symulacja Pożyczka'!$B$5+'Symulacja Pożyczka'!$C$21)/100)*('Arkusz1 (+10)'!B64-'Arkusz1 (+10)'!B63)/365)</f>
        <v>1.0106164383561644</v>
      </c>
      <c r="D64" s="15">
        <f ca="1">(1+(('Symulacja Pożyczka'!$B$5+'Symulacja Pożyczka'!$C$21)/100)*('Arkusz1 (+10)'!B64-'Arkusz1 (+10)'!B63)/366)</f>
        <v>1.0105874316939891</v>
      </c>
      <c r="E64" s="15">
        <f t="shared" ca="1" si="0"/>
        <v>0</v>
      </c>
      <c r="F64" s="15">
        <f t="shared" ca="1" si="1"/>
        <v>0</v>
      </c>
      <c r="G64">
        <f ca="1">IF(E64=1,(1+(('Symulacja Pożyczka'!$B$5+'Symulacja Pożyczka'!$C$21)/100)*(((Arkusz1!B64-DATE(YEAR(B64),1,1)+1)/365)+((DATE(YEAR(B63),12,31)-Arkusz1!B63)/366))),IF(F64=1,(1+(('Symulacja Pożyczka'!$B$5+'Symulacja Pożyczka'!$C$21)/100)*(((Arkusz1!B64-DATE(YEAR(B64),1,1)+1)/366)+((DATE(YEAR(B63),12,31)-Arkusz1!B63)/365))),0))</f>
        <v>0</v>
      </c>
      <c r="H64">
        <f t="shared" ca="1" si="2"/>
        <v>0</v>
      </c>
      <c r="I64">
        <f t="shared" ca="1" si="3"/>
        <v>1.0106164383561644</v>
      </c>
      <c r="J64">
        <f t="shared" ca="1" si="4"/>
        <v>1.0106164383561644</v>
      </c>
      <c r="K64">
        <f ca="1">PRODUCT($J$3:J64)</f>
        <v>1.8916495080736364</v>
      </c>
      <c r="L64">
        <f t="shared" ca="1" si="5"/>
        <v>0.52863915631937086</v>
      </c>
      <c r="M64">
        <f ca="1">SUM($L$3:L64)</f>
        <v>45.728486306852524</v>
      </c>
      <c r="O64">
        <f ca="1">(Q63*'Arkusz1 (+10)'!J64)-Q63</f>
        <v>8349.3548711240292</v>
      </c>
      <c r="P64" s="16">
        <f t="shared" ca="1" si="6"/>
        <v>9567.4115796306723</v>
      </c>
      <c r="Q64" s="17">
        <f t="shared" ca="1" si="7"/>
        <v>776887.9504746251</v>
      </c>
    </row>
    <row r="65" spans="1:17" x14ac:dyDescent="0.35">
      <c r="A65">
        <v>63</v>
      </c>
      <c r="B65" s="14">
        <f t="shared" ca="1" si="8"/>
        <v>47985</v>
      </c>
      <c r="C65" s="15">
        <f ca="1">(1+(('Symulacja Pożyczka'!$B$5+'Symulacja Pożyczka'!$C$21)/100)*('Arkusz1 (+10)'!B65-'Arkusz1 (+10)'!B64)/365)</f>
        <v>1.0102739726027397</v>
      </c>
      <c r="D65" s="15">
        <f ca="1">(1+(('Symulacja Pożyczka'!$B$5+'Symulacja Pożyczka'!$C$21)/100)*('Arkusz1 (+10)'!B65-'Arkusz1 (+10)'!B64)/366)</f>
        <v>1.0102459016393444</v>
      </c>
      <c r="E65" s="15">
        <f t="shared" ca="1" si="0"/>
        <v>0</v>
      </c>
      <c r="F65" s="15">
        <f t="shared" ca="1" si="1"/>
        <v>0</v>
      </c>
      <c r="G65">
        <f ca="1">IF(E65=1,(1+(('Symulacja Pożyczka'!$B$5+'Symulacja Pożyczka'!$C$21)/100)*(((Arkusz1!B65-DATE(YEAR(B65),1,1)+1)/365)+((DATE(YEAR(B64),12,31)-Arkusz1!B64)/366))),IF(F65=1,(1+(('Symulacja Pożyczka'!$B$5+'Symulacja Pożyczka'!$C$21)/100)*(((Arkusz1!B65-DATE(YEAR(B65),1,1)+1)/366)+((DATE(YEAR(B64),12,31)-Arkusz1!B64)/365))),0))</f>
        <v>0</v>
      </c>
      <c r="H65">
        <f t="shared" ca="1" si="2"/>
        <v>0</v>
      </c>
      <c r="I65">
        <f t="shared" ca="1" si="3"/>
        <v>1.0102739726027397</v>
      </c>
      <c r="J65">
        <f t="shared" ca="1" si="4"/>
        <v>1.0102739726027397</v>
      </c>
      <c r="K65">
        <f ca="1">PRODUCT($J$3:J65)</f>
        <v>1.911084263293571</v>
      </c>
      <c r="L65">
        <f t="shared" ca="1" si="5"/>
        <v>0.5232631648991739</v>
      </c>
      <c r="M65">
        <f ca="1">SUM($L$3:L65)</f>
        <v>46.251749471751701</v>
      </c>
      <c r="O65">
        <f ca="1">(Q64*'Arkusz1 (+10)'!J65)-Q64</f>
        <v>7981.7255185748218</v>
      </c>
      <c r="P65" s="16">
        <f t="shared" ca="1" si="6"/>
        <v>9935.0409321798797</v>
      </c>
      <c r="Q65" s="17">
        <f t="shared" ca="1" si="7"/>
        <v>766952.90954244521</v>
      </c>
    </row>
    <row r="66" spans="1:17" x14ac:dyDescent="0.35">
      <c r="A66">
        <v>64</v>
      </c>
      <c r="B66" s="14">
        <f t="shared" ca="1" si="8"/>
        <v>48016</v>
      </c>
      <c r="C66" s="15">
        <f ca="1">(1+(('Symulacja Pożyczka'!$B$5+'Symulacja Pożyczka'!$C$21)/100)*('Arkusz1 (+10)'!B66-'Arkusz1 (+10)'!B65)/365)</f>
        <v>1.0106164383561644</v>
      </c>
      <c r="D66" s="15">
        <f ca="1">(1+(('Symulacja Pożyczka'!$B$5+'Symulacja Pożyczka'!$C$21)/100)*('Arkusz1 (+10)'!B66-'Arkusz1 (+10)'!B65)/366)</f>
        <v>1.0105874316939891</v>
      </c>
      <c r="E66" s="15">
        <f t="shared" ca="1" si="0"/>
        <v>0</v>
      </c>
      <c r="F66" s="15">
        <f t="shared" ca="1" si="1"/>
        <v>0</v>
      </c>
      <c r="G66">
        <f ca="1">IF(E66=1,(1+(('Symulacja Pożyczka'!$B$5+'Symulacja Pożyczka'!$C$21)/100)*(((Arkusz1!B66-DATE(YEAR(B66),1,1)+1)/365)+((DATE(YEAR(B65),12,31)-Arkusz1!B65)/366))),IF(F66=1,(1+(('Symulacja Pożyczka'!$B$5+'Symulacja Pożyczka'!$C$21)/100)*(((Arkusz1!B66-DATE(YEAR(B66),1,1)+1)/366)+((DATE(YEAR(B65),12,31)-Arkusz1!B65)/365))),0))</f>
        <v>0</v>
      </c>
      <c r="H66">
        <f t="shared" ca="1" si="2"/>
        <v>0</v>
      </c>
      <c r="I66">
        <f t="shared" ca="1" si="3"/>
        <v>1.0106164383561644</v>
      </c>
      <c r="J66">
        <f t="shared" ca="1" si="4"/>
        <v>1.0106164383561644</v>
      </c>
      <c r="K66">
        <f ca="1">PRODUCT($J$3:J66)</f>
        <v>1.9313731715682632</v>
      </c>
      <c r="L66">
        <f t="shared" ca="1" si="5"/>
        <v>0.5177663305678033</v>
      </c>
      <c r="M66">
        <f ca="1">SUM($L$3:L66)</f>
        <v>46.769515802319503</v>
      </c>
      <c r="O66">
        <f ca="1">(Q65*'Arkusz1 (+10)'!J66)-Q65</f>
        <v>8142.3082862383453</v>
      </c>
      <c r="P66" s="16">
        <f t="shared" ca="1" si="6"/>
        <v>9774.4581645163562</v>
      </c>
      <c r="Q66" s="17">
        <f t="shared" ca="1" si="7"/>
        <v>757178.45137792884</v>
      </c>
    </row>
    <row r="67" spans="1:17" x14ac:dyDescent="0.35">
      <c r="A67">
        <v>65</v>
      </c>
      <c r="B67" s="14">
        <f t="shared" ca="1" si="8"/>
        <v>48046</v>
      </c>
      <c r="C67" s="15">
        <f ca="1">(1+(('Symulacja Pożyczka'!$B$5+'Symulacja Pożyczka'!$C$21)/100)*('Arkusz1 (+10)'!B67-'Arkusz1 (+10)'!B66)/365)</f>
        <v>1.0102739726027397</v>
      </c>
      <c r="D67" s="15">
        <f ca="1">(1+(('Symulacja Pożyczka'!$B$5+'Symulacja Pożyczka'!$C$21)/100)*('Arkusz1 (+10)'!B67-'Arkusz1 (+10)'!B66)/366)</f>
        <v>1.0102459016393444</v>
      </c>
      <c r="E67" s="15">
        <f t="shared" ca="1" si="0"/>
        <v>0</v>
      </c>
      <c r="F67" s="15">
        <f t="shared" ca="1" si="1"/>
        <v>0</v>
      </c>
      <c r="G67">
        <f ca="1">IF(E67=1,(1+(('Symulacja Pożyczka'!$B$5+'Symulacja Pożyczka'!$C$21)/100)*(((Arkusz1!B67-DATE(YEAR(B67),1,1)+1)/365)+((DATE(YEAR(B66),12,31)-Arkusz1!B66)/366))),IF(F67=1,(1+(('Symulacja Pożyczka'!$B$5+'Symulacja Pożyczka'!$C$21)/100)*(((Arkusz1!B67-DATE(YEAR(B67),1,1)+1)/366)+((DATE(YEAR(B66),12,31)-Arkusz1!B66)/365))),0))</f>
        <v>0</v>
      </c>
      <c r="H67">
        <f t="shared" ca="1" si="2"/>
        <v>0</v>
      </c>
      <c r="I67">
        <f t="shared" ca="1" si="3"/>
        <v>1.0102739726027397</v>
      </c>
      <c r="J67">
        <f t="shared" ca="1" si="4"/>
        <v>1.0102739726027397</v>
      </c>
      <c r="K67">
        <f ca="1">PRODUCT($J$3:J67)</f>
        <v>1.9512160466186219</v>
      </c>
      <c r="L67">
        <f t="shared" ca="1" si="5"/>
        <v>0.51250091025694433</v>
      </c>
      <c r="M67">
        <f ca="1">SUM($L$3:L67)</f>
        <v>47.28201671257645</v>
      </c>
      <c r="O67">
        <f ca="1">(Q66*'Arkusz1 (+10)'!J67)-Q66</f>
        <v>7779.2306648417143</v>
      </c>
      <c r="P67" s="16">
        <f t="shared" ca="1" si="6"/>
        <v>10137.535785912987</v>
      </c>
      <c r="Q67" s="17">
        <f t="shared" ca="1" si="7"/>
        <v>747040.91559201584</v>
      </c>
    </row>
    <row r="68" spans="1:17" x14ac:dyDescent="0.35">
      <c r="A68">
        <v>66</v>
      </c>
      <c r="B68" s="14">
        <f t="shared" ca="1" si="8"/>
        <v>48077</v>
      </c>
      <c r="C68" s="15">
        <f ca="1">(1+(('Symulacja Pożyczka'!$B$5+'Symulacja Pożyczka'!$C$21)/100)*('Arkusz1 (+10)'!B68-'Arkusz1 (+10)'!B67)/365)</f>
        <v>1.0106164383561644</v>
      </c>
      <c r="D68" s="15">
        <f ca="1">(1+(('Symulacja Pożyczka'!$B$5+'Symulacja Pożyczka'!$C$21)/100)*('Arkusz1 (+10)'!B68-'Arkusz1 (+10)'!B67)/366)</f>
        <v>1.0105874316939891</v>
      </c>
      <c r="E68" s="15">
        <f t="shared" ref="E68:E131" ca="1" si="9">IF(AND(MOD(YEAR(B67),4)=0,MOD(YEAR(B68),4)&lt;&gt;0),1,0)</f>
        <v>0</v>
      </c>
      <c r="F68" s="15">
        <f t="shared" ref="F68:F131" ca="1" si="10">IF(AND(MOD(YEAR(B68),4)=0,MOD(YEAR(B67),4)&lt;&gt;0),1,0)</f>
        <v>0</v>
      </c>
      <c r="G68">
        <f ca="1">IF(E68=1,(1+(('Symulacja Pożyczka'!$B$5+'Symulacja Pożyczka'!$C$21)/100)*(((Arkusz1!B68-DATE(YEAR(B68),1,1)+1)/365)+((DATE(YEAR(B67),12,31)-Arkusz1!B67)/366))),IF(F68=1,(1+(('Symulacja Pożyczka'!$B$5+'Symulacja Pożyczka'!$C$21)/100)*(((Arkusz1!B68-DATE(YEAR(B68),1,1)+1)/366)+((DATE(YEAR(B67),12,31)-Arkusz1!B67)/365))),0))</f>
        <v>0</v>
      </c>
      <c r="H68">
        <f t="shared" ref="H68:H131" ca="1" si="11">IF(MOD(YEAR(B68),4)=0,1,0)</f>
        <v>0</v>
      </c>
      <c r="I68">
        <f t="shared" ref="I68:I131" ca="1" si="12">IF(H68=0,C68,IF(H68=1,D68,"blad"))</f>
        <v>1.0106164383561644</v>
      </c>
      <c r="J68">
        <f t="shared" ref="J68:J131" ca="1" si="13">IF(OR(E68=1,F68=1),G68,I68)</f>
        <v>1.0106164383561644</v>
      </c>
      <c r="K68">
        <f ca="1">PRODUCT($J$3:J68)</f>
        <v>1.9719310114971074</v>
      </c>
      <c r="L68">
        <f t="shared" ref="L68:L131" ca="1" si="14">1/K68</f>
        <v>0.50711713248060908</v>
      </c>
      <c r="M68">
        <f ca="1">SUM($L$3:L68)</f>
        <v>47.789133845057059</v>
      </c>
      <c r="O68">
        <f ca="1">(Q67*'Arkusz1 (+10)'!J68)-Q67</f>
        <v>7930.9138299152255</v>
      </c>
      <c r="P68" s="16">
        <f t="shared" ca="1" si="6"/>
        <v>9985.852620839476</v>
      </c>
      <c r="Q68" s="17">
        <f t="shared" ca="1" si="7"/>
        <v>737055.06297117635</v>
      </c>
    </row>
    <row r="69" spans="1:17" x14ac:dyDescent="0.35">
      <c r="A69">
        <v>67</v>
      </c>
      <c r="B69" s="14">
        <f t="shared" ca="1" si="8"/>
        <v>48108</v>
      </c>
      <c r="C69" s="15">
        <f ca="1">(1+(('Symulacja Pożyczka'!$B$5+'Symulacja Pożyczka'!$C$21)/100)*('Arkusz1 (+10)'!B69-'Arkusz1 (+10)'!B68)/365)</f>
        <v>1.0106164383561644</v>
      </c>
      <c r="D69" s="15">
        <f ca="1">(1+(('Symulacja Pożyczka'!$B$5+'Symulacja Pożyczka'!$C$21)/100)*('Arkusz1 (+10)'!B69-'Arkusz1 (+10)'!B68)/366)</f>
        <v>1.0105874316939891</v>
      </c>
      <c r="E69" s="15">
        <f t="shared" ca="1" si="9"/>
        <v>0</v>
      </c>
      <c r="F69" s="15">
        <f t="shared" ca="1" si="10"/>
        <v>0</v>
      </c>
      <c r="G69">
        <f ca="1">IF(E69=1,(1+(('Symulacja Pożyczka'!$B$5+'Symulacja Pożyczka'!$C$21)/100)*(((Arkusz1!B69-DATE(YEAR(B69),1,1)+1)/365)+((DATE(YEAR(B68),12,31)-Arkusz1!B68)/366))),IF(F69=1,(1+(('Symulacja Pożyczka'!$B$5+'Symulacja Pożyczka'!$C$21)/100)*(((Arkusz1!B69-DATE(YEAR(B69),1,1)+1)/366)+((DATE(YEAR(B68),12,31)-Arkusz1!B68)/365))),0))</f>
        <v>0</v>
      </c>
      <c r="H69">
        <f t="shared" ca="1" si="11"/>
        <v>0</v>
      </c>
      <c r="I69">
        <f t="shared" ca="1" si="12"/>
        <v>1.0106164383561644</v>
      </c>
      <c r="J69">
        <f t="shared" ca="1" si="13"/>
        <v>1.0106164383561644</v>
      </c>
      <c r="K69">
        <f ca="1">PRODUCT($J$3:J69)</f>
        <v>1.9928658955232754</v>
      </c>
      <c r="L69">
        <f t="shared" ca="1" si="14"/>
        <v>0.50178991082459445</v>
      </c>
      <c r="M69">
        <f ca="1">SUM($L$3:L69)</f>
        <v>48.29092375588165</v>
      </c>
      <c r="O69">
        <f ca="1">(Q68*'Arkusz1 (+10)'!J69)-Q68</f>
        <v>7824.8996411324479</v>
      </c>
      <c r="P69" s="16">
        <f t="shared" ref="P69:P132" ca="1" si="15">$N$2-O69</f>
        <v>10091.866809622254</v>
      </c>
      <c r="Q69" s="17">
        <f t="shared" ref="Q69:Q132" ca="1" si="16">Q68-P69</f>
        <v>726963.19616155408</v>
      </c>
    </row>
    <row r="70" spans="1:17" x14ac:dyDescent="0.35">
      <c r="A70">
        <v>68</v>
      </c>
      <c r="B70" s="14">
        <f t="shared" ref="B70:B133" ca="1" si="17">DATE(YEAR((B69)),MONTH((B69))+1,IF(AND(DAY(B69)&gt;28,MONTH((B69))+1=2),IF(MOD(YEAR(B69),4)=0,29,28),IF(AND(OR(DAY(B69)=28,DAY(B69)=29),MONTH((B69))=2),DAY(B68),DAY(B69))))</f>
        <v>48138</v>
      </c>
      <c r="C70" s="15">
        <f ca="1">(1+(('Symulacja Pożyczka'!$B$5+'Symulacja Pożyczka'!$C$21)/100)*('Arkusz1 (+10)'!B70-'Arkusz1 (+10)'!B69)/365)</f>
        <v>1.0102739726027397</v>
      </c>
      <c r="D70" s="15">
        <f ca="1">(1+(('Symulacja Pożyczka'!$B$5+'Symulacja Pożyczka'!$C$21)/100)*('Arkusz1 (+10)'!B70-'Arkusz1 (+10)'!B69)/366)</f>
        <v>1.0102459016393444</v>
      </c>
      <c r="E70" s="15">
        <f t="shared" ca="1" si="9"/>
        <v>0</v>
      </c>
      <c r="F70" s="15">
        <f t="shared" ca="1" si="10"/>
        <v>0</v>
      </c>
      <c r="G70">
        <f ca="1">IF(E70=1,(1+(('Symulacja Pożyczka'!$B$5+'Symulacja Pożyczka'!$C$21)/100)*(((Arkusz1!B70-DATE(YEAR(B70),1,1)+1)/365)+((DATE(YEAR(B69),12,31)-Arkusz1!B69)/366))),IF(F70=1,(1+(('Symulacja Pożyczka'!$B$5+'Symulacja Pożyczka'!$C$21)/100)*(((Arkusz1!B70-DATE(YEAR(B70),1,1)+1)/366)+((DATE(YEAR(B69),12,31)-Arkusz1!B69)/365))),0))</f>
        <v>0</v>
      </c>
      <c r="H70">
        <f t="shared" ca="1" si="11"/>
        <v>0</v>
      </c>
      <c r="I70">
        <f t="shared" ca="1" si="12"/>
        <v>1.0102739726027397</v>
      </c>
      <c r="J70">
        <f t="shared" ca="1" si="13"/>
        <v>1.0102739726027397</v>
      </c>
      <c r="K70">
        <f ca="1">PRODUCT($J$3:J70)</f>
        <v>2.0133405451348159</v>
      </c>
      <c r="L70">
        <f t="shared" ca="1" si="14"/>
        <v>0.49668696257892064</v>
      </c>
      <c r="M70">
        <f ca="1">SUM($L$3:L70)</f>
        <v>48.78761071846057</v>
      </c>
      <c r="O70">
        <f ca="1">(Q69*'Arkusz1 (+10)'!J70)-Q69</f>
        <v>7468.7999605638906</v>
      </c>
      <c r="P70" s="16">
        <f t="shared" ca="1" si="15"/>
        <v>10447.966490190811</v>
      </c>
      <c r="Q70" s="17">
        <f t="shared" ca="1" si="16"/>
        <v>716515.22967136325</v>
      </c>
    </row>
    <row r="71" spans="1:17" x14ac:dyDescent="0.35">
      <c r="A71">
        <v>69</v>
      </c>
      <c r="B71" s="14">
        <f t="shared" ca="1" si="17"/>
        <v>48169</v>
      </c>
      <c r="C71" s="15">
        <f ca="1">(1+(('Symulacja Pożyczka'!$B$5+'Symulacja Pożyczka'!$C$21)/100)*('Arkusz1 (+10)'!B71-'Arkusz1 (+10)'!B70)/365)</f>
        <v>1.0106164383561644</v>
      </c>
      <c r="D71" s="15">
        <f ca="1">(1+(('Symulacja Pożyczka'!$B$5+'Symulacja Pożyczka'!$C$21)/100)*('Arkusz1 (+10)'!B71-'Arkusz1 (+10)'!B70)/366)</f>
        <v>1.0105874316939891</v>
      </c>
      <c r="E71" s="15">
        <f t="shared" ca="1" si="9"/>
        <v>0</v>
      </c>
      <c r="F71" s="15">
        <f t="shared" ca="1" si="10"/>
        <v>0</v>
      </c>
      <c r="G71">
        <f ca="1">IF(E71=1,(1+(('Symulacja Pożyczka'!$B$5+'Symulacja Pożyczka'!$C$21)/100)*(((Arkusz1!B71-DATE(YEAR(B71),1,1)+1)/365)+((DATE(YEAR(B70),12,31)-Arkusz1!B70)/366))),IF(F71=1,(1+(('Symulacja Pożyczka'!$B$5+'Symulacja Pożyczka'!$C$21)/100)*(((Arkusz1!B71-DATE(YEAR(B71),1,1)+1)/366)+((DATE(YEAR(B70),12,31)-Arkusz1!B70)/365))),0))</f>
        <v>0</v>
      </c>
      <c r="H71">
        <f t="shared" ca="1" si="11"/>
        <v>0</v>
      </c>
      <c r="I71">
        <f t="shared" ca="1" si="12"/>
        <v>1.0106164383561644</v>
      </c>
      <c r="J71">
        <f t="shared" ca="1" si="13"/>
        <v>1.0106164383561644</v>
      </c>
      <c r="K71">
        <f ca="1">PRODUCT($J$3:J71)</f>
        <v>2.0347150509222063</v>
      </c>
      <c r="L71">
        <f t="shared" ca="1" si="14"/>
        <v>0.49146930895643787</v>
      </c>
      <c r="M71">
        <f ca="1">SUM($L$3:L71)</f>
        <v>49.27908002741701</v>
      </c>
      <c r="O71">
        <f ca="1">(Q70*'Arkusz1 (+10)'!J71)-Q70</f>
        <v>7606.8397670590784</v>
      </c>
      <c r="P71" s="16">
        <f t="shared" ca="1" si="15"/>
        <v>10309.926683695623</v>
      </c>
      <c r="Q71" s="17">
        <f t="shared" ca="1" si="16"/>
        <v>706205.30298766762</v>
      </c>
    </row>
    <row r="72" spans="1:17" x14ac:dyDescent="0.35">
      <c r="A72">
        <v>70</v>
      </c>
      <c r="B72" s="14">
        <f t="shared" ca="1" si="17"/>
        <v>48199</v>
      </c>
      <c r="C72" s="15">
        <f ca="1">(1+(('Symulacja Pożyczka'!$B$5+'Symulacja Pożyczka'!$C$21)/100)*('Arkusz1 (+10)'!B72-'Arkusz1 (+10)'!B71)/365)</f>
        <v>1.0102739726027397</v>
      </c>
      <c r="D72" s="15">
        <f ca="1">(1+(('Symulacja Pożyczka'!$B$5+'Symulacja Pożyczka'!$C$21)/100)*('Arkusz1 (+10)'!B72-'Arkusz1 (+10)'!B71)/366)</f>
        <v>1.0102459016393444</v>
      </c>
      <c r="E72" s="15">
        <f t="shared" ca="1" si="9"/>
        <v>0</v>
      </c>
      <c r="F72" s="15">
        <f t="shared" ca="1" si="10"/>
        <v>0</v>
      </c>
      <c r="G72">
        <f ca="1">IF(E72=1,(1+(('Symulacja Pożyczka'!$B$5+'Symulacja Pożyczka'!$C$21)/100)*(((Arkusz1!B72-DATE(YEAR(B72),1,1)+1)/365)+((DATE(YEAR(B71),12,31)-Arkusz1!B71)/366))),IF(F72=1,(1+(('Symulacja Pożyczka'!$B$5+'Symulacja Pożyczka'!$C$21)/100)*(((Arkusz1!B72-DATE(YEAR(B72),1,1)+1)/366)+((DATE(YEAR(B71),12,31)-Arkusz1!B71)/365))),0))</f>
        <v>0</v>
      </c>
      <c r="H72">
        <f t="shared" ca="1" si="11"/>
        <v>0</v>
      </c>
      <c r="I72">
        <f t="shared" ca="1" si="12"/>
        <v>1.0102739726027397</v>
      </c>
      <c r="J72">
        <f t="shared" ca="1" si="13"/>
        <v>1.0102739726027397</v>
      </c>
      <c r="K72">
        <f ca="1">PRODUCT($J$3:J72)</f>
        <v>2.0556196576097632</v>
      </c>
      <c r="L72">
        <f t="shared" ca="1" si="14"/>
        <v>0.48647131598399951</v>
      </c>
      <c r="M72">
        <f ca="1">SUM($L$3:L72)</f>
        <v>49.765551343401008</v>
      </c>
      <c r="O72">
        <f ca="1">(Q71*'Arkusz1 (+10)'!J72)-Q71</f>
        <v>7255.5339348047273</v>
      </c>
      <c r="P72" s="16">
        <f t="shared" ca="1" si="15"/>
        <v>10661.232515949974</v>
      </c>
      <c r="Q72" s="17">
        <f t="shared" ca="1" si="16"/>
        <v>695544.07047171763</v>
      </c>
    </row>
    <row r="73" spans="1:17" x14ac:dyDescent="0.35">
      <c r="A73">
        <v>71</v>
      </c>
      <c r="B73" s="14">
        <f t="shared" ca="1" si="17"/>
        <v>48230</v>
      </c>
      <c r="C73" s="15">
        <f ca="1">(1+(('Symulacja Pożyczka'!$B$5+'Symulacja Pożyczka'!$C$21)/100)*('Arkusz1 (+10)'!B73-'Arkusz1 (+10)'!B72)/365)</f>
        <v>1.0106164383561644</v>
      </c>
      <c r="D73" s="15">
        <f ca="1">(1+(('Symulacja Pożyczka'!$B$5+'Symulacja Pożyczka'!$C$21)/100)*('Arkusz1 (+10)'!B73-'Arkusz1 (+10)'!B72)/366)</f>
        <v>1.0105874316939891</v>
      </c>
      <c r="E73" s="15">
        <f t="shared" ca="1" si="9"/>
        <v>0</v>
      </c>
      <c r="F73" s="15">
        <f t="shared" ca="1" si="10"/>
        <v>1</v>
      </c>
      <c r="G73">
        <f ca="1">IF(E73=1,(1+(('Symulacja Pożyczka'!$B$5+'Symulacja Pożyczka'!$C$21)/100)*(((Arkusz1!B73-DATE(YEAR(B73),1,1)+1)/365)+((DATE(YEAR(B72),12,31)-Arkusz1!B72)/366))),IF(F73=1,(1+(('Symulacja Pożyczka'!$B$5+'Symulacja Pożyczka'!$C$21)/100)*(((Arkusz1!B73-DATE(YEAR(B73),1,1)+1)/366)+((DATE(YEAR(B72),12,31)-Arkusz1!B72)/365))),0))</f>
        <v>1.0106005314769069</v>
      </c>
      <c r="H73">
        <f t="shared" ca="1" si="11"/>
        <v>1</v>
      </c>
      <c r="I73">
        <f t="shared" ca="1" si="12"/>
        <v>1.0105874316939891</v>
      </c>
      <c r="J73">
        <f t="shared" ca="1" si="13"/>
        <v>1.0106005314769069</v>
      </c>
      <c r="K73">
        <f ca="1">PRODUCT($J$3:J73)</f>
        <v>2.0774103184948038</v>
      </c>
      <c r="L73">
        <f t="shared" ca="1" si="14"/>
        <v>0.48136855348083285</v>
      </c>
      <c r="M73">
        <f ca="1">SUM($L$3:L73)</f>
        <v>50.246919896881842</v>
      </c>
      <c r="O73">
        <f ca="1">(Q72*'Arkusz1 (+10)'!J73)-Q72</f>
        <v>7373.1368126113666</v>
      </c>
      <c r="P73" s="16">
        <f t="shared" ca="1" si="15"/>
        <v>10543.629638143335</v>
      </c>
      <c r="Q73" s="17">
        <f t="shared" ca="1" si="16"/>
        <v>685000.44083357428</v>
      </c>
    </row>
    <row r="74" spans="1:17" x14ac:dyDescent="0.35">
      <c r="A74">
        <v>72</v>
      </c>
      <c r="B74" s="14">
        <f t="shared" ca="1" si="17"/>
        <v>48261</v>
      </c>
      <c r="C74" s="15">
        <f ca="1">(1+(('Symulacja Pożyczka'!$B$5+'Symulacja Pożyczka'!$C$21)/100)*('Arkusz1 (+10)'!B74-'Arkusz1 (+10)'!B73)/365)</f>
        <v>1.0106164383561644</v>
      </c>
      <c r="D74" s="15">
        <f ca="1">(1+(('Symulacja Pożyczka'!$B$5+'Symulacja Pożyczka'!$C$21)/100)*('Arkusz1 (+10)'!B74-'Arkusz1 (+10)'!B73)/366)</f>
        <v>1.0105874316939891</v>
      </c>
      <c r="E74" s="15">
        <f t="shared" ca="1" si="9"/>
        <v>0</v>
      </c>
      <c r="F74" s="15">
        <f t="shared" ca="1" si="10"/>
        <v>0</v>
      </c>
      <c r="G74">
        <f ca="1">IF(E74=1,(1+(('Symulacja Pożyczka'!$B$5+'Symulacja Pożyczka'!$C$21)/100)*(((Arkusz1!B74-DATE(YEAR(B74),1,1)+1)/365)+((DATE(YEAR(B73),12,31)-Arkusz1!B73)/366))),IF(F74=1,(1+(('Symulacja Pożyczka'!$B$5+'Symulacja Pożyczka'!$C$21)/100)*(((Arkusz1!B74-DATE(YEAR(B74),1,1)+1)/366)+((DATE(YEAR(B73),12,31)-Arkusz1!B73)/365))),0))</f>
        <v>0</v>
      </c>
      <c r="H74">
        <f t="shared" ca="1" si="11"/>
        <v>1</v>
      </c>
      <c r="I74">
        <f t="shared" ca="1" si="12"/>
        <v>1.0105874316939891</v>
      </c>
      <c r="J74">
        <f t="shared" ca="1" si="13"/>
        <v>1.0105874316939891</v>
      </c>
      <c r="K74">
        <f ca="1">PRODUCT($J$3:J74)</f>
        <v>2.0994047583422559</v>
      </c>
      <c r="L74">
        <f t="shared" ca="1" si="14"/>
        <v>0.47632548989249018</v>
      </c>
      <c r="M74">
        <f ca="1">SUM($L$3:L74)</f>
        <v>50.72324538677433</v>
      </c>
      <c r="O74">
        <f ca="1">(Q73*'Arkusz1 (+10)'!J74)-Q73</f>
        <v>7252.3953776778653</v>
      </c>
      <c r="P74" s="16">
        <f t="shared" ca="1" si="15"/>
        <v>10664.371073076836</v>
      </c>
      <c r="Q74" s="17">
        <f t="shared" ca="1" si="16"/>
        <v>674336.06976049743</v>
      </c>
    </row>
    <row r="75" spans="1:17" x14ac:dyDescent="0.35">
      <c r="A75">
        <v>73</v>
      </c>
      <c r="B75" s="14">
        <f t="shared" ca="1" si="17"/>
        <v>48290</v>
      </c>
      <c r="C75" s="15">
        <f ca="1">(1+(('Symulacja Pożyczka'!$B$5+'Symulacja Pożyczka'!$C$21)/100)*('Arkusz1 (+10)'!B75-'Arkusz1 (+10)'!B74)/365)</f>
        <v>1.0099315068493151</v>
      </c>
      <c r="D75" s="15">
        <f ca="1">(1+(('Symulacja Pożyczka'!$B$5+'Symulacja Pożyczka'!$C$21)/100)*('Arkusz1 (+10)'!B75-'Arkusz1 (+10)'!B74)/366)</f>
        <v>1.0099043715846994</v>
      </c>
      <c r="E75" s="15">
        <f t="shared" ca="1" si="9"/>
        <v>0</v>
      </c>
      <c r="F75" s="15">
        <f t="shared" ca="1" si="10"/>
        <v>0</v>
      </c>
      <c r="G75">
        <f ca="1">IF(E75=1,(1+(('Symulacja Pożyczka'!$B$5+'Symulacja Pożyczka'!$C$21)/100)*(((Arkusz1!B75-DATE(YEAR(B75),1,1)+1)/365)+((DATE(YEAR(B74),12,31)-Arkusz1!B74)/366))),IF(F75=1,(1+(('Symulacja Pożyczka'!$B$5+'Symulacja Pożyczka'!$C$21)/100)*(((Arkusz1!B75-DATE(YEAR(B75),1,1)+1)/366)+((DATE(YEAR(B74),12,31)-Arkusz1!B74)/365))),0))</f>
        <v>0</v>
      </c>
      <c r="H75">
        <f t="shared" ca="1" si="11"/>
        <v>1</v>
      </c>
      <c r="I75">
        <f t="shared" ca="1" si="12"/>
        <v>1.0099043715846994</v>
      </c>
      <c r="J75">
        <f t="shared" ca="1" si="13"/>
        <v>1.0099043715846994</v>
      </c>
      <c r="K75">
        <f ca="1">PRODUCT($J$3:J75)</f>
        <v>2.1201980431755638</v>
      </c>
      <c r="L75">
        <f t="shared" ca="1" si="14"/>
        <v>0.47165405289320639</v>
      </c>
      <c r="M75">
        <f ca="1">SUM($L$3:L75)</f>
        <v>51.194899439667537</v>
      </c>
      <c r="O75">
        <f ca="1">(Q74*'Arkusz1 (+10)'!J75)-Q74</f>
        <v>6678.8750078737503</v>
      </c>
      <c r="P75" s="16">
        <f t="shared" ca="1" si="15"/>
        <v>11237.891442880951</v>
      </c>
      <c r="Q75" s="17">
        <f t="shared" ca="1" si="16"/>
        <v>663098.17831761646</v>
      </c>
    </row>
    <row r="76" spans="1:17" x14ac:dyDescent="0.35">
      <c r="A76">
        <v>74</v>
      </c>
      <c r="B76" s="14">
        <f t="shared" ca="1" si="17"/>
        <v>48321</v>
      </c>
      <c r="C76" s="15">
        <f ca="1">(1+(('Symulacja Pożyczka'!$B$5+'Symulacja Pożyczka'!$C$21)/100)*('Arkusz1 (+10)'!B76-'Arkusz1 (+10)'!B75)/365)</f>
        <v>1.0106164383561644</v>
      </c>
      <c r="D76" s="15">
        <f ca="1">(1+(('Symulacja Pożyczka'!$B$5+'Symulacja Pożyczka'!$C$21)/100)*('Arkusz1 (+10)'!B76-'Arkusz1 (+10)'!B75)/366)</f>
        <v>1.0105874316939891</v>
      </c>
      <c r="E76" s="15">
        <f t="shared" ca="1" si="9"/>
        <v>0</v>
      </c>
      <c r="F76" s="15">
        <f t="shared" ca="1" si="10"/>
        <v>0</v>
      </c>
      <c r="G76">
        <f ca="1">IF(E76=1,(1+(('Symulacja Pożyczka'!$B$5+'Symulacja Pożyczka'!$C$21)/100)*(((Arkusz1!B76-DATE(YEAR(B76),1,1)+1)/365)+((DATE(YEAR(B75),12,31)-Arkusz1!B75)/366))),IF(F76=1,(1+(('Symulacja Pożyczka'!$B$5+'Symulacja Pożyczka'!$C$21)/100)*(((Arkusz1!B76-DATE(YEAR(B76),1,1)+1)/366)+((DATE(YEAR(B75),12,31)-Arkusz1!B75)/365))),0))</f>
        <v>0</v>
      </c>
      <c r="H76">
        <f t="shared" ca="1" si="11"/>
        <v>1</v>
      </c>
      <c r="I76">
        <f t="shared" ca="1" si="12"/>
        <v>1.0105874316939891</v>
      </c>
      <c r="J76">
        <f t="shared" ca="1" si="13"/>
        <v>1.0105874316939891</v>
      </c>
      <c r="K76">
        <f ca="1">PRODUCT($J$3:J76)</f>
        <v>2.1426454951354144</v>
      </c>
      <c r="L76">
        <f t="shared" ca="1" si="14"/>
        <v>0.46671276339010082</v>
      </c>
      <c r="M76">
        <f ca="1">SUM($L$3:L76)</f>
        <v>51.661612203057636</v>
      </c>
      <c r="O76">
        <f ca="1">(Q75*'Arkusz1 (+10)'!J76)-Q75</f>
        <v>7020.5066693463596</v>
      </c>
      <c r="P76" s="16">
        <f t="shared" ca="1" si="15"/>
        <v>10896.259781408342</v>
      </c>
      <c r="Q76" s="17">
        <f t="shared" ca="1" si="16"/>
        <v>652201.9185362081</v>
      </c>
    </row>
    <row r="77" spans="1:17" x14ac:dyDescent="0.35">
      <c r="A77">
        <v>75</v>
      </c>
      <c r="B77" s="14">
        <f t="shared" ca="1" si="17"/>
        <v>48351</v>
      </c>
      <c r="C77" s="15">
        <f ca="1">(1+(('Symulacja Pożyczka'!$B$5+'Symulacja Pożyczka'!$C$21)/100)*('Arkusz1 (+10)'!B77-'Arkusz1 (+10)'!B76)/365)</f>
        <v>1.0102739726027397</v>
      </c>
      <c r="D77" s="15">
        <f ca="1">(1+(('Symulacja Pożyczka'!$B$5+'Symulacja Pożyczka'!$C$21)/100)*('Arkusz1 (+10)'!B77-'Arkusz1 (+10)'!B76)/366)</f>
        <v>1.0102459016393444</v>
      </c>
      <c r="E77" s="15">
        <f t="shared" ca="1" si="9"/>
        <v>0</v>
      </c>
      <c r="F77" s="15">
        <f t="shared" ca="1" si="10"/>
        <v>0</v>
      </c>
      <c r="G77">
        <f ca="1">IF(E77=1,(1+(('Symulacja Pożyczka'!$B$5+'Symulacja Pożyczka'!$C$21)/100)*(((Arkusz1!B77-DATE(YEAR(B77),1,1)+1)/365)+((DATE(YEAR(B76),12,31)-Arkusz1!B76)/366))),IF(F77=1,(1+(('Symulacja Pożyczka'!$B$5+'Symulacja Pożyczka'!$C$21)/100)*(((Arkusz1!B77-DATE(YEAR(B77),1,1)+1)/366)+((DATE(YEAR(B76),12,31)-Arkusz1!B76)/365))),0))</f>
        <v>0</v>
      </c>
      <c r="H77">
        <f t="shared" ca="1" si="11"/>
        <v>1</v>
      </c>
      <c r="I77">
        <f t="shared" ca="1" si="12"/>
        <v>1.0102459016393444</v>
      </c>
      <c r="J77">
        <f t="shared" ca="1" si="13"/>
        <v>1.0102459016393444</v>
      </c>
      <c r="K77">
        <f ca="1">PRODUCT($J$3:J77)</f>
        <v>2.1645988301265562</v>
      </c>
      <c r="L77">
        <f t="shared" ca="1" si="14"/>
        <v>0.46197936822387253</v>
      </c>
      <c r="M77">
        <f ca="1">SUM($L$3:L77)</f>
        <v>52.123591571281509</v>
      </c>
      <c r="O77">
        <f ca="1">(Q76*'Arkusz1 (+10)'!J77)-Q76</f>
        <v>6682.3967063137097</v>
      </c>
      <c r="P77" s="16">
        <f t="shared" ca="1" si="15"/>
        <v>11234.369744440992</v>
      </c>
      <c r="Q77" s="17">
        <f t="shared" ca="1" si="16"/>
        <v>640967.5487917671</v>
      </c>
    </row>
    <row r="78" spans="1:17" x14ac:dyDescent="0.35">
      <c r="A78">
        <v>76</v>
      </c>
      <c r="B78" s="14">
        <f t="shared" ca="1" si="17"/>
        <v>48382</v>
      </c>
      <c r="C78" s="15">
        <f ca="1">(1+(('Symulacja Pożyczka'!$B$5+'Symulacja Pożyczka'!$C$21)/100)*('Arkusz1 (+10)'!B78-'Arkusz1 (+10)'!B77)/365)</f>
        <v>1.0106164383561644</v>
      </c>
      <c r="D78" s="15">
        <f ca="1">(1+(('Symulacja Pożyczka'!$B$5+'Symulacja Pożyczka'!$C$21)/100)*('Arkusz1 (+10)'!B78-'Arkusz1 (+10)'!B77)/366)</f>
        <v>1.0105874316939891</v>
      </c>
      <c r="E78" s="15">
        <f t="shared" ca="1" si="9"/>
        <v>0</v>
      </c>
      <c r="F78" s="15">
        <f t="shared" ca="1" si="10"/>
        <v>0</v>
      </c>
      <c r="G78">
        <f ca="1">IF(E78=1,(1+(('Symulacja Pożyczka'!$B$5+'Symulacja Pożyczka'!$C$21)/100)*(((Arkusz1!B78-DATE(YEAR(B78),1,1)+1)/365)+((DATE(YEAR(B77),12,31)-Arkusz1!B77)/366))),IF(F78=1,(1+(('Symulacja Pożyczka'!$B$5+'Symulacja Pożyczka'!$C$21)/100)*(((Arkusz1!B78-DATE(YEAR(B78),1,1)+1)/366)+((DATE(YEAR(B77),12,31)-Arkusz1!B77)/365))),0))</f>
        <v>0</v>
      </c>
      <c r="H78">
        <f t="shared" ca="1" si="11"/>
        <v>1</v>
      </c>
      <c r="I78">
        <f t="shared" ca="1" si="12"/>
        <v>1.0105874316939891</v>
      </c>
      <c r="J78">
        <f t="shared" ca="1" si="13"/>
        <v>1.0105874316939891</v>
      </c>
      <c r="K78">
        <f ca="1">PRODUCT($J$3:J78)</f>
        <v>2.1875163723854101</v>
      </c>
      <c r="L78">
        <f t="shared" ca="1" si="14"/>
        <v>0.4571394356740448</v>
      </c>
      <c r="M78">
        <f ca="1">SUM($L$3:L78)</f>
        <v>52.580731006955553</v>
      </c>
      <c r="O78">
        <f ca="1">(Q77*'Arkusz1 (+10)'!J78)-Q77</f>
        <v>6786.2001408964861</v>
      </c>
      <c r="P78" s="16">
        <f t="shared" ca="1" si="15"/>
        <v>11130.566309858215</v>
      </c>
      <c r="Q78" s="17">
        <f t="shared" ca="1" si="16"/>
        <v>629836.98248190887</v>
      </c>
    </row>
    <row r="79" spans="1:17" x14ac:dyDescent="0.35">
      <c r="A79">
        <v>77</v>
      </c>
      <c r="B79" s="14">
        <f t="shared" ca="1" si="17"/>
        <v>48412</v>
      </c>
      <c r="C79" s="15">
        <f ca="1">(1+(('Symulacja Pożyczka'!$B$5+'Symulacja Pożyczka'!$C$21)/100)*('Arkusz1 (+10)'!B79-'Arkusz1 (+10)'!B78)/365)</f>
        <v>1.0102739726027397</v>
      </c>
      <c r="D79" s="15">
        <f ca="1">(1+(('Symulacja Pożyczka'!$B$5+'Symulacja Pożyczka'!$C$21)/100)*('Arkusz1 (+10)'!B79-'Arkusz1 (+10)'!B78)/366)</f>
        <v>1.0102459016393444</v>
      </c>
      <c r="E79" s="15">
        <f t="shared" ca="1" si="9"/>
        <v>0</v>
      </c>
      <c r="F79" s="15">
        <f t="shared" ca="1" si="10"/>
        <v>0</v>
      </c>
      <c r="G79">
        <f ca="1">IF(E79=1,(1+(('Symulacja Pożyczka'!$B$5+'Symulacja Pożyczka'!$C$21)/100)*(((Arkusz1!B79-DATE(YEAR(B79),1,1)+1)/365)+((DATE(YEAR(B78),12,31)-Arkusz1!B78)/366))),IF(F79=1,(1+(('Symulacja Pożyczka'!$B$5+'Symulacja Pożyczka'!$C$21)/100)*(((Arkusz1!B79-DATE(YEAR(B79),1,1)+1)/366)+((DATE(YEAR(B78),12,31)-Arkusz1!B78)/365))),0))</f>
        <v>0</v>
      </c>
      <c r="H79">
        <f t="shared" ca="1" si="11"/>
        <v>1</v>
      </c>
      <c r="I79">
        <f t="shared" ca="1" si="12"/>
        <v>1.0102459016393444</v>
      </c>
      <c r="J79">
        <f t="shared" ca="1" si="13"/>
        <v>1.0102459016393444</v>
      </c>
      <c r="K79">
        <f ca="1">PRODUCT($J$3:J79)</f>
        <v>2.2099294499713262</v>
      </c>
      <c r="L79">
        <f t="shared" ca="1" si="14"/>
        <v>0.45250313308100176</v>
      </c>
      <c r="M79">
        <f ca="1">SUM($L$3:L79)</f>
        <v>53.033234140036555</v>
      </c>
      <c r="O79">
        <f ca="1">(Q78*'Arkusz1 (+10)'!J79)-Q78</f>
        <v>6453.2477713311091</v>
      </c>
      <c r="P79" s="16">
        <f t="shared" ca="1" si="15"/>
        <v>11463.518679423592</v>
      </c>
      <c r="Q79" s="17">
        <f t="shared" ca="1" si="16"/>
        <v>618373.46380248526</v>
      </c>
    </row>
    <row r="80" spans="1:17" x14ac:dyDescent="0.35">
      <c r="A80">
        <v>78</v>
      </c>
      <c r="B80" s="14">
        <f t="shared" ca="1" si="17"/>
        <v>48443</v>
      </c>
      <c r="C80" s="15">
        <f ca="1">(1+(('Symulacja Pożyczka'!$B$5+'Symulacja Pożyczka'!$C$21)/100)*('Arkusz1 (+10)'!B80-'Arkusz1 (+10)'!B79)/365)</f>
        <v>1.0106164383561644</v>
      </c>
      <c r="D80" s="15">
        <f ca="1">(1+(('Symulacja Pożyczka'!$B$5+'Symulacja Pożyczka'!$C$21)/100)*('Arkusz1 (+10)'!B80-'Arkusz1 (+10)'!B79)/366)</f>
        <v>1.0105874316939891</v>
      </c>
      <c r="E80" s="15">
        <f t="shared" ca="1" si="9"/>
        <v>0</v>
      </c>
      <c r="F80" s="15">
        <f t="shared" ca="1" si="10"/>
        <v>0</v>
      </c>
      <c r="G80">
        <f ca="1">IF(E80=1,(1+(('Symulacja Pożyczka'!$B$5+'Symulacja Pożyczka'!$C$21)/100)*(((Arkusz1!B80-DATE(YEAR(B80),1,1)+1)/365)+((DATE(YEAR(B79),12,31)-Arkusz1!B79)/366))),IF(F80=1,(1+(('Symulacja Pożyczka'!$B$5+'Symulacja Pożyczka'!$C$21)/100)*(((Arkusz1!B80-DATE(YEAR(B80),1,1)+1)/366)+((DATE(YEAR(B79),12,31)-Arkusz1!B79)/365))),0))</f>
        <v>0</v>
      </c>
      <c r="H80">
        <f t="shared" ca="1" si="11"/>
        <v>1</v>
      </c>
      <c r="I80">
        <f t="shared" ca="1" si="12"/>
        <v>1.0105874316939891</v>
      </c>
      <c r="J80">
        <f t="shared" ca="1" si="13"/>
        <v>1.0105874316939891</v>
      </c>
      <c r="K80">
        <f ca="1">PRODUCT($J$3:J80)</f>
        <v>2.2333269270714324</v>
      </c>
      <c r="L80">
        <f t="shared" ca="1" si="14"/>
        <v>0.44776247842554007</v>
      </c>
      <c r="M80">
        <f ca="1">SUM($L$3:L80)</f>
        <v>53.480996618462093</v>
      </c>
      <c r="O80">
        <f ca="1">(Q79*'Arkusz1 (+10)'!J80)-Q79</f>
        <v>6546.9868093843106</v>
      </c>
      <c r="P80" s="16">
        <f t="shared" ca="1" si="15"/>
        <v>11369.779641370391</v>
      </c>
      <c r="Q80" s="17">
        <f t="shared" ca="1" si="16"/>
        <v>607003.68416111486</v>
      </c>
    </row>
    <row r="81" spans="1:17" x14ac:dyDescent="0.35">
      <c r="A81">
        <v>79</v>
      </c>
      <c r="B81" s="14">
        <f t="shared" ca="1" si="17"/>
        <v>48474</v>
      </c>
      <c r="C81" s="15">
        <f ca="1">(1+(('Symulacja Pożyczka'!$B$5+'Symulacja Pożyczka'!$C$21)/100)*('Arkusz1 (+10)'!B81-'Arkusz1 (+10)'!B80)/365)</f>
        <v>1.0106164383561644</v>
      </c>
      <c r="D81" s="15">
        <f ca="1">(1+(('Symulacja Pożyczka'!$B$5+'Symulacja Pożyczka'!$C$21)/100)*('Arkusz1 (+10)'!B81-'Arkusz1 (+10)'!B80)/366)</f>
        <v>1.0105874316939891</v>
      </c>
      <c r="E81" s="15">
        <f t="shared" ca="1" si="9"/>
        <v>0</v>
      </c>
      <c r="F81" s="15">
        <f t="shared" ca="1" si="10"/>
        <v>0</v>
      </c>
      <c r="G81">
        <f ca="1">IF(E81=1,(1+(('Symulacja Pożyczka'!$B$5+'Symulacja Pożyczka'!$C$21)/100)*(((Arkusz1!B81-DATE(YEAR(B81),1,1)+1)/365)+((DATE(YEAR(B80),12,31)-Arkusz1!B80)/366))),IF(F81=1,(1+(('Symulacja Pożyczka'!$B$5+'Symulacja Pożyczka'!$C$21)/100)*(((Arkusz1!B81-DATE(YEAR(B81),1,1)+1)/366)+((DATE(YEAR(B80),12,31)-Arkusz1!B80)/365))),0))</f>
        <v>0</v>
      </c>
      <c r="H81">
        <f t="shared" ca="1" si="11"/>
        <v>1</v>
      </c>
      <c r="I81">
        <f t="shared" ca="1" si="12"/>
        <v>1.0105874316939891</v>
      </c>
      <c r="J81">
        <f t="shared" ca="1" si="13"/>
        <v>1.0105874316939891</v>
      </c>
      <c r="K81">
        <f ca="1">PRODUCT($J$3:J81)</f>
        <v>2.2569721233621478</v>
      </c>
      <c r="L81">
        <f t="shared" ca="1" si="14"/>
        <v>0.44307148929705353</v>
      </c>
      <c r="M81">
        <f ca="1">SUM($L$3:L81)</f>
        <v>53.924068107759147</v>
      </c>
      <c r="O81">
        <f ca="1">(Q80*'Arkusz1 (+10)'!J81)-Q80</f>
        <v>6426.6100440555019</v>
      </c>
      <c r="P81" s="16">
        <f t="shared" ca="1" si="15"/>
        <v>11490.1564066992</v>
      </c>
      <c r="Q81" s="17">
        <f t="shared" ca="1" si="16"/>
        <v>595513.52775441564</v>
      </c>
    </row>
    <row r="82" spans="1:17" x14ac:dyDescent="0.35">
      <c r="A82">
        <v>80</v>
      </c>
      <c r="B82" s="14">
        <f t="shared" ca="1" si="17"/>
        <v>48504</v>
      </c>
      <c r="C82" s="15">
        <f ca="1">(1+(('Symulacja Pożyczka'!$B$5+'Symulacja Pożyczka'!$C$21)/100)*('Arkusz1 (+10)'!B82-'Arkusz1 (+10)'!B81)/365)</f>
        <v>1.0102739726027397</v>
      </c>
      <c r="D82" s="15">
        <f ca="1">(1+(('Symulacja Pożyczka'!$B$5+'Symulacja Pożyczka'!$C$21)/100)*('Arkusz1 (+10)'!B82-'Arkusz1 (+10)'!B81)/366)</f>
        <v>1.0102459016393444</v>
      </c>
      <c r="E82" s="15">
        <f t="shared" ca="1" si="9"/>
        <v>0</v>
      </c>
      <c r="F82" s="15">
        <f t="shared" ca="1" si="10"/>
        <v>0</v>
      </c>
      <c r="G82">
        <f ca="1">IF(E82=1,(1+(('Symulacja Pożyczka'!$B$5+'Symulacja Pożyczka'!$C$21)/100)*(((Arkusz1!B82-DATE(YEAR(B82),1,1)+1)/365)+((DATE(YEAR(B81),12,31)-Arkusz1!B81)/366))),IF(F82=1,(1+(('Symulacja Pożyczka'!$B$5+'Symulacja Pożyczka'!$C$21)/100)*(((Arkusz1!B82-DATE(YEAR(B82),1,1)+1)/366)+((DATE(YEAR(B81),12,31)-Arkusz1!B81)/365))),0))</f>
        <v>0</v>
      </c>
      <c r="H82">
        <f t="shared" ca="1" si="11"/>
        <v>1</v>
      </c>
      <c r="I82">
        <f t="shared" ca="1" si="12"/>
        <v>1.0102459016393444</v>
      </c>
      <c r="J82">
        <f t="shared" ca="1" si="13"/>
        <v>1.0102459016393444</v>
      </c>
      <c r="K82">
        <f ca="1">PRODUCT($J$3:J82)</f>
        <v>2.2800968377408584</v>
      </c>
      <c r="L82">
        <f t="shared" ca="1" si="14"/>
        <v>0.43857786364495355</v>
      </c>
      <c r="M82">
        <f ca="1">SUM($L$3:L82)</f>
        <v>54.362645971404099</v>
      </c>
      <c r="O82">
        <f ca="1">(Q81*'Arkusz1 (+10)'!J82)-Q81</f>
        <v>6101.5730302707525</v>
      </c>
      <c r="P82" s="16">
        <f t="shared" ca="1" si="15"/>
        <v>11815.193420483949</v>
      </c>
      <c r="Q82" s="17">
        <f t="shared" ca="1" si="16"/>
        <v>583698.33433393168</v>
      </c>
    </row>
    <row r="83" spans="1:17" x14ac:dyDescent="0.35">
      <c r="A83">
        <v>81</v>
      </c>
      <c r="B83" s="14">
        <f t="shared" ca="1" si="17"/>
        <v>48535</v>
      </c>
      <c r="C83" s="15">
        <f ca="1">(1+(('Symulacja Pożyczka'!$B$5+'Symulacja Pożyczka'!$C$21)/100)*('Arkusz1 (+10)'!B83-'Arkusz1 (+10)'!B82)/365)</f>
        <v>1.0106164383561644</v>
      </c>
      <c r="D83" s="15">
        <f ca="1">(1+(('Symulacja Pożyczka'!$B$5+'Symulacja Pożyczka'!$C$21)/100)*('Arkusz1 (+10)'!B83-'Arkusz1 (+10)'!B82)/366)</f>
        <v>1.0105874316939891</v>
      </c>
      <c r="E83" s="15">
        <f t="shared" ca="1" si="9"/>
        <v>0</v>
      </c>
      <c r="F83" s="15">
        <f t="shared" ca="1" si="10"/>
        <v>0</v>
      </c>
      <c r="G83">
        <f ca="1">IF(E83=1,(1+(('Symulacja Pożyczka'!$B$5+'Symulacja Pożyczka'!$C$21)/100)*(((Arkusz1!B83-DATE(YEAR(B83),1,1)+1)/365)+((DATE(YEAR(B82),12,31)-Arkusz1!B82)/366))),IF(F83=1,(1+(('Symulacja Pożyczka'!$B$5+'Symulacja Pożyczka'!$C$21)/100)*(((Arkusz1!B83-DATE(YEAR(B83),1,1)+1)/366)+((DATE(YEAR(B82),12,31)-Arkusz1!B82)/365))),0))</f>
        <v>0</v>
      </c>
      <c r="H83">
        <f t="shared" ca="1" si="11"/>
        <v>1</v>
      </c>
      <c r="I83">
        <f t="shared" ca="1" si="12"/>
        <v>1.0105874316939891</v>
      </c>
      <c r="J83">
        <f t="shared" ca="1" si="13"/>
        <v>1.0105874316939891</v>
      </c>
      <c r="K83">
        <f ca="1">PRODUCT($J$3:J83)</f>
        <v>2.3042372072661204</v>
      </c>
      <c r="L83">
        <f t="shared" ca="1" si="14"/>
        <v>0.4339830972465103</v>
      </c>
      <c r="M83">
        <f ca="1">SUM($L$3:L83)</f>
        <v>54.79662906865061</v>
      </c>
      <c r="O83">
        <f ca="1">(Q82*'Arkusz1 (+10)'!J83)-Q82</f>
        <v>6179.8662446556846</v>
      </c>
      <c r="P83" s="16">
        <f t="shared" ca="1" si="15"/>
        <v>11736.900206099017</v>
      </c>
      <c r="Q83" s="17">
        <f t="shared" ca="1" si="16"/>
        <v>571961.43412783265</v>
      </c>
    </row>
    <row r="84" spans="1:17" x14ac:dyDescent="0.35">
      <c r="A84">
        <v>82</v>
      </c>
      <c r="B84" s="14">
        <f t="shared" ca="1" si="17"/>
        <v>48565</v>
      </c>
      <c r="C84" s="15">
        <f ca="1">(1+(('Symulacja Pożyczka'!$B$5+'Symulacja Pożyczka'!$C$21)/100)*('Arkusz1 (+10)'!B84-'Arkusz1 (+10)'!B83)/365)</f>
        <v>1.0102739726027397</v>
      </c>
      <c r="D84" s="15">
        <f ca="1">(1+(('Symulacja Pożyczka'!$B$5+'Symulacja Pożyczka'!$C$21)/100)*('Arkusz1 (+10)'!B84-'Arkusz1 (+10)'!B83)/366)</f>
        <v>1.0102459016393444</v>
      </c>
      <c r="E84" s="15">
        <f t="shared" ca="1" si="9"/>
        <v>0</v>
      </c>
      <c r="F84" s="15">
        <f t="shared" ca="1" si="10"/>
        <v>0</v>
      </c>
      <c r="G84">
        <f ca="1">IF(E84=1,(1+(('Symulacja Pożyczka'!$B$5+'Symulacja Pożyczka'!$C$21)/100)*(((Arkusz1!B84-DATE(YEAR(B84),1,1)+1)/365)+((DATE(YEAR(B83),12,31)-Arkusz1!B83)/366))),IF(F84=1,(1+(('Symulacja Pożyczka'!$B$5+'Symulacja Pożyczka'!$C$21)/100)*(((Arkusz1!B84-DATE(YEAR(B84),1,1)+1)/366)+((DATE(YEAR(B83),12,31)-Arkusz1!B83)/365))),0))</f>
        <v>0</v>
      </c>
      <c r="H84">
        <f t="shared" ca="1" si="11"/>
        <v>1</v>
      </c>
      <c r="I84">
        <f t="shared" ca="1" si="12"/>
        <v>1.0102459016393444</v>
      </c>
      <c r="J84">
        <f t="shared" ca="1" si="13"/>
        <v>1.0102459016393444</v>
      </c>
      <c r="K84">
        <f ca="1">PRODUCT($J$3:J84)</f>
        <v>2.3278461950454865</v>
      </c>
      <c r="L84">
        <f t="shared" ca="1" si="14"/>
        <v>0.4295816459559777</v>
      </c>
      <c r="M84">
        <f ca="1">SUM($L$3:L84)</f>
        <v>55.226210714606587</v>
      </c>
      <c r="O84">
        <f ca="1">(Q83*'Arkusz1 (+10)'!J84)-Q83</f>
        <v>5860.2605955720646</v>
      </c>
      <c r="P84" s="16">
        <f t="shared" ca="1" si="15"/>
        <v>12056.505855182637</v>
      </c>
      <c r="Q84" s="17">
        <f t="shared" ca="1" si="16"/>
        <v>559904.92827265</v>
      </c>
    </row>
    <row r="85" spans="1:17" x14ac:dyDescent="0.35">
      <c r="A85">
        <v>83</v>
      </c>
      <c r="B85" s="14">
        <f t="shared" ca="1" si="17"/>
        <v>48596</v>
      </c>
      <c r="C85" s="15">
        <f ca="1">(1+(('Symulacja Pożyczka'!$B$5+'Symulacja Pożyczka'!$C$21)/100)*('Arkusz1 (+10)'!B85-'Arkusz1 (+10)'!B84)/365)</f>
        <v>1.0106164383561644</v>
      </c>
      <c r="D85" s="15">
        <f ca="1">(1+(('Symulacja Pożyczka'!$B$5+'Symulacja Pożyczka'!$C$21)/100)*('Arkusz1 (+10)'!B85-'Arkusz1 (+10)'!B84)/366)</f>
        <v>1.0105874316939891</v>
      </c>
      <c r="E85" s="15">
        <f t="shared" ca="1" si="9"/>
        <v>1</v>
      </c>
      <c r="F85" s="15">
        <f t="shared" ca="1" si="10"/>
        <v>0</v>
      </c>
      <c r="G85">
        <f ca="1">IF(E85=1,(1+(('Symulacja Pożyczka'!$B$5+'Symulacja Pożyczka'!$C$21)/100)*(((Arkusz1!B85-DATE(YEAR(B85),1,1)+1)/365)+((DATE(YEAR(B84),12,31)-Arkusz1!B84)/366))),IF(F85=1,(1+(('Symulacja Pożyczka'!$B$5+'Symulacja Pożyczka'!$C$21)/100)*(((Arkusz1!B85-DATE(YEAR(B85),1,1)+1)/366)+((DATE(YEAR(B84),12,31)-Arkusz1!B84)/365))),0))</f>
        <v>1.0106033385732465</v>
      </c>
      <c r="H85">
        <f t="shared" ca="1" si="11"/>
        <v>0</v>
      </c>
      <c r="I85">
        <f t="shared" ca="1" si="12"/>
        <v>1.0106164383561644</v>
      </c>
      <c r="J85">
        <f t="shared" ca="1" si="13"/>
        <v>1.0106033385732465</v>
      </c>
      <c r="K85">
        <f ca="1">PRODUCT($J$3:J85)</f>
        <v>2.3525291363979974</v>
      </c>
      <c r="L85">
        <f t="shared" ca="1" si="14"/>
        <v>0.42507443777343357</v>
      </c>
      <c r="M85">
        <f ca="1">SUM($L$3:L85)</f>
        <v>55.651285152380019</v>
      </c>
      <c r="O85">
        <f ca="1">(Q84*'Arkusz1 (+10)'!J85)-Q84</f>
        <v>5936.8615233041346</v>
      </c>
      <c r="P85" s="16">
        <f t="shared" ca="1" si="15"/>
        <v>11979.904927450567</v>
      </c>
      <c r="Q85" s="17">
        <f t="shared" ca="1" si="16"/>
        <v>547925.02334519941</v>
      </c>
    </row>
    <row r="86" spans="1:17" x14ac:dyDescent="0.35">
      <c r="A86">
        <v>84</v>
      </c>
      <c r="B86" s="14">
        <f t="shared" ca="1" si="17"/>
        <v>48627</v>
      </c>
      <c r="C86" s="15">
        <f ca="1">(1+(('Symulacja Pożyczka'!$B$5+'Symulacja Pożyczka'!$C$21)/100)*('Arkusz1 (+10)'!B86-'Arkusz1 (+10)'!B85)/365)</f>
        <v>1.0106164383561644</v>
      </c>
      <c r="D86" s="15">
        <f ca="1">(1+(('Symulacja Pożyczka'!$B$5+'Symulacja Pożyczka'!$C$21)/100)*('Arkusz1 (+10)'!B86-'Arkusz1 (+10)'!B85)/366)</f>
        <v>1.0105874316939891</v>
      </c>
      <c r="E86" s="15">
        <f t="shared" ca="1" si="9"/>
        <v>0</v>
      </c>
      <c r="F86" s="15">
        <f t="shared" ca="1" si="10"/>
        <v>0</v>
      </c>
      <c r="G86">
        <f ca="1">IF(E86=1,(1+(('Symulacja Pożyczka'!$B$5+'Symulacja Pożyczka'!$C$21)/100)*(((Arkusz1!B86-DATE(YEAR(B86),1,1)+1)/365)+((DATE(YEAR(B85),12,31)-Arkusz1!B85)/366))),IF(F86=1,(1+(('Symulacja Pożyczka'!$B$5+'Symulacja Pożyczka'!$C$21)/100)*(((Arkusz1!B86-DATE(YEAR(B86),1,1)+1)/366)+((DATE(YEAR(B85),12,31)-Arkusz1!B85)/365))),0))</f>
        <v>0</v>
      </c>
      <c r="H86">
        <f t="shared" ca="1" si="11"/>
        <v>0</v>
      </c>
      <c r="I86">
        <f t="shared" ca="1" si="12"/>
        <v>1.0106164383561644</v>
      </c>
      <c r="J86">
        <f t="shared" ca="1" si="13"/>
        <v>1.0106164383561644</v>
      </c>
      <c r="K86">
        <f ca="1">PRODUCT($J$3:J86)</f>
        <v>2.3775046169556475</v>
      </c>
      <c r="L86">
        <f t="shared" ca="1" si="14"/>
        <v>0.42060906753589494</v>
      </c>
      <c r="M86">
        <f ca="1">SUM($L$3:L86)</f>
        <v>56.071894219915912</v>
      </c>
      <c r="O86">
        <f ca="1">(Q85*'Arkusz1 (+10)'!J86)-Q85</f>
        <v>5817.012234144262</v>
      </c>
      <c r="P86" s="16">
        <f t="shared" ca="1" si="15"/>
        <v>12099.754216610439</v>
      </c>
      <c r="Q86" s="17">
        <f t="shared" ca="1" si="16"/>
        <v>535825.26912858896</v>
      </c>
    </row>
    <row r="87" spans="1:17" x14ac:dyDescent="0.35">
      <c r="A87">
        <v>85</v>
      </c>
      <c r="B87" s="14">
        <f t="shared" ca="1" si="17"/>
        <v>48655</v>
      </c>
      <c r="C87" s="15">
        <f ca="1">(1+(('Symulacja Pożyczka'!$B$5+'Symulacja Pożyczka'!$C$21)/100)*('Arkusz1 (+10)'!B87-'Arkusz1 (+10)'!B86)/365)</f>
        <v>1.0095890410958903</v>
      </c>
      <c r="D87" s="15">
        <f ca="1">(1+(('Symulacja Pożyczka'!$B$5+'Symulacja Pożyczka'!$C$21)/100)*('Arkusz1 (+10)'!B87-'Arkusz1 (+10)'!B86)/366)</f>
        <v>1.0095628415300546</v>
      </c>
      <c r="E87" s="15">
        <f t="shared" ca="1" si="9"/>
        <v>0</v>
      </c>
      <c r="F87" s="15">
        <f t="shared" ca="1" si="10"/>
        <v>0</v>
      </c>
      <c r="G87">
        <f ca="1">IF(E87=1,(1+(('Symulacja Pożyczka'!$B$5+'Symulacja Pożyczka'!$C$21)/100)*(((Arkusz1!B87-DATE(YEAR(B87),1,1)+1)/365)+((DATE(YEAR(B86),12,31)-Arkusz1!B86)/366))),IF(F87=1,(1+(('Symulacja Pożyczka'!$B$5+'Symulacja Pożyczka'!$C$21)/100)*(((Arkusz1!B87-DATE(YEAR(B87),1,1)+1)/366)+((DATE(YEAR(B86),12,31)-Arkusz1!B86)/365))),0))</f>
        <v>0</v>
      </c>
      <c r="H87">
        <f t="shared" ca="1" si="11"/>
        <v>0</v>
      </c>
      <c r="I87">
        <f t="shared" ca="1" si="12"/>
        <v>1.0095890410958903</v>
      </c>
      <c r="J87">
        <f t="shared" ca="1" si="13"/>
        <v>1.0095890410958903</v>
      </c>
      <c r="K87">
        <f ca="1">PRODUCT($J$3:J87)</f>
        <v>2.4003026064333044</v>
      </c>
      <c r="L87">
        <f t="shared" ca="1" si="14"/>
        <v>0.41661413745075077</v>
      </c>
      <c r="M87">
        <f ca="1">SUM($L$3:L87)</f>
        <v>56.488508357366662</v>
      </c>
      <c r="O87">
        <f ca="1">(Q86*'Arkusz1 (+10)'!J87)-Q86</f>
        <v>5138.0505258905469</v>
      </c>
      <c r="P87" s="16">
        <f t="shared" ca="1" si="15"/>
        <v>12778.715924864155</v>
      </c>
      <c r="Q87" s="17">
        <f t="shared" ca="1" si="16"/>
        <v>523046.55320372479</v>
      </c>
    </row>
    <row r="88" spans="1:17" x14ac:dyDescent="0.35">
      <c r="A88">
        <v>86</v>
      </c>
      <c r="B88" s="14">
        <f t="shared" ca="1" si="17"/>
        <v>48686</v>
      </c>
      <c r="C88" s="15">
        <f ca="1">(1+(('Symulacja Pożyczka'!$B$5+'Symulacja Pożyczka'!$C$21)/100)*('Arkusz1 (+10)'!B88-'Arkusz1 (+10)'!B87)/365)</f>
        <v>1.0106164383561644</v>
      </c>
      <c r="D88" s="15">
        <f ca="1">(1+(('Symulacja Pożyczka'!$B$5+'Symulacja Pożyczka'!$C$21)/100)*('Arkusz1 (+10)'!B88-'Arkusz1 (+10)'!B87)/366)</f>
        <v>1.0105874316939891</v>
      </c>
      <c r="E88" s="15">
        <f t="shared" ca="1" si="9"/>
        <v>0</v>
      </c>
      <c r="F88" s="15">
        <f t="shared" ca="1" si="10"/>
        <v>0</v>
      </c>
      <c r="G88">
        <f ca="1">IF(E88=1,(1+(('Symulacja Pożyczka'!$B$5+'Symulacja Pożyczka'!$C$21)/100)*(((Arkusz1!B88-DATE(YEAR(B88),1,1)+1)/365)+((DATE(YEAR(B87),12,31)-Arkusz1!B87)/366))),IF(F88=1,(1+(('Symulacja Pożyczka'!$B$5+'Symulacja Pożyczka'!$C$21)/100)*(((Arkusz1!B88-DATE(YEAR(B88),1,1)+1)/366)+((DATE(YEAR(B87),12,31)-Arkusz1!B87)/365))),0))</f>
        <v>0</v>
      </c>
      <c r="H88">
        <f t="shared" ca="1" si="11"/>
        <v>0</v>
      </c>
      <c r="I88">
        <f t="shared" ca="1" si="12"/>
        <v>1.0106164383561644</v>
      </c>
      <c r="J88">
        <f t="shared" ca="1" si="13"/>
        <v>1.0106164383561644</v>
      </c>
      <c r="K88">
        <f ca="1">PRODUCT($J$3:J88)</f>
        <v>2.4257852710906445</v>
      </c>
      <c r="L88">
        <f t="shared" ca="1" si="14"/>
        <v>0.4122376419370356</v>
      </c>
      <c r="M88">
        <f ca="1">SUM($L$3:L88)</f>
        <v>56.900745999303695</v>
      </c>
      <c r="O88">
        <f ca="1">(Q87*'Arkusz1 (+10)'!J88)-Q87</f>
        <v>5552.8914894916816</v>
      </c>
      <c r="P88" s="16">
        <f t="shared" ca="1" si="15"/>
        <v>12363.87496126302</v>
      </c>
      <c r="Q88" s="17">
        <f t="shared" ca="1" si="16"/>
        <v>510682.67824246176</v>
      </c>
    </row>
    <row r="89" spans="1:17" x14ac:dyDescent="0.35">
      <c r="A89">
        <v>87</v>
      </c>
      <c r="B89" s="14">
        <f t="shared" ca="1" si="17"/>
        <v>48716</v>
      </c>
      <c r="C89" s="15">
        <f ca="1">(1+(('Symulacja Pożyczka'!$B$5+'Symulacja Pożyczka'!$C$21)/100)*('Arkusz1 (+10)'!B89-'Arkusz1 (+10)'!B88)/365)</f>
        <v>1.0102739726027397</v>
      </c>
      <c r="D89" s="15">
        <f ca="1">(1+(('Symulacja Pożyczka'!$B$5+'Symulacja Pożyczka'!$C$21)/100)*('Arkusz1 (+10)'!B89-'Arkusz1 (+10)'!B88)/366)</f>
        <v>1.0102459016393444</v>
      </c>
      <c r="E89" s="15">
        <f t="shared" ca="1" si="9"/>
        <v>0</v>
      </c>
      <c r="F89" s="15">
        <f t="shared" ca="1" si="10"/>
        <v>0</v>
      </c>
      <c r="G89">
        <f ca="1">IF(E89=1,(1+(('Symulacja Pożyczka'!$B$5+'Symulacja Pożyczka'!$C$21)/100)*(((Arkusz1!B89-DATE(YEAR(B89),1,1)+1)/365)+((DATE(YEAR(B88),12,31)-Arkusz1!B88)/366))),IF(F89=1,(1+(('Symulacja Pożyczka'!$B$5+'Symulacja Pożyczka'!$C$21)/100)*(((Arkusz1!B89-DATE(YEAR(B89),1,1)+1)/366)+((DATE(YEAR(B88),12,31)-Arkusz1!B88)/365))),0))</f>
        <v>0</v>
      </c>
      <c r="H89">
        <f t="shared" ca="1" si="11"/>
        <v>0</v>
      </c>
      <c r="I89">
        <f t="shared" ca="1" si="12"/>
        <v>1.0102739726027397</v>
      </c>
      <c r="J89">
        <f t="shared" ca="1" si="13"/>
        <v>1.0102739726027397</v>
      </c>
      <c r="K89">
        <f ca="1">PRODUCT($J$3:J89)</f>
        <v>2.450707722505959</v>
      </c>
      <c r="L89">
        <f t="shared" ca="1" si="14"/>
        <v>0.40804539473089635</v>
      </c>
      <c r="M89">
        <f ca="1">SUM($L$3:L89)</f>
        <v>57.308791394034593</v>
      </c>
      <c r="O89">
        <f ca="1">(Q88*'Arkusz1 (+10)'!J89)-Q88</f>
        <v>5246.7398449567845</v>
      </c>
      <c r="P89" s="16">
        <f t="shared" ca="1" si="15"/>
        <v>12670.026605797917</v>
      </c>
      <c r="Q89" s="17">
        <f t="shared" ca="1" si="16"/>
        <v>498012.65163666382</v>
      </c>
    </row>
    <row r="90" spans="1:17" x14ac:dyDescent="0.35">
      <c r="A90">
        <v>88</v>
      </c>
      <c r="B90" s="14">
        <f t="shared" ca="1" si="17"/>
        <v>48747</v>
      </c>
      <c r="C90" s="15">
        <f ca="1">(1+(('Symulacja Pożyczka'!$B$5+'Symulacja Pożyczka'!$C$21)/100)*('Arkusz1 (+10)'!B90-'Arkusz1 (+10)'!B89)/365)</f>
        <v>1.0106164383561644</v>
      </c>
      <c r="D90" s="15">
        <f ca="1">(1+(('Symulacja Pożyczka'!$B$5+'Symulacja Pożyczka'!$C$21)/100)*('Arkusz1 (+10)'!B90-'Arkusz1 (+10)'!B89)/366)</f>
        <v>1.0105874316939891</v>
      </c>
      <c r="E90" s="15">
        <f t="shared" ca="1" si="9"/>
        <v>0</v>
      </c>
      <c r="F90" s="15">
        <f t="shared" ca="1" si="10"/>
        <v>0</v>
      </c>
      <c r="G90">
        <f ca="1">IF(E90=1,(1+(('Symulacja Pożyczka'!$B$5+'Symulacja Pożyczka'!$C$21)/100)*(((Arkusz1!B90-DATE(YEAR(B90),1,1)+1)/365)+((DATE(YEAR(B89),12,31)-Arkusz1!B89)/366))),IF(F90=1,(1+(('Symulacja Pożyczka'!$B$5+'Symulacja Pożyczka'!$C$21)/100)*(((Arkusz1!B90-DATE(YEAR(B90),1,1)+1)/366)+((DATE(YEAR(B89),12,31)-Arkusz1!B89)/365))),0))</f>
        <v>0</v>
      </c>
      <c r="H90">
        <f t="shared" ca="1" si="11"/>
        <v>0</v>
      </c>
      <c r="I90">
        <f t="shared" ca="1" si="12"/>
        <v>1.0106164383561644</v>
      </c>
      <c r="J90">
        <f t="shared" ca="1" si="13"/>
        <v>1.0106164383561644</v>
      </c>
      <c r="K90">
        <f ca="1">PRODUCT($J$3:J90)</f>
        <v>2.4767255099709198</v>
      </c>
      <c r="L90">
        <f t="shared" ca="1" si="14"/>
        <v>0.40375891311901635</v>
      </c>
      <c r="M90">
        <f ca="1">SUM($L$3:L90)</f>
        <v>57.712550307153606</v>
      </c>
      <c r="O90">
        <f ca="1">(Q89*'Arkusz1 (+10)'!J90)-Q89</f>
        <v>5287.1206166906632</v>
      </c>
      <c r="P90" s="16">
        <f t="shared" ca="1" si="15"/>
        <v>12629.645834064038</v>
      </c>
      <c r="Q90" s="17">
        <f t="shared" ca="1" si="16"/>
        <v>485383.00580259977</v>
      </c>
    </row>
    <row r="91" spans="1:17" x14ac:dyDescent="0.35">
      <c r="A91">
        <v>89</v>
      </c>
      <c r="B91" s="14">
        <f t="shared" ca="1" si="17"/>
        <v>48777</v>
      </c>
      <c r="C91" s="15">
        <f ca="1">(1+(('Symulacja Pożyczka'!$B$5+'Symulacja Pożyczka'!$C$21)/100)*('Arkusz1 (+10)'!B91-'Arkusz1 (+10)'!B90)/365)</f>
        <v>1.0102739726027397</v>
      </c>
      <c r="D91" s="15">
        <f ca="1">(1+(('Symulacja Pożyczka'!$B$5+'Symulacja Pożyczka'!$C$21)/100)*('Arkusz1 (+10)'!B91-'Arkusz1 (+10)'!B90)/366)</f>
        <v>1.0102459016393444</v>
      </c>
      <c r="E91" s="15">
        <f t="shared" ca="1" si="9"/>
        <v>0</v>
      </c>
      <c r="F91" s="15">
        <f t="shared" ca="1" si="10"/>
        <v>0</v>
      </c>
      <c r="G91">
        <f ca="1">IF(E91=1,(1+(('Symulacja Pożyczka'!$B$5+'Symulacja Pożyczka'!$C$21)/100)*(((Arkusz1!B91-DATE(YEAR(B91),1,1)+1)/365)+((DATE(YEAR(B90),12,31)-Arkusz1!B90)/366))),IF(F91=1,(1+(('Symulacja Pożyczka'!$B$5+'Symulacja Pożyczka'!$C$21)/100)*(((Arkusz1!B91-DATE(YEAR(B91),1,1)+1)/366)+((DATE(YEAR(B90),12,31)-Arkusz1!B90)/365))),0))</f>
        <v>0</v>
      </c>
      <c r="H91">
        <f t="shared" ca="1" si="11"/>
        <v>0</v>
      </c>
      <c r="I91">
        <f t="shared" ca="1" si="12"/>
        <v>1.0102739726027397</v>
      </c>
      <c r="J91">
        <f t="shared" ca="1" si="13"/>
        <v>1.0102739726027397</v>
      </c>
      <c r="K91">
        <f ca="1">PRODUCT($J$3:J91)</f>
        <v>2.5021713200048672</v>
      </c>
      <c r="L91">
        <f t="shared" ca="1" si="14"/>
        <v>0.39965289027373824</v>
      </c>
      <c r="M91">
        <f ca="1">SUM($L$3:L91)</f>
        <v>58.112203197427341</v>
      </c>
      <c r="O91">
        <f ca="1">(Q90*'Arkusz1 (+10)'!J91)-Q90</f>
        <v>4986.811703451327</v>
      </c>
      <c r="P91" s="16">
        <f t="shared" ca="1" si="15"/>
        <v>12929.954747303374</v>
      </c>
      <c r="Q91" s="17">
        <f t="shared" ca="1" si="16"/>
        <v>472453.05105529638</v>
      </c>
    </row>
    <row r="92" spans="1:17" x14ac:dyDescent="0.35">
      <c r="A92">
        <v>90</v>
      </c>
      <c r="B92" s="14">
        <f t="shared" ca="1" si="17"/>
        <v>48808</v>
      </c>
      <c r="C92" s="15">
        <f ca="1">(1+(('Symulacja Pożyczka'!$B$5+'Symulacja Pożyczka'!$C$21)/100)*('Arkusz1 (+10)'!B92-'Arkusz1 (+10)'!B91)/365)</f>
        <v>1.0106164383561644</v>
      </c>
      <c r="D92" s="15">
        <f ca="1">(1+(('Symulacja Pożyczka'!$B$5+'Symulacja Pożyczka'!$C$21)/100)*('Arkusz1 (+10)'!B92-'Arkusz1 (+10)'!B91)/366)</f>
        <v>1.0105874316939891</v>
      </c>
      <c r="E92" s="15">
        <f t="shared" ca="1" si="9"/>
        <v>0</v>
      </c>
      <c r="F92" s="15">
        <f t="shared" ca="1" si="10"/>
        <v>0</v>
      </c>
      <c r="G92">
        <f ca="1">IF(E92=1,(1+(('Symulacja Pożyczka'!$B$5+'Symulacja Pożyczka'!$C$21)/100)*(((Arkusz1!B92-DATE(YEAR(B92),1,1)+1)/365)+((DATE(YEAR(B91),12,31)-Arkusz1!B91)/366))),IF(F92=1,(1+(('Symulacja Pożyczka'!$B$5+'Symulacja Pożyczka'!$C$21)/100)*(((Arkusz1!B92-DATE(YEAR(B92),1,1)+1)/366)+((DATE(YEAR(B91),12,31)-Arkusz1!B91)/365))),0))</f>
        <v>0</v>
      </c>
      <c r="H92">
        <f t="shared" ca="1" si="11"/>
        <v>0</v>
      </c>
      <c r="I92">
        <f t="shared" ca="1" si="12"/>
        <v>1.0106164383561644</v>
      </c>
      <c r="J92">
        <f t="shared" ca="1" si="13"/>
        <v>1.0106164383561644</v>
      </c>
      <c r="K92">
        <f ca="1">PRODUCT($J$3:J92)</f>
        <v>2.5287354675802614</v>
      </c>
      <c r="L92">
        <f t="shared" ca="1" si="14"/>
        <v>0.39545457119597277</v>
      </c>
      <c r="M92">
        <f ca="1">SUM($L$3:L92)</f>
        <v>58.507657768623311</v>
      </c>
      <c r="O92">
        <f ca="1">(Q91*'Arkusz1 (+10)'!J92)-Q91</f>
        <v>5015.7686927103787</v>
      </c>
      <c r="P92" s="16">
        <f t="shared" ca="1" si="15"/>
        <v>12900.997758044323</v>
      </c>
      <c r="Q92" s="17">
        <f t="shared" ca="1" si="16"/>
        <v>459552.05329725205</v>
      </c>
    </row>
    <row r="93" spans="1:17" x14ac:dyDescent="0.35">
      <c r="A93">
        <v>91</v>
      </c>
      <c r="B93" s="14">
        <f t="shared" ca="1" si="17"/>
        <v>48839</v>
      </c>
      <c r="C93" s="15">
        <f ca="1">(1+(('Symulacja Pożyczka'!$B$5+'Symulacja Pożyczka'!$C$21)/100)*('Arkusz1 (+10)'!B93-'Arkusz1 (+10)'!B92)/365)</f>
        <v>1.0106164383561644</v>
      </c>
      <c r="D93" s="15">
        <f ca="1">(1+(('Symulacja Pożyczka'!$B$5+'Symulacja Pożyczka'!$C$21)/100)*('Arkusz1 (+10)'!B93-'Arkusz1 (+10)'!B92)/366)</f>
        <v>1.0105874316939891</v>
      </c>
      <c r="E93" s="15">
        <f t="shared" ca="1" si="9"/>
        <v>0</v>
      </c>
      <c r="F93" s="15">
        <f t="shared" ca="1" si="10"/>
        <v>0</v>
      </c>
      <c r="G93">
        <f ca="1">IF(E93=1,(1+(('Symulacja Pożyczka'!$B$5+'Symulacja Pożyczka'!$C$21)/100)*(((Arkusz1!B93-DATE(YEAR(B93),1,1)+1)/365)+((DATE(YEAR(B92),12,31)-Arkusz1!B92)/366))),IF(F93=1,(1+(('Symulacja Pożyczka'!$B$5+'Symulacja Pożyczka'!$C$21)/100)*(((Arkusz1!B93-DATE(YEAR(B93),1,1)+1)/366)+((DATE(YEAR(B92),12,31)-Arkusz1!B92)/365))),0))</f>
        <v>0</v>
      </c>
      <c r="H93">
        <f t="shared" ca="1" si="11"/>
        <v>0</v>
      </c>
      <c r="I93">
        <f t="shared" ca="1" si="12"/>
        <v>1.0106164383561644</v>
      </c>
      <c r="J93">
        <f t="shared" ca="1" si="13"/>
        <v>1.0106164383561644</v>
      </c>
      <c r="K93">
        <f ca="1">PRODUCT($J$3:J93)</f>
        <v>2.5555816317908739</v>
      </c>
      <c r="L93">
        <f t="shared" ca="1" si="14"/>
        <v>0.39130035509733663</v>
      </c>
      <c r="M93">
        <f ca="1">SUM($L$3:L93)</f>
        <v>58.898958123720647</v>
      </c>
      <c r="O93">
        <f ca="1">(Q92*'Arkusz1 (+10)'!J93)-Q92</f>
        <v>4878.8060452790814</v>
      </c>
      <c r="P93" s="16">
        <f t="shared" ca="1" si="15"/>
        <v>13037.96040547562</v>
      </c>
      <c r="Q93" s="17">
        <f t="shared" ca="1" si="16"/>
        <v>446514.09289177641</v>
      </c>
    </row>
    <row r="94" spans="1:17" x14ac:dyDescent="0.35">
      <c r="A94">
        <v>92</v>
      </c>
      <c r="B94" s="14">
        <f t="shared" ca="1" si="17"/>
        <v>48869</v>
      </c>
      <c r="C94" s="15">
        <f ca="1">(1+(('Symulacja Pożyczka'!$B$5+'Symulacja Pożyczka'!$C$21)/100)*('Arkusz1 (+10)'!B94-'Arkusz1 (+10)'!B93)/365)</f>
        <v>1.0102739726027397</v>
      </c>
      <c r="D94" s="15">
        <f ca="1">(1+(('Symulacja Pożyczka'!$B$5+'Symulacja Pożyczka'!$C$21)/100)*('Arkusz1 (+10)'!B94-'Arkusz1 (+10)'!B93)/366)</f>
        <v>1.0102459016393444</v>
      </c>
      <c r="E94" s="15">
        <f t="shared" ca="1" si="9"/>
        <v>0</v>
      </c>
      <c r="F94" s="15">
        <f t="shared" ca="1" si="10"/>
        <v>0</v>
      </c>
      <c r="G94">
        <f ca="1">IF(E94=1,(1+(('Symulacja Pożyczka'!$B$5+'Symulacja Pożyczka'!$C$21)/100)*(((Arkusz1!B94-DATE(YEAR(B94),1,1)+1)/365)+((DATE(YEAR(B93),12,31)-Arkusz1!B93)/366))),IF(F94=1,(1+(('Symulacja Pożyczka'!$B$5+'Symulacja Pożyczka'!$C$21)/100)*(((Arkusz1!B94-DATE(YEAR(B94),1,1)+1)/366)+((DATE(YEAR(B93),12,31)-Arkusz1!B93)/365))),0))</f>
        <v>0</v>
      </c>
      <c r="H94">
        <f t="shared" ca="1" si="11"/>
        <v>0</v>
      </c>
      <c r="I94">
        <f t="shared" ca="1" si="12"/>
        <v>1.0102739726027397</v>
      </c>
      <c r="J94">
        <f t="shared" ca="1" si="13"/>
        <v>1.0102739726027397</v>
      </c>
      <c r="K94">
        <f ca="1">PRODUCT($J$3:J94)</f>
        <v>2.5818376074599581</v>
      </c>
      <c r="L94">
        <f t="shared" ca="1" si="14"/>
        <v>0.38732102945227903</v>
      </c>
      <c r="M94">
        <f ca="1">SUM($L$3:L94)</f>
        <v>59.286279153172927</v>
      </c>
      <c r="O94">
        <f ca="1">(Q93*'Arkusz1 (+10)'!J94)-Q93</f>
        <v>4587.473557107267</v>
      </c>
      <c r="P94" s="16">
        <f t="shared" ca="1" si="15"/>
        <v>13329.292893647435</v>
      </c>
      <c r="Q94" s="17">
        <f t="shared" ca="1" si="16"/>
        <v>433184.79999812896</v>
      </c>
    </row>
    <row r="95" spans="1:17" x14ac:dyDescent="0.35">
      <c r="A95">
        <v>93</v>
      </c>
      <c r="B95" s="14">
        <f t="shared" ca="1" si="17"/>
        <v>48900</v>
      </c>
      <c r="C95" s="15">
        <f ca="1">(1+(('Symulacja Pożyczka'!$B$5+'Symulacja Pożyczka'!$C$21)/100)*('Arkusz1 (+10)'!B95-'Arkusz1 (+10)'!B94)/365)</f>
        <v>1.0106164383561644</v>
      </c>
      <c r="D95" s="15">
        <f ca="1">(1+(('Symulacja Pożyczka'!$B$5+'Symulacja Pożyczka'!$C$21)/100)*('Arkusz1 (+10)'!B95-'Arkusz1 (+10)'!B94)/366)</f>
        <v>1.0105874316939891</v>
      </c>
      <c r="E95" s="15">
        <f t="shared" ca="1" si="9"/>
        <v>0</v>
      </c>
      <c r="F95" s="15">
        <f t="shared" ca="1" si="10"/>
        <v>0</v>
      </c>
      <c r="G95">
        <f ca="1">IF(E95=1,(1+(('Symulacja Pożyczka'!$B$5+'Symulacja Pożyczka'!$C$21)/100)*(((Arkusz1!B95-DATE(YEAR(B95),1,1)+1)/365)+((DATE(YEAR(B94),12,31)-Arkusz1!B94)/366))),IF(F95=1,(1+(('Symulacja Pożyczka'!$B$5+'Symulacja Pożyczka'!$C$21)/100)*(((Arkusz1!B95-DATE(YEAR(B95),1,1)+1)/366)+((DATE(YEAR(B94),12,31)-Arkusz1!B94)/365))),0))</f>
        <v>0</v>
      </c>
      <c r="H95">
        <f t="shared" ca="1" si="11"/>
        <v>0</v>
      </c>
      <c r="I95">
        <f t="shared" ca="1" si="12"/>
        <v>1.0106164383561644</v>
      </c>
      <c r="J95">
        <f t="shared" ca="1" si="13"/>
        <v>1.0106164383561644</v>
      </c>
      <c r="K95">
        <f ca="1">PRODUCT($J$3:J95)</f>
        <v>2.6092475272651838</v>
      </c>
      <c r="L95">
        <f t="shared" ca="1" si="14"/>
        <v>0.38325225550682979</v>
      </c>
      <c r="M95">
        <f ca="1">SUM($L$3:L95)</f>
        <v>59.669531408679759</v>
      </c>
      <c r="O95">
        <f ca="1">(Q94*'Arkusz1 (+10)'!J95)-Q94</f>
        <v>4598.8797260075808</v>
      </c>
      <c r="P95" s="16">
        <f t="shared" ca="1" si="15"/>
        <v>13317.886724747121</v>
      </c>
      <c r="Q95" s="17">
        <f t="shared" ca="1" si="16"/>
        <v>419866.91327338183</v>
      </c>
    </row>
    <row r="96" spans="1:17" x14ac:dyDescent="0.35">
      <c r="A96">
        <v>94</v>
      </c>
      <c r="B96" s="14">
        <f t="shared" ca="1" si="17"/>
        <v>48930</v>
      </c>
      <c r="C96" s="15">
        <f ca="1">(1+(('Symulacja Pożyczka'!$B$5+'Symulacja Pożyczka'!$C$21)/100)*('Arkusz1 (+10)'!B96-'Arkusz1 (+10)'!B95)/365)</f>
        <v>1.0102739726027397</v>
      </c>
      <c r="D96" s="15">
        <f ca="1">(1+(('Symulacja Pożyczka'!$B$5+'Symulacja Pożyczka'!$C$21)/100)*('Arkusz1 (+10)'!B96-'Arkusz1 (+10)'!B95)/366)</f>
        <v>1.0102459016393444</v>
      </c>
      <c r="E96" s="15">
        <f t="shared" ca="1" si="9"/>
        <v>0</v>
      </c>
      <c r="F96" s="15">
        <f t="shared" ca="1" si="10"/>
        <v>0</v>
      </c>
      <c r="G96">
        <f ca="1">IF(E96=1,(1+(('Symulacja Pożyczka'!$B$5+'Symulacja Pożyczka'!$C$21)/100)*(((Arkusz1!B96-DATE(YEAR(B96),1,1)+1)/365)+((DATE(YEAR(B95),12,31)-Arkusz1!B95)/366))),IF(F96=1,(1+(('Symulacja Pożyczka'!$B$5+'Symulacja Pożyczka'!$C$21)/100)*(((Arkusz1!B96-DATE(YEAR(B96),1,1)+1)/366)+((DATE(YEAR(B95),12,31)-Arkusz1!B95)/365))),0))</f>
        <v>0</v>
      </c>
      <c r="H96">
        <f t="shared" ca="1" si="11"/>
        <v>0</v>
      </c>
      <c r="I96">
        <f t="shared" ca="1" si="12"/>
        <v>1.0102739726027397</v>
      </c>
      <c r="J96">
        <f t="shared" ca="1" si="13"/>
        <v>1.0102739726027397</v>
      </c>
      <c r="K96">
        <f ca="1">PRODUCT($J$3:J96)</f>
        <v>2.6360548648740725</v>
      </c>
      <c r="L96">
        <f t="shared" ca="1" si="14"/>
        <v>0.37935477494235359</v>
      </c>
      <c r="M96">
        <f ca="1">SUM($L$3:L96)</f>
        <v>60.048886183622116</v>
      </c>
      <c r="O96">
        <f ca="1">(Q95*'Arkusz1 (+10)'!J96)-Q95</f>
        <v>4313.7011637676042</v>
      </c>
      <c r="P96" s="16">
        <f t="shared" ca="1" si="15"/>
        <v>13603.065286987097</v>
      </c>
      <c r="Q96" s="17">
        <f t="shared" ca="1" si="16"/>
        <v>406263.84798639471</v>
      </c>
    </row>
    <row r="97" spans="1:17" x14ac:dyDescent="0.35">
      <c r="A97">
        <v>95</v>
      </c>
      <c r="B97" s="14">
        <f t="shared" ca="1" si="17"/>
        <v>48961</v>
      </c>
      <c r="C97" s="15">
        <f ca="1">(1+(('Symulacja Pożyczka'!$B$5+'Symulacja Pożyczka'!$C$21)/100)*('Arkusz1 (+10)'!B97-'Arkusz1 (+10)'!B96)/365)</f>
        <v>1.0106164383561644</v>
      </c>
      <c r="D97" s="15">
        <f ca="1">(1+(('Symulacja Pożyczka'!$B$5+'Symulacja Pożyczka'!$C$21)/100)*('Arkusz1 (+10)'!B97-'Arkusz1 (+10)'!B96)/366)</f>
        <v>1.0105874316939891</v>
      </c>
      <c r="E97" s="15">
        <f t="shared" ca="1" si="9"/>
        <v>0</v>
      </c>
      <c r="F97" s="15">
        <f t="shared" ca="1" si="10"/>
        <v>0</v>
      </c>
      <c r="G97">
        <f ca="1">IF(E97=1,(1+(('Symulacja Pożyczka'!$B$5+'Symulacja Pożyczka'!$C$21)/100)*(((Arkusz1!B97-DATE(YEAR(B97),1,1)+1)/365)+((DATE(YEAR(B96),12,31)-Arkusz1!B96)/366))),IF(F97=1,(1+(('Symulacja Pożyczka'!$B$5+'Symulacja Pożyczka'!$C$21)/100)*(((Arkusz1!B97-DATE(YEAR(B97),1,1)+1)/366)+((DATE(YEAR(B96),12,31)-Arkusz1!B96)/365))),0))</f>
        <v>0</v>
      </c>
      <c r="H97">
        <f t="shared" ca="1" si="11"/>
        <v>0</v>
      </c>
      <c r="I97">
        <f t="shared" ca="1" si="12"/>
        <v>1.0106164383561644</v>
      </c>
      <c r="J97">
        <f t="shared" ca="1" si="13"/>
        <v>1.0106164383561644</v>
      </c>
      <c r="K97">
        <f ca="1">PRODUCT($J$3:J97)</f>
        <v>2.6640403788504754</v>
      </c>
      <c r="L97">
        <f t="shared" ca="1" si="14"/>
        <v>0.37536968581215602</v>
      </c>
      <c r="M97">
        <f ca="1">SUM($L$3:L97)</f>
        <v>60.424255869434269</v>
      </c>
      <c r="O97">
        <f ca="1">(Q96*'Arkusz1 (+10)'!J97)-Q96</f>
        <v>4313.0750984857441</v>
      </c>
      <c r="P97" s="16">
        <f t="shared" ca="1" si="15"/>
        <v>13603.691352268957</v>
      </c>
      <c r="Q97" s="17">
        <f t="shared" ca="1" si="16"/>
        <v>392660.15663412574</v>
      </c>
    </row>
    <row r="98" spans="1:17" x14ac:dyDescent="0.35">
      <c r="A98">
        <v>96</v>
      </c>
      <c r="B98" s="14">
        <f t="shared" ca="1" si="17"/>
        <v>48992</v>
      </c>
      <c r="C98" s="15">
        <f ca="1">(1+(('Symulacja Pożyczka'!$B$5+'Symulacja Pożyczka'!$C$21)/100)*('Arkusz1 (+10)'!B98-'Arkusz1 (+10)'!B97)/365)</f>
        <v>1.0106164383561644</v>
      </c>
      <c r="D98" s="15">
        <f ca="1">(1+(('Symulacja Pożyczka'!$B$5+'Symulacja Pożyczka'!$C$21)/100)*('Arkusz1 (+10)'!B98-'Arkusz1 (+10)'!B97)/366)</f>
        <v>1.0105874316939891</v>
      </c>
      <c r="E98" s="15">
        <f t="shared" ca="1" si="9"/>
        <v>0</v>
      </c>
      <c r="F98" s="15">
        <f t="shared" ca="1" si="10"/>
        <v>0</v>
      </c>
      <c r="G98">
        <f ca="1">IF(E98=1,(1+(('Symulacja Pożyczka'!$B$5+'Symulacja Pożyczka'!$C$21)/100)*(((Arkusz1!B98-DATE(YEAR(B98),1,1)+1)/365)+((DATE(YEAR(B97),12,31)-Arkusz1!B97)/366))),IF(F98=1,(1+(('Symulacja Pożyczka'!$B$5+'Symulacja Pożyczka'!$C$21)/100)*(((Arkusz1!B98-DATE(YEAR(B98),1,1)+1)/366)+((DATE(YEAR(B97),12,31)-Arkusz1!B97)/365))),0))</f>
        <v>0</v>
      </c>
      <c r="H98">
        <f t="shared" ca="1" si="11"/>
        <v>0</v>
      </c>
      <c r="I98">
        <f t="shared" ca="1" si="12"/>
        <v>1.0106164383561644</v>
      </c>
      <c r="J98">
        <f t="shared" ca="1" si="13"/>
        <v>1.0106164383561644</v>
      </c>
      <c r="K98">
        <f ca="1">PRODUCT($J$3:J98)</f>
        <v>2.6923229993108744</v>
      </c>
      <c r="L98">
        <f t="shared" ca="1" si="14"/>
        <v>0.37142645969891408</v>
      </c>
      <c r="M98">
        <f ca="1">SUM($L$3:L98)</f>
        <v>60.795682329133186</v>
      </c>
      <c r="O98">
        <f ca="1">(Q97*'Arkusz1 (+10)'!J98)-Q97</f>
        <v>4168.6523478280869</v>
      </c>
      <c r="P98" s="16">
        <f t="shared" ca="1" si="15"/>
        <v>13748.114102926615</v>
      </c>
      <c r="Q98" s="17">
        <f t="shared" ca="1" si="16"/>
        <v>378912.04253119911</v>
      </c>
    </row>
    <row r="99" spans="1:17" x14ac:dyDescent="0.35">
      <c r="A99">
        <v>97</v>
      </c>
      <c r="B99" s="14">
        <f t="shared" ca="1" si="17"/>
        <v>49020</v>
      </c>
      <c r="C99" s="15">
        <f ca="1">(1+(('Symulacja Pożyczka'!$B$5+'Symulacja Pożyczka'!$C$21)/100)*('Arkusz1 (+10)'!B99-'Arkusz1 (+10)'!B98)/365)</f>
        <v>1.0095890410958903</v>
      </c>
      <c r="D99" s="15">
        <f ca="1">(1+(('Symulacja Pożyczka'!$B$5+'Symulacja Pożyczka'!$C$21)/100)*('Arkusz1 (+10)'!B99-'Arkusz1 (+10)'!B98)/366)</f>
        <v>1.0095628415300546</v>
      </c>
      <c r="E99" s="15">
        <f t="shared" ca="1" si="9"/>
        <v>0</v>
      </c>
      <c r="F99" s="15">
        <f t="shared" ca="1" si="10"/>
        <v>0</v>
      </c>
      <c r="G99">
        <f ca="1">IF(E99=1,(1+(('Symulacja Pożyczka'!$B$5+'Symulacja Pożyczka'!$C$21)/100)*(((Arkusz1!B99-DATE(YEAR(B99),1,1)+1)/365)+((DATE(YEAR(B98),12,31)-Arkusz1!B98)/366))),IF(F99=1,(1+(('Symulacja Pożyczka'!$B$5+'Symulacja Pożyczka'!$C$21)/100)*(((Arkusz1!B99-DATE(YEAR(B99),1,1)+1)/366)+((DATE(YEAR(B98),12,31)-Arkusz1!B98)/365))),0))</f>
        <v>0</v>
      </c>
      <c r="H99">
        <f t="shared" ca="1" si="11"/>
        <v>0</v>
      </c>
      <c r="I99">
        <f t="shared" ca="1" si="12"/>
        <v>1.0095890410958903</v>
      </c>
      <c r="J99">
        <f t="shared" ca="1" si="13"/>
        <v>1.0095890410958903</v>
      </c>
      <c r="K99">
        <f ca="1">PRODUCT($J$3:J99)</f>
        <v>2.7181397951946771</v>
      </c>
      <c r="L99">
        <f t="shared" ca="1" si="14"/>
        <v>0.36789866428793394</v>
      </c>
      <c r="M99">
        <f ca="1">SUM($L$3:L99)</f>
        <v>61.163580993421121</v>
      </c>
      <c r="O99">
        <f ca="1">(Q98*'Arkusz1 (+10)'!J99)-Q98</f>
        <v>3633.4031475593802</v>
      </c>
      <c r="P99" s="16">
        <f t="shared" ca="1" si="15"/>
        <v>14283.363303195321</v>
      </c>
      <c r="Q99" s="17">
        <f t="shared" ca="1" si="16"/>
        <v>364628.67922800378</v>
      </c>
    </row>
    <row r="100" spans="1:17" x14ac:dyDescent="0.35">
      <c r="A100">
        <v>98</v>
      </c>
      <c r="B100" s="14">
        <f t="shared" ca="1" si="17"/>
        <v>49051</v>
      </c>
      <c r="C100" s="15">
        <f ca="1">(1+(('Symulacja Pożyczka'!$B$5+'Symulacja Pożyczka'!$C$21)/100)*('Arkusz1 (+10)'!B100-'Arkusz1 (+10)'!B99)/365)</f>
        <v>1.0106164383561644</v>
      </c>
      <c r="D100" s="15">
        <f ca="1">(1+(('Symulacja Pożyczka'!$B$5+'Symulacja Pożyczka'!$C$21)/100)*('Arkusz1 (+10)'!B100-'Arkusz1 (+10)'!B99)/366)</f>
        <v>1.0105874316939891</v>
      </c>
      <c r="E100" s="15">
        <f t="shared" ca="1" si="9"/>
        <v>0</v>
      </c>
      <c r="F100" s="15">
        <f t="shared" ca="1" si="10"/>
        <v>0</v>
      </c>
      <c r="G100">
        <f ca="1">IF(E100=1,(1+(('Symulacja Pożyczka'!$B$5+'Symulacja Pożyczka'!$C$21)/100)*(((Arkusz1!B100-DATE(YEAR(B100),1,1)+1)/365)+((DATE(YEAR(B99),12,31)-Arkusz1!B99)/366))),IF(F100=1,(1+(('Symulacja Pożyczka'!$B$5+'Symulacja Pożyczka'!$C$21)/100)*(((Arkusz1!B100-DATE(YEAR(B100),1,1)+1)/366)+((DATE(YEAR(B99),12,31)-Arkusz1!B99)/365))),0))</f>
        <v>0</v>
      </c>
      <c r="H100">
        <f t="shared" ca="1" si="11"/>
        <v>0</v>
      </c>
      <c r="I100">
        <f t="shared" ca="1" si="12"/>
        <v>1.0106164383561644</v>
      </c>
      <c r="J100">
        <f t="shared" ca="1" si="13"/>
        <v>1.0106164383561644</v>
      </c>
      <c r="K100">
        <f ca="1">PRODUCT($J$3:J100)</f>
        <v>2.7469967587737987</v>
      </c>
      <c r="L100">
        <f t="shared" ca="1" si="14"/>
        <v>0.36403392061022266</v>
      </c>
      <c r="M100">
        <f ca="1">SUM($L$3:L100)</f>
        <v>61.527614914031346</v>
      </c>
      <c r="O100">
        <f ca="1">(Q99*'Arkusz1 (+10)'!J100)-Q99</f>
        <v>3871.0578959137783</v>
      </c>
      <c r="P100" s="16">
        <f t="shared" ca="1" si="15"/>
        <v>14045.708554840923</v>
      </c>
      <c r="Q100" s="17">
        <f t="shared" ca="1" si="16"/>
        <v>350582.97067316284</v>
      </c>
    </row>
    <row r="101" spans="1:17" x14ac:dyDescent="0.35">
      <c r="A101">
        <v>99</v>
      </c>
      <c r="B101" s="14">
        <f t="shared" ca="1" si="17"/>
        <v>49081</v>
      </c>
      <c r="C101" s="15">
        <f ca="1">(1+(('Symulacja Pożyczka'!$B$5+'Symulacja Pożyczka'!$C$21)/100)*('Arkusz1 (+10)'!B101-'Arkusz1 (+10)'!B100)/365)</f>
        <v>1.0102739726027397</v>
      </c>
      <c r="D101" s="15">
        <f ca="1">(1+(('Symulacja Pożyczka'!$B$5+'Symulacja Pożyczka'!$C$21)/100)*('Arkusz1 (+10)'!B101-'Arkusz1 (+10)'!B100)/366)</f>
        <v>1.0102459016393444</v>
      </c>
      <c r="E101" s="15">
        <f t="shared" ca="1" si="9"/>
        <v>0</v>
      </c>
      <c r="F101" s="15">
        <f t="shared" ca="1" si="10"/>
        <v>0</v>
      </c>
      <c r="G101">
        <f ca="1">IF(E101=1,(1+(('Symulacja Pożyczka'!$B$5+'Symulacja Pożyczka'!$C$21)/100)*(((Arkusz1!B101-DATE(YEAR(B101),1,1)+1)/365)+((DATE(YEAR(B100),12,31)-Arkusz1!B100)/366))),IF(F101=1,(1+(('Symulacja Pożyczka'!$B$5+'Symulacja Pożyczka'!$C$21)/100)*(((Arkusz1!B101-DATE(YEAR(B101),1,1)+1)/366)+((DATE(YEAR(B100),12,31)-Arkusz1!B100)/365))),0))</f>
        <v>0</v>
      </c>
      <c r="H101">
        <f t="shared" ca="1" si="11"/>
        <v>0</v>
      </c>
      <c r="I101">
        <f t="shared" ca="1" si="12"/>
        <v>1.0102739726027397</v>
      </c>
      <c r="J101">
        <f t="shared" ca="1" si="13"/>
        <v>1.0102739726027397</v>
      </c>
      <c r="K101">
        <f ca="1">PRODUCT($J$3:J101)</f>
        <v>2.7752193282132551</v>
      </c>
      <c r="L101">
        <f t="shared" ca="1" si="14"/>
        <v>0.36033188073961026</v>
      </c>
      <c r="M101">
        <f ca="1">SUM($L$3:L101)</f>
        <v>61.887946794770954</v>
      </c>
      <c r="O101">
        <f ca="1">(Q100*'Arkusz1 (+10)'!J101)-Q100</f>
        <v>3601.8798356831539</v>
      </c>
      <c r="P101" s="16">
        <f t="shared" ca="1" si="15"/>
        <v>14314.886615071548</v>
      </c>
      <c r="Q101" s="17">
        <f t="shared" ca="1" si="16"/>
        <v>336268.08405809128</v>
      </c>
    </row>
    <row r="102" spans="1:17" x14ac:dyDescent="0.35">
      <c r="A102">
        <v>100</v>
      </c>
      <c r="B102" s="14">
        <f t="shared" ca="1" si="17"/>
        <v>49112</v>
      </c>
      <c r="C102" s="15">
        <f ca="1">(1+(('Symulacja Pożyczka'!$B$5+'Symulacja Pożyczka'!$C$21)/100)*('Arkusz1 (+10)'!B102-'Arkusz1 (+10)'!B101)/365)</f>
        <v>1.0106164383561644</v>
      </c>
      <c r="D102" s="15">
        <f ca="1">(1+(('Symulacja Pożyczka'!$B$5+'Symulacja Pożyczka'!$C$21)/100)*('Arkusz1 (+10)'!B102-'Arkusz1 (+10)'!B101)/366)</f>
        <v>1.0105874316939891</v>
      </c>
      <c r="E102" s="15">
        <f t="shared" ca="1" si="9"/>
        <v>0</v>
      </c>
      <c r="F102" s="15">
        <f t="shared" ca="1" si="10"/>
        <v>0</v>
      </c>
      <c r="G102">
        <f ca="1">IF(E102=1,(1+(('Symulacja Pożyczka'!$B$5+'Symulacja Pożyczka'!$C$21)/100)*(((Arkusz1!B102-DATE(YEAR(B102),1,1)+1)/365)+((DATE(YEAR(B101),12,31)-Arkusz1!B101)/366))),IF(F102=1,(1+(('Symulacja Pożyczka'!$B$5+'Symulacja Pożyczka'!$C$21)/100)*(((Arkusz1!B102-DATE(YEAR(B102),1,1)+1)/366)+((DATE(YEAR(B101),12,31)-Arkusz1!B101)/365))),0))</f>
        <v>0</v>
      </c>
      <c r="H102">
        <f t="shared" ca="1" si="11"/>
        <v>0</v>
      </c>
      <c r="I102">
        <f t="shared" ca="1" si="12"/>
        <v>1.0106164383561644</v>
      </c>
      <c r="J102">
        <f t="shared" ca="1" si="13"/>
        <v>1.0106164383561644</v>
      </c>
      <c r="K102">
        <f ca="1">PRODUCT($J$3:J102)</f>
        <v>2.8046822731360672</v>
      </c>
      <c r="L102">
        <f t="shared" ca="1" si="14"/>
        <v>0.35654662546921789</v>
      </c>
      <c r="M102">
        <f ca="1">SUM($L$3:L102)</f>
        <v>62.244493420240175</v>
      </c>
      <c r="O102">
        <f ca="1">(Q101*'Arkusz1 (+10)'!J102)-Q101</f>
        <v>3569.9693855482619</v>
      </c>
      <c r="P102" s="16">
        <f t="shared" ca="1" si="15"/>
        <v>14346.79706520644</v>
      </c>
      <c r="Q102" s="17">
        <f t="shared" ca="1" si="16"/>
        <v>321921.28699288482</v>
      </c>
    </row>
    <row r="103" spans="1:17" x14ac:dyDescent="0.35">
      <c r="A103">
        <v>101</v>
      </c>
      <c r="B103" s="14">
        <f t="shared" ca="1" si="17"/>
        <v>49142</v>
      </c>
      <c r="C103" s="15">
        <f ca="1">(1+(('Symulacja Pożyczka'!$B$5+'Symulacja Pożyczka'!$C$21)/100)*('Arkusz1 (+10)'!B103-'Arkusz1 (+10)'!B102)/365)</f>
        <v>1.0102739726027397</v>
      </c>
      <c r="D103" s="15">
        <f ca="1">(1+(('Symulacja Pożyczka'!$B$5+'Symulacja Pożyczka'!$C$21)/100)*('Arkusz1 (+10)'!B103-'Arkusz1 (+10)'!B102)/366)</f>
        <v>1.0102459016393444</v>
      </c>
      <c r="E103" s="15">
        <f t="shared" ca="1" si="9"/>
        <v>0</v>
      </c>
      <c r="F103" s="15">
        <f t="shared" ca="1" si="10"/>
        <v>0</v>
      </c>
      <c r="G103">
        <f ca="1">IF(E103=1,(1+(('Symulacja Pożyczka'!$B$5+'Symulacja Pożyczka'!$C$21)/100)*(((Arkusz1!B103-DATE(YEAR(B103),1,1)+1)/365)+((DATE(YEAR(B102),12,31)-Arkusz1!B102)/366))),IF(F103=1,(1+(('Symulacja Pożyczka'!$B$5+'Symulacja Pożyczka'!$C$21)/100)*(((Arkusz1!B103-DATE(YEAR(B103),1,1)+1)/366)+((DATE(YEAR(B102),12,31)-Arkusz1!B102)/365))),0))</f>
        <v>0</v>
      </c>
      <c r="H103">
        <f t="shared" ca="1" si="11"/>
        <v>0</v>
      </c>
      <c r="I103">
        <f t="shared" ca="1" si="12"/>
        <v>1.0102739726027397</v>
      </c>
      <c r="J103">
        <f t="shared" ca="1" si="13"/>
        <v>1.0102739726027397</v>
      </c>
      <c r="K103">
        <f ca="1">PRODUCT($J$3:J103)</f>
        <v>2.8334975019696569</v>
      </c>
      <c r="L103">
        <f t="shared" ca="1" si="14"/>
        <v>0.35292072758309023</v>
      </c>
      <c r="M103">
        <f ca="1">SUM($L$3:L103)</f>
        <v>62.597414147823265</v>
      </c>
      <c r="O103">
        <f ca="1">(Q102*'Arkusz1 (+10)'!J103)-Q102</f>
        <v>3307.4104828035925</v>
      </c>
      <c r="P103" s="16">
        <f t="shared" ca="1" si="15"/>
        <v>14609.355967951109</v>
      </c>
      <c r="Q103" s="17">
        <f t="shared" ca="1" si="16"/>
        <v>307311.9310249337</v>
      </c>
    </row>
    <row r="104" spans="1:17" x14ac:dyDescent="0.35">
      <c r="A104">
        <v>102</v>
      </c>
      <c r="B104" s="14">
        <f t="shared" ca="1" si="17"/>
        <v>49173</v>
      </c>
      <c r="C104" s="15">
        <f ca="1">(1+(('Symulacja Pożyczka'!$B$5+'Symulacja Pożyczka'!$C$21)/100)*('Arkusz1 (+10)'!B104-'Arkusz1 (+10)'!B103)/365)</f>
        <v>1.0106164383561644</v>
      </c>
      <c r="D104" s="15">
        <f ca="1">(1+(('Symulacja Pożyczka'!$B$5+'Symulacja Pożyczka'!$C$21)/100)*('Arkusz1 (+10)'!B104-'Arkusz1 (+10)'!B103)/366)</f>
        <v>1.0105874316939891</v>
      </c>
      <c r="E104" s="15">
        <f t="shared" ca="1" si="9"/>
        <v>0</v>
      </c>
      <c r="F104" s="15">
        <f t="shared" ca="1" si="10"/>
        <v>0</v>
      </c>
      <c r="G104">
        <f ca="1">IF(E104=1,(1+(('Symulacja Pożyczka'!$B$5+'Symulacja Pożyczka'!$C$21)/100)*(((Arkusz1!B104-DATE(YEAR(B104),1,1)+1)/365)+((DATE(YEAR(B103),12,31)-Arkusz1!B103)/366))),IF(F104=1,(1+(('Symulacja Pożyczka'!$B$5+'Symulacja Pożyczka'!$C$21)/100)*(((Arkusz1!B104-DATE(YEAR(B104),1,1)+1)/366)+((DATE(YEAR(B103),12,31)-Arkusz1!B103)/365))),0))</f>
        <v>0</v>
      </c>
      <c r="H104">
        <f t="shared" ca="1" si="11"/>
        <v>0</v>
      </c>
      <c r="I104">
        <f t="shared" ca="1" si="12"/>
        <v>1.0106164383561644</v>
      </c>
      <c r="J104">
        <f t="shared" ca="1" si="13"/>
        <v>1.0106164383561644</v>
      </c>
      <c r="K104">
        <f ca="1">PRODUCT($J$3:J104)</f>
        <v>2.8635791535316635</v>
      </c>
      <c r="L104">
        <f t="shared" ca="1" si="14"/>
        <v>0.34921332583619907</v>
      </c>
      <c r="M104">
        <f ca="1">SUM($L$3:L104)</f>
        <v>62.946627473659461</v>
      </c>
      <c r="O104">
        <f ca="1">(Q103*'Arkusz1 (+10)'!J104)-Q103</f>
        <v>3262.5581718400936</v>
      </c>
      <c r="P104" s="16">
        <f t="shared" ca="1" si="15"/>
        <v>14654.208278914608</v>
      </c>
      <c r="Q104" s="17">
        <f t="shared" ca="1" si="16"/>
        <v>292657.72274601908</v>
      </c>
    </row>
    <row r="105" spans="1:17" x14ac:dyDescent="0.35">
      <c r="A105">
        <v>103</v>
      </c>
      <c r="B105" s="14">
        <f t="shared" ca="1" si="17"/>
        <v>49204</v>
      </c>
      <c r="C105" s="15">
        <f ca="1">(1+(('Symulacja Pożyczka'!$B$5+'Symulacja Pożyczka'!$C$21)/100)*('Arkusz1 (+10)'!B105-'Arkusz1 (+10)'!B104)/365)</f>
        <v>1.0106164383561644</v>
      </c>
      <c r="D105" s="15">
        <f ca="1">(1+(('Symulacja Pożyczka'!$B$5+'Symulacja Pożyczka'!$C$21)/100)*('Arkusz1 (+10)'!B105-'Arkusz1 (+10)'!B104)/366)</f>
        <v>1.0105874316939891</v>
      </c>
      <c r="E105" s="15">
        <f t="shared" ca="1" si="9"/>
        <v>0</v>
      </c>
      <c r="F105" s="15">
        <f t="shared" ca="1" si="10"/>
        <v>0</v>
      </c>
      <c r="G105">
        <f ca="1">IF(E105=1,(1+(('Symulacja Pożyczka'!$B$5+'Symulacja Pożyczka'!$C$21)/100)*(((Arkusz1!B105-DATE(YEAR(B105),1,1)+1)/365)+((DATE(YEAR(B104),12,31)-Arkusz1!B104)/366))),IF(F105=1,(1+(('Symulacja Pożyczka'!$B$5+'Symulacja Pożyczka'!$C$21)/100)*(((Arkusz1!B105-DATE(YEAR(B105),1,1)+1)/366)+((DATE(YEAR(B104),12,31)-Arkusz1!B104)/365))),0))</f>
        <v>0</v>
      </c>
      <c r="H105">
        <f t="shared" ca="1" si="11"/>
        <v>0</v>
      </c>
      <c r="I105">
        <f t="shared" ca="1" si="12"/>
        <v>1.0106164383561644</v>
      </c>
      <c r="J105">
        <f t="shared" ca="1" si="13"/>
        <v>1.0106164383561644</v>
      </c>
      <c r="K105">
        <f ca="1">PRODUCT($J$3:J105)</f>
        <v>2.8939801650931298</v>
      </c>
      <c r="L105">
        <f t="shared" ca="1" si="14"/>
        <v>0.34554487002429729</v>
      </c>
      <c r="M105">
        <f ca="1">SUM($L$3:L105)</f>
        <v>63.29217234368376</v>
      </c>
      <c r="O105">
        <f ca="1">(Q104*'Arkusz1 (+10)'!J105)-Q104</f>
        <v>3106.9826729885535</v>
      </c>
      <c r="P105" s="16">
        <f t="shared" ca="1" si="15"/>
        <v>14809.783777766148</v>
      </c>
      <c r="Q105" s="17">
        <f t="shared" ca="1" si="16"/>
        <v>277847.93896825291</v>
      </c>
    </row>
    <row r="106" spans="1:17" x14ac:dyDescent="0.35">
      <c r="A106">
        <v>104</v>
      </c>
      <c r="B106" s="14">
        <f t="shared" ca="1" si="17"/>
        <v>49234</v>
      </c>
      <c r="C106" s="15">
        <f ca="1">(1+(('Symulacja Pożyczka'!$B$5+'Symulacja Pożyczka'!$C$21)/100)*('Arkusz1 (+10)'!B106-'Arkusz1 (+10)'!B105)/365)</f>
        <v>1.0102739726027397</v>
      </c>
      <c r="D106" s="15">
        <f ca="1">(1+(('Symulacja Pożyczka'!$B$5+'Symulacja Pożyczka'!$C$21)/100)*('Arkusz1 (+10)'!B106-'Arkusz1 (+10)'!B105)/366)</f>
        <v>1.0102459016393444</v>
      </c>
      <c r="E106" s="15">
        <f t="shared" ca="1" si="9"/>
        <v>0</v>
      </c>
      <c r="F106" s="15">
        <f t="shared" ca="1" si="10"/>
        <v>0</v>
      </c>
      <c r="G106">
        <f ca="1">IF(E106=1,(1+(('Symulacja Pożyczka'!$B$5+'Symulacja Pożyczka'!$C$21)/100)*(((Arkusz1!B106-DATE(YEAR(B106),1,1)+1)/365)+((DATE(YEAR(B105),12,31)-Arkusz1!B105)/366))),IF(F106=1,(1+(('Symulacja Pożyczka'!$B$5+'Symulacja Pożyczka'!$C$21)/100)*(((Arkusz1!B106-DATE(YEAR(B106),1,1)+1)/366)+((DATE(YEAR(B105),12,31)-Arkusz1!B105)/365))),0))</f>
        <v>0</v>
      </c>
      <c r="H106">
        <f t="shared" ca="1" si="11"/>
        <v>0</v>
      </c>
      <c r="I106">
        <f t="shared" ca="1" si="12"/>
        <v>1.0102739726027397</v>
      </c>
      <c r="J106">
        <f t="shared" ca="1" si="13"/>
        <v>1.0102739726027397</v>
      </c>
      <c r="K106">
        <f ca="1">PRODUCT($J$3:J106)</f>
        <v>2.9237128380221686</v>
      </c>
      <c r="L106">
        <f t="shared" ca="1" si="14"/>
        <v>0.34203085439693159</v>
      </c>
      <c r="M106">
        <f ca="1">SUM($L$3:L106)</f>
        <v>63.634203198080691</v>
      </c>
      <c r="O106">
        <f ca="1">(Q105*'Arkusz1 (+10)'!J106)-Q105</f>
        <v>2854.6021126874839</v>
      </c>
      <c r="P106" s="16">
        <f t="shared" ca="1" si="15"/>
        <v>15062.164338067218</v>
      </c>
      <c r="Q106" s="17">
        <f t="shared" ca="1" si="16"/>
        <v>262785.77463018568</v>
      </c>
    </row>
    <row r="107" spans="1:17" x14ac:dyDescent="0.35">
      <c r="A107">
        <v>105</v>
      </c>
      <c r="B107" s="14">
        <f t="shared" ca="1" si="17"/>
        <v>49265</v>
      </c>
      <c r="C107" s="15">
        <f ca="1">(1+(('Symulacja Pożyczka'!$B$5+'Symulacja Pożyczka'!$C$21)/100)*('Arkusz1 (+10)'!B107-'Arkusz1 (+10)'!B106)/365)</f>
        <v>1.0106164383561644</v>
      </c>
      <c r="D107" s="15">
        <f ca="1">(1+(('Symulacja Pożyczka'!$B$5+'Symulacja Pożyczka'!$C$21)/100)*('Arkusz1 (+10)'!B107-'Arkusz1 (+10)'!B106)/366)</f>
        <v>1.0105874316939891</v>
      </c>
      <c r="E107" s="15">
        <f t="shared" ca="1" si="9"/>
        <v>0</v>
      </c>
      <c r="F107" s="15">
        <f t="shared" ca="1" si="10"/>
        <v>0</v>
      </c>
      <c r="G107">
        <f ca="1">IF(E107=1,(1+(('Symulacja Pożyczka'!$B$5+'Symulacja Pożyczka'!$C$21)/100)*(((Arkusz1!B107-DATE(YEAR(B107),1,1)+1)/365)+((DATE(YEAR(B106),12,31)-Arkusz1!B106)/366))),IF(F107=1,(1+(('Symulacja Pożyczka'!$B$5+'Symulacja Pożyczka'!$C$21)/100)*(((Arkusz1!B107-DATE(YEAR(B107),1,1)+1)/366)+((DATE(YEAR(B106),12,31)-Arkusz1!B106)/365))),0))</f>
        <v>0</v>
      </c>
      <c r="H107">
        <f t="shared" ca="1" si="11"/>
        <v>0</v>
      </c>
      <c r="I107">
        <f t="shared" ca="1" si="12"/>
        <v>1.0106164383561644</v>
      </c>
      <c r="J107">
        <f t="shared" ca="1" si="13"/>
        <v>1.0106164383561644</v>
      </c>
      <c r="K107">
        <f ca="1">PRODUCT($J$3:J107)</f>
        <v>2.9547522551381578</v>
      </c>
      <c r="L107">
        <f t="shared" ca="1" si="14"/>
        <v>0.33843784982685193</v>
      </c>
      <c r="M107">
        <f ca="1">SUM($L$3:L107)</f>
        <v>63.972641047907544</v>
      </c>
      <c r="O107">
        <f ca="1">(Q106*'Arkusz1 (+10)'!J107)-Q106</f>
        <v>2789.8489772382891</v>
      </c>
      <c r="P107" s="16">
        <f t="shared" ca="1" si="15"/>
        <v>15126.917473516412</v>
      </c>
      <c r="Q107" s="17">
        <f t="shared" ca="1" si="16"/>
        <v>247658.85715666926</v>
      </c>
    </row>
    <row r="108" spans="1:17" x14ac:dyDescent="0.35">
      <c r="A108">
        <v>106</v>
      </c>
      <c r="B108" s="14">
        <f t="shared" ca="1" si="17"/>
        <v>49295</v>
      </c>
      <c r="C108" s="15">
        <f ca="1">(1+(('Symulacja Pożyczka'!$B$5+'Symulacja Pożyczka'!$C$21)/100)*('Arkusz1 (+10)'!B108-'Arkusz1 (+10)'!B107)/365)</f>
        <v>1.0102739726027397</v>
      </c>
      <c r="D108" s="15">
        <f ca="1">(1+(('Symulacja Pożyczka'!$B$5+'Symulacja Pożyczka'!$C$21)/100)*('Arkusz1 (+10)'!B108-'Arkusz1 (+10)'!B107)/366)</f>
        <v>1.0102459016393444</v>
      </c>
      <c r="E108" s="15">
        <f t="shared" ca="1" si="9"/>
        <v>0</v>
      </c>
      <c r="F108" s="15">
        <f t="shared" ca="1" si="10"/>
        <v>0</v>
      </c>
      <c r="G108">
        <f ca="1">IF(E108=1,(1+(('Symulacja Pożyczka'!$B$5+'Symulacja Pożyczka'!$C$21)/100)*(((Arkusz1!B108-DATE(YEAR(B108),1,1)+1)/365)+((DATE(YEAR(B107),12,31)-Arkusz1!B107)/366))),IF(F108=1,(1+(('Symulacja Pożyczka'!$B$5+'Symulacja Pożyczka'!$C$21)/100)*(((Arkusz1!B108-DATE(YEAR(B108),1,1)+1)/366)+((DATE(YEAR(B107),12,31)-Arkusz1!B107)/365))),0))</f>
        <v>0</v>
      </c>
      <c r="H108">
        <f t="shared" ca="1" si="11"/>
        <v>0</v>
      </c>
      <c r="I108">
        <f t="shared" ca="1" si="12"/>
        <v>1.0102739726027397</v>
      </c>
      <c r="J108">
        <f t="shared" ca="1" si="13"/>
        <v>1.0102739726027397</v>
      </c>
      <c r="K108">
        <f ca="1">PRODUCT($J$3:J108)</f>
        <v>2.9851092988553303</v>
      </c>
      <c r="L108">
        <f t="shared" ca="1" si="14"/>
        <v>0.33499610898115517</v>
      </c>
      <c r="M108">
        <f ca="1">SUM($L$3:L108)</f>
        <v>64.307637156888703</v>
      </c>
      <c r="O108">
        <f ca="1">(Q107*'Arkusz1 (+10)'!J108)-Q107</f>
        <v>2544.4403132534353</v>
      </c>
      <c r="P108" s="16">
        <f t="shared" ca="1" si="15"/>
        <v>15372.326137501266</v>
      </c>
      <c r="Q108" s="17">
        <f t="shared" ca="1" si="16"/>
        <v>232286.53101916797</v>
      </c>
    </row>
    <row r="109" spans="1:17" x14ac:dyDescent="0.35">
      <c r="A109">
        <v>107</v>
      </c>
      <c r="B109" s="14">
        <f t="shared" ca="1" si="17"/>
        <v>49326</v>
      </c>
      <c r="C109" s="15">
        <f ca="1">(1+(('Symulacja Pożyczka'!$B$5+'Symulacja Pożyczka'!$C$21)/100)*('Arkusz1 (+10)'!B109-'Arkusz1 (+10)'!B108)/365)</f>
        <v>1.0106164383561644</v>
      </c>
      <c r="D109" s="15">
        <f ca="1">(1+(('Symulacja Pożyczka'!$B$5+'Symulacja Pożyczka'!$C$21)/100)*('Arkusz1 (+10)'!B109-'Arkusz1 (+10)'!B108)/366)</f>
        <v>1.0105874316939891</v>
      </c>
      <c r="E109" s="15">
        <f t="shared" ca="1" si="9"/>
        <v>0</v>
      </c>
      <c r="F109" s="15">
        <f t="shared" ca="1" si="10"/>
        <v>0</v>
      </c>
      <c r="G109">
        <f ca="1">IF(E109=1,(1+(('Symulacja Pożyczka'!$B$5+'Symulacja Pożyczka'!$C$21)/100)*(((Arkusz1!B109-DATE(YEAR(B109),1,1)+1)/365)+((DATE(YEAR(B108),12,31)-Arkusz1!B108)/366))),IF(F109=1,(1+(('Symulacja Pożyczka'!$B$5+'Symulacja Pożyczka'!$C$21)/100)*(((Arkusz1!B109-DATE(YEAR(B109),1,1)+1)/366)+((DATE(YEAR(B108),12,31)-Arkusz1!B108)/365))),0))</f>
        <v>0</v>
      </c>
      <c r="H109">
        <f t="shared" ca="1" si="11"/>
        <v>0</v>
      </c>
      <c r="I109">
        <f t="shared" ca="1" si="12"/>
        <v>1.0106164383561644</v>
      </c>
      <c r="J109">
        <f t="shared" ca="1" si="13"/>
        <v>1.0106164383561644</v>
      </c>
      <c r="K109">
        <f ca="1">PRODUCT($J$3:J109)</f>
        <v>3.0168005277130412</v>
      </c>
      <c r="L109">
        <f t="shared" ca="1" si="14"/>
        <v>0.3314770038037862</v>
      </c>
      <c r="M109">
        <f ca="1">SUM($L$3:L109)</f>
        <v>64.639114160692486</v>
      </c>
      <c r="O109">
        <f ca="1">(Q108*'Arkusz1 (+10)'!J109)-Q108</f>
        <v>2466.0556375322631</v>
      </c>
      <c r="P109" s="16">
        <f t="shared" ca="1" si="15"/>
        <v>15450.710813222438</v>
      </c>
      <c r="Q109" s="17">
        <f t="shared" ca="1" si="16"/>
        <v>216835.82020594552</v>
      </c>
    </row>
    <row r="110" spans="1:17" x14ac:dyDescent="0.35">
      <c r="A110">
        <v>108</v>
      </c>
      <c r="B110" s="14">
        <f t="shared" ca="1" si="17"/>
        <v>49357</v>
      </c>
      <c r="C110" s="15">
        <f ca="1">(1+(('Symulacja Pożyczka'!$B$5+'Symulacja Pożyczka'!$C$21)/100)*('Arkusz1 (+10)'!B110-'Arkusz1 (+10)'!B109)/365)</f>
        <v>1.0106164383561644</v>
      </c>
      <c r="D110" s="15">
        <f ca="1">(1+(('Symulacja Pożyczka'!$B$5+'Symulacja Pożyczka'!$C$21)/100)*('Arkusz1 (+10)'!B110-'Arkusz1 (+10)'!B109)/366)</f>
        <v>1.0105874316939891</v>
      </c>
      <c r="E110" s="15">
        <f t="shared" ca="1" si="9"/>
        <v>0</v>
      </c>
      <c r="F110" s="15">
        <f t="shared" ca="1" si="10"/>
        <v>0</v>
      </c>
      <c r="G110">
        <f ca="1">IF(E110=1,(1+(('Symulacja Pożyczka'!$B$5+'Symulacja Pożyczka'!$C$21)/100)*(((Arkusz1!B110-DATE(YEAR(B110),1,1)+1)/365)+((DATE(YEAR(B109),12,31)-Arkusz1!B109)/366))),IF(F110=1,(1+(('Symulacja Pożyczka'!$B$5+'Symulacja Pożyczka'!$C$21)/100)*(((Arkusz1!B110-DATE(YEAR(B110),1,1)+1)/366)+((DATE(YEAR(B109),12,31)-Arkusz1!B109)/365))),0))</f>
        <v>0</v>
      </c>
      <c r="H110">
        <f t="shared" ca="1" si="11"/>
        <v>0</v>
      </c>
      <c r="I110">
        <f t="shared" ca="1" si="12"/>
        <v>1.0106164383561644</v>
      </c>
      <c r="J110">
        <f t="shared" ca="1" si="13"/>
        <v>1.0106164383561644</v>
      </c>
      <c r="K110">
        <f ca="1">PRODUCT($J$3:J110)</f>
        <v>3.048828204548351</v>
      </c>
      <c r="L110">
        <f t="shared" ca="1" si="14"/>
        <v>0.32799486652221471</v>
      </c>
      <c r="M110">
        <f ca="1">SUM($L$3:L110)</f>
        <v>64.967109027214704</v>
      </c>
      <c r="O110">
        <f ca="1">(Q109*'Arkusz1 (+10)'!J110)-Q109</f>
        <v>2302.0241186247731</v>
      </c>
      <c r="P110" s="16">
        <f t="shared" ca="1" si="15"/>
        <v>15614.742332129928</v>
      </c>
      <c r="Q110" s="17">
        <f t="shared" ca="1" si="16"/>
        <v>201221.07787381561</v>
      </c>
    </row>
    <row r="111" spans="1:17" x14ac:dyDescent="0.35">
      <c r="A111">
        <v>109</v>
      </c>
      <c r="B111" s="14">
        <f t="shared" ca="1" si="17"/>
        <v>49385</v>
      </c>
      <c r="C111" s="15">
        <f ca="1">(1+(('Symulacja Pożyczka'!$B$5+'Symulacja Pożyczka'!$C$21)/100)*('Arkusz1 (+10)'!B111-'Arkusz1 (+10)'!B110)/365)</f>
        <v>1.0095890410958903</v>
      </c>
      <c r="D111" s="15">
        <f ca="1">(1+(('Symulacja Pożyczka'!$B$5+'Symulacja Pożyczka'!$C$21)/100)*('Arkusz1 (+10)'!B111-'Arkusz1 (+10)'!B110)/366)</f>
        <v>1.0095628415300546</v>
      </c>
      <c r="E111" s="15">
        <f t="shared" ca="1" si="9"/>
        <v>0</v>
      </c>
      <c r="F111" s="15">
        <f t="shared" ca="1" si="10"/>
        <v>0</v>
      </c>
      <c r="G111">
        <f ca="1">IF(E111=1,(1+(('Symulacja Pożyczka'!$B$5+'Symulacja Pożyczka'!$C$21)/100)*(((Arkusz1!B111-DATE(YEAR(B111),1,1)+1)/365)+((DATE(YEAR(B110),12,31)-Arkusz1!B110)/366))),IF(F111=1,(1+(('Symulacja Pożyczka'!$B$5+'Symulacja Pożyczka'!$C$21)/100)*(((Arkusz1!B111-DATE(YEAR(B111),1,1)+1)/366)+((DATE(YEAR(B110),12,31)-Arkusz1!B110)/365))),0))</f>
        <v>0</v>
      </c>
      <c r="H111">
        <f t="shared" ca="1" si="11"/>
        <v>0</v>
      </c>
      <c r="I111">
        <f t="shared" ca="1" si="12"/>
        <v>1.0095890410958903</v>
      </c>
      <c r="J111">
        <f t="shared" ca="1" si="13"/>
        <v>1.0095890410958903</v>
      </c>
      <c r="K111">
        <f ca="1">PRODUCT($J$3:J111)</f>
        <v>3.0780635434960746</v>
      </c>
      <c r="L111">
        <f t="shared" ca="1" si="14"/>
        <v>0.3248795828510404</v>
      </c>
      <c r="M111">
        <f ca="1">SUM($L$3:L111)</f>
        <v>65.291988610065744</v>
      </c>
      <c r="O111">
        <f ca="1">(Q110*'Arkusz1 (+10)'!J111)-Q110</f>
        <v>1929.5171850913612</v>
      </c>
      <c r="P111" s="16">
        <f t="shared" ca="1" si="15"/>
        <v>15987.24926566334</v>
      </c>
      <c r="Q111" s="17">
        <f t="shared" ca="1" si="16"/>
        <v>185233.82860815228</v>
      </c>
    </row>
    <row r="112" spans="1:17" x14ac:dyDescent="0.35">
      <c r="A112">
        <v>110</v>
      </c>
      <c r="B112" s="14">
        <f t="shared" ca="1" si="17"/>
        <v>49416</v>
      </c>
      <c r="C112" s="15">
        <f ca="1">(1+(('Symulacja Pożyczka'!$B$5+'Symulacja Pożyczka'!$C$21)/100)*('Arkusz1 (+10)'!B112-'Arkusz1 (+10)'!B111)/365)</f>
        <v>1.0106164383561644</v>
      </c>
      <c r="D112" s="15">
        <f ca="1">(1+(('Symulacja Pożyczka'!$B$5+'Symulacja Pożyczka'!$C$21)/100)*('Arkusz1 (+10)'!B112-'Arkusz1 (+10)'!B111)/366)</f>
        <v>1.0105874316939891</v>
      </c>
      <c r="E112" s="15">
        <f t="shared" ca="1" si="9"/>
        <v>0</v>
      </c>
      <c r="F112" s="15">
        <f t="shared" ca="1" si="10"/>
        <v>0</v>
      </c>
      <c r="G112">
        <f ca="1">IF(E112=1,(1+(('Symulacja Pożyczka'!$B$5+'Symulacja Pożyczka'!$C$21)/100)*(((Arkusz1!B112-DATE(YEAR(B112),1,1)+1)/365)+((DATE(YEAR(B111),12,31)-Arkusz1!B111)/366))),IF(F112=1,(1+(('Symulacja Pożyczka'!$B$5+'Symulacja Pożyczka'!$C$21)/100)*(((Arkusz1!B112-DATE(YEAR(B112),1,1)+1)/366)+((DATE(YEAR(B111),12,31)-Arkusz1!B111)/365))),0))</f>
        <v>0</v>
      </c>
      <c r="H112">
        <f t="shared" ca="1" si="11"/>
        <v>0</v>
      </c>
      <c r="I112">
        <f t="shared" ca="1" si="12"/>
        <v>1.0106164383561644</v>
      </c>
      <c r="J112">
        <f t="shared" ca="1" si="13"/>
        <v>1.0106164383561644</v>
      </c>
      <c r="K112">
        <f ca="1">PRODUCT($J$3:J112)</f>
        <v>3.1107416153619578</v>
      </c>
      <c r="L112">
        <f t="shared" ca="1" si="14"/>
        <v>0.32146675090648524</v>
      </c>
      <c r="M112">
        <f ca="1">SUM($L$3:L112)</f>
        <v>65.613455360972225</v>
      </c>
      <c r="O112">
        <f ca="1">(Q111*'Arkusz1 (+10)'!J112)-Q111</f>
        <v>1966.5235228947713</v>
      </c>
      <c r="P112" s="16">
        <f t="shared" ca="1" si="15"/>
        <v>15950.24292785993</v>
      </c>
      <c r="Q112" s="17">
        <f t="shared" ca="1" si="16"/>
        <v>169283.58568029234</v>
      </c>
    </row>
    <row r="113" spans="1:17" x14ac:dyDescent="0.35">
      <c r="A113">
        <v>111</v>
      </c>
      <c r="B113" s="14">
        <f t="shared" ca="1" si="17"/>
        <v>49446</v>
      </c>
      <c r="C113" s="15">
        <f ca="1">(1+(('Symulacja Pożyczka'!$B$5+'Symulacja Pożyczka'!$C$21)/100)*('Arkusz1 (+10)'!B113-'Arkusz1 (+10)'!B112)/365)</f>
        <v>1.0102739726027397</v>
      </c>
      <c r="D113" s="15">
        <f ca="1">(1+(('Symulacja Pożyczka'!$B$5+'Symulacja Pożyczka'!$C$21)/100)*('Arkusz1 (+10)'!B113-'Arkusz1 (+10)'!B112)/366)</f>
        <v>1.0102459016393444</v>
      </c>
      <c r="E113" s="15">
        <f t="shared" ca="1" si="9"/>
        <v>0</v>
      </c>
      <c r="F113" s="15">
        <f t="shared" ca="1" si="10"/>
        <v>0</v>
      </c>
      <c r="G113">
        <f ca="1">IF(E113=1,(1+(('Symulacja Pożyczka'!$B$5+'Symulacja Pożyczka'!$C$21)/100)*(((Arkusz1!B113-DATE(YEAR(B113),1,1)+1)/365)+((DATE(YEAR(B112),12,31)-Arkusz1!B112)/366))),IF(F113=1,(1+(('Symulacja Pożyczka'!$B$5+'Symulacja Pożyczka'!$C$21)/100)*(((Arkusz1!B113-DATE(YEAR(B113),1,1)+1)/366)+((DATE(YEAR(B112),12,31)-Arkusz1!B112)/365))),0))</f>
        <v>0</v>
      </c>
      <c r="H113">
        <f t="shared" ca="1" si="11"/>
        <v>0</v>
      </c>
      <c r="I113">
        <f t="shared" ca="1" si="12"/>
        <v>1.0102739726027397</v>
      </c>
      <c r="J113">
        <f t="shared" ca="1" si="13"/>
        <v>1.0102739726027397</v>
      </c>
      <c r="K113">
        <f ca="1">PRODUCT($J$3:J113)</f>
        <v>3.1427012894923885</v>
      </c>
      <c r="L113">
        <f t="shared" ca="1" si="14"/>
        <v>0.31819759750743626</v>
      </c>
      <c r="M113">
        <f ca="1">SUM($L$3:L113)</f>
        <v>65.93165295847966</v>
      </c>
      <c r="O113">
        <f ca="1">(Q112*'Arkusz1 (+10)'!J113)-Q112</f>
        <v>1739.2149213728553</v>
      </c>
      <c r="P113" s="16">
        <f t="shared" ca="1" si="15"/>
        <v>16177.551529381846</v>
      </c>
      <c r="Q113" s="17">
        <f t="shared" ca="1" si="16"/>
        <v>153106.03415091051</v>
      </c>
    </row>
    <row r="114" spans="1:17" x14ac:dyDescent="0.35">
      <c r="A114">
        <v>112</v>
      </c>
      <c r="B114" s="14">
        <f t="shared" ca="1" si="17"/>
        <v>49477</v>
      </c>
      <c r="C114" s="15">
        <f ca="1">(1+(('Symulacja Pożyczka'!$B$5+'Symulacja Pożyczka'!$C$21)/100)*('Arkusz1 (+10)'!B114-'Arkusz1 (+10)'!B113)/365)</f>
        <v>1.0106164383561644</v>
      </c>
      <c r="D114" s="15">
        <f ca="1">(1+(('Symulacja Pożyczka'!$B$5+'Symulacja Pożyczka'!$C$21)/100)*('Arkusz1 (+10)'!B114-'Arkusz1 (+10)'!B113)/366)</f>
        <v>1.0105874316939891</v>
      </c>
      <c r="E114" s="15">
        <f t="shared" ca="1" si="9"/>
        <v>0</v>
      </c>
      <c r="F114" s="15">
        <f t="shared" ca="1" si="10"/>
        <v>0</v>
      </c>
      <c r="G114">
        <f ca="1">IF(E114=1,(1+(('Symulacja Pożyczka'!$B$5+'Symulacja Pożyczka'!$C$21)/100)*(((Arkusz1!B114-DATE(YEAR(B114),1,1)+1)/365)+((DATE(YEAR(B113),12,31)-Arkusz1!B113)/366))),IF(F114=1,(1+(('Symulacja Pożyczka'!$B$5+'Symulacja Pożyczka'!$C$21)/100)*(((Arkusz1!B114-DATE(YEAR(B114),1,1)+1)/366)+((DATE(YEAR(B113),12,31)-Arkusz1!B113)/365))),0))</f>
        <v>0</v>
      </c>
      <c r="H114">
        <f t="shared" ca="1" si="11"/>
        <v>0</v>
      </c>
      <c r="I114">
        <f t="shared" ca="1" si="12"/>
        <v>1.0106164383561644</v>
      </c>
      <c r="J114">
        <f t="shared" ca="1" si="13"/>
        <v>1.0106164383561644</v>
      </c>
      <c r="K114">
        <f ca="1">PRODUCT($J$3:J114)</f>
        <v>3.1760655840041228</v>
      </c>
      <c r="L114">
        <f t="shared" ca="1" si="14"/>
        <v>0.31485495924151607</v>
      </c>
      <c r="M114">
        <f ca="1">SUM($L$3:L114)</f>
        <v>66.246507917721175</v>
      </c>
      <c r="O114">
        <f ca="1">(Q113*'Arkusz1 (+10)'!J114)-Q113</f>
        <v>1625.4407735199493</v>
      </c>
      <c r="P114" s="16">
        <f t="shared" ca="1" si="15"/>
        <v>16291.325677234752</v>
      </c>
      <c r="Q114" s="17">
        <f t="shared" ca="1" si="16"/>
        <v>136814.70847367577</v>
      </c>
    </row>
    <row r="115" spans="1:17" x14ac:dyDescent="0.35">
      <c r="A115">
        <v>113</v>
      </c>
      <c r="B115" s="14">
        <f t="shared" ca="1" si="17"/>
        <v>49507</v>
      </c>
      <c r="C115" s="15">
        <f ca="1">(1+(('Symulacja Pożyczka'!$B$5+'Symulacja Pożyczka'!$C$21)/100)*('Arkusz1 (+10)'!B115-'Arkusz1 (+10)'!B114)/365)</f>
        <v>1.0102739726027397</v>
      </c>
      <c r="D115" s="15">
        <f ca="1">(1+(('Symulacja Pożyczka'!$B$5+'Symulacja Pożyczka'!$C$21)/100)*('Arkusz1 (+10)'!B115-'Arkusz1 (+10)'!B114)/366)</f>
        <v>1.0102459016393444</v>
      </c>
      <c r="E115" s="15">
        <f t="shared" ca="1" si="9"/>
        <v>0</v>
      </c>
      <c r="F115" s="15">
        <f t="shared" ca="1" si="10"/>
        <v>0</v>
      </c>
      <c r="G115">
        <f ca="1">IF(E115=1,(1+(('Symulacja Pożyczka'!$B$5+'Symulacja Pożyczka'!$C$21)/100)*(((Arkusz1!B115-DATE(YEAR(B115),1,1)+1)/365)+((DATE(YEAR(B114),12,31)-Arkusz1!B114)/366))),IF(F115=1,(1+(('Symulacja Pożyczka'!$B$5+'Symulacja Pożyczka'!$C$21)/100)*(((Arkusz1!B115-DATE(YEAR(B115),1,1)+1)/366)+((DATE(YEAR(B114),12,31)-Arkusz1!B114)/365))),0))</f>
        <v>0</v>
      </c>
      <c r="H115">
        <f t="shared" ca="1" si="11"/>
        <v>0</v>
      </c>
      <c r="I115">
        <f t="shared" ca="1" si="12"/>
        <v>1.0102739726027397</v>
      </c>
      <c r="J115">
        <f t="shared" ca="1" si="13"/>
        <v>1.0102739726027397</v>
      </c>
      <c r="K115">
        <f ca="1">PRODUCT($J$3:J115)</f>
        <v>3.2086963947986855</v>
      </c>
      <c r="L115">
        <f t="shared" ca="1" si="14"/>
        <v>0.31165304440177183</v>
      </c>
      <c r="M115">
        <f ca="1">SUM($L$3:L115)</f>
        <v>66.55816096212294</v>
      </c>
      <c r="O115">
        <f ca="1">(Q114*'Arkusz1 (+10)'!J115)-Q114</f>
        <v>1405.6305665103719</v>
      </c>
      <c r="P115" s="16">
        <f t="shared" ca="1" si="15"/>
        <v>16511.13588424433</v>
      </c>
      <c r="Q115" s="17">
        <f t="shared" ca="1" si="16"/>
        <v>120303.57258943144</v>
      </c>
    </row>
    <row r="116" spans="1:17" x14ac:dyDescent="0.35">
      <c r="A116">
        <v>114</v>
      </c>
      <c r="B116" s="14">
        <f t="shared" ca="1" si="17"/>
        <v>49538</v>
      </c>
      <c r="C116" s="15">
        <f ca="1">(1+(('Symulacja Pożyczka'!$B$5+'Symulacja Pożyczka'!$C$21)/100)*('Arkusz1 (+10)'!B116-'Arkusz1 (+10)'!B115)/365)</f>
        <v>1.0106164383561644</v>
      </c>
      <c r="D116" s="15">
        <f ca="1">(1+(('Symulacja Pożyczka'!$B$5+'Symulacja Pożyczka'!$C$21)/100)*('Arkusz1 (+10)'!B116-'Arkusz1 (+10)'!B115)/366)</f>
        <v>1.0105874316939891</v>
      </c>
      <c r="E116" s="15">
        <f t="shared" ca="1" si="9"/>
        <v>0</v>
      </c>
      <c r="F116" s="15">
        <f t="shared" ca="1" si="10"/>
        <v>0</v>
      </c>
      <c r="G116">
        <f ca="1">IF(E116=1,(1+(('Symulacja Pożyczka'!$B$5+'Symulacja Pożyczka'!$C$21)/100)*(((Arkusz1!B116-DATE(YEAR(B116),1,1)+1)/365)+((DATE(YEAR(B115),12,31)-Arkusz1!B115)/366))),IF(F116=1,(1+(('Symulacja Pożyczka'!$B$5+'Symulacja Pożyczka'!$C$21)/100)*(((Arkusz1!B116-DATE(YEAR(B116),1,1)+1)/366)+((DATE(YEAR(B115),12,31)-Arkusz1!B115)/365))),0))</f>
        <v>0</v>
      </c>
      <c r="H116">
        <f t="shared" ca="1" si="11"/>
        <v>0</v>
      </c>
      <c r="I116">
        <f t="shared" ca="1" si="12"/>
        <v>1.0106164383561644</v>
      </c>
      <c r="J116">
        <f t="shared" ca="1" si="13"/>
        <v>1.0106164383561644</v>
      </c>
      <c r="K116">
        <f ca="1">PRODUCT($J$3:J116)</f>
        <v>3.2427613222777127</v>
      </c>
      <c r="L116">
        <f t="shared" ca="1" si="14"/>
        <v>0.30837915610070271</v>
      </c>
      <c r="M116">
        <f ca="1">SUM($L$3:L116)</f>
        <v>66.866540118223639</v>
      </c>
      <c r="O116">
        <f ca="1">(Q115*'Arkusz1 (+10)'!J116)-Q115</f>
        <v>1277.1954624220525</v>
      </c>
      <c r="P116" s="16">
        <f t="shared" ca="1" si="15"/>
        <v>16639.570988332649</v>
      </c>
      <c r="Q116" s="17">
        <f t="shared" ca="1" si="16"/>
        <v>103664.00160109879</v>
      </c>
    </row>
    <row r="117" spans="1:17" x14ac:dyDescent="0.35">
      <c r="A117">
        <v>115</v>
      </c>
      <c r="B117" s="14">
        <f t="shared" ca="1" si="17"/>
        <v>49569</v>
      </c>
      <c r="C117" s="15">
        <f ca="1">(1+(('Symulacja Pożyczka'!$B$5+'Symulacja Pożyczka'!$C$21)/100)*('Arkusz1 (+10)'!B117-'Arkusz1 (+10)'!B116)/365)</f>
        <v>1.0106164383561644</v>
      </c>
      <c r="D117" s="15">
        <f ca="1">(1+(('Symulacja Pożyczka'!$B$5+'Symulacja Pożyczka'!$C$21)/100)*('Arkusz1 (+10)'!B117-'Arkusz1 (+10)'!B116)/366)</f>
        <v>1.0105874316939891</v>
      </c>
      <c r="E117" s="15">
        <f t="shared" ca="1" si="9"/>
        <v>0</v>
      </c>
      <c r="F117" s="15">
        <f t="shared" ca="1" si="10"/>
        <v>0</v>
      </c>
      <c r="G117">
        <f ca="1">IF(E117=1,(1+(('Symulacja Pożyczka'!$B$5+'Symulacja Pożyczka'!$C$21)/100)*(((Arkusz1!B117-DATE(YEAR(B117),1,1)+1)/365)+((DATE(YEAR(B116),12,31)-Arkusz1!B116)/366))),IF(F117=1,(1+(('Symulacja Pożyczka'!$B$5+'Symulacja Pożyczka'!$C$21)/100)*(((Arkusz1!B117-DATE(YEAR(B117),1,1)+1)/366)+((DATE(YEAR(B116),12,31)-Arkusz1!B116)/365))),0))</f>
        <v>0</v>
      </c>
      <c r="H117">
        <f t="shared" ca="1" si="11"/>
        <v>0</v>
      </c>
      <c r="I117">
        <f t="shared" ca="1" si="12"/>
        <v>1.0106164383561644</v>
      </c>
      <c r="J117">
        <f t="shared" ca="1" si="13"/>
        <v>1.0106164383561644</v>
      </c>
      <c r="K117">
        <f ca="1">PRODUCT($J$3:J117)</f>
        <v>3.2771878979594282</v>
      </c>
      <c r="L117">
        <f t="shared" ca="1" si="14"/>
        <v>0.30513965971333512</v>
      </c>
      <c r="M117">
        <f ca="1">SUM($L$3:L117)</f>
        <v>67.171679777936973</v>
      </c>
      <c r="O117">
        <f ca="1">(Q116*'Arkusz1 (+10)'!J117)-Q116</f>
        <v>1100.5424827513925</v>
      </c>
      <c r="P117" s="16">
        <f t="shared" ca="1" si="15"/>
        <v>16816.223968003309</v>
      </c>
      <c r="Q117" s="17">
        <f t="shared" ca="1" si="16"/>
        <v>86847.77763309548</v>
      </c>
    </row>
    <row r="118" spans="1:17" x14ac:dyDescent="0.35">
      <c r="A118">
        <v>116</v>
      </c>
      <c r="B118" s="14">
        <f t="shared" ca="1" si="17"/>
        <v>49599</v>
      </c>
      <c r="C118" s="15">
        <f ca="1">(1+(('Symulacja Pożyczka'!$B$5+'Symulacja Pożyczka'!$C$21)/100)*('Arkusz1 (+10)'!B118-'Arkusz1 (+10)'!B117)/365)</f>
        <v>1.0102739726027397</v>
      </c>
      <c r="D118" s="15">
        <f ca="1">(1+(('Symulacja Pożyczka'!$B$5+'Symulacja Pożyczka'!$C$21)/100)*('Arkusz1 (+10)'!B118-'Arkusz1 (+10)'!B117)/366)</f>
        <v>1.0102459016393444</v>
      </c>
      <c r="E118" s="15">
        <f t="shared" ca="1" si="9"/>
        <v>0</v>
      </c>
      <c r="F118" s="15">
        <f t="shared" ca="1" si="10"/>
        <v>0</v>
      </c>
      <c r="G118">
        <f ca="1">IF(E118=1,(1+(('Symulacja Pożyczka'!$B$5+'Symulacja Pożyczka'!$C$21)/100)*(((Arkusz1!B118-DATE(YEAR(B118),1,1)+1)/365)+((DATE(YEAR(B117),12,31)-Arkusz1!B117)/366))),IF(F118=1,(1+(('Symulacja Pożyczka'!$B$5+'Symulacja Pożyczka'!$C$21)/100)*(((Arkusz1!B118-DATE(YEAR(B118),1,1)+1)/366)+((DATE(YEAR(B117),12,31)-Arkusz1!B117)/365))),0))</f>
        <v>0</v>
      </c>
      <c r="H118">
        <f t="shared" ca="1" si="11"/>
        <v>0</v>
      </c>
      <c r="I118">
        <f t="shared" ca="1" si="12"/>
        <v>1.0102739726027397</v>
      </c>
      <c r="J118">
        <f t="shared" ca="1" si="13"/>
        <v>1.0102739726027397</v>
      </c>
      <c r="K118">
        <f ca="1">PRODUCT($J$3:J118)</f>
        <v>3.3108576366370932</v>
      </c>
      <c r="L118">
        <f t="shared" ca="1" si="14"/>
        <v>0.30203654452980971</v>
      </c>
      <c r="M118">
        <f ca="1">SUM($L$3:L118)</f>
        <v>67.473716322466785</v>
      </c>
      <c r="O118">
        <f ca="1">(Q117*'Arkusz1 (+10)'!J118)-Q117</f>
        <v>892.27168801124208</v>
      </c>
      <c r="P118" s="16">
        <f t="shared" ca="1" si="15"/>
        <v>17024.494762743459</v>
      </c>
      <c r="Q118" s="17">
        <f t="shared" ca="1" si="16"/>
        <v>69823.282870352021</v>
      </c>
    </row>
    <row r="119" spans="1:17" x14ac:dyDescent="0.35">
      <c r="A119">
        <v>117</v>
      </c>
      <c r="B119" s="14">
        <f t="shared" ca="1" si="17"/>
        <v>49630</v>
      </c>
      <c r="C119" s="15">
        <f ca="1">(1+(('Symulacja Pożyczka'!$B$5+'Symulacja Pożyczka'!$C$21)/100)*('Arkusz1 (+10)'!B119-'Arkusz1 (+10)'!B118)/365)</f>
        <v>1.0106164383561644</v>
      </c>
      <c r="D119" s="15">
        <f ca="1">(1+(('Symulacja Pożyczka'!$B$5+'Symulacja Pożyczka'!$C$21)/100)*('Arkusz1 (+10)'!B119-'Arkusz1 (+10)'!B118)/366)</f>
        <v>1.0105874316939891</v>
      </c>
      <c r="E119" s="15">
        <f t="shared" ca="1" si="9"/>
        <v>0</v>
      </c>
      <c r="F119" s="15">
        <f t="shared" ca="1" si="10"/>
        <v>0</v>
      </c>
      <c r="G119">
        <f ca="1">IF(E119=1,(1+(('Symulacja Pożyczka'!$B$5+'Symulacja Pożyczka'!$C$21)/100)*(((Arkusz1!B119-DATE(YEAR(B119),1,1)+1)/365)+((DATE(YEAR(B118),12,31)-Arkusz1!B118)/366))),IF(F119=1,(1+(('Symulacja Pożyczka'!$B$5+'Symulacja Pożyczka'!$C$21)/100)*(((Arkusz1!B119-DATE(YEAR(B119),1,1)+1)/366)+((DATE(YEAR(B118),12,31)-Arkusz1!B118)/365))),0))</f>
        <v>0</v>
      </c>
      <c r="H119">
        <f t="shared" ca="1" si="11"/>
        <v>0</v>
      </c>
      <c r="I119">
        <f t="shared" ca="1" si="12"/>
        <v>1.0106164383561644</v>
      </c>
      <c r="J119">
        <f t="shared" ca="1" si="13"/>
        <v>1.0106164383561644</v>
      </c>
      <c r="K119">
        <f ca="1">PRODUCT($J$3:J119)</f>
        <v>3.3460071526424873</v>
      </c>
      <c r="L119">
        <f t="shared" ca="1" si="14"/>
        <v>0.2988636767289205</v>
      </c>
      <c r="M119">
        <f ca="1">SUM($L$3:L119)</f>
        <v>67.772579999195699</v>
      </c>
      <c r="O119">
        <f ca="1">(Q118*'Arkusz1 (+10)'!J119)-Q118</f>
        <v>741.27457841813157</v>
      </c>
      <c r="P119" s="16">
        <f t="shared" ca="1" si="15"/>
        <v>17175.49187233657</v>
      </c>
      <c r="Q119" s="17">
        <f t="shared" ca="1" si="16"/>
        <v>52647.790998015451</v>
      </c>
    </row>
    <row r="120" spans="1:17" x14ac:dyDescent="0.35">
      <c r="A120">
        <v>118</v>
      </c>
      <c r="B120" s="14">
        <f t="shared" ca="1" si="17"/>
        <v>49660</v>
      </c>
      <c r="C120" s="15">
        <f ca="1">(1+(('Symulacja Pożyczka'!$B$5+'Symulacja Pożyczka'!$C$21)/100)*('Arkusz1 (+10)'!B120-'Arkusz1 (+10)'!B119)/365)</f>
        <v>1.0102739726027397</v>
      </c>
      <c r="D120" s="15">
        <f ca="1">(1+(('Symulacja Pożyczka'!$B$5+'Symulacja Pożyczka'!$C$21)/100)*('Arkusz1 (+10)'!B120-'Arkusz1 (+10)'!B119)/366)</f>
        <v>1.0102459016393444</v>
      </c>
      <c r="E120" s="15">
        <f t="shared" ca="1" si="9"/>
        <v>0</v>
      </c>
      <c r="F120" s="15">
        <f t="shared" ca="1" si="10"/>
        <v>0</v>
      </c>
      <c r="G120">
        <f ca="1">IF(E120=1,(1+(('Symulacja Pożyczka'!$B$5+'Symulacja Pożyczka'!$C$21)/100)*(((Arkusz1!B120-DATE(YEAR(B120),1,1)+1)/365)+((DATE(YEAR(B119),12,31)-Arkusz1!B119)/366))),IF(F120=1,(1+(('Symulacja Pożyczka'!$B$5+'Symulacja Pożyczka'!$C$21)/100)*(((Arkusz1!B120-DATE(YEAR(B120),1,1)+1)/366)+((DATE(YEAR(B119),12,31)-Arkusz1!B119)/365))),0))</f>
        <v>0</v>
      </c>
      <c r="H120">
        <f t="shared" ca="1" si="11"/>
        <v>0</v>
      </c>
      <c r="I120">
        <f t="shared" ca="1" si="12"/>
        <v>1.0102739726027397</v>
      </c>
      <c r="J120">
        <f t="shared" ca="1" si="13"/>
        <v>1.0102739726027397</v>
      </c>
      <c r="K120">
        <f ca="1">PRODUCT($J$3:J120)</f>
        <v>3.3803839384573071</v>
      </c>
      <c r="L120">
        <f t="shared" ca="1" si="14"/>
        <v>0.29582438510116876</v>
      </c>
      <c r="M120">
        <f ca="1">SUM($L$3:L120)</f>
        <v>68.068404384296869</v>
      </c>
      <c r="O120">
        <f ca="1">(Q119*'Arkusz1 (+10)'!J120)-Q119</f>
        <v>540.90196230837319</v>
      </c>
      <c r="P120" s="16">
        <f t="shared" ca="1" si="15"/>
        <v>17375.864488446328</v>
      </c>
      <c r="Q120" s="17">
        <f t="shared" ca="1" si="16"/>
        <v>35271.926509569123</v>
      </c>
    </row>
    <row r="121" spans="1:17" x14ac:dyDescent="0.35">
      <c r="A121">
        <v>119</v>
      </c>
      <c r="B121" s="14">
        <f t="shared" ca="1" si="17"/>
        <v>49691</v>
      </c>
      <c r="C121" s="15">
        <f ca="1">(1+(('Symulacja Pożyczka'!$B$5+'Symulacja Pożyczka'!$C$21)/100)*('Arkusz1 (+10)'!B121-'Arkusz1 (+10)'!B120)/365)</f>
        <v>1.0106164383561644</v>
      </c>
      <c r="D121" s="15">
        <f ca="1">(1+(('Symulacja Pożyczka'!$B$5+'Symulacja Pożyczka'!$C$21)/100)*('Arkusz1 (+10)'!B121-'Arkusz1 (+10)'!B120)/366)</f>
        <v>1.0105874316939891</v>
      </c>
      <c r="E121" s="15">
        <f t="shared" ca="1" si="9"/>
        <v>0</v>
      </c>
      <c r="F121" s="15">
        <f t="shared" ca="1" si="10"/>
        <v>1</v>
      </c>
      <c r="G121">
        <f ca="1">IF(E121=1,(1+(('Symulacja Pożyczka'!$B$5+'Symulacja Pożyczka'!$C$21)/100)*(((Arkusz1!B121-DATE(YEAR(B121),1,1)+1)/365)+((DATE(YEAR(B120),12,31)-Arkusz1!B120)/366))),IF(F121=1,(1+(('Symulacja Pożyczka'!$B$5+'Symulacja Pożyczka'!$C$21)/100)*(((Arkusz1!B121-DATE(YEAR(B121),1,1)+1)/366)+((DATE(YEAR(B120),12,31)-Arkusz1!B120)/365))),0))</f>
        <v>1.0106005314769069</v>
      </c>
      <c r="H121">
        <f t="shared" ca="1" si="11"/>
        <v>1</v>
      </c>
      <c r="I121">
        <f t="shared" ca="1" si="12"/>
        <v>1.0105874316939891</v>
      </c>
      <c r="J121">
        <f t="shared" ca="1" si="13"/>
        <v>1.0106005314769069</v>
      </c>
      <c r="K121">
        <f ca="1">PRODUCT($J$3:J121)</f>
        <v>3.4162178048009544</v>
      </c>
      <c r="L121">
        <f t="shared" ca="1" si="14"/>
        <v>0.29272138286811161</v>
      </c>
      <c r="M121">
        <f ca="1">SUM($L$3:L121)</f>
        <v>68.361125767164978</v>
      </c>
      <c r="O121">
        <f ca="1">(Q120*'Arkusz1 (+10)'!J121)-Q120</f>
        <v>373.90116721583036</v>
      </c>
      <c r="P121" s="16">
        <f t="shared" ca="1" si="15"/>
        <v>17542.865283538871</v>
      </c>
      <c r="Q121" s="17">
        <f t="shared" ca="1" si="16"/>
        <v>17729.061226030251</v>
      </c>
    </row>
    <row r="122" spans="1:17" x14ac:dyDescent="0.35">
      <c r="A122">
        <v>120</v>
      </c>
      <c r="B122" s="14">
        <f t="shared" ca="1" si="17"/>
        <v>49722</v>
      </c>
      <c r="C122" s="15">
        <f ca="1">(1+(('Symulacja Pożyczka'!$B$5+'Symulacja Pożyczka'!$C$21)/100)*('Arkusz1 (+10)'!B122-'Arkusz1 (+10)'!B121)/365)</f>
        <v>1.0106164383561644</v>
      </c>
      <c r="D122" s="15">
        <f ca="1">(1+(('Symulacja Pożyczka'!$B$5+'Symulacja Pożyczka'!$C$21)/100)*('Arkusz1 (+10)'!B122-'Arkusz1 (+10)'!B121)/366)</f>
        <v>1.0105874316939891</v>
      </c>
      <c r="E122" s="15">
        <f t="shared" ca="1" si="9"/>
        <v>0</v>
      </c>
      <c r="F122" s="15">
        <f t="shared" ca="1" si="10"/>
        <v>0</v>
      </c>
      <c r="G122">
        <f ca="1">IF(E122=1,(1+(('Symulacja Pożyczka'!$B$5+'Symulacja Pożyczka'!$C$21)/100)*(((Arkusz1!B122-DATE(YEAR(B122),1,1)+1)/365)+((DATE(YEAR(B121),12,31)-Arkusz1!B121)/366))),IF(F122=1,(1+(('Symulacja Pożyczka'!$B$5+'Symulacja Pożyczka'!$C$21)/100)*(((Arkusz1!B122-DATE(YEAR(B122),1,1)+1)/366)+((DATE(YEAR(B121),12,31)-Arkusz1!B121)/365))),0))</f>
        <v>0</v>
      </c>
      <c r="H122">
        <f t="shared" ca="1" si="11"/>
        <v>1</v>
      </c>
      <c r="I122">
        <f t="shared" ca="1" si="12"/>
        <v>1.0105874316939891</v>
      </c>
      <c r="J122">
        <f t="shared" ca="1" si="13"/>
        <v>1.0105874316939891</v>
      </c>
      <c r="K122">
        <f ca="1">PRODUCT($J$3:J122)</f>
        <v>3.4523867774610739</v>
      </c>
      <c r="L122">
        <f t="shared" ca="1" si="14"/>
        <v>0.28965468368970287</v>
      </c>
      <c r="M122">
        <f ca="1">SUM($L$3:L122)</f>
        <v>68.650780450854683</v>
      </c>
      <c r="O122">
        <f ca="1">(Q121*'Arkusz1 (+10)'!J122)-Q121</f>
        <v>187.70522472914672</v>
      </c>
      <c r="P122" s="16">
        <f t="shared" ca="1" si="15"/>
        <v>17729.061226025555</v>
      </c>
      <c r="Q122" s="17">
        <f t="shared" ca="1" si="16"/>
        <v>4.6966306399554014E-9</v>
      </c>
    </row>
    <row r="123" spans="1:17" x14ac:dyDescent="0.35">
      <c r="A123">
        <v>121</v>
      </c>
      <c r="B123" s="14">
        <f t="shared" ca="1" si="17"/>
        <v>49751</v>
      </c>
      <c r="C123" s="15">
        <f ca="1">(1+(('Symulacja Pożyczka'!$B$5+'Symulacja Pożyczka'!$C$21)/100)*('Arkusz1 (+10)'!B123-'Arkusz1 (+10)'!B122)/365)</f>
        <v>1.0099315068493151</v>
      </c>
      <c r="D123" s="15">
        <f ca="1">(1+(('Symulacja Pożyczka'!$B$5+'Symulacja Pożyczka'!$C$21)/100)*('Arkusz1 (+10)'!B123-'Arkusz1 (+10)'!B122)/366)</f>
        <v>1.0099043715846994</v>
      </c>
      <c r="E123" s="15">
        <f t="shared" ca="1" si="9"/>
        <v>0</v>
      </c>
      <c r="F123" s="15">
        <f t="shared" ca="1" si="10"/>
        <v>0</v>
      </c>
      <c r="G123">
        <f ca="1">IF(E123=1,(1+(('Symulacja Pożyczka'!$B$5+'Symulacja Pożyczka'!$C$21)/100)*(((Arkusz1!B123-DATE(YEAR(B123),1,1)+1)/365)+((DATE(YEAR(B122),12,31)-Arkusz1!B122)/366))),IF(F123=1,(1+(('Symulacja Pożyczka'!$B$5+'Symulacja Pożyczka'!$C$21)/100)*(((Arkusz1!B123-DATE(YEAR(B123),1,1)+1)/366)+((DATE(YEAR(B122),12,31)-Arkusz1!B122)/365))),0))</f>
        <v>0</v>
      </c>
      <c r="H123">
        <f t="shared" ca="1" si="11"/>
        <v>1</v>
      </c>
      <c r="I123">
        <f t="shared" ca="1" si="12"/>
        <v>1.0099043715846994</v>
      </c>
      <c r="J123">
        <f t="shared" ca="1" si="13"/>
        <v>1.0099043715846994</v>
      </c>
      <c r="K123">
        <f ca="1">PRODUCT($J$3:J123)</f>
        <v>3.4865804989591513</v>
      </c>
      <c r="L123">
        <f t="shared" ca="1" si="14"/>
        <v>0.28681397153988841</v>
      </c>
      <c r="M123">
        <f ca="1">SUM($L$3:L123)</f>
        <v>68.937594422394568</v>
      </c>
      <c r="O123">
        <f ca="1">(Q122*'Arkusz1 (+10)'!J123)-Q122</f>
        <v>4.651717505420255E-11</v>
      </c>
      <c r="P123" s="16">
        <f t="shared" ca="1" si="15"/>
        <v>17916.766450754654</v>
      </c>
      <c r="Q123" s="17">
        <f t="shared" ca="1" si="16"/>
        <v>-17916.766450749958</v>
      </c>
    </row>
    <row r="124" spans="1:17" x14ac:dyDescent="0.35">
      <c r="A124">
        <v>122</v>
      </c>
      <c r="B124" s="14">
        <f t="shared" ca="1" si="17"/>
        <v>49782</v>
      </c>
      <c r="C124" s="15">
        <f ca="1">(1+(('Symulacja Pożyczka'!$B$5+'Symulacja Pożyczka'!$C$21)/100)*('Arkusz1 (+10)'!B124-'Arkusz1 (+10)'!B123)/365)</f>
        <v>1.0106164383561644</v>
      </c>
      <c r="D124" s="15">
        <f ca="1">(1+(('Symulacja Pożyczka'!$B$5+'Symulacja Pożyczka'!$C$21)/100)*('Arkusz1 (+10)'!B124-'Arkusz1 (+10)'!B123)/366)</f>
        <v>1.0105874316939891</v>
      </c>
      <c r="E124" s="15">
        <f t="shared" ca="1" si="9"/>
        <v>0</v>
      </c>
      <c r="F124" s="15">
        <f t="shared" ca="1" si="10"/>
        <v>0</v>
      </c>
      <c r="G124">
        <f ca="1">IF(E124=1,(1+(('Symulacja Pożyczka'!$B$5+'Symulacja Pożyczka'!$C$21)/100)*(((Arkusz1!B124-DATE(YEAR(B124),1,1)+1)/365)+((DATE(YEAR(B123),12,31)-Arkusz1!B123)/366))),IF(F124=1,(1+(('Symulacja Pożyczka'!$B$5+'Symulacja Pożyczka'!$C$21)/100)*(((Arkusz1!B124-DATE(YEAR(B124),1,1)+1)/366)+((DATE(YEAR(B123),12,31)-Arkusz1!B123)/365))),0))</f>
        <v>0</v>
      </c>
      <c r="H124">
        <f t="shared" ca="1" si="11"/>
        <v>1</v>
      </c>
      <c r="I124">
        <f t="shared" ca="1" si="12"/>
        <v>1.0105874316939891</v>
      </c>
      <c r="J124">
        <f t="shared" ca="1" si="13"/>
        <v>1.0105874316939891</v>
      </c>
      <c r="K124">
        <f ca="1">PRODUCT($J$3:J124)</f>
        <v>3.5234944318374759</v>
      </c>
      <c r="L124">
        <f t="shared" ca="1" si="14"/>
        <v>0.28380916142912915</v>
      </c>
      <c r="M124">
        <f ca="1">SUM($L$3:L124)</f>
        <v>69.221403583823701</v>
      </c>
      <c r="O124">
        <f ca="1">(Q123*'Arkusz1 (+10)'!J124)-Q123</f>
        <v>-189.69254097447265</v>
      </c>
      <c r="P124" s="16">
        <f t="shared" ca="1" si="15"/>
        <v>18106.458991729174</v>
      </c>
      <c r="Q124" s="17">
        <f t="shared" ca="1" si="16"/>
        <v>-36023.225442479132</v>
      </c>
    </row>
    <row r="125" spans="1:17" x14ac:dyDescent="0.35">
      <c r="A125">
        <v>123</v>
      </c>
      <c r="B125" s="14">
        <f t="shared" ca="1" si="17"/>
        <v>49812</v>
      </c>
      <c r="C125" s="15">
        <f ca="1">(1+(('Symulacja Pożyczka'!$B$5+'Symulacja Pożyczka'!$C$21)/100)*('Arkusz1 (+10)'!B125-'Arkusz1 (+10)'!B124)/365)</f>
        <v>1.0102739726027397</v>
      </c>
      <c r="D125" s="15">
        <f ca="1">(1+(('Symulacja Pożyczka'!$B$5+'Symulacja Pożyczka'!$C$21)/100)*('Arkusz1 (+10)'!B125-'Arkusz1 (+10)'!B124)/366)</f>
        <v>1.0102459016393444</v>
      </c>
      <c r="E125" s="15">
        <f t="shared" ca="1" si="9"/>
        <v>0</v>
      </c>
      <c r="F125" s="15">
        <f t="shared" ca="1" si="10"/>
        <v>0</v>
      </c>
      <c r="G125">
        <f ca="1">IF(E125=1,(1+(('Symulacja Pożyczka'!$B$5+'Symulacja Pożyczka'!$C$21)/100)*(((Arkusz1!B125-DATE(YEAR(B125),1,1)+1)/365)+((DATE(YEAR(B124),12,31)-Arkusz1!B124)/366))),IF(F125=1,(1+(('Symulacja Pożyczka'!$B$5+'Symulacja Pożyczka'!$C$21)/100)*(((Arkusz1!B125-DATE(YEAR(B125),1,1)+1)/366)+((DATE(YEAR(B124),12,31)-Arkusz1!B124)/365))),0))</f>
        <v>0</v>
      </c>
      <c r="H125">
        <f t="shared" ca="1" si="11"/>
        <v>1</v>
      </c>
      <c r="I125">
        <f t="shared" ca="1" si="12"/>
        <v>1.0102459016393444</v>
      </c>
      <c r="J125">
        <f t="shared" ca="1" si="13"/>
        <v>1.0102459016393444</v>
      </c>
      <c r="K125">
        <f ca="1">PRODUCT($J$3:J125)</f>
        <v>3.5595958092128601</v>
      </c>
      <c r="L125">
        <f t="shared" ca="1" si="14"/>
        <v>0.28093077236798181</v>
      </c>
      <c r="M125">
        <f ca="1">SUM($L$3:L125)</f>
        <v>69.502334356191682</v>
      </c>
      <c r="O125">
        <f ca="1">(Q124*'Arkusz1 (+10)'!J125)-Q124</f>
        <v>-369.09042461556965</v>
      </c>
      <c r="P125" s="16">
        <f t="shared" ca="1" si="15"/>
        <v>18285.856875370271</v>
      </c>
      <c r="Q125" s="17">
        <f t="shared" ca="1" si="16"/>
        <v>-54309.082317849403</v>
      </c>
    </row>
    <row r="126" spans="1:17" x14ac:dyDescent="0.35">
      <c r="A126">
        <v>124</v>
      </c>
      <c r="B126" s="14">
        <f t="shared" ca="1" si="17"/>
        <v>49843</v>
      </c>
      <c r="C126" s="15">
        <f ca="1">(1+(('Symulacja Pożyczka'!$B$5+'Symulacja Pożyczka'!$C$21)/100)*('Arkusz1 (+10)'!B126-'Arkusz1 (+10)'!B125)/365)</f>
        <v>1.0106164383561644</v>
      </c>
      <c r="D126" s="15">
        <f ca="1">(1+(('Symulacja Pożyczka'!$B$5+'Symulacja Pożyczka'!$C$21)/100)*('Arkusz1 (+10)'!B126-'Arkusz1 (+10)'!B125)/366)</f>
        <v>1.0105874316939891</v>
      </c>
      <c r="E126" s="15">
        <f t="shared" ca="1" si="9"/>
        <v>0</v>
      </c>
      <c r="F126" s="15">
        <f t="shared" ca="1" si="10"/>
        <v>0</v>
      </c>
      <c r="G126">
        <f ca="1">IF(E126=1,(1+(('Symulacja Pożyczka'!$B$5+'Symulacja Pożyczka'!$C$21)/100)*(((Arkusz1!B126-DATE(YEAR(B126),1,1)+1)/365)+((DATE(YEAR(B125),12,31)-Arkusz1!B125)/366))),IF(F126=1,(1+(('Symulacja Pożyczka'!$B$5+'Symulacja Pożyczka'!$C$21)/100)*(((Arkusz1!B126-DATE(YEAR(B126),1,1)+1)/366)+((DATE(YEAR(B125),12,31)-Arkusz1!B125)/365))),0))</f>
        <v>0</v>
      </c>
      <c r="H126">
        <f t="shared" ca="1" si="11"/>
        <v>1</v>
      </c>
      <c r="I126">
        <f t="shared" ca="1" si="12"/>
        <v>1.0105874316939891</v>
      </c>
      <c r="J126">
        <f t="shared" ca="1" si="13"/>
        <v>1.0105874316939891</v>
      </c>
      <c r="K126">
        <f ca="1">PRODUCT($J$3:J126)</f>
        <v>3.5972827867011112</v>
      </c>
      <c r="L126">
        <f t="shared" ca="1" si="14"/>
        <v>0.2779875976659178</v>
      </c>
      <c r="M126">
        <f ca="1">SUM($L$3:L126)</f>
        <v>69.780321953857595</v>
      </c>
      <c r="O126">
        <f ca="1">(Q125*'Arkusz1 (+10)'!J126)-Q125</f>
        <v>-574.99369940346514</v>
      </c>
      <c r="P126" s="16">
        <f t="shared" ca="1" si="15"/>
        <v>18491.760150158167</v>
      </c>
      <c r="Q126" s="17">
        <f t="shared" ca="1" si="16"/>
        <v>-72800.84246800757</v>
      </c>
    </row>
    <row r="127" spans="1:17" x14ac:dyDescent="0.35">
      <c r="A127">
        <v>125</v>
      </c>
      <c r="B127" s="14">
        <f t="shared" ca="1" si="17"/>
        <v>49873</v>
      </c>
      <c r="C127" s="15">
        <f ca="1">(1+(('Symulacja Pożyczka'!$B$5+'Symulacja Pożyczka'!$C$21)/100)*('Arkusz1 (+10)'!B127-'Arkusz1 (+10)'!B126)/365)</f>
        <v>1.0102739726027397</v>
      </c>
      <c r="D127" s="15">
        <f ca="1">(1+(('Symulacja Pożyczka'!$B$5+'Symulacja Pożyczka'!$C$21)/100)*('Arkusz1 (+10)'!B127-'Arkusz1 (+10)'!B126)/366)</f>
        <v>1.0102459016393444</v>
      </c>
      <c r="E127" s="15">
        <f t="shared" ca="1" si="9"/>
        <v>0</v>
      </c>
      <c r="F127" s="15">
        <f t="shared" ca="1" si="10"/>
        <v>0</v>
      </c>
      <c r="G127">
        <f ca="1">IF(E127=1,(1+(('Symulacja Pożyczka'!$B$5+'Symulacja Pożyczka'!$C$21)/100)*(((Arkusz1!B127-DATE(YEAR(B127),1,1)+1)/365)+((DATE(YEAR(B126),12,31)-Arkusz1!B126)/366))),IF(F127=1,(1+(('Symulacja Pożyczka'!$B$5+'Symulacja Pożyczka'!$C$21)/100)*(((Arkusz1!B127-DATE(YEAR(B127),1,1)+1)/366)+((DATE(YEAR(B126),12,31)-Arkusz1!B126)/365))),0))</f>
        <v>0</v>
      </c>
      <c r="H127">
        <f t="shared" ca="1" si="11"/>
        <v>1</v>
      </c>
      <c r="I127">
        <f t="shared" ca="1" si="12"/>
        <v>1.0102459016393444</v>
      </c>
      <c r="J127">
        <f t="shared" ca="1" si="13"/>
        <v>1.0102459016393444</v>
      </c>
      <c r="K127">
        <f ca="1">PRODUCT($J$3:J127)</f>
        <v>3.6341401923025574</v>
      </c>
      <c r="L127">
        <f t="shared" ca="1" si="14"/>
        <v>0.27516825083360619</v>
      </c>
      <c r="M127">
        <f ca="1">SUM($L$3:L127)</f>
        <v>70.055490204691196</v>
      </c>
      <c r="O127">
        <f ca="1">(Q126*'Arkusz1 (+10)'!J127)-Q126</f>
        <v>-745.91027118860802</v>
      </c>
      <c r="P127" s="16">
        <f t="shared" ca="1" si="15"/>
        <v>18662.67672194331</v>
      </c>
      <c r="Q127" s="17">
        <f t="shared" ca="1" si="16"/>
        <v>-91463.519189950879</v>
      </c>
    </row>
    <row r="128" spans="1:17" x14ac:dyDescent="0.35">
      <c r="A128">
        <v>126</v>
      </c>
      <c r="B128" s="14">
        <f t="shared" ca="1" si="17"/>
        <v>49904</v>
      </c>
      <c r="C128" s="15">
        <f ca="1">(1+(('Symulacja Pożyczka'!$B$5+'Symulacja Pożyczka'!$C$21)/100)*('Arkusz1 (+10)'!B128-'Arkusz1 (+10)'!B127)/365)</f>
        <v>1.0106164383561644</v>
      </c>
      <c r="D128" s="15">
        <f ca="1">(1+(('Symulacja Pożyczka'!$B$5+'Symulacja Pożyczka'!$C$21)/100)*('Arkusz1 (+10)'!B128-'Arkusz1 (+10)'!B127)/366)</f>
        <v>1.0105874316939891</v>
      </c>
      <c r="E128" s="15">
        <f t="shared" ca="1" si="9"/>
        <v>0</v>
      </c>
      <c r="F128" s="15">
        <f t="shared" ca="1" si="10"/>
        <v>0</v>
      </c>
      <c r="G128">
        <f ca="1">IF(E128=1,(1+(('Symulacja Pożyczka'!$B$5+'Symulacja Pożyczka'!$C$21)/100)*(((Arkusz1!B128-DATE(YEAR(B128),1,1)+1)/365)+((DATE(YEAR(B127),12,31)-Arkusz1!B127)/366))),IF(F128=1,(1+(('Symulacja Pożyczka'!$B$5+'Symulacja Pożyczka'!$C$21)/100)*(((Arkusz1!B128-DATE(YEAR(B128),1,1)+1)/366)+((DATE(YEAR(B127),12,31)-Arkusz1!B127)/365))),0))</f>
        <v>0</v>
      </c>
      <c r="H128">
        <f t="shared" ca="1" si="11"/>
        <v>1</v>
      </c>
      <c r="I128">
        <f t="shared" ca="1" si="12"/>
        <v>1.0105874316939891</v>
      </c>
      <c r="J128">
        <f t="shared" ca="1" si="13"/>
        <v>1.0105874316939891</v>
      </c>
      <c r="K128">
        <f ca="1">PRODUCT($J$3:J128)</f>
        <v>3.6726164033549411</v>
      </c>
      <c r="L128">
        <f t="shared" ca="1" si="14"/>
        <v>0.27228544725947917</v>
      </c>
      <c r="M128">
        <f ca="1">SUM($L$3:L128)</f>
        <v>70.327775651950674</v>
      </c>
      <c r="O128">
        <f ca="1">(Q127*'Arkusz1 (+10)'!J128)-Q127</f>
        <v>-968.36376191546151</v>
      </c>
      <c r="P128" s="16">
        <f t="shared" ca="1" si="15"/>
        <v>18885.130212670163</v>
      </c>
      <c r="Q128" s="17">
        <f t="shared" ca="1" si="16"/>
        <v>-110348.64940262104</v>
      </c>
    </row>
    <row r="129" spans="1:17" x14ac:dyDescent="0.35">
      <c r="A129">
        <v>127</v>
      </c>
      <c r="B129" s="14">
        <f t="shared" ca="1" si="17"/>
        <v>49935</v>
      </c>
      <c r="C129" s="15">
        <f ca="1">(1+(('Symulacja Pożyczka'!$B$5+'Symulacja Pożyczka'!$C$21)/100)*('Arkusz1 (+10)'!B129-'Arkusz1 (+10)'!B128)/365)</f>
        <v>1.0106164383561644</v>
      </c>
      <c r="D129" s="15">
        <f ca="1">(1+(('Symulacja Pożyczka'!$B$5+'Symulacja Pożyczka'!$C$21)/100)*('Arkusz1 (+10)'!B129-'Arkusz1 (+10)'!B128)/366)</f>
        <v>1.0105874316939891</v>
      </c>
      <c r="E129" s="15">
        <f t="shared" ca="1" si="9"/>
        <v>0</v>
      </c>
      <c r="F129" s="15">
        <f t="shared" ca="1" si="10"/>
        <v>0</v>
      </c>
      <c r="G129">
        <f ca="1">IF(E129=1,(1+(('Symulacja Pożyczka'!$B$5+'Symulacja Pożyczka'!$C$21)/100)*(((Arkusz1!B129-DATE(YEAR(B129),1,1)+1)/365)+((DATE(YEAR(B128),12,31)-Arkusz1!B128)/366))),IF(F129=1,(1+(('Symulacja Pożyczka'!$B$5+'Symulacja Pożyczka'!$C$21)/100)*(((Arkusz1!B129-DATE(YEAR(B129),1,1)+1)/366)+((DATE(YEAR(B128),12,31)-Arkusz1!B128)/365))),0))</f>
        <v>0</v>
      </c>
      <c r="H129">
        <f t="shared" ca="1" si="11"/>
        <v>1</v>
      </c>
      <c r="I129">
        <f t="shared" ca="1" si="12"/>
        <v>1.0105874316939891</v>
      </c>
      <c r="J129">
        <f t="shared" ca="1" si="13"/>
        <v>1.0105874316939891</v>
      </c>
      <c r="K129">
        <f ca="1">PRODUCT($J$3:J129)</f>
        <v>3.7114999786636855</v>
      </c>
      <c r="L129">
        <f t="shared" ca="1" si="14"/>
        <v>0.26943284541255663</v>
      </c>
      <c r="M129">
        <f ca="1">SUM($L$3:L129)</f>
        <v>70.597208497363226</v>
      </c>
      <c r="O129">
        <f ca="1">(Q128*'Arkusz1 (+10)'!J129)-Q128</f>
        <v>-1168.3087880742096</v>
      </c>
      <c r="P129" s="16">
        <f t="shared" ca="1" si="15"/>
        <v>19085.075238828911</v>
      </c>
      <c r="Q129" s="17">
        <f t="shared" ca="1" si="16"/>
        <v>-129433.72464144995</v>
      </c>
    </row>
    <row r="130" spans="1:17" x14ac:dyDescent="0.35">
      <c r="A130">
        <v>128</v>
      </c>
      <c r="B130" s="14">
        <f t="shared" ca="1" si="17"/>
        <v>49965</v>
      </c>
      <c r="C130" s="15">
        <f ca="1">(1+(('Symulacja Pożyczka'!$B$5+'Symulacja Pożyczka'!$C$21)/100)*('Arkusz1 (+10)'!B130-'Arkusz1 (+10)'!B129)/365)</f>
        <v>1.0102739726027397</v>
      </c>
      <c r="D130" s="15">
        <f ca="1">(1+(('Symulacja Pożyczka'!$B$5+'Symulacja Pożyczka'!$C$21)/100)*('Arkusz1 (+10)'!B130-'Arkusz1 (+10)'!B129)/366)</f>
        <v>1.0102459016393444</v>
      </c>
      <c r="E130" s="15">
        <f t="shared" ca="1" si="9"/>
        <v>0</v>
      </c>
      <c r="F130" s="15">
        <f t="shared" ca="1" si="10"/>
        <v>0</v>
      </c>
      <c r="G130">
        <f ca="1">IF(E130=1,(1+(('Symulacja Pożyczka'!$B$5+'Symulacja Pożyczka'!$C$21)/100)*(((Arkusz1!B130-DATE(YEAR(B130),1,1)+1)/365)+((DATE(YEAR(B129),12,31)-Arkusz1!B129)/366))),IF(F130=1,(1+(('Symulacja Pożyczka'!$B$5+'Symulacja Pożyczka'!$C$21)/100)*(((Arkusz1!B130-DATE(YEAR(B130),1,1)+1)/366)+((DATE(YEAR(B129),12,31)-Arkusz1!B129)/365))),0))</f>
        <v>0</v>
      </c>
      <c r="H130">
        <f t="shared" ca="1" si="11"/>
        <v>1</v>
      </c>
      <c r="I130">
        <f t="shared" ca="1" si="12"/>
        <v>1.0102459016393444</v>
      </c>
      <c r="J130">
        <f t="shared" ca="1" si="13"/>
        <v>1.0102459016393444</v>
      </c>
      <c r="K130">
        <f ca="1">PRODUCT($J$3:J130)</f>
        <v>3.7495276423795025</v>
      </c>
      <c r="L130">
        <f t="shared" ca="1" si="14"/>
        <v>0.26670026077348402</v>
      </c>
      <c r="M130">
        <f ca="1">SUM($L$3:L130)</f>
        <v>70.863908758136716</v>
      </c>
      <c r="O130">
        <f ca="1">(Q129*'Arkusz1 (+10)'!J130)-Q129</f>
        <v>-1326.1652114902827</v>
      </c>
      <c r="P130" s="16">
        <f t="shared" ca="1" si="15"/>
        <v>19242.931662244984</v>
      </c>
      <c r="Q130" s="17">
        <f t="shared" ca="1" si="16"/>
        <v>-148676.65630369494</v>
      </c>
    </row>
    <row r="131" spans="1:17" x14ac:dyDescent="0.35">
      <c r="A131">
        <v>129</v>
      </c>
      <c r="B131" s="14">
        <f t="shared" ca="1" si="17"/>
        <v>49996</v>
      </c>
      <c r="C131" s="15">
        <f ca="1">(1+(('Symulacja Pożyczka'!$B$5+'Symulacja Pożyczka'!$C$21)/100)*('Arkusz1 (+10)'!B131-'Arkusz1 (+10)'!B130)/365)</f>
        <v>1.0106164383561644</v>
      </c>
      <c r="D131" s="15">
        <f ca="1">(1+(('Symulacja Pożyczka'!$B$5+'Symulacja Pożyczka'!$C$21)/100)*('Arkusz1 (+10)'!B131-'Arkusz1 (+10)'!B130)/366)</f>
        <v>1.0105874316939891</v>
      </c>
      <c r="E131" s="15">
        <f t="shared" ca="1" si="9"/>
        <v>0</v>
      </c>
      <c r="F131" s="15">
        <f t="shared" ca="1" si="10"/>
        <v>0</v>
      </c>
      <c r="G131">
        <f ca="1">IF(E131=1,(1+(('Symulacja Pożyczka'!$B$5+'Symulacja Pożyczka'!$C$21)/100)*(((Arkusz1!B131-DATE(YEAR(B131),1,1)+1)/365)+((DATE(YEAR(B130),12,31)-Arkusz1!B130)/366))),IF(F131=1,(1+(('Symulacja Pożyczka'!$B$5+'Symulacja Pożyczka'!$C$21)/100)*(((Arkusz1!B131-DATE(YEAR(B131),1,1)+1)/366)+((DATE(YEAR(B130),12,31)-Arkusz1!B130)/365))),0))</f>
        <v>0</v>
      </c>
      <c r="H131">
        <f t="shared" ca="1" si="11"/>
        <v>1</v>
      </c>
      <c r="I131">
        <f t="shared" ca="1" si="12"/>
        <v>1.0105874316939891</v>
      </c>
      <c r="J131">
        <f t="shared" ca="1" si="13"/>
        <v>1.0105874316939891</v>
      </c>
      <c r="K131">
        <f ca="1">PRODUCT($J$3:J131)</f>
        <v>3.7892255101779195</v>
      </c>
      <c r="L131">
        <f t="shared" ca="1" si="14"/>
        <v>0.26390617220167661</v>
      </c>
      <c r="M131">
        <f ca="1">SUM($L$3:L131)</f>
        <v>71.127814930338388</v>
      </c>
      <c r="O131">
        <f ca="1">(Q130*'Arkusz1 (+10)'!J131)-Q130</f>
        <v>-1574.1039431060781</v>
      </c>
      <c r="P131" s="16">
        <f t="shared" ca="1" si="15"/>
        <v>19490.87039386078</v>
      </c>
      <c r="Q131" s="17">
        <f t="shared" ca="1" si="16"/>
        <v>-168167.52669755573</v>
      </c>
    </row>
    <row r="132" spans="1:17" x14ac:dyDescent="0.35">
      <c r="A132">
        <v>130</v>
      </c>
      <c r="B132" s="14">
        <f t="shared" ca="1" si="17"/>
        <v>50026</v>
      </c>
      <c r="C132" s="15">
        <f ca="1">(1+(('Symulacja Pożyczka'!$B$5+'Symulacja Pożyczka'!$C$21)/100)*('Arkusz1 (+10)'!B132-'Arkusz1 (+10)'!B131)/365)</f>
        <v>1.0102739726027397</v>
      </c>
      <c r="D132" s="15">
        <f ca="1">(1+(('Symulacja Pożyczka'!$B$5+'Symulacja Pożyczka'!$C$21)/100)*('Arkusz1 (+10)'!B132-'Arkusz1 (+10)'!B131)/366)</f>
        <v>1.0102459016393444</v>
      </c>
      <c r="E132" s="15">
        <f t="shared" ref="E132:E182" ca="1" si="18">IF(AND(MOD(YEAR(B131),4)=0,MOD(YEAR(B132),4)&lt;&gt;0),1,0)</f>
        <v>0</v>
      </c>
      <c r="F132" s="15">
        <f t="shared" ref="F132:F182" ca="1" si="19">IF(AND(MOD(YEAR(B132),4)=0,MOD(YEAR(B131),4)&lt;&gt;0),1,0)</f>
        <v>0</v>
      </c>
      <c r="G132">
        <f ca="1">IF(E132=1,(1+(('Symulacja Pożyczka'!$B$5+'Symulacja Pożyczka'!$C$21)/100)*(((Arkusz1!B132-DATE(YEAR(B132),1,1)+1)/365)+((DATE(YEAR(B131),12,31)-Arkusz1!B131)/366))),IF(F132=1,(1+(('Symulacja Pożyczka'!$B$5+'Symulacja Pożyczka'!$C$21)/100)*(((Arkusz1!B132-DATE(YEAR(B132),1,1)+1)/366)+((DATE(YEAR(B131),12,31)-Arkusz1!B131)/365))),0))</f>
        <v>0</v>
      </c>
      <c r="H132">
        <f t="shared" ref="H132:H182" ca="1" si="20">IF(MOD(YEAR(B132),4)=0,1,0)</f>
        <v>1</v>
      </c>
      <c r="I132">
        <f t="shared" ref="I132:I182" ca="1" si="21">IF(H132=0,C132,IF(H132=1,D132,"blad"))</f>
        <v>1.0102459016393444</v>
      </c>
      <c r="J132">
        <f t="shared" ref="J132:J182" ca="1" si="22">IF(OR(E132=1,F132=1),G132,I132)</f>
        <v>1.0102459016393444</v>
      </c>
      <c r="K132">
        <f ca="1">PRODUCT($J$3:J132)</f>
        <v>3.8280495420444969</v>
      </c>
      <c r="L132">
        <f t="shared" ref="L132:L182" ca="1" si="23">1/K132</f>
        <v>0.26122963901504703</v>
      </c>
      <c r="M132">
        <f ca="1">SUM($L$3:L132)</f>
        <v>71.38904456935343</v>
      </c>
      <c r="O132">
        <f ca="1">(Q131*'Arkusz1 (+10)'!J132)-Q131</f>
        <v>-1723.0279374749807</v>
      </c>
      <c r="P132" s="16">
        <f t="shared" ca="1" si="15"/>
        <v>19639.794388229682</v>
      </c>
      <c r="Q132" s="17">
        <f t="shared" ca="1" si="16"/>
        <v>-187807.3210857854</v>
      </c>
    </row>
    <row r="133" spans="1:17" x14ac:dyDescent="0.35">
      <c r="A133">
        <v>131</v>
      </c>
      <c r="B133" s="14">
        <f t="shared" ca="1" si="17"/>
        <v>50057</v>
      </c>
      <c r="C133" s="15">
        <f ca="1">(1+(('Symulacja Pożyczka'!$B$5+'Symulacja Pożyczka'!$C$21)/100)*('Arkusz1 (+10)'!B133-'Arkusz1 (+10)'!B132)/365)</f>
        <v>1.0106164383561644</v>
      </c>
      <c r="D133" s="15">
        <f ca="1">(1+(('Symulacja Pożyczka'!$B$5+'Symulacja Pożyczka'!$C$21)/100)*('Arkusz1 (+10)'!B133-'Arkusz1 (+10)'!B132)/366)</f>
        <v>1.0105874316939891</v>
      </c>
      <c r="E133" s="15">
        <f t="shared" ca="1" si="18"/>
        <v>1</v>
      </c>
      <c r="F133" s="15">
        <f t="shared" ca="1" si="19"/>
        <v>0</v>
      </c>
      <c r="G133">
        <f ca="1">IF(E133=1,(1+(('Symulacja Pożyczka'!$B$5+'Symulacja Pożyczka'!$C$21)/100)*(((Arkusz1!B133-DATE(YEAR(B133),1,1)+1)/365)+((DATE(YEAR(B132),12,31)-Arkusz1!B132)/366))),IF(F133=1,(1+(('Symulacja Pożyczka'!$B$5+'Symulacja Pożyczka'!$C$21)/100)*(((Arkusz1!B133-DATE(YEAR(B133),1,1)+1)/366)+((DATE(YEAR(B132),12,31)-Arkusz1!B132)/365))),0))</f>
        <v>1.0106033385732465</v>
      </c>
      <c r="H133">
        <f t="shared" ca="1" si="20"/>
        <v>0</v>
      </c>
      <c r="I133">
        <f t="shared" ca="1" si="21"/>
        <v>1.0106164383561644</v>
      </c>
      <c r="J133">
        <f t="shared" ca="1" si="22"/>
        <v>1.0106033385732465</v>
      </c>
      <c r="K133">
        <f ca="1">PRODUCT($J$3:J133)</f>
        <v>3.8686396474139557</v>
      </c>
      <c r="L133">
        <f t="shared" ca="1" si="23"/>
        <v>0.25848879480632514</v>
      </c>
      <c r="M133">
        <f ca="1">SUM($L$3:L133)</f>
        <v>71.647533364159756</v>
      </c>
      <c r="O133">
        <f ca="1">(Q132*'Arkusz1 (+10)'!J133)-Q132</f>
        <v>-1991.3846120069793</v>
      </c>
      <c r="P133" s="16">
        <f t="shared" ref="P133:P182" ca="1" si="24">$N$2-O133</f>
        <v>19908.151062761681</v>
      </c>
      <c r="Q133" s="17">
        <f t="shared" ref="Q133:Q182" ca="1" si="25">Q132-P133</f>
        <v>-207715.47214854707</v>
      </c>
    </row>
    <row r="134" spans="1:17" x14ac:dyDescent="0.35">
      <c r="A134">
        <v>132</v>
      </c>
      <c r="B134" s="14">
        <f t="shared" ref="B134:B182" ca="1" si="26">DATE(YEAR((B133)),MONTH((B133))+1,IF(AND(DAY(B133)&gt;28,MONTH((B133))+1=2),IF(MOD(YEAR(B133),4)=0,29,28),IF(AND(OR(DAY(B133)=28,DAY(B133)=29),MONTH((B133))=2),DAY(B132),DAY(B133))))</f>
        <v>50088</v>
      </c>
      <c r="C134" s="15">
        <f ca="1">(1+(('Symulacja Pożyczka'!$B$5+'Symulacja Pożyczka'!$C$21)/100)*('Arkusz1 (+10)'!B134-'Arkusz1 (+10)'!B133)/365)</f>
        <v>1.0106164383561644</v>
      </c>
      <c r="D134" s="15">
        <f ca="1">(1+(('Symulacja Pożyczka'!$B$5+'Symulacja Pożyczka'!$C$21)/100)*('Arkusz1 (+10)'!B134-'Arkusz1 (+10)'!B133)/366)</f>
        <v>1.0105874316939891</v>
      </c>
      <c r="E134" s="15">
        <f t="shared" ca="1" si="18"/>
        <v>0</v>
      </c>
      <c r="F134" s="15">
        <f t="shared" ca="1" si="19"/>
        <v>0</v>
      </c>
      <c r="G134">
        <f ca="1">IF(E134=1,(1+(('Symulacja Pożyczka'!$B$5+'Symulacja Pożyczka'!$C$21)/100)*(((Arkusz1!B134-DATE(YEAR(B134),1,1)+1)/365)+((DATE(YEAR(B133),12,31)-Arkusz1!B133)/366))),IF(F134=1,(1+(('Symulacja Pożyczka'!$B$5+'Symulacja Pożyczka'!$C$21)/100)*(((Arkusz1!B134-DATE(YEAR(B134),1,1)+1)/366)+((DATE(YEAR(B133),12,31)-Arkusz1!B133)/365))),0))</f>
        <v>0</v>
      </c>
      <c r="H134">
        <f t="shared" ca="1" si="20"/>
        <v>0</v>
      </c>
      <c r="I134">
        <f t="shared" ca="1" si="21"/>
        <v>1.0106164383561644</v>
      </c>
      <c r="J134">
        <f t="shared" ca="1" si="22"/>
        <v>1.0106164383561644</v>
      </c>
      <c r="K134">
        <f ca="1">PRODUCT($J$3:J134)</f>
        <v>3.9097108217529395</v>
      </c>
      <c r="L134">
        <f t="shared" ca="1" si="23"/>
        <v>0.25577339235325969</v>
      </c>
      <c r="M134">
        <f ca="1">SUM($L$3:L134)</f>
        <v>71.903306756513018</v>
      </c>
      <c r="O134">
        <f ca="1">(Q133*'Arkusz1 (+10)'!J134)-Q133</f>
        <v>-2205.1985056866542</v>
      </c>
      <c r="P134" s="16">
        <f t="shared" ca="1" si="24"/>
        <v>20121.964956441356</v>
      </c>
      <c r="Q134" s="17">
        <f t="shared" ca="1" si="25"/>
        <v>-227837.43710498844</v>
      </c>
    </row>
    <row r="135" spans="1:17" x14ac:dyDescent="0.35">
      <c r="A135">
        <v>133</v>
      </c>
      <c r="B135" s="14">
        <f t="shared" ca="1" si="26"/>
        <v>50116</v>
      </c>
      <c r="C135" s="15">
        <f ca="1">(1+(('Symulacja Pożyczka'!$B$5+'Symulacja Pożyczka'!$C$21)/100)*('Arkusz1 (+10)'!B135-'Arkusz1 (+10)'!B134)/365)</f>
        <v>1.0095890410958903</v>
      </c>
      <c r="D135" s="15">
        <f ca="1">(1+(('Symulacja Pożyczka'!$B$5+'Symulacja Pożyczka'!$C$21)/100)*('Arkusz1 (+10)'!B135-'Arkusz1 (+10)'!B134)/366)</f>
        <v>1.0095628415300546</v>
      </c>
      <c r="E135" s="15">
        <f t="shared" ca="1" si="18"/>
        <v>0</v>
      </c>
      <c r="F135" s="15">
        <f t="shared" ca="1" si="19"/>
        <v>0</v>
      </c>
      <c r="G135">
        <f ca="1">IF(E135=1,(1+(('Symulacja Pożyczka'!$B$5+'Symulacja Pożyczka'!$C$21)/100)*(((Arkusz1!B135-DATE(YEAR(B135),1,1)+1)/365)+((DATE(YEAR(B134),12,31)-Arkusz1!B134)/366))),IF(F135=1,(1+(('Symulacja Pożyczka'!$B$5+'Symulacja Pożyczka'!$C$21)/100)*(((Arkusz1!B135-DATE(YEAR(B135),1,1)+1)/366)+((DATE(YEAR(B134),12,31)-Arkusz1!B134)/365))),0))</f>
        <v>0</v>
      </c>
      <c r="H135">
        <f t="shared" ca="1" si="20"/>
        <v>0</v>
      </c>
      <c r="I135">
        <f t="shared" ca="1" si="21"/>
        <v>1.0095890410958903</v>
      </c>
      <c r="J135">
        <f t="shared" ca="1" si="22"/>
        <v>1.0095890410958903</v>
      </c>
      <c r="K135">
        <f ca="1">PRODUCT($J$3:J135)</f>
        <v>3.9472011994957756</v>
      </c>
      <c r="L135">
        <f t="shared" ca="1" si="23"/>
        <v>0.25334406569590173</v>
      </c>
      <c r="M135">
        <f ca="1">SUM($L$3:L135)</f>
        <v>72.156650822208917</v>
      </c>
      <c r="O135">
        <f ca="1">(Q134*'Arkusz1 (+10)'!J135)-Q134</f>
        <v>-2184.7425475820492</v>
      </c>
      <c r="P135" s="16">
        <f t="shared" ca="1" si="24"/>
        <v>20101.508998336751</v>
      </c>
      <c r="Q135" s="17">
        <f t="shared" ca="1" si="25"/>
        <v>-247938.94610332517</v>
      </c>
    </row>
    <row r="136" spans="1:17" x14ac:dyDescent="0.35">
      <c r="A136">
        <v>134</v>
      </c>
      <c r="B136" s="14">
        <f t="shared" ca="1" si="26"/>
        <v>50147</v>
      </c>
      <c r="C136" s="15">
        <f ca="1">(1+(('Symulacja Pożyczka'!$B$5+'Symulacja Pożyczka'!$C$21)/100)*('Arkusz1 (+10)'!B136-'Arkusz1 (+10)'!B135)/365)</f>
        <v>1.0106164383561644</v>
      </c>
      <c r="D136" s="15">
        <f ca="1">(1+(('Symulacja Pożyczka'!$B$5+'Symulacja Pożyczka'!$C$21)/100)*('Arkusz1 (+10)'!B136-'Arkusz1 (+10)'!B135)/366)</f>
        <v>1.0105874316939891</v>
      </c>
      <c r="E136" s="15">
        <f t="shared" ca="1" si="18"/>
        <v>0</v>
      </c>
      <c r="F136" s="15">
        <f t="shared" ca="1" si="19"/>
        <v>0</v>
      </c>
      <c r="G136">
        <f ca="1">IF(E136=1,(1+(('Symulacja Pożyczka'!$B$5+'Symulacja Pożyczka'!$C$21)/100)*(((Arkusz1!B136-DATE(YEAR(B136),1,1)+1)/365)+((DATE(YEAR(B135),12,31)-Arkusz1!B135)/366))),IF(F136=1,(1+(('Symulacja Pożyczka'!$B$5+'Symulacja Pożyczka'!$C$21)/100)*(((Arkusz1!B136-DATE(YEAR(B136),1,1)+1)/366)+((DATE(YEAR(B135),12,31)-Arkusz1!B135)/365))),0))</f>
        <v>0</v>
      </c>
      <c r="H136">
        <f t="shared" ca="1" si="20"/>
        <v>0</v>
      </c>
      <c r="I136">
        <f t="shared" ca="1" si="21"/>
        <v>1.0106164383561644</v>
      </c>
      <c r="J136">
        <f t="shared" ca="1" si="22"/>
        <v>1.0106164383561644</v>
      </c>
      <c r="K136">
        <f ca="1">PRODUCT($J$3:J136)</f>
        <v>3.9891064177096007</v>
      </c>
      <c r="L136">
        <f t="shared" ca="1" si="23"/>
        <v>0.25068270817757815</v>
      </c>
      <c r="M136">
        <f ca="1">SUM($L$3:L136)</f>
        <v>72.407333530386495</v>
      </c>
      <c r="O136">
        <f ca="1">(Q135*'Arkusz1 (+10)'!J136)-Q135</f>
        <v>-2632.2285373983323</v>
      </c>
      <c r="P136" s="16">
        <f t="shared" ca="1" si="24"/>
        <v>20548.994988153034</v>
      </c>
      <c r="Q136" s="17">
        <f t="shared" ca="1" si="25"/>
        <v>-268487.94109147822</v>
      </c>
    </row>
    <row r="137" spans="1:17" x14ac:dyDescent="0.35">
      <c r="A137">
        <v>135</v>
      </c>
      <c r="B137" s="14">
        <f t="shared" ca="1" si="26"/>
        <v>50177</v>
      </c>
      <c r="C137" s="15">
        <f ca="1">(1+(('Symulacja Pożyczka'!$B$5+'Symulacja Pożyczka'!$C$21)/100)*('Arkusz1 (+10)'!B137-'Arkusz1 (+10)'!B136)/365)</f>
        <v>1.0102739726027397</v>
      </c>
      <c r="D137" s="15">
        <f ca="1">(1+(('Symulacja Pożyczka'!$B$5+'Symulacja Pożyczka'!$C$21)/100)*('Arkusz1 (+10)'!B137-'Arkusz1 (+10)'!B136)/366)</f>
        <v>1.0102459016393444</v>
      </c>
      <c r="E137" s="15">
        <f t="shared" ca="1" si="18"/>
        <v>0</v>
      </c>
      <c r="F137" s="15">
        <f t="shared" ca="1" si="19"/>
        <v>0</v>
      </c>
      <c r="G137">
        <f ca="1">IF(E137=1,(1+(('Symulacja Pożyczka'!$B$5+'Symulacja Pożyczka'!$C$21)/100)*(((Arkusz1!B137-DATE(YEAR(B137),1,1)+1)/365)+((DATE(YEAR(B136),12,31)-Arkusz1!B136)/366))),IF(F137=1,(1+(('Symulacja Pożyczka'!$B$5+'Symulacja Pożyczka'!$C$21)/100)*(((Arkusz1!B137-DATE(YEAR(B137),1,1)+1)/366)+((DATE(YEAR(B136),12,31)-Arkusz1!B136)/365))),0))</f>
        <v>0</v>
      </c>
      <c r="H137">
        <f t="shared" ca="1" si="20"/>
        <v>0</v>
      </c>
      <c r="I137">
        <f t="shared" ca="1" si="21"/>
        <v>1.0102739726027397</v>
      </c>
      <c r="J137">
        <f t="shared" ca="1" si="22"/>
        <v>1.0102739726027397</v>
      </c>
      <c r="K137">
        <f ca="1">PRODUCT($J$3:J137)</f>
        <v>4.0300903877545622</v>
      </c>
      <c r="L137">
        <f t="shared" ca="1" si="23"/>
        <v>0.24813339250119601</v>
      </c>
      <c r="M137">
        <f ca="1">SUM($L$3:L137)</f>
        <v>72.655466922887697</v>
      </c>
      <c r="O137">
        <f ca="1">(Q136*'Arkusz1 (+10)'!J137)-Q136</f>
        <v>-2758.4377509398037</v>
      </c>
      <c r="P137" s="16">
        <f t="shared" ca="1" si="24"/>
        <v>20675.204201694505</v>
      </c>
      <c r="Q137" s="17">
        <f t="shared" ca="1" si="25"/>
        <v>-289163.14529317274</v>
      </c>
    </row>
    <row r="138" spans="1:17" x14ac:dyDescent="0.35">
      <c r="A138">
        <v>136</v>
      </c>
      <c r="B138" s="14">
        <f t="shared" ca="1" si="26"/>
        <v>50208</v>
      </c>
      <c r="C138" s="15">
        <f ca="1">(1+(('Symulacja Pożyczka'!$B$5+'Symulacja Pożyczka'!$C$21)/100)*('Arkusz1 (+10)'!B138-'Arkusz1 (+10)'!B137)/365)</f>
        <v>1.0106164383561644</v>
      </c>
      <c r="D138" s="15">
        <f ca="1">(1+(('Symulacja Pożyczka'!$B$5+'Symulacja Pożyczka'!$C$21)/100)*('Arkusz1 (+10)'!B138-'Arkusz1 (+10)'!B137)/366)</f>
        <v>1.0105874316939891</v>
      </c>
      <c r="E138" s="15">
        <f t="shared" ca="1" si="18"/>
        <v>0</v>
      </c>
      <c r="F138" s="15">
        <f t="shared" ca="1" si="19"/>
        <v>0</v>
      </c>
      <c r="G138">
        <f ca="1">IF(E138=1,(1+(('Symulacja Pożyczka'!$B$5+'Symulacja Pożyczka'!$C$21)/100)*(((Arkusz1!B138-DATE(YEAR(B138),1,1)+1)/365)+((DATE(YEAR(B137),12,31)-Arkusz1!B137)/366))),IF(F138=1,(1+(('Symulacja Pożyczka'!$B$5+'Symulacja Pożyczka'!$C$21)/100)*(((Arkusz1!B138-DATE(YEAR(B138),1,1)+1)/366)+((DATE(YEAR(B137),12,31)-Arkusz1!B137)/365))),0))</f>
        <v>0</v>
      </c>
      <c r="H138">
        <f t="shared" ca="1" si="20"/>
        <v>0</v>
      </c>
      <c r="I138">
        <f t="shared" ca="1" si="21"/>
        <v>1.0106164383561644</v>
      </c>
      <c r="J138">
        <f t="shared" ca="1" si="22"/>
        <v>1.0106164383561644</v>
      </c>
      <c r="K138">
        <f ca="1">PRODUCT($J$3:J138)</f>
        <v>4.0728755939259296</v>
      </c>
      <c r="L138">
        <f t="shared" ca="1" si="23"/>
        <v>0.24552677265452127</v>
      </c>
      <c r="M138">
        <f ca="1">SUM($L$3:L138)</f>
        <v>72.900993695542212</v>
      </c>
      <c r="O138">
        <f ca="1">(Q137*'Arkusz1 (+10)'!J138)-Q137</f>
        <v>-3069.8827068795799</v>
      </c>
      <c r="P138" s="16">
        <f t="shared" ca="1" si="24"/>
        <v>20986.649157634281</v>
      </c>
      <c r="Q138" s="17">
        <f t="shared" ca="1" si="25"/>
        <v>-310149.79445080704</v>
      </c>
    </row>
    <row r="139" spans="1:17" x14ac:dyDescent="0.35">
      <c r="A139">
        <v>137</v>
      </c>
      <c r="B139" s="14">
        <f t="shared" ca="1" si="26"/>
        <v>50238</v>
      </c>
      <c r="C139" s="15">
        <f ca="1">(1+(('Symulacja Pożyczka'!$B$5+'Symulacja Pożyczka'!$C$21)/100)*('Arkusz1 (+10)'!B139-'Arkusz1 (+10)'!B138)/365)</f>
        <v>1.0102739726027397</v>
      </c>
      <c r="D139" s="15">
        <f ca="1">(1+(('Symulacja Pożyczka'!$B$5+'Symulacja Pożyczka'!$C$21)/100)*('Arkusz1 (+10)'!B139-'Arkusz1 (+10)'!B138)/366)</f>
        <v>1.0102459016393444</v>
      </c>
      <c r="E139" s="15">
        <f t="shared" ca="1" si="18"/>
        <v>0</v>
      </c>
      <c r="F139" s="15">
        <f t="shared" ca="1" si="19"/>
        <v>0</v>
      </c>
      <c r="G139">
        <f ca="1">IF(E139=1,(1+(('Symulacja Pożyczka'!$B$5+'Symulacja Pożyczka'!$C$21)/100)*(((Arkusz1!B139-DATE(YEAR(B139),1,1)+1)/365)+((DATE(YEAR(B138),12,31)-Arkusz1!B138)/366))),IF(F139=1,(1+(('Symulacja Pożyczka'!$B$5+'Symulacja Pożyczka'!$C$21)/100)*(((Arkusz1!B139-DATE(YEAR(B139),1,1)+1)/366)+((DATE(YEAR(B138),12,31)-Arkusz1!B138)/365))),0))</f>
        <v>0</v>
      </c>
      <c r="H139">
        <f t="shared" ca="1" si="20"/>
        <v>0</v>
      </c>
      <c r="I139">
        <f t="shared" ca="1" si="21"/>
        <v>1.0102739726027397</v>
      </c>
      <c r="J139">
        <f t="shared" ca="1" si="22"/>
        <v>1.0102739726027397</v>
      </c>
      <c r="K139">
        <f ca="1">PRODUCT($J$3:J139)</f>
        <v>4.1147202061922918</v>
      </c>
      <c r="L139">
        <f t="shared" ca="1" si="23"/>
        <v>0.24302989022074648</v>
      </c>
      <c r="M139">
        <f ca="1">SUM($L$3:L139)</f>
        <v>73.144023585762952</v>
      </c>
      <c r="O139">
        <f ca="1">(Q138*'Arkusz1 (+10)'!J139)-Q138</f>
        <v>-3186.4704909329303</v>
      </c>
      <c r="P139" s="16">
        <f t="shared" ca="1" si="24"/>
        <v>21103.236941687632</v>
      </c>
      <c r="Q139" s="17">
        <f t="shared" ca="1" si="25"/>
        <v>-331253.03139249468</v>
      </c>
    </row>
    <row r="140" spans="1:17" x14ac:dyDescent="0.35">
      <c r="A140">
        <v>138</v>
      </c>
      <c r="B140" s="14">
        <f t="shared" ca="1" si="26"/>
        <v>50269</v>
      </c>
      <c r="C140" s="15">
        <f ca="1">(1+(('Symulacja Pożyczka'!$B$5+'Symulacja Pożyczka'!$C$21)/100)*('Arkusz1 (+10)'!B140-'Arkusz1 (+10)'!B139)/365)</f>
        <v>1.0106164383561644</v>
      </c>
      <c r="D140" s="15">
        <f ca="1">(1+(('Symulacja Pożyczka'!$B$5+'Symulacja Pożyczka'!$C$21)/100)*('Arkusz1 (+10)'!B140-'Arkusz1 (+10)'!B139)/366)</f>
        <v>1.0105874316939891</v>
      </c>
      <c r="E140" s="15">
        <f t="shared" ca="1" si="18"/>
        <v>0</v>
      </c>
      <c r="F140" s="15">
        <f t="shared" ca="1" si="19"/>
        <v>0</v>
      </c>
      <c r="G140">
        <f ca="1">IF(E140=1,(1+(('Symulacja Pożyczka'!$B$5+'Symulacja Pożyczka'!$C$21)/100)*(((Arkusz1!B140-DATE(YEAR(B140),1,1)+1)/365)+((DATE(YEAR(B139),12,31)-Arkusz1!B139)/366))),IF(F140=1,(1+(('Symulacja Pożyczka'!$B$5+'Symulacja Pożyczka'!$C$21)/100)*(((Arkusz1!B140-DATE(YEAR(B140),1,1)+1)/366)+((DATE(YEAR(B139),12,31)-Arkusz1!B139)/365))),0))</f>
        <v>0</v>
      </c>
      <c r="H140">
        <f t="shared" ca="1" si="20"/>
        <v>0</v>
      </c>
      <c r="I140">
        <f t="shared" ca="1" si="21"/>
        <v>1.0106164383561644</v>
      </c>
      <c r="J140">
        <f t="shared" ca="1" si="22"/>
        <v>1.0106164383561644</v>
      </c>
      <c r="K140">
        <f ca="1">PRODUCT($J$3:J140)</f>
        <v>4.1584038796141964</v>
      </c>
      <c r="L140">
        <f t="shared" ca="1" si="23"/>
        <v>0.24047688222452718</v>
      </c>
      <c r="M140">
        <f ca="1">SUM($L$3:L140)</f>
        <v>73.384500467987479</v>
      </c>
      <c r="O140">
        <f ca="1">(Q139*'Arkusz1 (+10)'!J140)-Q139</f>
        <v>-3516.7273880710127</v>
      </c>
      <c r="P140" s="16">
        <f t="shared" ca="1" si="24"/>
        <v>21433.493838825714</v>
      </c>
      <c r="Q140" s="17">
        <f t="shared" ca="1" si="25"/>
        <v>-352686.52523132041</v>
      </c>
    </row>
    <row r="141" spans="1:17" x14ac:dyDescent="0.35">
      <c r="A141">
        <v>139</v>
      </c>
      <c r="B141" s="14">
        <f t="shared" ca="1" si="26"/>
        <v>50300</v>
      </c>
      <c r="C141" s="15">
        <f ca="1">(1+(('Symulacja Pożyczka'!$B$5+'Symulacja Pożyczka'!$C$21)/100)*('Arkusz1 (+10)'!B141-'Arkusz1 (+10)'!B140)/365)</f>
        <v>1.0106164383561644</v>
      </c>
      <c r="D141" s="15">
        <f ca="1">(1+(('Symulacja Pożyczka'!$B$5+'Symulacja Pożyczka'!$C$21)/100)*('Arkusz1 (+10)'!B141-'Arkusz1 (+10)'!B140)/366)</f>
        <v>1.0105874316939891</v>
      </c>
      <c r="E141" s="15">
        <f t="shared" ca="1" si="18"/>
        <v>0</v>
      </c>
      <c r="F141" s="15">
        <f t="shared" ca="1" si="19"/>
        <v>0</v>
      </c>
      <c r="G141">
        <f ca="1">IF(E141=1,(1+(('Symulacja Pożyczka'!$B$5+'Symulacja Pożyczka'!$C$21)/100)*(((Arkusz1!B141-DATE(YEAR(B141),1,1)+1)/365)+((DATE(YEAR(B140),12,31)-Arkusz1!B140)/366))),IF(F141=1,(1+(('Symulacja Pożyczka'!$B$5+'Symulacja Pożyczka'!$C$21)/100)*(((Arkusz1!B141-DATE(YEAR(B141),1,1)+1)/366)+((DATE(YEAR(B140),12,31)-Arkusz1!B140)/365))),0))</f>
        <v>0</v>
      </c>
      <c r="H141">
        <f t="shared" ca="1" si="20"/>
        <v>0</v>
      </c>
      <c r="I141">
        <f t="shared" ca="1" si="21"/>
        <v>1.0106164383561644</v>
      </c>
      <c r="J141">
        <f t="shared" ca="1" si="22"/>
        <v>1.0106164383561644</v>
      </c>
      <c r="K141">
        <f ca="1">PRODUCT($J$3:J141)</f>
        <v>4.2025513180621559</v>
      </c>
      <c r="L141">
        <f t="shared" ca="1" si="23"/>
        <v>0.23795069335669919</v>
      </c>
      <c r="M141">
        <f ca="1">SUM($L$3:L141)</f>
        <v>73.622451161344173</v>
      </c>
      <c r="O141">
        <f ca="1">(Q140*'Arkusz1 (+10)'!J141)-Q140</f>
        <v>-3744.2747541681747</v>
      </c>
      <c r="P141" s="16">
        <f t="shared" ca="1" si="24"/>
        <v>21661.041204922876</v>
      </c>
      <c r="Q141" s="17">
        <f t="shared" ca="1" si="25"/>
        <v>-374347.5664362433</v>
      </c>
    </row>
    <row r="142" spans="1:17" x14ac:dyDescent="0.35">
      <c r="A142">
        <v>140</v>
      </c>
      <c r="B142" s="14">
        <f t="shared" ca="1" si="26"/>
        <v>50330</v>
      </c>
      <c r="C142" s="15">
        <f ca="1">(1+(('Symulacja Pożyczka'!$B$5+'Symulacja Pożyczka'!$C$21)/100)*('Arkusz1 (+10)'!B142-'Arkusz1 (+10)'!B141)/365)</f>
        <v>1.0102739726027397</v>
      </c>
      <c r="D142" s="15">
        <f ca="1">(1+(('Symulacja Pożyczka'!$B$5+'Symulacja Pożyczka'!$C$21)/100)*('Arkusz1 (+10)'!B142-'Arkusz1 (+10)'!B141)/366)</f>
        <v>1.0102459016393444</v>
      </c>
      <c r="E142" s="15">
        <f t="shared" ca="1" si="18"/>
        <v>0</v>
      </c>
      <c r="F142" s="15">
        <f t="shared" ca="1" si="19"/>
        <v>0</v>
      </c>
      <c r="G142">
        <f ca="1">IF(E142=1,(1+(('Symulacja Pożyczka'!$B$5+'Symulacja Pożyczka'!$C$21)/100)*(((Arkusz1!B142-DATE(YEAR(B142),1,1)+1)/365)+((DATE(YEAR(B141),12,31)-Arkusz1!B141)/366))),IF(F142=1,(1+(('Symulacja Pożyczka'!$B$5+'Symulacja Pożyczka'!$C$21)/100)*(((Arkusz1!B142-DATE(YEAR(B142),1,1)+1)/366)+((DATE(YEAR(B141),12,31)-Arkusz1!B141)/365))),0))</f>
        <v>0</v>
      </c>
      <c r="H142">
        <f t="shared" ca="1" si="20"/>
        <v>0</v>
      </c>
      <c r="I142">
        <f t="shared" ca="1" si="21"/>
        <v>1.0102739726027397</v>
      </c>
      <c r="J142">
        <f t="shared" ca="1" si="22"/>
        <v>1.0102739726027397</v>
      </c>
      <c r="K142">
        <f ca="1">PRODUCT($J$3:J142)</f>
        <v>4.245728215165534</v>
      </c>
      <c r="L142">
        <f t="shared" ca="1" si="23"/>
        <v>0.23553085579713953</v>
      </c>
      <c r="M142">
        <f ca="1">SUM($L$3:L142)</f>
        <v>73.85798201714131</v>
      </c>
      <c r="O142">
        <f ca="1">(Q141*'Arkusz1 (+10)'!J142)-Q141</f>
        <v>-3846.0366414682358</v>
      </c>
      <c r="P142" s="16">
        <f t="shared" ca="1" si="24"/>
        <v>21762.803092222937</v>
      </c>
      <c r="Q142" s="17">
        <f t="shared" ca="1" si="25"/>
        <v>-396110.36952846625</v>
      </c>
    </row>
    <row r="143" spans="1:17" x14ac:dyDescent="0.35">
      <c r="A143">
        <v>141</v>
      </c>
      <c r="B143" s="14">
        <f t="shared" ca="1" si="26"/>
        <v>50361</v>
      </c>
      <c r="C143" s="15">
        <f ca="1">(1+(('Symulacja Pożyczka'!$B$5+'Symulacja Pożyczka'!$C$21)/100)*('Arkusz1 (+10)'!B143-'Arkusz1 (+10)'!B142)/365)</f>
        <v>1.0106164383561644</v>
      </c>
      <c r="D143" s="15">
        <f ca="1">(1+(('Symulacja Pożyczka'!$B$5+'Symulacja Pożyczka'!$C$21)/100)*('Arkusz1 (+10)'!B143-'Arkusz1 (+10)'!B142)/366)</f>
        <v>1.0105874316939891</v>
      </c>
      <c r="E143" s="15">
        <f t="shared" ca="1" si="18"/>
        <v>0</v>
      </c>
      <c r="F143" s="15">
        <f t="shared" ca="1" si="19"/>
        <v>0</v>
      </c>
      <c r="G143">
        <f ca="1">IF(E143=1,(1+(('Symulacja Pożyczka'!$B$5+'Symulacja Pożyczka'!$C$21)/100)*(((Arkusz1!B143-DATE(YEAR(B143),1,1)+1)/365)+((DATE(YEAR(B142),12,31)-Arkusz1!B142)/366))),IF(F143=1,(1+(('Symulacja Pożyczka'!$B$5+'Symulacja Pożyczka'!$C$21)/100)*(((Arkusz1!B143-DATE(YEAR(B143),1,1)+1)/366)+((DATE(YEAR(B142),12,31)-Arkusz1!B142)/365))),0))</f>
        <v>0</v>
      </c>
      <c r="H143">
        <f t="shared" ca="1" si="20"/>
        <v>0</v>
      </c>
      <c r="I143">
        <f t="shared" ca="1" si="21"/>
        <v>1.0106164383561644</v>
      </c>
      <c r="J143">
        <f t="shared" ca="1" si="22"/>
        <v>1.0106164383561644</v>
      </c>
      <c r="K143">
        <f ca="1">PRODUCT($J$3:J143)</f>
        <v>4.2908027270388667</v>
      </c>
      <c r="L143">
        <f t="shared" ca="1" si="23"/>
        <v>0.23305662450953826</v>
      </c>
      <c r="M143">
        <f ca="1">SUM($L$3:L143)</f>
        <v>74.091038641650854</v>
      </c>
      <c r="O143">
        <f ca="1">(Q142*'Arkusz1 (+10)'!J143)-Q142</f>
        <v>-4205.2813203364494</v>
      </c>
      <c r="P143" s="16">
        <f t="shared" ca="1" si="24"/>
        <v>22122.047771091151</v>
      </c>
      <c r="Q143" s="17">
        <f t="shared" ca="1" si="25"/>
        <v>-418232.41729955742</v>
      </c>
    </row>
    <row r="144" spans="1:17" x14ac:dyDescent="0.35">
      <c r="A144">
        <v>142</v>
      </c>
      <c r="B144" s="14">
        <f t="shared" ca="1" si="26"/>
        <v>50391</v>
      </c>
      <c r="C144" s="15">
        <f ca="1">(1+(('Symulacja Pożyczka'!$B$5+'Symulacja Pożyczka'!$C$21)/100)*('Arkusz1 (+10)'!B144-'Arkusz1 (+10)'!B143)/365)</f>
        <v>1.0102739726027397</v>
      </c>
      <c r="D144" s="15">
        <f ca="1">(1+(('Symulacja Pożyczka'!$B$5+'Symulacja Pożyczka'!$C$21)/100)*('Arkusz1 (+10)'!B144-'Arkusz1 (+10)'!B143)/366)</f>
        <v>1.0102459016393444</v>
      </c>
      <c r="E144" s="15">
        <f t="shared" ca="1" si="18"/>
        <v>0</v>
      </c>
      <c r="F144" s="15">
        <f t="shared" ca="1" si="19"/>
        <v>0</v>
      </c>
      <c r="G144">
        <f ca="1">IF(E144=1,(1+(('Symulacja Pożyczka'!$B$5+'Symulacja Pożyczka'!$C$21)/100)*(((Arkusz1!B144-DATE(YEAR(B144),1,1)+1)/365)+((DATE(YEAR(B143),12,31)-Arkusz1!B143)/366))),IF(F144=1,(1+(('Symulacja Pożyczka'!$B$5+'Symulacja Pożyczka'!$C$21)/100)*(((Arkusz1!B144-DATE(YEAR(B144),1,1)+1)/366)+((DATE(YEAR(B143),12,31)-Arkusz1!B143)/365))),0))</f>
        <v>0</v>
      </c>
      <c r="H144">
        <f t="shared" ca="1" si="20"/>
        <v>0</v>
      </c>
      <c r="I144">
        <f t="shared" ca="1" si="21"/>
        <v>1.0102739726027397</v>
      </c>
      <c r="J144">
        <f t="shared" ca="1" si="22"/>
        <v>1.0102739726027397</v>
      </c>
      <c r="K144">
        <f ca="1">PRODUCT($J$3:J144)</f>
        <v>4.3348863167002243</v>
      </c>
      <c r="L144">
        <f t="shared" ca="1" si="23"/>
        <v>0.23068655714164471</v>
      </c>
      <c r="M144">
        <f ca="1">SUM($L$3:L144)</f>
        <v>74.321725198792493</v>
      </c>
      <c r="O144">
        <f ca="1">(Q143*'Arkusz1 (+10)'!J144)-Q143</f>
        <v>-4296.9083969132043</v>
      </c>
      <c r="P144" s="16">
        <f t="shared" ca="1" si="24"/>
        <v>22213.674847667906</v>
      </c>
      <c r="Q144" s="17">
        <f t="shared" ca="1" si="25"/>
        <v>-440446.09214722534</v>
      </c>
    </row>
    <row r="145" spans="1:17" x14ac:dyDescent="0.35">
      <c r="A145">
        <v>143</v>
      </c>
      <c r="B145" s="14">
        <f t="shared" ca="1" si="26"/>
        <v>50422</v>
      </c>
      <c r="C145" s="15">
        <f ca="1">(1+(('Symulacja Pożyczka'!$B$5+'Symulacja Pożyczka'!$C$21)/100)*('Arkusz1 (+10)'!B145-'Arkusz1 (+10)'!B144)/365)</f>
        <v>1.0106164383561644</v>
      </c>
      <c r="D145" s="15">
        <f ca="1">(1+(('Symulacja Pożyczka'!$B$5+'Symulacja Pożyczka'!$C$21)/100)*('Arkusz1 (+10)'!B145-'Arkusz1 (+10)'!B144)/366)</f>
        <v>1.0105874316939891</v>
      </c>
      <c r="E145" s="15">
        <f t="shared" ca="1" si="18"/>
        <v>0</v>
      </c>
      <c r="F145" s="15">
        <f t="shared" ca="1" si="19"/>
        <v>0</v>
      </c>
      <c r="G145">
        <f ca="1">IF(E145=1,(1+(('Symulacja Pożyczka'!$B$5+'Symulacja Pożyczka'!$C$21)/100)*(((Arkusz1!B145-DATE(YEAR(B145),1,1)+1)/365)+((DATE(YEAR(B144),12,31)-Arkusz1!B144)/366))),IF(F145=1,(1+(('Symulacja Pożyczka'!$B$5+'Symulacja Pożyczka'!$C$21)/100)*(((Arkusz1!B145-DATE(YEAR(B145),1,1)+1)/366)+((DATE(YEAR(B144),12,31)-Arkusz1!B144)/365))),0))</f>
        <v>0</v>
      </c>
      <c r="H145">
        <f t="shared" ca="1" si="20"/>
        <v>0</v>
      </c>
      <c r="I145">
        <f t="shared" ca="1" si="21"/>
        <v>1.0106164383561644</v>
      </c>
      <c r="J145">
        <f t="shared" ca="1" si="22"/>
        <v>1.0106164383561644</v>
      </c>
      <c r="K145">
        <f ca="1">PRODUCT($J$3:J145)</f>
        <v>4.3809073700624532</v>
      </c>
      <c r="L145">
        <f t="shared" ca="1" si="23"/>
        <v>0.22826321479281683</v>
      </c>
      <c r="M145">
        <f ca="1">SUM($L$3:L145)</f>
        <v>74.549988413585311</v>
      </c>
      <c r="O145">
        <f ca="1">(Q144*'Arkusz1 (+10)'!J145)-Q144</f>
        <v>-4675.9687864945154</v>
      </c>
      <c r="P145" s="16">
        <f t="shared" ca="1" si="24"/>
        <v>22592.735237249217</v>
      </c>
      <c r="Q145" s="17">
        <f t="shared" ca="1" si="25"/>
        <v>-463038.82738447457</v>
      </c>
    </row>
    <row r="146" spans="1:17" x14ac:dyDescent="0.35">
      <c r="A146">
        <v>144</v>
      </c>
      <c r="B146" s="14">
        <f t="shared" ca="1" si="26"/>
        <v>50453</v>
      </c>
      <c r="C146" s="15">
        <f ca="1">(1+(('Symulacja Pożyczka'!$B$5+'Symulacja Pożyczka'!$C$21)/100)*('Arkusz1 (+10)'!B146-'Arkusz1 (+10)'!B145)/365)</f>
        <v>1.0106164383561644</v>
      </c>
      <c r="D146" s="15">
        <f ca="1">(1+(('Symulacja Pożyczka'!$B$5+'Symulacja Pożyczka'!$C$21)/100)*('Arkusz1 (+10)'!B146-'Arkusz1 (+10)'!B145)/366)</f>
        <v>1.0105874316939891</v>
      </c>
      <c r="E146" s="15">
        <f t="shared" ca="1" si="18"/>
        <v>0</v>
      </c>
      <c r="F146" s="15">
        <f t="shared" ca="1" si="19"/>
        <v>0</v>
      </c>
      <c r="G146">
        <f ca="1">IF(E146=1,(1+(('Symulacja Pożyczka'!$B$5+'Symulacja Pożyczka'!$C$21)/100)*(((Arkusz1!B146-DATE(YEAR(B146),1,1)+1)/365)+((DATE(YEAR(B145),12,31)-Arkusz1!B145)/366))),IF(F146=1,(1+(('Symulacja Pożyczka'!$B$5+'Symulacja Pożyczka'!$C$21)/100)*(((Arkusz1!B146-DATE(YEAR(B146),1,1)+1)/366)+((DATE(YEAR(B145),12,31)-Arkusz1!B145)/365))),0))</f>
        <v>0</v>
      </c>
      <c r="H146">
        <f t="shared" ca="1" si="20"/>
        <v>0</v>
      </c>
      <c r="I146">
        <f t="shared" ca="1" si="21"/>
        <v>1.0106164383561644</v>
      </c>
      <c r="J146">
        <f t="shared" ca="1" si="22"/>
        <v>1.0106164383561644</v>
      </c>
      <c r="K146">
        <f ca="1">PRODUCT($J$3:J146)</f>
        <v>4.4274170031007873</v>
      </c>
      <c r="L146">
        <f t="shared" ca="1" si="23"/>
        <v>0.22586532944595905</v>
      </c>
      <c r="M146">
        <f ca="1">SUM($L$3:L146)</f>
        <v>74.775853743031263</v>
      </c>
      <c r="O146">
        <f ca="1">(Q145*'Arkusz1 (+10)'!J146)-Q145</f>
        <v>-4915.8231674379203</v>
      </c>
      <c r="P146" s="16">
        <f t="shared" ca="1" si="24"/>
        <v>22832.589618192622</v>
      </c>
      <c r="Q146" s="17">
        <f t="shared" ca="1" si="25"/>
        <v>-485871.41700266721</v>
      </c>
    </row>
    <row r="147" spans="1:17" x14ac:dyDescent="0.35">
      <c r="A147">
        <v>145</v>
      </c>
      <c r="B147" s="14">
        <f t="shared" ca="1" si="26"/>
        <v>50481</v>
      </c>
      <c r="C147" s="15">
        <f ca="1">(1+(('Symulacja Pożyczka'!$B$5+'Symulacja Pożyczka'!$C$21)/100)*('Arkusz1 (+10)'!B147-'Arkusz1 (+10)'!B146)/365)</f>
        <v>1.0095890410958903</v>
      </c>
      <c r="D147" s="15">
        <f ca="1">(1+(('Symulacja Pożyczka'!$B$5+'Symulacja Pożyczka'!$C$21)/100)*('Arkusz1 (+10)'!B147-'Arkusz1 (+10)'!B146)/366)</f>
        <v>1.0095628415300546</v>
      </c>
      <c r="E147" s="15">
        <f t="shared" ca="1" si="18"/>
        <v>0</v>
      </c>
      <c r="F147" s="15">
        <f t="shared" ca="1" si="19"/>
        <v>0</v>
      </c>
      <c r="G147">
        <f ca="1">IF(E147=1,(1+(('Symulacja Pożyczka'!$B$5+'Symulacja Pożyczka'!$C$21)/100)*(((Arkusz1!B147-DATE(YEAR(B147),1,1)+1)/365)+((DATE(YEAR(B146),12,31)-Arkusz1!B146)/366))),IF(F147=1,(1+(('Symulacja Pożyczka'!$B$5+'Symulacja Pożyczka'!$C$21)/100)*(((Arkusz1!B147-DATE(YEAR(B147),1,1)+1)/366)+((DATE(YEAR(B146),12,31)-Arkusz1!B146)/365))),0))</f>
        <v>0</v>
      </c>
      <c r="H147">
        <f t="shared" ca="1" si="20"/>
        <v>0</v>
      </c>
      <c r="I147">
        <f t="shared" ca="1" si="21"/>
        <v>1.0095890410958903</v>
      </c>
      <c r="J147">
        <f t="shared" ca="1" si="22"/>
        <v>1.0095890410958903</v>
      </c>
      <c r="K147">
        <f ca="1">PRODUCT($J$3:J147)</f>
        <v>4.4698716866921639</v>
      </c>
      <c r="L147">
        <f t="shared" ca="1" si="23"/>
        <v>0.2237200685149934</v>
      </c>
      <c r="M147">
        <f ca="1">SUM($L$3:L147)</f>
        <v>74.999573811546256</v>
      </c>
      <c r="O147">
        <f ca="1">(Q146*'Arkusz1 (+10)'!J147)-Q146</f>
        <v>-4659.0409849570133</v>
      </c>
      <c r="P147" s="16">
        <f t="shared" ca="1" si="24"/>
        <v>22575.807435711715</v>
      </c>
      <c r="Q147" s="17">
        <f t="shared" ca="1" si="25"/>
        <v>-508447.22443837894</v>
      </c>
    </row>
    <row r="148" spans="1:17" x14ac:dyDescent="0.35">
      <c r="A148">
        <v>146</v>
      </c>
      <c r="B148" s="14">
        <f t="shared" ca="1" si="26"/>
        <v>50512</v>
      </c>
      <c r="C148" s="15">
        <f ca="1">(1+(('Symulacja Pożyczka'!$B$5+'Symulacja Pożyczka'!$C$21)/100)*('Arkusz1 (+10)'!B148-'Arkusz1 (+10)'!B147)/365)</f>
        <v>1.0106164383561644</v>
      </c>
      <c r="D148" s="15">
        <f ca="1">(1+(('Symulacja Pożyczka'!$B$5+'Symulacja Pożyczka'!$C$21)/100)*('Arkusz1 (+10)'!B148-'Arkusz1 (+10)'!B147)/366)</f>
        <v>1.0105874316939891</v>
      </c>
      <c r="E148" s="15">
        <f t="shared" ca="1" si="18"/>
        <v>0</v>
      </c>
      <c r="F148" s="15">
        <f t="shared" ca="1" si="19"/>
        <v>0</v>
      </c>
      <c r="G148">
        <f ca="1">IF(E148=1,(1+(('Symulacja Pożyczka'!$B$5+'Symulacja Pożyczka'!$C$21)/100)*(((Arkusz1!B148-DATE(YEAR(B148),1,1)+1)/365)+((DATE(YEAR(B147),12,31)-Arkusz1!B147)/366))),IF(F148=1,(1+(('Symulacja Pożyczka'!$B$5+'Symulacja Pożyczka'!$C$21)/100)*(((Arkusz1!B148-DATE(YEAR(B148),1,1)+1)/366)+((DATE(YEAR(B147),12,31)-Arkusz1!B147)/365))),0))</f>
        <v>0</v>
      </c>
      <c r="H148">
        <f t="shared" ca="1" si="20"/>
        <v>0</v>
      </c>
      <c r="I148">
        <f t="shared" ca="1" si="21"/>
        <v>1.0106164383561644</v>
      </c>
      <c r="J148">
        <f t="shared" ca="1" si="22"/>
        <v>1.0106164383561644</v>
      </c>
      <c r="K148">
        <f ca="1">PRODUCT($J$3:J148)</f>
        <v>4.5173258039138959</v>
      </c>
      <c r="L148">
        <f t="shared" ca="1" si="23"/>
        <v>0.22136990852720456</v>
      </c>
      <c r="M148">
        <f ca="1">SUM($L$3:L148)</f>
        <v>75.220943720073464</v>
      </c>
      <c r="O148">
        <f ca="1">(Q147*'Arkusz1 (+10)'!J148)-Q147</f>
        <v>-5397.8986156129395</v>
      </c>
      <c r="P148" s="16">
        <f t="shared" ca="1" si="24"/>
        <v>23314.665066367641</v>
      </c>
      <c r="Q148" s="17">
        <f t="shared" ca="1" si="25"/>
        <v>-531761.88950474653</v>
      </c>
    </row>
    <row r="149" spans="1:17" x14ac:dyDescent="0.35">
      <c r="A149">
        <v>147</v>
      </c>
      <c r="B149" s="14">
        <f t="shared" ca="1" si="26"/>
        <v>50542</v>
      </c>
      <c r="C149" s="15">
        <f ca="1">(1+(('Symulacja Pożyczka'!$B$5+'Symulacja Pożyczka'!$C$21)/100)*('Arkusz1 (+10)'!B149-'Arkusz1 (+10)'!B148)/365)</f>
        <v>1.0102739726027397</v>
      </c>
      <c r="D149" s="15">
        <f ca="1">(1+(('Symulacja Pożyczka'!$B$5+'Symulacja Pożyczka'!$C$21)/100)*('Arkusz1 (+10)'!B149-'Arkusz1 (+10)'!B148)/366)</f>
        <v>1.0102459016393444</v>
      </c>
      <c r="E149" s="15">
        <f t="shared" ca="1" si="18"/>
        <v>0</v>
      </c>
      <c r="F149" s="15">
        <f t="shared" ca="1" si="19"/>
        <v>0</v>
      </c>
      <c r="G149">
        <f ca="1">IF(E149=1,(1+(('Symulacja Pożyczka'!$B$5+'Symulacja Pożyczka'!$C$21)/100)*(((Arkusz1!B149-DATE(YEAR(B149),1,1)+1)/365)+((DATE(YEAR(B148),12,31)-Arkusz1!B148)/366))),IF(F149=1,(1+(('Symulacja Pożyczka'!$B$5+'Symulacja Pożyczka'!$C$21)/100)*(((Arkusz1!B149-DATE(YEAR(B149),1,1)+1)/366)+((DATE(YEAR(B148),12,31)-Arkusz1!B148)/365))),0))</f>
        <v>0</v>
      </c>
      <c r="H149">
        <f t="shared" ca="1" si="20"/>
        <v>0</v>
      </c>
      <c r="I149">
        <f t="shared" ca="1" si="21"/>
        <v>1.0102739726027397</v>
      </c>
      <c r="J149">
        <f t="shared" ca="1" si="22"/>
        <v>1.0102739726027397</v>
      </c>
      <c r="K149">
        <f ca="1">PRODUCT($J$3:J149)</f>
        <v>4.563736685460956</v>
      </c>
      <c r="L149">
        <f t="shared" ca="1" si="23"/>
        <v>0.21911868911845336</v>
      </c>
      <c r="M149">
        <f ca="1">SUM($L$3:L149)</f>
        <v>75.440062409191924</v>
      </c>
      <c r="O149">
        <f ca="1">(Q148*'Arkusz1 (+10)'!J149)-Q148</f>
        <v>-5463.3070839528227</v>
      </c>
      <c r="P149" s="16">
        <f t="shared" ca="1" si="24"/>
        <v>23380.073534707524</v>
      </c>
      <c r="Q149" s="17">
        <f t="shared" ca="1" si="25"/>
        <v>-555141.96303945407</v>
      </c>
    </row>
    <row r="150" spans="1:17" x14ac:dyDescent="0.35">
      <c r="A150">
        <v>148</v>
      </c>
      <c r="B150" s="14">
        <f t="shared" ca="1" si="26"/>
        <v>50573</v>
      </c>
      <c r="C150" s="15">
        <f ca="1">(1+(('Symulacja Pożyczka'!$B$5+'Symulacja Pożyczka'!$C$21)/100)*('Arkusz1 (+10)'!B150-'Arkusz1 (+10)'!B149)/365)</f>
        <v>1.0106164383561644</v>
      </c>
      <c r="D150" s="15">
        <f ca="1">(1+(('Symulacja Pożyczka'!$B$5+'Symulacja Pożyczka'!$C$21)/100)*('Arkusz1 (+10)'!B150-'Arkusz1 (+10)'!B149)/366)</f>
        <v>1.0105874316939891</v>
      </c>
      <c r="E150" s="15">
        <f t="shared" ca="1" si="18"/>
        <v>0</v>
      </c>
      <c r="F150" s="15">
        <f t="shared" ca="1" si="19"/>
        <v>0</v>
      </c>
      <c r="G150">
        <f ca="1">IF(E150=1,(1+(('Symulacja Pożyczka'!$B$5+'Symulacja Pożyczka'!$C$21)/100)*(((Arkusz1!B150-DATE(YEAR(B150),1,1)+1)/365)+((DATE(YEAR(B149),12,31)-Arkusz1!B149)/366))),IF(F150=1,(1+(('Symulacja Pożyczka'!$B$5+'Symulacja Pożyczka'!$C$21)/100)*(((Arkusz1!B150-DATE(YEAR(B150),1,1)+1)/366)+((DATE(YEAR(B149),12,31)-Arkusz1!B149)/365))),0))</f>
        <v>0</v>
      </c>
      <c r="H150">
        <f t="shared" ca="1" si="20"/>
        <v>0</v>
      </c>
      <c r="I150">
        <f t="shared" ca="1" si="21"/>
        <v>1.0106164383561644</v>
      </c>
      <c r="J150">
        <f t="shared" ca="1" si="22"/>
        <v>1.0106164383561644</v>
      </c>
      <c r="K150">
        <f ca="1">PRODUCT($J$3:J150)</f>
        <v>4.6121873146559187</v>
      </c>
      <c r="L150">
        <f t="shared" ca="1" si="23"/>
        <v>0.2168168662236136</v>
      </c>
      <c r="M150">
        <f ca="1">SUM($L$3:L150)</f>
        <v>75.656879275415534</v>
      </c>
      <c r="O150">
        <f ca="1">(Q149*'Arkusz1 (+10)'!J150)-Q149</f>
        <v>-5893.6304295285372</v>
      </c>
      <c r="P150" s="16">
        <f t="shared" ca="1" si="24"/>
        <v>23810.396880283239</v>
      </c>
      <c r="Q150" s="17">
        <f t="shared" ca="1" si="25"/>
        <v>-578952.35991973733</v>
      </c>
    </row>
    <row r="151" spans="1:17" x14ac:dyDescent="0.35">
      <c r="A151">
        <v>149</v>
      </c>
      <c r="B151" s="14">
        <f t="shared" ca="1" si="26"/>
        <v>50603</v>
      </c>
      <c r="C151" s="15">
        <f ca="1">(1+(('Symulacja Pożyczka'!$B$5+'Symulacja Pożyczka'!$C$21)/100)*('Arkusz1 (+10)'!B151-'Arkusz1 (+10)'!B150)/365)</f>
        <v>1.0102739726027397</v>
      </c>
      <c r="D151" s="15">
        <f ca="1">(1+(('Symulacja Pożyczka'!$B$5+'Symulacja Pożyczka'!$C$21)/100)*('Arkusz1 (+10)'!B151-'Arkusz1 (+10)'!B150)/366)</f>
        <v>1.0102459016393444</v>
      </c>
      <c r="E151" s="15">
        <f t="shared" ca="1" si="18"/>
        <v>0</v>
      </c>
      <c r="F151" s="15">
        <f t="shared" ca="1" si="19"/>
        <v>0</v>
      </c>
      <c r="G151">
        <f ca="1">IF(E151=1,(1+(('Symulacja Pożyczka'!$B$5+'Symulacja Pożyczka'!$C$21)/100)*(((Arkusz1!B151-DATE(YEAR(B151),1,1)+1)/365)+((DATE(YEAR(B150),12,31)-Arkusz1!B150)/366))),IF(F151=1,(1+(('Symulacja Pożyczka'!$B$5+'Symulacja Pożyczka'!$C$21)/100)*(((Arkusz1!B151-DATE(YEAR(B151),1,1)+1)/366)+((DATE(YEAR(B150),12,31)-Arkusz1!B150)/365))),0))</f>
        <v>0</v>
      </c>
      <c r="H151">
        <f t="shared" ca="1" si="20"/>
        <v>0</v>
      </c>
      <c r="I151">
        <f t="shared" ca="1" si="21"/>
        <v>1.0102739726027397</v>
      </c>
      <c r="J151">
        <f t="shared" ca="1" si="22"/>
        <v>1.0102739726027397</v>
      </c>
      <c r="K151">
        <f ca="1">PRODUCT($J$3:J151)</f>
        <v>4.6595728007653969</v>
      </c>
      <c r="L151">
        <f t="shared" ca="1" si="23"/>
        <v>0.21461194893998364</v>
      </c>
      <c r="M151">
        <f ca="1">SUM($L$3:L151)</f>
        <v>75.871491224355523</v>
      </c>
      <c r="O151">
        <f ca="1">(Q150*'Arkusz1 (+10)'!J151)-Q150</f>
        <v>-5948.1406841068529</v>
      </c>
      <c r="P151" s="16">
        <f t="shared" ca="1" si="24"/>
        <v>23864.907134861554</v>
      </c>
      <c r="Q151" s="17">
        <f t="shared" ca="1" si="25"/>
        <v>-602817.26705459889</v>
      </c>
    </row>
    <row r="152" spans="1:17" x14ac:dyDescent="0.35">
      <c r="A152">
        <v>150</v>
      </c>
      <c r="B152" s="14">
        <f t="shared" ca="1" si="26"/>
        <v>50634</v>
      </c>
      <c r="C152" s="15">
        <f ca="1">(1+(('Symulacja Pożyczka'!$B$5+'Symulacja Pożyczka'!$C$21)/100)*('Arkusz1 (+10)'!B152-'Arkusz1 (+10)'!B151)/365)</f>
        <v>1.0106164383561644</v>
      </c>
      <c r="D152" s="15">
        <f ca="1">(1+(('Symulacja Pożyczka'!$B$5+'Symulacja Pożyczka'!$C$21)/100)*('Arkusz1 (+10)'!B152-'Arkusz1 (+10)'!B151)/366)</f>
        <v>1.0105874316939891</v>
      </c>
      <c r="E152" s="15">
        <f t="shared" ca="1" si="18"/>
        <v>0</v>
      </c>
      <c r="F152" s="15">
        <f t="shared" ca="1" si="19"/>
        <v>0</v>
      </c>
      <c r="G152">
        <f ca="1">IF(E152=1,(1+(('Symulacja Pożyczka'!$B$5+'Symulacja Pożyczka'!$C$21)/100)*(((Arkusz1!B152-DATE(YEAR(B152),1,1)+1)/365)+((DATE(YEAR(B151),12,31)-Arkusz1!B151)/366))),IF(F152=1,(1+(('Symulacja Pożyczka'!$B$5+'Symulacja Pożyczka'!$C$21)/100)*(((Arkusz1!B152-DATE(YEAR(B152),1,1)+1)/366)+((DATE(YEAR(B151),12,31)-Arkusz1!B151)/365))),0))</f>
        <v>0</v>
      </c>
      <c r="H152">
        <f t="shared" ca="1" si="20"/>
        <v>0</v>
      </c>
      <c r="I152">
        <f t="shared" ca="1" si="21"/>
        <v>1.0106164383561644</v>
      </c>
      <c r="J152">
        <f t="shared" ca="1" si="22"/>
        <v>1.0106164383561644</v>
      </c>
      <c r="K152">
        <f ca="1">PRODUCT($J$3:J152)</f>
        <v>4.7090408681707832</v>
      </c>
      <c r="L152">
        <f t="shared" ca="1" si="23"/>
        <v>0.21235746896128507</v>
      </c>
      <c r="M152">
        <f ca="1">SUM($L$3:L152)</f>
        <v>76.08384869331681</v>
      </c>
      <c r="O152">
        <f ca="1">(Q151*'Arkusz1 (+10)'!J152)-Q151</f>
        <v>-6399.7723557166755</v>
      </c>
      <c r="P152" s="16">
        <f t="shared" ca="1" si="24"/>
        <v>24316.538806471377</v>
      </c>
      <c r="Q152" s="17">
        <f t="shared" ca="1" si="25"/>
        <v>-627133.80586107029</v>
      </c>
    </row>
    <row r="153" spans="1:17" x14ac:dyDescent="0.35">
      <c r="A153">
        <v>151</v>
      </c>
      <c r="B153" s="14">
        <f t="shared" ca="1" si="26"/>
        <v>50665</v>
      </c>
      <c r="C153" s="15">
        <f ca="1">(1+(('Symulacja Pożyczka'!$B$5+'Symulacja Pożyczka'!$C$21)/100)*('Arkusz1 (+10)'!B153-'Arkusz1 (+10)'!B152)/365)</f>
        <v>1.0106164383561644</v>
      </c>
      <c r="D153" s="15">
        <f ca="1">(1+(('Symulacja Pożyczka'!$B$5+'Symulacja Pożyczka'!$C$21)/100)*('Arkusz1 (+10)'!B153-'Arkusz1 (+10)'!B152)/366)</f>
        <v>1.0105874316939891</v>
      </c>
      <c r="E153" s="15">
        <f t="shared" ca="1" si="18"/>
        <v>0</v>
      </c>
      <c r="F153" s="15">
        <f t="shared" ca="1" si="19"/>
        <v>0</v>
      </c>
      <c r="G153">
        <f ca="1">IF(E153=1,(1+(('Symulacja Pożyczka'!$B$5+'Symulacja Pożyczka'!$C$21)/100)*(((Arkusz1!B153-DATE(YEAR(B153),1,1)+1)/365)+((DATE(YEAR(B152),12,31)-Arkusz1!B152)/366))),IF(F153=1,(1+(('Symulacja Pożyczka'!$B$5+'Symulacja Pożyczka'!$C$21)/100)*(((Arkusz1!B153-DATE(YEAR(B153),1,1)+1)/366)+((DATE(YEAR(B152),12,31)-Arkusz1!B152)/365))),0))</f>
        <v>0</v>
      </c>
      <c r="H153">
        <f t="shared" ca="1" si="20"/>
        <v>0</v>
      </c>
      <c r="I153">
        <f t="shared" ca="1" si="21"/>
        <v>1.0106164383561644</v>
      </c>
      <c r="J153">
        <f t="shared" ca="1" si="22"/>
        <v>1.0106164383561644</v>
      </c>
      <c r="K153">
        <f ca="1">PRODUCT($J$3:J153)</f>
        <v>4.7590341102643769</v>
      </c>
      <c r="L153">
        <f t="shared" ca="1" si="23"/>
        <v>0.21012667209995001</v>
      </c>
      <c r="M153">
        <f ca="1">SUM($L$3:L153)</f>
        <v>76.293975365416756</v>
      </c>
      <c r="O153">
        <f ca="1">(Q152*'Arkusz1 (+10)'!J153)-Q152</f>
        <v>-6657.9273909908952</v>
      </c>
      <c r="P153" s="16">
        <f t="shared" ca="1" si="24"/>
        <v>24574.693841745597</v>
      </c>
      <c r="Q153" s="17">
        <f t="shared" ca="1" si="25"/>
        <v>-651708.4997028159</v>
      </c>
    </row>
    <row r="154" spans="1:17" x14ac:dyDescent="0.35">
      <c r="A154">
        <v>152</v>
      </c>
      <c r="B154" s="14">
        <f t="shared" ca="1" si="26"/>
        <v>50695</v>
      </c>
      <c r="C154" s="15">
        <f ca="1">(1+(('Symulacja Pożyczka'!$B$5+'Symulacja Pożyczka'!$C$21)/100)*('Arkusz1 (+10)'!B154-'Arkusz1 (+10)'!B153)/365)</f>
        <v>1.0102739726027397</v>
      </c>
      <c r="D154" s="15">
        <f ca="1">(1+(('Symulacja Pożyczka'!$B$5+'Symulacja Pożyczka'!$C$21)/100)*('Arkusz1 (+10)'!B154-'Arkusz1 (+10)'!B153)/366)</f>
        <v>1.0102459016393444</v>
      </c>
      <c r="E154" s="15">
        <f t="shared" ca="1" si="18"/>
        <v>0</v>
      </c>
      <c r="F154" s="15">
        <f t="shared" ca="1" si="19"/>
        <v>0</v>
      </c>
      <c r="G154">
        <f ca="1">IF(E154=1,(1+(('Symulacja Pożyczka'!$B$5+'Symulacja Pożyczka'!$C$21)/100)*(((Arkusz1!B154-DATE(YEAR(B154),1,1)+1)/365)+((DATE(YEAR(B153),12,31)-Arkusz1!B153)/366))),IF(F154=1,(1+(('Symulacja Pożyczka'!$B$5+'Symulacja Pożyczka'!$C$21)/100)*(((Arkusz1!B154-DATE(YEAR(B154),1,1)+1)/366)+((DATE(YEAR(B153),12,31)-Arkusz1!B153)/365))),0))</f>
        <v>0</v>
      </c>
      <c r="H154">
        <f t="shared" ca="1" si="20"/>
        <v>0</v>
      </c>
      <c r="I154">
        <f t="shared" ca="1" si="21"/>
        <v>1.0102739726027397</v>
      </c>
      <c r="J154">
        <f t="shared" ca="1" si="22"/>
        <v>1.0102739726027397</v>
      </c>
      <c r="K154">
        <f ca="1">PRODUCT($J$3:J154)</f>
        <v>4.8079282963287371</v>
      </c>
      <c r="L154">
        <f t="shared" ca="1" si="23"/>
        <v>0.20798979068876405</v>
      </c>
      <c r="M154">
        <f ca="1">SUM($L$3:L154)</f>
        <v>76.501965156105527</v>
      </c>
      <c r="O154">
        <f ca="1">(Q153*'Arkusz1 (+10)'!J154)-Q153</f>
        <v>-6695.6352709193015</v>
      </c>
      <c r="P154" s="16">
        <f t="shared" ca="1" si="24"/>
        <v>24612.401721674003</v>
      </c>
      <c r="Q154" s="17">
        <f t="shared" ca="1" si="25"/>
        <v>-676320.90142448992</v>
      </c>
    </row>
    <row r="155" spans="1:17" x14ac:dyDescent="0.35">
      <c r="A155">
        <v>153</v>
      </c>
      <c r="B155" s="14">
        <f t="shared" ca="1" si="26"/>
        <v>50726</v>
      </c>
      <c r="C155" s="15">
        <f ca="1">(1+(('Symulacja Pożyczka'!$B$5+'Symulacja Pożyczka'!$C$21)/100)*('Arkusz1 (+10)'!B155-'Arkusz1 (+10)'!B154)/365)</f>
        <v>1.0106164383561644</v>
      </c>
      <c r="D155" s="15">
        <f ca="1">(1+(('Symulacja Pożyczka'!$B$5+'Symulacja Pożyczka'!$C$21)/100)*('Arkusz1 (+10)'!B155-'Arkusz1 (+10)'!B154)/366)</f>
        <v>1.0105874316939891</v>
      </c>
      <c r="E155" s="15">
        <f t="shared" ca="1" si="18"/>
        <v>0</v>
      </c>
      <c r="F155" s="15">
        <f t="shared" ca="1" si="19"/>
        <v>0</v>
      </c>
      <c r="G155">
        <f ca="1">IF(E155=1,(1+(('Symulacja Pożyczka'!$B$5+'Symulacja Pożyczka'!$C$21)/100)*(((Arkusz1!B155-DATE(YEAR(B155),1,1)+1)/365)+((DATE(YEAR(B154),12,31)-Arkusz1!B154)/366))),IF(F155=1,(1+(('Symulacja Pożyczka'!$B$5+'Symulacja Pożyczka'!$C$21)/100)*(((Arkusz1!B155-DATE(YEAR(B155),1,1)+1)/366)+((DATE(YEAR(B154),12,31)-Arkusz1!B154)/365))),0))</f>
        <v>0</v>
      </c>
      <c r="H155">
        <f t="shared" ca="1" si="20"/>
        <v>0</v>
      </c>
      <c r="I155">
        <f t="shared" ca="1" si="21"/>
        <v>1.0106164383561644</v>
      </c>
      <c r="J155">
        <f t="shared" ca="1" si="22"/>
        <v>1.0106164383561644</v>
      </c>
      <c r="K155">
        <f ca="1">PRODUCT($J$3:J155)</f>
        <v>4.8589713707075699</v>
      </c>
      <c r="L155">
        <f t="shared" ca="1" si="23"/>
        <v>0.20580487591026467</v>
      </c>
      <c r="M155">
        <f ca="1">SUM($L$3:L155)</f>
        <v>76.707770032015787</v>
      </c>
      <c r="O155">
        <f ca="1">(Q154*'Arkusz1 (+10)'!J155)-Q154</f>
        <v>-7180.119158958667</v>
      </c>
      <c r="P155" s="16">
        <f t="shared" ca="1" si="24"/>
        <v>25096.885609713368</v>
      </c>
      <c r="Q155" s="17">
        <f t="shared" ca="1" si="25"/>
        <v>-701417.7870342033</v>
      </c>
    </row>
    <row r="156" spans="1:17" x14ac:dyDescent="0.35">
      <c r="A156">
        <v>154</v>
      </c>
      <c r="B156" s="14">
        <f t="shared" ca="1" si="26"/>
        <v>50756</v>
      </c>
      <c r="C156" s="15">
        <f ca="1">(1+(('Symulacja Pożyczka'!$B$5+'Symulacja Pożyczka'!$C$21)/100)*('Arkusz1 (+10)'!B156-'Arkusz1 (+10)'!B155)/365)</f>
        <v>1.0102739726027397</v>
      </c>
      <c r="D156" s="15">
        <f ca="1">(1+(('Symulacja Pożyczka'!$B$5+'Symulacja Pożyczka'!$C$21)/100)*('Arkusz1 (+10)'!B156-'Arkusz1 (+10)'!B155)/366)</f>
        <v>1.0102459016393444</v>
      </c>
      <c r="E156" s="15">
        <f t="shared" ca="1" si="18"/>
        <v>0</v>
      </c>
      <c r="F156" s="15">
        <f t="shared" ca="1" si="19"/>
        <v>0</v>
      </c>
      <c r="G156">
        <f ca="1">IF(E156=1,(1+(('Symulacja Pożyczka'!$B$5+'Symulacja Pożyczka'!$C$21)/100)*(((Arkusz1!B156-DATE(YEAR(B156),1,1)+1)/365)+((DATE(YEAR(B155),12,31)-Arkusz1!B155)/366))),IF(F156=1,(1+(('Symulacja Pożyczka'!$B$5+'Symulacja Pożyczka'!$C$21)/100)*(((Arkusz1!B156-DATE(YEAR(B156),1,1)+1)/366)+((DATE(YEAR(B155),12,31)-Arkusz1!B155)/365))),0))</f>
        <v>0</v>
      </c>
      <c r="H156">
        <f t="shared" ca="1" si="20"/>
        <v>0</v>
      </c>
      <c r="I156">
        <f t="shared" ca="1" si="21"/>
        <v>1.0102739726027397</v>
      </c>
      <c r="J156">
        <f t="shared" ca="1" si="22"/>
        <v>1.0102739726027397</v>
      </c>
      <c r="K156">
        <f ca="1">PRODUCT($J$3:J156)</f>
        <v>4.9088923094477162</v>
      </c>
      <c r="L156">
        <f t="shared" ca="1" si="23"/>
        <v>0.20371194496880435</v>
      </c>
      <c r="M156">
        <f ca="1">SUM($L$3:L156)</f>
        <v>76.911481976984589</v>
      </c>
      <c r="O156">
        <f ca="1">(Q155*'Arkusz1 (+10)'!J156)-Q155</f>
        <v>-7206.3471270636655</v>
      </c>
      <c r="P156" s="16">
        <f t="shared" ca="1" si="24"/>
        <v>25123.113577818367</v>
      </c>
      <c r="Q156" s="17">
        <f t="shared" ca="1" si="25"/>
        <v>-726540.90061202168</v>
      </c>
    </row>
    <row r="157" spans="1:17" x14ac:dyDescent="0.35">
      <c r="A157">
        <v>155</v>
      </c>
      <c r="B157" s="14">
        <f t="shared" ca="1" si="26"/>
        <v>50787</v>
      </c>
      <c r="C157" s="15">
        <f ca="1">(1+(('Symulacja Pożyczka'!$B$5+'Symulacja Pożyczka'!$C$21)/100)*('Arkusz1 (+10)'!B157-'Arkusz1 (+10)'!B156)/365)</f>
        <v>1.0106164383561644</v>
      </c>
      <c r="D157" s="15">
        <f ca="1">(1+(('Symulacja Pożyczka'!$B$5+'Symulacja Pożyczka'!$C$21)/100)*('Arkusz1 (+10)'!B157-'Arkusz1 (+10)'!B156)/366)</f>
        <v>1.0105874316939891</v>
      </c>
      <c r="E157" s="15">
        <f t="shared" ca="1" si="18"/>
        <v>0</v>
      </c>
      <c r="F157" s="15">
        <f t="shared" ca="1" si="19"/>
        <v>0</v>
      </c>
      <c r="G157">
        <f ca="1">IF(E157=1,(1+(('Symulacja Pożyczka'!$B$5+'Symulacja Pożyczka'!$C$21)/100)*(((Arkusz1!B157-DATE(YEAR(B157),1,1)+1)/365)+((DATE(YEAR(B156),12,31)-Arkusz1!B156)/366))),IF(F157=1,(1+(('Symulacja Pożyczka'!$B$5+'Symulacja Pożyczka'!$C$21)/100)*(((Arkusz1!B157-DATE(YEAR(B157),1,1)+1)/366)+((DATE(YEAR(B156),12,31)-Arkusz1!B156)/365))),0))</f>
        <v>0</v>
      </c>
      <c r="H157">
        <f t="shared" ca="1" si="20"/>
        <v>0</v>
      </c>
      <c r="I157">
        <f t="shared" ca="1" si="21"/>
        <v>1.0106164383561644</v>
      </c>
      <c r="J157">
        <f t="shared" ca="1" si="22"/>
        <v>1.0106164383561644</v>
      </c>
      <c r="K157">
        <f ca="1">PRODUCT($J$3:J157)</f>
        <v>4.9610072620480175</v>
      </c>
      <c r="L157">
        <f t="shared" ca="1" si="23"/>
        <v>0.20157196858993853</v>
      </c>
      <c r="M157">
        <f ca="1">SUM($L$3:L157)</f>
        <v>77.113053945574535</v>
      </c>
      <c r="O157">
        <f ca="1">(Q156*'Arkusz1 (+10)'!J157)-Q156</f>
        <v>-7713.2766845796723</v>
      </c>
      <c r="P157" s="16">
        <f t="shared" ca="1" si="24"/>
        <v>25630.043135334374</v>
      </c>
      <c r="Q157" s="17">
        <f t="shared" ca="1" si="25"/>
        <v>-752170.94374735607</v>
      </c>
    </row>
    <row r="158" spans="1:17" x14ac:dyDescent="0.35">
      <c r="A158">
        <v>156</v>
      </c>
      <c r="B158" s="14">
        <f t="shared" ca="1" si="26"/>
        <v>50818</v>
      </c>
      <c r="C158" s="15">
        <f ca="1">(1+(('Symulacja Pożyczka'!$B$5+'Symulacja Pożyczka'!$C$21)/100)*('Arkusz1 (+10)'!B158-'Arkusz1 (+10)'!B157)/365)</f>
        <v>1.0106164383561644</v>
      </c>
      <c r="D158" s="15">
        <f ca="1">(1+(('Symulacja Pożyczka'!$B$5+'Symulacja Pożyczka'!$C$21)/100)*('Arkusz1 (+10)'!B158-'Arkusz1 (+10)'!B157)/366)</f>
        <v>1.0105874316939891</v>
      </c>
      <c r="E158" s="15">
        <f t="shared" ca="1" si="18"/>
        <v>0</v>
      </c>
      <c r="F158" s="15">
        <f t="shared" ca="1" si="19"/>
        <v>0</v>
      </c>
      <c r="G158">
        <f ca="1">IF(E158=1,(1+(('Symulacja Pożyczka'!$B$5+'Symulacja Pożyczka'!$C$21)/100)*(((Arkusz1!B158-DATE(YEAR(B158),1,1)+1)/365)+((DATE(YEAR(B157),12,31)-Arkusz1!B157)/366))),IF(F158=1,(1+(('Symulacja Pożyczka'!$B$5+'Symulacja Pożyczka'!$C$21)/100)*(((Arkusz1!B158-DATE(YEAR(B158),1,1)+1)/366)+((DATE(YEAR(B157),12,31)-Arkusz1!B157)/365))),0))</f>
        <v>0</v>
      </c>
      <c r="H158">
        <f t="shared" ca="1" si="20"/>
        <v>0</v>
      </c>
      <c r="I158">
        <f t="shared" ca="1" si="21"/>
        <v>1.0106164383561644</v>
      </c>
      <c r="J158">
        <f t="shared" ca="1" si="22"/>
        <v>1.0106164383561644</v>
      </c>
      <c r="K158">
        <f ca="1">PRODUCT($J$3:J158)</f>
        <v>5.0136754898300344</v>
      </c>
      <c r="L158">
        <f t="shared" ca="1" si="23"/>
        <v>0.1994544724780144</v>
      </c>
      <c r="M158">
        <f ca="1">SUM($L$3:L158)</f>
        <v>77.312508418052545</v>
      </c>
      <c r="O158">
        <f ca="1">(Q157*'Arkusz1 (+10)'!J158)-Q157</f>
        <v>-7985.3764575918904</v>
      </c>
      <c r="P158" s="16">
        <f t="shared" ca="1" si="24"/>
        <v>25902.142908346592</v>
      </c>
      <c r="Q158" s="17">
        <f t="shared" ca="1" si="25"/>
        <v>-778073.08665570267</v>
      </c>
    </row>
    <row r="159" spans="1:17" x14ac:dyDescent="0.35">
      <c r="A159">
        <v>157</v>
      </c>
      <c r="B159" s="14">
        <f t="shared" ca="1" si="26"/>
        <v>50846</v>
      </c>
      <c r="C159" s="15">
        <f ca="1">(1+(('Symulacja Pożyczka'!$B$5+'Symulacja Pożyczka'!$C$21)/100)*('Arkusz1 (+10)'!B159-'Arkusz1 (+10)'!B158)/365)</f>
        <v>1.0095890410958903</v>
      </c>
      <c r="D159" s="15">
        <f ca="1">(1+(('Symulacja Pożyczka'!$B$5+'Symulacja Pożyczka'!$C$21)/100)*('Arkusz1 (+10)'!B159-'Arkusz1 (+10)'!B158)/366)</f>
        <v>1.0095628415300546</v>
      </c>
      <c r="E159" s="15">
        <f t="shared" ca="1" si="18"/>
        <v>0</v>
      </c>
      <c r="F159" s="15">
        <f t="shared" ca="1" si="19"/>
        <v>0</v>
      </c>
      <c r="G159">
        <f ca="1">IF(E159=1,(1+(('Symulacja Pożyczka'!$B$5+'Symulacja Pożyczka'!$C$21)/100)*(((Arkusz1!B159-DATE(YEAR(B159),1,1)+1)/365)+((DATE(YEAR(B158),12,31)-Arkusz1!B158)/366))),IF(F159=1,(1+(('Symulacja Pożyczka'!$B$5+'Symulacja Pożyczka'!$C$21)/100)*(((Arkusz1!B159-DATE(YEAR(B159),1,1)+1)/366)+((DATE(YEAR(B158),12,31)-Arkusz1!B158)/365))),0))</f>
        <v>0</v>
      </c>
      <c r="H159">
        <f t="shared" ca="1" si="20"/>
        <v>0</v>
      </c>
      <c r="I159">
        <f t="shared" ca="1" si="21"/>
        <v>1.0095890410958903</v>
      </c>
      <c r="J159">
        <f t="shared" ca="1" si="22"/>
        <v>1.0095890410958903</v>
      </c>
      <c r="K159">
        <f ca="1">PRODUCT($J$3:J159)</f>
        <v>5.0617518301434723</v>
      </c>
      <c r="L159">
        <f t="shared" ca="1" si="23"/>
        <v>0.19756006093480399</v>
      </c>
      <c r="M159">
        <f ca="1">SUM($L$3:L159)</f>
        <v>77.51006847898735</v>
      </c>
      <c r="O159">
        <f ca="1">(Q158*'Arkusz1 (+10)'!J159)-Q158</f>
        <v>-7460.9748035477242</v>
      </c>
      <c r="P159" s="16">
        <f t="shared" ca="1" si="24"/>
        <v>25377.741254302426</v>
      </c>
      <c r="Q159" s="17">
        <f t="shared" ca="1" si="25"/>
        <v>-803450.82791000511</v>
      </c>
    </row>
    <row r="160" spans="1:17" x14ac:dyDescent="0.35">
      <c r="A160">
        <v>158</v>
      </c>
      <c r="B160" s="14">
        <f t="shared" ca="1" si="26"/>
        <v>50877</v>
      </c>
      <c r="C160" s="15">
        <f ca="1">(1+(('Symulacja Pożyczka'!$B$5+'Symulacja Pożyczka'!$C$21)/100)*('Arkusz1 (+10)'!B160-'Arkusz1 (+10)'!B159)/365)</f>
        <v>1.0106164383561644</v>
      </c>
      <c r="D160" s="15">
        <f ca="1">(1+(('Symulacja Pożyczka'!$B$5+'Symulacja Pożyczka'!$C$21)/100)*('Arkusz1 (+10)'!B160-'Arkusz1 (+10)'!B159)/366)</f>
        <v>1.0105874316939891</v>
      </c>
      <c r="E160" s="15">
        <f t="shared" ca="1" si="18"/>
        <v>0</v>
      </c>
      <c r="F160" s="15">
        <f t="shared" ca="1" si="19"/>
        <v>0</v>
      </c>
      <c r="G160">
        <f ca="1">IF(E160=1,(1+(('Symulacja Pożyczka'!$B$5+'Symulacja Pożyczka'!$C$21)/100)*(((Arkusz1!B160-DATE(YEAR(B160),1,1)+1)/365)+((DATE(YEAR(B159),12,31)-Arkusz1!B159)/366))),IF(F160=1,(1+(('Symulacja Pożyczka'!$B$5+'Symulacja Pożyczka'!$C$21)/100)*(((Arkusz1!B160-DATE(YEAR(B160),1,1)+1)/366)+((DATE(YEAR(B159),12,31)-Arkusz1!B159)/365))),0))</f>
        <v>0</v>
      </c>
      <c r="H160">
        <f t="shared" ca="1" si="20"/>
        <v>0</v>
      </c>
      <c r="I160">
        <f t="shared" ca="1" si="21"/>
        <v>1.0106164383561644</v>
      </c>
      <c r="J160">
        <f t="shared" ca="1" si="22"/>
        <v>1.0106164383561644</v>
      </c>
      <c r="K160">
        <f ca="1">PRODUCT($J$3:J160)</f>
        <v>5.1154896064223934</v>
      </c>
      <c r="L160">
        <f t="shared" ca="1" si="23"/>
        <v>0.19548470956612252</v>
      </c>
      <c r="M160">
        <f ca="1">SUM($L$3:L160)</f>
        <v>77.705553188553466</v>
      </c>
      <c r="O160">
        <f ca="1">(Q159*'Arkusz1 (+10)'!J160)-Q159</f>
        <v>-8529.7861867158208</v>
      </c>
      <c r="P160" s="16">
        <f t="shared" ca="1" si="24"/>
        <v>26446.552637470522</v>
      </c>
      <c r="Q160" s="17">
        <f t="shared" ca="1" si="25"/>
        <v>-829897.38054747565</v>
      </c>
    </row>
    <row r="161" spans="1:17" x14ac:dyDescent="0.35">
      <c r="A161">
        <v>159</v>
      </c>
      <c r="B161" s="14">
        <f t="shared" ca="1" si="26"/>
        <v>50907</v>
      </c>
      <c r="C161" s="15">
        <f ca="1">(1+(('Symulacja Pożyczka'!$B$5+'Symulacja Pożyczka'!$C$21)/100)*('Arkusz1 (+10)'!B161-'Arkusz1 (+10)'!B160)/365)</f>
        <v>1.0102739726027397</v>
      </c>
      <c r="D161" s="15">
        <f ca="1">(1+(('Symulacja Pożyczka'!$B$5+'Symulacja Pożyczka'!$C$21)/100)*('Arkusz1 (+10)'!B161-'Arkusz1 (+10)'!B160)/366)</f>
        <v>1.0102459016393444</v>
      </c>
      <c r="E161" s="15">
        <f t="shared" ca="1" si="18"/>
        <v>0</v>
      </c>
      <c r="F161" s="15">
        <f t="shared" ca="1" si="19"/>
        <v>0</v>
      </c>
      <c r="G161">
        <f ca="1">IF(E161=1,(1+(('Symulacja Pożyczka'!$B$5+'Symulacja Pożyczka'!$C$21)/100)*(((Arkusz1!B161-DATE(YEAR(B161),1,1)+1)/365)+((DATE(YEAR(B160),12,31)-Arkusz1!B160)/366))),IF(F161=1,(1+(('Symulacja Pożyczka'!$B$5+'Symulacja Pożyczka'!$C$21)/100)*(((Arkusz1!B161-DATE(YEAR(B161),1,1)+1)/366)+((DATE(YEAR(B160),12,31)-Arkusz1!B160)/365))),0))</f>
        <v>0</v>
      </c>
      <c r="H161">
        <f t="shared" ca="1" si="20"/>
        <v>0</v>
      </c>
      <c r="I161">
        <f t="shared" ca="1" si="21"/>
        <v>1.0102739726027397</v>
      </c>
      <c r="J161">
        <f t="shared" ca="1" si="22"/>
        <v>1.0102739726027397</v>
      </c>
      <c r="K161">
        <f ca="1">PRODUCT($J$3:J161)</f>
        <v>5.1680460064883764</v>
      </c>
      <c r="L161">
        <f t="shared" ca="1" si="23"/>
        <v>0.19349672946883995</v>
      </c>
      <c r="M161">
        <f ca="1">SUM($L$3:L161)</f>
        <v>77.8990499180223</v>
      </c>
      <c r="O161">
        <f ca="1">(Q160*'Arkusz1 (+10)'!J161)-Q160</f>
        <v>-8526.3429508301197</v>
      </c>
      <c r="P161" s="16">
        <f t="shared" ca="1" si="24"/>
        <v>26443.109401584821</v>
      </c>
      <c r="Q161" s="17">
        <f t="shared" ca="1" si="25"/>
        <v>-856340.48994906049</v>
      </c>
    </row>
    <row r="162" spans="1:17" x14ac:dyDescent="0.35">
      <c r="A162">
        <v>160</v>
      </c>
      <c r="B162" s="14">
        <f t="shared" ca="1" si="26"/>
        <v>50938</v>
      </c>
      <c r="C162" s="15">
        <f ca="1">(1+(('Symulacja Pożyczka'!$B$5+'Symulacja Pożyczka'!$C$21)/100)*('Arkusz1 (+10)'!B162-'Arkusz1 (+10)'!B161)/365)</f>
        <v>1.0106164383561644</v>
      </c>
      <c r="D162" s="15">
        <f ca="1">(1+(('Symulacja Pożyczka'!$B$5+'Symulacja Pożyczka'!$C$21)/100)*('Arkusz1 (+10)'!B162-'Arkusz1 (+10)'!B161)/366)</f>
        <v>1.0105874316939891</v>
      </c>
      <c r="E162" s="15">
        <f t="shared" ca="1" si="18"/>
        <v>0</v>
      </c>
      <c r="F162" s="15">
        <f t="shared" ca="1" si="19"/>
        <v>0</v>
      </c>
      <c r="G162">
        <f ca="1">IF(E162=1,(1+(('Symulacja Pożyczka'!$B$5+'Symulacja Pożyczka'!$C$21)/100)*(((Arkusz1!B162-DATE(YEAR(B162),1,1)+1)/365)+((DATE(YEAR(B161),12,31)-Arkusz1!B161)/366))),IF(F162=1,(1+(('Symulacja Pożyczka'!$B$5+'Symulacja Pożyczka'!$C$21)/100)*(((Arkusz1!B162-DATE(YEAR(B162),1,1)+1)/366)+((DATE(YEAR(B161),12,31)-Arkusz1!B161)/365))),0))</f>
        <v>0</v>
      </c>
      <c r="H162">
        <f t="shared" ca="1" si="20"/>
        <v>0</v>
      </c>
      <c r="I162">
        <f t="shared" ca="1" si="21"/>
        <v>1.0106164383561644</v>
      </c>
      <c r="J162">
        <f t="shared" ca="1" si="22"/>
        <v>1.0106164383561644</v>
      </c>
      <c r="K162">
        <f ca="1">PRODUCT($J$3:J162)</f>
        <v>5.2229122483380817</v>
      </c>
      <c r="L162">
        <f t="shared" ca="1" si="23"/>
        <v>0.19146406304609034</v>
      </c>
      <c r="M162">
        <f ca="1">SUM($L$3:L162)</f>
        <v>78.090513981068383</v>
      </c>
      <c r="O162">
        <f ca="1">(Q161*'Arkusz1 (+10)'!J162)-Q161</f>
        <v>-9091.2860234318068</v>
      </c>
      <c r="P162" s="16">
        <f t="shared" ca="1" si="24"/>
        <v>27008.052474186508</v>
      </c>
      <c r="Q162" s="17">
        <f t="shared" ca="1" si="25"/>
        <v>-883348.54242324701</v>
      </c>
    </row>
    <row r="163" spans="1:17" x14ac:dyDescent="0.35">
      <c r="A163">
        <v>161</v>
      </c>
      <c r="B163" s="14">
        <f t="shared" ca="1" si="26"/>
        <v>50968</v>
      </c>
      <c r="C163" s="15">
        <f ca="1">(1+(('Symulacja Pożyczka'!$B$5+'Symulacja Pożyczka'!$C$21)/100)*('Arkusz1 (+10)'!B163-'Arkusz1 (+10)'!B162)/365)</f>
        <v>1.0102739726027397</v>
      </c>
      <c r="D163" s="15">
        <f ca="1">(1+(('Symulacja Pożyczka'!$B$5+'Symulacja Pożyczka'!$C$21)/100)*('Arkusz1 (+10)'!B163-'Arkusz1 (+10)'!B162)/366)</f>
        <v>1.0102459016393444</v>
      </c>
      <c r="E163" s="15">
        <f t="shared" ca="1" si="18"/>
        <v>0</v>
      </c>
      <c r="F163" s="15">
        <f t="shared" ca="1" si="19"/>
        <v>0</v>
      </c>
      <c r="G163">
        <f ca="1">IF(E163=1,(1+(('Symulacja Pożyczka'!$B$5+'Symulacja Pożyczka'!$C$21)/100)*(((Arkusz1!B163-DATE(YEAR(B163),1,1)+1)/365)+((DATE(YEAR(B162),12,31)-Arkusz1!B162)/366))),IF(F163=1,(1+(('Symulacja Pożyczka'!$B$5+'Symulacja Pożyczka'!$C$21)/100)*(((Arkusz1!B163-DATE(YEAR(B163),1,1)+1)/366)+((DATE(YEAR(B162),12,31)-Arkusz1!B162)/365))),0))</f>
        <v>0</v>
      </c>
      <c r="H163">
        <f t="shared" ca="1" si="20"/>
        <v>0</v>
      </c>
      <c r="I163">
        <f t="shared" ca="1" si="21"/>
        <v>1.0102739726027397</v>
      </c>
      <c r="J163">
        <f t="shared" ca="1" si="22"/>
        <v>1.0102739726027397</v>
      </c>
      <c r="K163">
        <f ca="1">PRODUCT($J$3:J163)</f>
        <v>5.2765723056840201</v>
      </c>
      <c r="L163">
        <f t="shared" ca="1" si="23"/>
        <v>0.18951697087951996</v>
      </c>
      <c r="M163">
        <f ca="1">SUM($L$3:L163)</f>
        <v>78.280030951947907</v>
      </c>
      <c r="O163">
        <f ca="1">(Q162*'Arkusz1 (+10)'!J163)-Q162</f>
        <v>-9075.4987235264853</v>
      </c>
      <c r="P163" s="16">
        <f t="shared" ca="1" si="24"/>
        <v>26992.265174281187</v>
      </c>
      <c r="Q163" s="17">
        <f t="shared" ca="1" si="25"/>
        <v>-910340.80759752821</v>
      </c>
    </row>
    <row r="164" spans="1:17" x14ac:dyDescent="0.35">
      <c r="A164">
        <v>162</v>
      </c>
      <c r="B164" s="14">
        <f t="shared" ca="1" si="26"/>
        <v>50999</v>
      </c>
      <c r="C164" s="15">
        <f ca="1">(1+(('Symulacja Pożyczka'!$B$5+'Symulacja Pożyczka'!$C$21)/100)*('Arkusz1 (+10)'!B164-'Arkusz1 (+10)'!B163)/365)</f>
        <v>1.0106164383561644</v>
      </c>
      <c r="D164" s="15">
        <f ca="1">(1+(('Symulacja Pożyczka'!$B$5+'Symulacja Pożyczka'!$C$21)/100)*('Arkusz1 (+10)'!B164-'Arkusz1 (+10)'!B163)/366)</f>
        <v>1.0105874316939891</v>
      </c>
      <c r="E164" s="15">
        <f t="shared" ca="1" si="18"/>
        <v>0</v>
      </c>
      <c r="F164" s="15">
        <f t="shared" ca="1" si="19"/>
        <v>0</v>
      </c>
      <c r="G164">
        <f ca="1">IF(E164=1,(1+(('Symulacja Pożyczka'!$B$5+'Symulacja Pożyczka'!$C$21)/100)*(((Arkusz1!B164-DATE(YEAR(B164),1,1)+1)/365)+((DATE(YEAR(B163),12,31)-Arkusz1!B163)/366))),IF(F164=1,(1+(('Symulacja Pożyczka'!$B$5+'Symulacja Pożyczka'!$C$21)/100)*(((Arkusz1!B164-DATE(YEAR(B164),1,1)+1)/366)+((DATE(YEAR(B163),12,31)-Arkusz1!B163)/365))),0))</f>
        <v>0</v>
      </c>
      <c r="H164">
        <f t="shared" ca="1" si="20"/>
        <v>0</v>
      </c>
      <c r="I164">
        <f t="shared" ca="1" si="21"/>
        <v>1.0106164383561644</v>
      </c>
      <c r="J164">
        <f t="shared" ca="1" si="22"/>
        <v>1.0106164383561644</v>
      </c>
      <c r="K164">
        <f ca="1">PRODUCT($J$3:J164)</f>
        <v>5.3325907102991588</v>
      </c>
      <c r="L164">
        <f t="shared" ca="1" si="23"/>
        <v>0.18752611147685472</v>
      </c>
      <c r="M164">
        <f ca="1">SUM($L$3:L164)</f>
        <v>78.467557063424763</v>
      </c>
      <c r="O164">
        <f ca="1">(Q163*'Arkusz1 (+10)'!J164)-Q163</f>
        <v>-9664.5770669601625</v>
      </c>
      <c r="P164" s="16">
        <f t="shared" ca="1" si="24"/>
        <v>27581.343517714864</v>
      </c>
      <c r="Q164" s="17">
        <f t="shared" ca="1" si="25"/>
        <v>-937922.15111524309</v>
      </c>
    </row>
    <row r="165" spans="1:17" x14ac:dyDescent="0.35">
      <c r="A165">
        <v>163</v>
      </c>
      <c r="B165" s="14">
        <f t="shared" ca="1" si="26"/>
        <v>51030</v>
      </c>
      <c r="C165" s="15">
        <f ca="1">(1+(('Symulacja Pożyczka'!$B$5+'Symulacja Pożyczka'!$C$21)/100)*('Arkusz1 (+10)'!B165-'Arkusz1 (+10)'!B164)/365)</f>
        <v>1.0106164383561644</v>
      </c>
      <c r="D165" s="15">
        <f ca="1">(1+(('Symulacja Pożyczka'!$B$5+'Symulacja Pożyczka'!$C$21)/100)*('Arkusz1 (+10)'!B165-'Arkusz1 (+10)'!B164)/366)</f>
        <v>1.0105874316939891</v>
      </c>
      <c r="E165" s="15">
        <f t="shared" ca="1" si="18"/>
        <v>0</v>
      </c>
      <c r="F165" s="15">
        <f t="shared" ca="1" si="19"/>
        <v>0</v>
      </c>
      <c r="G165">
        <f ca="1">IF(E165=1,(1+(('Symulacja Pożyczka'!$B$5+'Symulacja Pożyczka'!$C$21)/100)*(((Arkusz1!B165-DATE(YEAR(B165),1,1)+1)/365)+((DATE(YEAR(B164),12,31)-Arkusz1!B164)/366))),IF(F165=1,(1+(('Symulacja Pożyczka'!$B$5+'Symulacja Pożyczka'!$C$21)/100)*(((Arkusz1!B165-DATE(YEAR(B165),1,1)+1)/366)+((DATE(YEAR(B164),12,31)-Arkusz1!B164)/365))),0))</f>
        <v>0</v>
      </c>
      <c r="H165">
        <f t="shared" ca="1" si="20"/>
        <v>0</v>
      </c>
      <c r="I165">
        <f t="shared" ca="1" si="21"/>
        <v>1.0106164383561644</v>
      </c>
      <c r="J165">
        <f t="shared" ca="1" si="22"/>
        <v>1.0106164383561644</v>
      </c>
      <c r="K165">
        <f ca="1">PRODUCT($J$3:J165)</f>
        <v>5.3892038308537051</v>
      </c>
      <c r="L165">
        <f t="shared" ca="1" si="23"/>
        <v>0.18555616588018156</v>
      </c>
      <c r="M165">
        <f ca="1">SUM($L$3:L165)</f>
        <v>78.65311322930495</v>
      </c>
      <c r="O165">
        <f ca="1">(Q164*'Arkusz1 (+10)'!J165)-Q164</f>
        <v>-9957.3927001961274</v>
      </c>
      <c r="P165" s="16">
        <f t="shared" ca="1" si="24"/>
        <v>27874.159150950829</v>
      </c>
      <c r="Q165" s="17">
        <f t="shared" ca="1" si="25"/>
        <v>-965796.31026619393</v>
      </c>
    </row>
    <row r="166" spans="1:17" x14ac:dyDescent="0.35">
      <c r="A166">
        <v>164</v>
      </c>
      <c r="B166" s="14">
        <f t="shared" ca="1" si="26"/>
        <v>51060</v>
      </c>
      <c r="C166" s="15">
        <f ca="1">(1+(('Symulacja Pożyczka'!$B$5+'Symulacja Pożyczka'!$C$21)/100)*('Arkusz1 (+10)'!B166-'Arkusz1 (+10)'!B165)/365)</f>
        <v>1.0102739726027397</v>
      </c>
      <c r="D166" s="15">
        <f ca="1">(1+(('Symulacja Pożyczka'!$B$5+'Symulacja Pożyczka'!$C$21)/100)*('Arkusz1 (+10)'!B166-'Arkusz1 (+10)'!B165)/366)</f>
        <v>1.0102459016393444</v>
      </c>
      <c r="E166" s="15">
        <f t="shared" ca="1" si="18"/>
        <v>0</v>
      </c>
      <c r="F166" s="15">
        <f t="shared" ca="1" si="19"/>
        <v>0</v>
      </c>
      <c r="G166">
        <f ca="1">IF(E166=1,(1+(('Symulacja Pożyczka'!$B$5+'Symulacja Pożyczka'!$C$21)/100)*(((Arkusz1!B166-DATE(YEAR(B166),1,1)+1)/365)+((DATE(YEAR(B165),12,31)-Arkusz1!B165)/366))),IF(F166=1,(1+(('Symulacja Pożyczka'!$B$5+'Symulacja Pożyczka'!$C$21)/100)*(((Arkusz1!B166-DATE(YEAR(B166),1,1)+1)/366)+((DATE(YEAR(B165),12,31)-Arkusz1!B165)/365))),0))</f>
        <v>0</v>
      </c>
      <c r="H166">
        <f t="shared" ca="1" si="20"/>
        <v>0</v>
      </c>
      <c r="I166">
        <f t="shared" ca="1" si="21"/>
        <v>1.0102739726027397</v>
      </c>
      <c r="J166">
        <f t="shared" ca="1" si="22"/>
        <v>1.0102739726027397</v>
      </c>
      <c r="K166">
        <f ca="1">PRODUCT($J$3:J166)</f>
        <v>5.4445723633624761</v>
      </c>
      <c r="L166">
        <f t="shared" ca="1" si="23"/>
        <v>0.18366915402377293</v>
      </c>
      <c r="M166">
        <f ca="1">SUM($L$3:L166)</f>
        <v>78.836782383328725</v>
      </c>
      <c r="O166">
        <f ca="1">(Q165*'Arkusz1 (+10)'!J166)-Q165</f>
        <v>-9922.5648315019207</v>
      </c>
      <c r="P166" s="16">
        <f t="shared" ca="1" si="24"/>
        <v>27839.331282256622</v>
      </c>
      <c r="Q166" s="17">
        <f t="shared" ca="1" si="25"/>
        <v>-993635.64154845057</v>
      </c>
    </row>
    <row r="167" spans="1:17" x14ac:dyDescent="0.35">
      <c r="A167">
        <v>165</v>
      </c>
      <c r="B167" s="14">
        <f t="shared" ca="1" si="26"/>
        <v>51091</v>
      </c>
      <c r="C167" s="15">
        <f ca="1">(1+(('Symulacja Pożyczka'!$B$5+'Symulacja Pożyczka'!$C$21)/100)*('Arkusz1 (+10)'!B167-'Arkusz1 (+10)'!B166)/365)</f>
        <v>1.0106164383561644</v>
      </c>
      <c r="D167" s="15">
        <f ca="1">(1+(('Symulacja Pożyczka'!$B$5+'Symulacja Pożyczka'!$C$21)/100)*('Arkusz1 (+10)'!B167-'Arkusz1 (+10)'!B166)/366)</f>
        <v>1.0105874316939891</v>
      </c>
      <c r="E167" s="15">
        <f t="shared" ca="1" si="18"/>
        <v>0</v>
      </c>
      <c r="F167" s="15">
        <f t="shared" ca="1" si="19"/>
        <v>0</v>
      </c>
      <c r="G167">
        <f ca="1">IF(E167=1,(1+(('Symulacja Pożyczka'!$B$5+'Symulacja Pożyczka'!$C$21)/100)*(((Arkusz1!B167-DATE(YEAR(B167),1,1)+1)/365)+((DATE(YEAR(B166),12,31)-Arkusz1!B166)/366))),IF(F167=1,(1+(('Symulacja Pożyczka'!$B$5+'Symulacja Pożyczka'!$C$21)/100)*(((Arkusz1!B167-DATE(YEAR(B167),1,1)+1)/366)+((DATE(YEAR(B166),12,31)-Arkusz1!B166)/365))),0))</f>
        <v>0</v>
      </c>
      <c r="H167">
        <f t="shared" ca="1" si="20"/>
        <v>0</v>
      </c>
      <c r="I167">
        <f t="shared" ca="1" si="21"/>
        <v>1.0106164383561644</v>
      </c>
      <c r="J167">
        <f t="shared" ca="1" si="22"/>
        <v>1.0106164383561644</v>
      </c>
      <c r="K167">
        <f ca="1">PRODUCT($J$3:J167)</f>
        <v>5.5023743302337902</v>
      </c>
      <c r="L167">
        <f t="shared" ca="1" si="23"/>
        <v>0.18173972543185934</v>
      </c>
      <c r="M167">
        <f ca="1">SUM($L$3:L167)</f>
        <v>79.018522108760578</v>
      </c>
      <c r="O167">
        <f ca="1">(Q166*'Arkusz1 (+10)'!J167)-Q166</f>
        <v>-10548.871536987019</v>
      </c>
      <c r="P167" s="16">
        <f t="shared" ca="1" si="24"/>
        <v>28465.63798774172</v>
      </c>
      <c r="Q167" s="17">
        <f t="shared" ca="1" si="25"/>
        <v>-1022101.2795361923</v>
      </c>
    </row>
    <row r="168" spans="1:17" x14ac:dyDescent="0.35">
      <c r="A168">
        <v>166</v>
      </c>
      <c r="B168" s="14">
        <f t="shared" ca="1" si="26"/>
        <v>51121</v>
      </c>
      <c r="C168" s="15">
        <f ca="1">(1+(('Symulacja Pożyczka'!$B$5+'Symulacja Pożyczka'!$C$21)/100)*('Arkusz1 (+10)'!B168-'Arkusz1 (+10)'!B167)/365)</f>
        <v>1.0102739726027397</v>
      </c>
      <c r="D168" s="15">
        <f ca="1">(1+(('Symulacja Pożyczka'!$B$5+'Symulacja Pożyczka'!$C$21)/100)*('Arkusz1 (+10)'!B168-'Arkusz1 (+10)'!B167)/366)</f>
        <v>1.0102459016393444</v>
      </c>
      <c r="E168" s="15">
        <f t="shared" ca="1" si="18"/>
        <v>0</v>
      </c>
      <c r="F168" s="15">
        <f t="shared" ca="1" si="19"/>
        <v>0</v>
      </c>
      <c r="G168">
        <f ca="1">IF(E168=1,(1+(('Symulacja Pożyczka'!$B$5+'Symulacja Pożyczka'!$C$21)/100)*(((Arkusz1!B168-DATE(YEAR(B168),1,1)+1)/365)+((DATE(YEAR(B167),12,31)-Arkusz1!B167)/366))),IF(F168=1,(1+(('Symulacja Pożyczka'!$B$5+'Symulacja Pożyczka'!$C$21)/100)*(((Arkusz1!B168-DATE(YEAR(B168),1,1)+1)/366)+((DATE(YEAR(B167),12,31)-Arkusz1!B167)/365))),0))</f>
        <v>0</v>
      </c>
      <c r="H168">
        <f t="shared" ca="1" si="20"/>
        <v>0</v>
      </c>
      <c r="I168">
        <f t="shared" ca="1" si="21"/>
        <v>1.0102739726027397</v>
      </c>
      <c r="J168">
        <f t="shared" ca="1" si="22"/>
        <v>1.0102739726027397</v>
      </c>
      <c r="K168">
        <f ca="1">PRODUCT($J$3:J168)</f>
        <v>5.5589055733526305</v>
      </c>
      <c r="L168">
        <f t="shared" ca="1" si="23"/>
        <v>0.17989152483424722</v>
      </c>
      <c r="M168">
        <f ca="1">SUM($L$3:L168)</f>
        <v>79.198413633594825</v>
      </c>
      <c r="O168">
        <f ca="1">(Q167*'Arkusz1 (+10)'!J168)-Q167</f>
        <v>-10501.040543179959</v>
      </c>
      <c r="P168" s="16">
        <f t="shared" ca="1" si="24"/>
        <v>28417.806993934661</v>
      </c>
      <c r="Q168" s="17">
        <f t="shared" ca="1" si="25"/>
        <v>-1050519.0865301269</v>
      </c>
    </row>
    <row r="169" spans="1:17" x14ac:dyDescent="0.35">
      <c r="A169">
        <v>167</v>
      </c>
      <c r="B169" s="14">
        <f t="shared" ca="1" si="26"/>
        <v>51152</v>
      </c>
      <c r="C169" s="15">
        <f ca="1">(1+(('Symulacja Pożyczka'!$B$5+'Symulacja Pożyczka'!$C$21)/100)*('Arkusz1 (+10)'!B169-'Arkusz1 (+10)'!B168)/365)</f>
        <v>1.0106164383561644</v>
      </c>
      <c r="D169" s="15">
        <f ca="1">(1+(('Symulacja Pożyczka'!$B$5+'Symulacja Pożyczka'!$C$21)/100)*('Arkusz1 (+10)'!B169-'Arkusz1 (+10)'!B168)/366)</f>
        <v>1.0105874316939891</v>
      </c>
      <c r="E169" s="15">
        <f t="shared" ca="1" si="18"/>
        <v>0</v>
      </c>
      <c r="F169" s="15">
        <f t="shared" ca="1" si="19"/>
        <v>1</v>
      </c>
      <c r="G169">
        <f ca="1">IF(E169=1,(1+(('Symulacja Pożyczka'!$B$5+'Symulacja Pożyczka'!$C$21)/100)*(((Arkusz1!B169-DATE(YEAR(B169),1,1)+1)/365)+((DATE(YEAR(B168),12,31)-Arkusz1!B168)/366))),IF(F169=1,(1+(('Symulacja Pożyczka'!$B$5+'Symulacja Pożyczka'!$C$21)/100)*(((Arkusz1!B169-DATE(YEAR(B169),1,1)+1)/366)+((DATE(YEAR(B168),12,31)-Arkusz1!B168)/365))),0))</f>
        <v>1.0106005314769069</v>
      </c>
      <c r="H169">
        <f t="shared" ca="1" si="20"/>
        <v>1</v>
      </c>
      <c r="I169">
        <f t="shared" ca="1" si="21"/>
        <v>1.0105874316939891</v>
      </c>
      <c r="J169">
        <f t="shared" ca="1" si="22"/>
        <v>1.0106005314769069</v>
      </c>
      <c r="K169">
        <f ca="1">PRODUCT($J$3:J169)</f>
        <v>5.6178329268601077</v>
      </c>
      <c r="L169">
        <f t="shared" ca="1" si="23"/>
        <v>0.17800458166329186</v>
      </c>
      <c r="M169">
        <f ca="1">SUM($L$3:L169)</f>
        <v>79.376418215258113</v>
      </c>
      <c r="O169">
        <f ca="1">(Q168*'Arkusz1 (+10)'!J169)-Q168</f>
        <v>-11136.060643854085</v>
      </c>
      <c r="P169" s="16">
        <f t="shared" ca="1" si="24"/>
        <v>29052.827094608787</v>
      </c>
      <c r="Q169" s="17">
        <f t="shared" ca="1" si="25"/>
        <v>-1079571.9136247355</v>
      </c>
    </row>
    <row r="170" spans="1:17" x14ac:dyDescent="0.35">
      <c r="A170">
        <v>168</v>
      </c>
      <c r="B170" s="14">
        <f t="shared" ca="1" si="26"/>
        <v>51183</v>
      </c>
      <c r="C170" s="15">
        <f ca="1">(1+(('Symulacja Pożyczka'!$B$5+'Symulacja Pożyczka'!$C$21)/100)*('Arkusz1 (+10)'!B170-'Arkusz1 (+10)'!B169)/365)</f>
        <v>1.0106164383561644</v>
      </c>
      <c r="D170" s="15">
        <f ca="1">(1+(('Symulacja Pożyczka'!$B$5+'Symulacja Pożyczka'!$C$21)/100)*('Arkusz1 (+10)'!B170-'Arkusz1 (+10)'!B169)/366)</f>
        <v>1.0105874316939891</v>
      </c>
      <c r="E170" s="15">
        <f t="shared" ca="1" si="18"/>
        <v>0</v>
      </c>
      <c r="F170" s="15">
        <f t="shared" ca="1" si="19"/>
        <v>0</v>
      </c>
      <c r="G170">
        <f ca="1">IF(E170=1,(1+(('Symulacja Pożyczka'!$B$5+'Symulacja Pożyczka'!$C$21)/100)*(((Arkusz1!B170-DATE(YEAR(B170),1,1)+1)/365)+((DATE(YEAR(B169),12,31)-Arkusz1!B169)/366))),IF(F170=1,(1+(('Symulacja Pożyczka'!$B$5+'Symulacja Pożyczka'!$C$21)/100)*(((Arkusz1!B170-DATE(YEAR(B170),1,1)+1)/366)+((DATE(YEAR(B169),12,31)-Arkusz1!B169)/365))),0))</f>
        <v>0</v>
      </c>
      <c r="H170">
        <f t="shared" ca="1" si="20"/>
        <v>1</v>
      </c>
      <c r="I170">
        <f t="shared" ca="1" si="21"/>
        <v>1.0105874316939891</v>
      </c>
      <c r="J170">
        <f t="shared" ca="1" si="22"/>
        <v>1.0105874316939891</v>
      </c>
      <c r="K170">
        <f ca="1">PRODUCT($J$3:J170)</f>
        <v>5.6773113492414824</v>
      </c>
      <c r="L170">
        <f t="shared" ca="1" si="23"/>
        <v>0.17613971446776563</v>
      </c>
      <c r="M170">
        <f ca="1">SUM($L$3:L170)</f>
        <v>79.552557929725879</v>
      </c>
      <c r="O170">
        <f ca="1">(Q169*'Arkusz1 (+10)'!J170)-Q169</f>
        <v>-11429.89389425097</v>
      </c>
      <c r="P170" s="16">
        <f t="shared" ca="1" si="24"/>
        <v>29346.660345005672</v>
      </c>
      <c r="Q170" s="17">
        <f t="shared" ca="1" si="25"/>
        <v>-1108918.5739697411</v>
      </c>
    </row>
    <row r="171" spans="1:17" x14ac:dyDescent="0.35">
      <c r="A171">
        <v>169</v>
      </c>
      <c r="B171" s="14">
        <f t="shared" ca="1" si="26"/>
        <v>51212</v>
      </c>
      <c r="C171" s="15">
        <f ca="1">(1+(('Symulacja Pożyczka'!$B$5+'Symulacja Pożyczka'!$C$21)/100)*('Arkusz1 (+10)'!B171-'Arkusz1 (+10)'!B170)/365)</f>
        <v>1.0099315068493151</v>
      </c>
      <c r="D171" s="15">
        <f ca="1">(1+(('Symulacja Pożyczka'!$B$5+'Symulacja Pożyczka'!$C$21)/100)*('Arkusz1 (+10)'!B171-'Arkusz1 (+10)'!B170)/366)</f>
        <v>1.0099043715846994</v>
      </c>
      <c r="E171" s="15">
        <f t="shared" ca="1" si="18"/>
        <v>0</v>
      </c>
      <c r="F171" s="15">
        <f t="shared" ca="1" si="19"/>
        <v>0</v>
      </c>
      <c r="G171">
        <f ca="1">IF(E171=1,(1+(('Symulacja Pożyczka'!$B$5+'Symulacja Pożyczka'!$C$21)/100)*(((Arkusz1!B171-DATE(YEAR(B171),1,1)+1)/365)+((DATE(YEAR(B170),12,31)-Arkusz1!B170)/366))),IF(F171=1,(1+(('Symulacja Pożyczka'!$B$5+'Symulacja Pożyczka'!$C$21)/100)*(((Arkusz1!B171-DATE(YEAR(B171),1,1)+1)/366)+((DATE(YEAR(B170),12,31)-Arkusz1!B170)/365))),0))</f>
        <v>0</v>
      </c>
      <c r="H171">
        <f t="shared" ca="1" si="20"/>
        <v>1</v>
      </c>
      <c r="I171">
        <f t="shared" ca="1" si="21"/>
        <v>1.0099043715846994</v>
      </c>
      <c r="J171">
        <f t="shared" ca="1" si="22"/>
        <v>1.0099043715846994</v>
      </c>
      <c r="K171">
        <f ca="1">PRODUCT($J$3:J171)</f>
        <v>5.7335415504464011</v>
      </c>
      <c r="L171">
        <f t="shared" ca="1" si="23"/>
        <v>0.17441227053149064</v>
      </c>
      <c r="M171">
        <f ca="1">SUM($L$3:L171)</f>
        <v>79.726970200257369</v>
      </c>
      <c r="O171">
        <f ca="1">(Q170*'Arkusz1 (+10)'!J171)-Q170</f>
        <v>-10983.141613771208</v>
      </c>
      <c r="P171" s="16">
        <f t="shared" ca="1" si="24"/>
        <v>28899.908064525909</v>
      </c>
      <c r="Q171" s="17">
        <f t="shared" ca="1" si="25"/>
        <v>-1137818.4820342669</v>
      </c>
    </row>
    <row r="172" spans="1:17" x14ac:dyDescent="0.35">
      <c r="A172">
        <v>170</v>
      </c>
      <c r="B172" s="14">
        <f t="shared" ca="1" si="26"/>
        <v>51243</v>
      </c>
      <c r="C172" s="15">
        <f ca="1">(1+(('Symulacja Pożyczka'!$B$5+'Symulacja Pożyczka'!$C$21)/100)*('Arkusz1 (+10)'!B172-'Arkusz1 (+10)'!B171)/365)</f>
        <v>1.0106164383561644</v>
      </c>
      <c r="D172" s="15">
        <f ca="1">(1+(('Symulacja Pożyczka'!$B$5+'Symulacja Pożyczka'!$C$21)/100)*('Arkusz1 (+10)'!B172-'Arkusz1 (+10)'!B171)/366)</f>
        <v>1.0105874316939891</v>
      </c>
      <c r="E172" s="15">
        <f t="shared" ca="1" si="18"/>
        <v>0</v>
      </c>
      <c r="F172" s="15">
        <f t="shared" ca="1" si="19"/>
        <v>0</v>
      </c>
      <c r="G172">
        <f ca="1">IF(E172=1,(1+(('Symulacja Pożyczka'!$B$5+'Symulacja Pożyczka'!$C$21)/100)*(((Arkusz1!B172-DATE(YEAR(B172),1,1)+1)/365)+((DATE(YEAR(B171),12,31)-Arkusz1!B171)/366))),IF(F172=1,(1+(('Symulacja Pożyczka'!$B$5+'Symulacja Pożyczka'!$C$21)/100)*(((Arkusz1!B172-DATE(YEAR(B172),1,1)+1)/366)+((DATE(YEAR(B171),12,31)-Arkusz1!B171)/365))),0))</f>
        <v>0</v>
      </c>
      <c r="H172">
        <f t="shared" ca="1" si="20"/>
        <v>1</v>
      </c>
      <c r="I172">
        <f t="shared" ca="1" si="21"/>
        <v>1.0105874316939891</v>
      </c>
      <c r="J172">
        <f t="shared" ca="1" si="22"/>
        <v>1.0105874316939891</v>
      </c>
      <c r="K172">
        <f ca="1">PRODUCT($J$3:J172)</f>
        <v>5.794245029976401</v>
      </c>
      <c r="L172">
        <f t="shared" ca="1" si="23"/>
        <v>0.17258503822784879</v>
      </c>
      <c r="M172">
        <f ca="1">SUM($L$3:L172)</f>
        <v>79.89955523848522</v>
      </c>
      <c r="O172">
        <f ca="1">(Q171*'Arkusz1 (+10)'!J172)-Q171</f>
        <v>-12046.575458696112</v>
      </c>
      <c r="P172" s="16">
        <f t="shared" ca="1" si="24"/>
        <v>29963.341909450814</v>
      </c>
      <c r="Q172" s="17">
        <f t="shared" ca="1" si="25"/>
        <v>-1167781.8239437176</v>
      </c>
    </row>
    <row r="173" spans="1:17" x14ac:dyDescent="0.35">
      <c r="A173">
        <v>171</v>
      </c>
      <c r="B173" s="14">
        <f t="shared" ca="1" si="26"/>
        <v>51273</v>
      </c>
      <c r="C173" s="15">
        <f ca="1">(1+(('Symulacja Pożyczka'!$B$5+'Symulacja Pożyczka'!$C$21)/100)*('Arkusz1 (+10)'!B173-'Arkusz1 (+10)'!B172)/365)</f>
        <v>1.0102739726027397</v>
      </c>
      <c r="D173" s="15">
        <f ca="1">(1+(('Symulacja Pożyczka'!$B$5+'Symulacja Pożyczka'!$C$21)/100)*('Arkusz1 (+10)'!B173-'Arkusz1 (+10)'!B172)/366)</f>
        <v>1.0102459016393444</v>
      </c>
      <c r="E173" s="15">
        <f t="shared" ca="1" si="18"/>
        <v>0</v>
      </c>
      <c r="F173" s="15">
        <f t="shared" ca="1" si="19"/>
        <v>0</v>
      </c>
      <c r="G173">
        <f ca="1">IF(E173=1,(1+(('Symulacja Pożyczka'!$B$5+'Symulacja Pożyczka'!$C$21)/100)*(((Arkusz1!B173-DATE(YEAR(B173),1,1)+1)/365)+((DATE(YEAR(B172),12,31)-Arkusz1!B172)/366))),IF(F173=1,(1+(('Symulacja Pożyczka'!$B$5+'Symulacja Pożyczka'!$C$21)/100)*(((Arkusz1!B173-DATE(YEAR(B173),1,1)+1)/366)+((DATE(YEAR(B172),12,31)-Arkusz1!B172)/365))),0))</f>
        <v>0</v>
      </c>
      <c r="H173">
        <f t="shared" ca="1" si="20"/>
        <v>1</v>
      </c>
      <c r="I173">
        <f t="shared" ca="1" si="21"/>
        <v>1.0102459016393444</v>
      </c>
      <c r="J173">
        <f t="shared" ca="1" si="22"/>
        <v>1.0102459016393444</v>
      </c>
      <c r="K173">
        <f ca="1">PRODUCT($J$3:J173)</f>
        <v>5.8536122946277995</v>
      </c>
      <c r="L173">
        <f t="shared" ca="1" si="23"/>
        <v>0.17083468287056836</v>
      </c>
      <c r="M173">
        <f ca="1">SUM($L$3:L173)</f>
        <v>80.070389921355783</v>
      </c>
      <c r="O173">
        <f ca="1">(Q172*'Arkusz1 (+10)'!J173)-Q172</f>
        <v>-11964.977704341523</v>
      </c>
      <c r="P173" s="16">
        <f t="shared" ca="1" si="24"/>
        <v>29881.744155096225</v>
      </c>
      <c r="Q173" s="17">
        <f t="shared" ca="1" si="25"/>
        <v>-1197663.5680988138</v>
      </c>
    </row>
    <row r="174" spans="1:17" x14ac:dyDescent="0.35">
      <c r="A174">
        <v>172</v>
      </c>
      <c r="B174" s="14">
        <f t="shared" ca="1" si="26"/>
        <v>51304</v>
      </c>
      <c r="C174" s="15">
        <f ca="1">(1+(('Symulacja Pożyczka'!$B$5+'Symulacja Pożyczka'!$C$21)/100)*('Arkusz1 (+10)'!B174-'Arkusz1 (+10)'!B173)/365)</f>
        <v>1.0106164383561644</v>
      </c>
      <c r="D174" s="15">
        <f ca="1">(1+(('Symulacja Pożyczka'!$B$5+'Symulacja Pożyczka'!$C$21)/100)*('Arkusz1 (+10)'!B174-'Arkusz1 (+10)'!B173)/366)</f>
        <v>1.0105874316939891</v>
      </c>
      <c r="E174" s="15">
        <f t="shared" ca="1" si="18"/>
        <v>0</v>
      </c>
      <c r="F174" s="15">
        <f t="shared" ca="1" si="19"/>
        <v>0</v>
      </c>
      <c r="G174">
        <f ca="1">IF(E174=1,(1+(('Symulacja Pożyczka'!$B$5+'Symulacja Pożyczka'!$C$21)/100)*(((Arkusz1!B174-DATE(YEAR(B174),1,1)+1)/365)+((DATE(YEAR(B173),12,31)-Arkusz1!B173)/366))),IF(F174=1,(1+(('Symulacja Pożyczka'!$B$5+'Symulacja Pożyczka'!$C$21)/100)*(((Arkusz1!B174-DATE(YEAR(B174),1,1)+1)/366)+((DATE(YEAR(B173),12,31)-Arkusz1!B173)/365))),0))</f>
        <v>0</v>
      </c>
      <c r="H174">
        <f t="shared" ca="1" si="20"/>
        <v>1</v>
      </c>
      <c r="I174">
        <f t="shared" ca="1" si="21"/>
        <v>1.0105874316939891</v>
      </c>
      <c r="J174">
        <f t="shared" ca="1" si="22"/>
        <v>1.0105874316939891</v>
      </c>
      <c r="K174">
        <f ca="1">PRODUCT($J$3:J174)</f>
        <v>5.9155870149602663</v>
      </c>
      <c r="L174">
        <f t="shared" ca="1" si="23"/>
        <v>0.16904493120818659</v>
      </c>
      <c r="M174">
        <f ca="1">SUM($L$3:L174)</f>
        <v>80.239434852563974</v>
      </c>
      <c r="O174">
        <f ca="1">(Q173*'Arkusz1 (+10)'!J174)-Q173</f>
        <v>-12680.18121962552</v>
      </c>
      <c r="P174" s="16">
        <f t="shared" ca="1" si="24"/>
        <v>30596.947670380221</v>
      </c>
      <c r="Q174" s="17">
        <f t="shared" ca="1" si="25"/>
        <v>-1228260.5157691939</v>
      </c>
    </row>
    <row r="175" spans="1:17" x14ac:dyDescent="0.35">
      <c r="A175">
        <v>173</v>
      </c>
      <c r="B175" s="14">
        <f t="shared" ca="1" si="26"/>
        <v>51334</v>
      </c>
      <c r="C175" s="15">
        <f ca="1">(1+(('Symulacja Pożyczka'!$B$5+'Symulacja Pożyczka'!$C$21)/100)*('Arkusz1 (+10)'!B175-'Arkusz1 (+10)'!B174)/365)</f>
        <v>1.0102739726027397</v>
      </c>
      <c r="D175" s="15">
        <f ca="1">(1+(('Symulacja Pożyczka'!$B$5+'Symulacja Pożyczka'!$C$21)/100)*('Arkusz1 (+10)'!B175-'Arkusz1 (+10)'!B174)/366)</f>
        <v>1.0102459016393444</v>
      </c>
      <c r="E175" s="15">
        <f t="shared" ca="1" si="18"/>
        <v>0</v>
      </c>
      <c r="F175" s="15">
        <f t="shared" ca="1" si="19"/>
        <v>0</v>
      </c>
      <c r="G175">
        <f ca="1">IF(E175=1,(1+(('Symulacja Pożyczka'!$B$5+'Symulacja Pożyczka'!$C$21)/100)*(((Arkusz1!B175-DATE(YEAR(B175),1,1)+1)/365)+((DATE(YEAR(B174),12,31)-Arkusz1!B174)/366))),IF(F175=1,(1+(('Symulacja Pożyczka'!$B$5+'Symulacja Pożyczka'!$C$21)/100)*(((Arkusz1!B175-DATE(YEAR(B175),1,1)+1)/366)+((DATE(YEAR(B174),12,31)-Arkusz1!B174)/365))),0))</f>
        <v>0</v>
      </c>
      <c r="H175">
        <f t="shared" ca="1" si="20"/>
        <v>1</v>
      </c>
      <c r="I175">
        <f t="shared" ca="1" si="21"/>
        <v>1.0102459016393444</v>
      </c>
      <c r="J175">
        <f t="shared" ca="1" si="22"/>
        <v>1.0102459016393444</v>
      </c>
      <c r="K175">
        <f ca="1">PRODUCT($J$3:J175)</f>
        <v>5.9761975376545315</v>
      </c>
      <c r="L175">
        <f t="shared" ca="1" si="23"/>
        <v>0.16733047957321512</v>
      </c>
      <c r="M175">
        <f ca="1">SUM($L$3:L175)</f>
        <v>80.406765332137184</v>
      </c>
      <c r="O175">
        <f ca="1">(Q174*'Arkusz1 (+10)'!J175)-Q174</f>
        <v>-12584.636432061438</v>
      </c>
      <c r="P175" s="16">
        <f t="shared" ca="1" si="24"/>
        <v>30501.402882816139</v>
      </c>
      <c r="Q175" s="17">
        <f t="shared" ca="1" si="25"/>
        <v>-1258761.9186520099</v>
      </c>
    </row>
    <row r="176" spans="1:17" x14ac:dyDescent="0.35">
      <c r="A176">
        <v>174</v>
      </c>
      <c r="B176" s="14">
        <f t="shared" ca="1" si="26"/>
        <v>51365</v>
      </c>
      <c r="C176" s="15">
        <f ca="1">(1+(('Symulacja Pożyczka'!$B$5+'Symulacja Pożyczka'!$C$21)/100)*('Arkusz1 (+10)'!B176-'Arkusz1 (+10)'!B175)/365)</f>
        <v>1.0106164383561644</v>
      </c>
      <c r="D176" s="15">
        <f ca="1">(1+(('Symulacja Pożyczka'!$B$5+'Symulacja Pożyczka'!$C$21)/100)*('Arkusz1 (+10)'!B176-'Arkusz1 (+10)'!B175)/366)</f>
        <v>1.0105874316939891</v>
      </c>
      <c r="E176" s="15">
        <f t="shared" ca="1" si="18"/>
        <v>0</v>
      </c>
      <c r="F176" s="15">
        <f t="shared" ca="1" si="19"/>
        <v>0</v>
      </c>
      <c r="G176">
        <f ca="1">IF(E176=1,(1+(('Symulacja Pożyczka'!$B$5+'Symulacja Pożyczka'!$C$21)/100)*(((Arkusz1!B176-DATE(YEAR(B176),1,1)+1)/365)+((DATE(YEAR(B175),12,31)-Arkusz1!B175)/366))),IF(F176=1,(1+(('Symulacja Pożyczka'!$B$5+'Symulacja Pożyczka'!$C$21)/100)*(((Arkusz1!B176-DATE(YEAR(B176),1,1)+1)/366)+((DATE(YEAR(B175),12,31)-Arkusz1!B175)/365))),0))</f>
        <v>0</v>
      </c>
      <c r="H176">
        <f t="shared" ca="1" si="20"/>
        <v>1</v>
      </c>
      <c r="I176">
        <f t="shared" ca="1" si="21"/>
        <v>1.0105874316939891</v>
      </c>
      <c r="J176">
        <f t="shared" ca="1" si="22"/>
        <v>1.0105874316939891</v>
      </c>
      <c r="K176">
        <f ca="1">PRODUCT($J$3:J176)</f>
        <v>6.0394701208742347</v>
      </c>
      <c r="L176">
        <f t="shared" ca="1" si="23"/>
        <v>0.16557743973990327</v>
      </c>
      <c r="M176">
        <f ca="1">SUM($L$3:L176)</f>
        <v>80.572342771877089</v>
      </c>
      <c r="O176">
        <f ca="1">(Q175*'Arkusz1 (+10)'!J176)-Q175</f>
        <v>-13327.055832722923</v>
      </c>
      <c r="P176" s="16">
        <f t="shared" ca="1" si="24"/>
        <v>31243.822283477624</v>
      </c>
      <c r="Q176" s="17">
        <f t="shared" ca="1" si="25"/>
        <v>-1290005.7409354874</v>
      </c>
    </row>
    <row r="177" spans="1:17" x14ac:dyDescent="0.35">
      <c r="A177">
        <v>175</v>
      </c>
      <c r="B177" s="14">
        <f t="shared" ca="1" si="26"/>
        <v>51396</v>
      </c>
      <c r="C177" s="15">
        <f ca="1">(1+(('Symulacja Pożyczka'!$B$5+'Symulacja Pożyczka'!$C$21)/100)*('Arkusz1 (+10)'!B177-'Arkusz1 (+10)'!B176)/365)</f>
        <v>1.0106164383561644</v>
      </c>
      <c r="D177" s="15">
        <f ca="1">(1+(('Symulacja Pożyczka'!$B$5+'Symulacja Pożyczka'!$C$21)/100)*('Arkusz1 (+10)'!B177-'Arkusz1 (+10)'!B176)/366)</f>
        <v>1.0105874316939891</v>
      </c>
      <c r="E177" s="15">
        <f t="shared" ca="1" si="18"/>
        <v>0</v>
      </c>
      <c r="F177" s="15">
        <f t="shared" ca="1" si="19"/>
        <v>0</v>
      </c>
      <c r="G177">
        <f ca="1">IF(E177=1,(1+(('Symulacja Pożyczka'!$B$5+'Symulacja Pożyczka'!$C$21)/100)*(((Arkusz1!B177-DATE(YEAR(B177),1,1)+1)/365)+((DATE(YEAR(B176),12,31)-Arkusz1!B176)/366))),IF(F177=1,(1+(('Symulacja Pożyczka'!$B$5+'Symulacja Pożyczka'!$C$21)/100)*(((Arkusz1!B177-DATE(YEAR(B177),1,1)+1)/366)+((DATE(YEAR(B176),12,31)-Arkusz1!B176)/365))),0))</f>
        <v>0</v>
      </c>
      <c r="H177">
        <f t="shared" ca="1" si="20"/>
        <v>1</v>
      </c>
      <c r="I177">
        <f t="shared" ca="1" si="21"/>
        <v>1.0105874316939891</v>
      </c>
      <c r="J177">
        <f t="shared" ca="1" si="22"/>
        <v>1.0105874316939891</v>
      </c>
      <c r="K177">
        <f ca="1">PRODUCT($J$3:J177)</f>
        <v>6.1034125982468792</v>
      </c>
      <c r="L177">
        <f t="shared" ca="1" si="23"/>
        <v>0.16384276565002931</v>
      </c>
      <c r="M177">
        <f ca="1">SUM($L$3:L177)</f>
        <v>80.73618553752712</v>
      </c>
      <c r="O177">
        <f ca="1">(Q176*'Arkusz1 (+10)'!J177)-Q176</f>
        <v>-13657.847667008406</v>
      </c>
      <c r="P177" s="16">
        <f t="shared" ca="1" si="24"/>
        <v>31574.614117763107</v>
      </c>
      <c r="Q177" s="17">
        <f t="shared" ca="1" si="25"/>
        <v>-1321580.3550532504</v>
      </c>
    </row>
    <row r="178" spans="1:17" x14ac:dyDescent="0.35">
      <c r="A178">
        <v>176</v>
      </c>
      <c r="B178" s="14">
        <f t="shared" ca="1" si="26"/>
        <v>51426</v>
      </c>
      <c r="C178" s="15">
        <f ca="1">(1+(('Symulacja Pożyczka'!$B$5+'Symulacja Pożyczka'!$C$21)/100)*('Arkusz1 (+10)'!B178-'Arkusz1 (+10)'!B177)/365)</f>
        <v>1.0102739726027397</v>
      </c>
      <c r="D178" s="15">
        <f ca="1">(1+(('Symulacja Pożyczka'!$B$5+'Symulacja Pożyczka'!$C$21)/100)*('Arkusz1 (+10)'!B178-'Arkusz1 (+10)'!B177)/366)</f>
        <v>1.0102459016393444</v>
      </c>
      <c r="E178" s="15">
        <f t="shared" ca="1" si="18"/>
        <v>0</v>
      </c>
      <c r="F178" s="15">
        <f t="shared" ca="1" si="19"/>
        <v>0</v>
      </c>
      <c r="G178">
        <f ca="1">IF(E178=1,(1+(('Symulacja Pożyczka'!$B$5+'Symulacja Pożyczka'!$C$21)/100)*(((Arkusz1!B178-DATE(YEAR(B178),1,1)+1)/365)+((DATE(YEAR(B177),12,31)-Arkusz1!B177)/366))),IF(F178=1,(1+(('Symulacja Pożyczka'!$B$5+'Symulacja Pożyczka'!$C$21)/100)*(((Arkusz1!B178-DATE(YEAR(B178),1,1)+1)/366)+((DATE(YEAR(B177),12,31)-Arkusz1!B177)/365))),0))</f>
        <v>0</v>
      </c>
      <c r="H178">
        <f t="shared" ca="1" si="20"/>
        <v>1</v>
      </c>
      <c r="I178">
        <f t="shared" ca="1" si="21"/>
        <v>1.0102459016393444</v>
      </c>
      <c r="J178">
        <f t="shared" ca="1" si="22"/>
        <v>1.0102459016393444</v>
      </c>
      <c r="K178">
        <f ca="1">PRODUCT($J$3:J178)</f>
        <v>6.1659475633928515</v>
      </c>
      <c r="L178">
        <f t="shared" ca="1" si="23"/>
        <v>0.16218107431483633</v>
      </c>
      <c r="M178">
        <f ca="1">SUM($L$3:L178)</f>
        <v>80.898366611841951</v>
      </c>
      <c r="O178">
        <f ca="1">(Q177*'Arkusz1 (+10)'!J178)-Q177</f>
        <v>-13540.782326365355</v>
      </c>
      <c r="P178" s="16">
        <f t="shared" ca="1" si="24"/>
        <v>31457.548777120057</v>
      </c>
      <c r="Q178" s="17">
        <f t="shared" ca="1" si="25"/>
        <v>-1353037.9038303704</v>
      </c>
    </row>
    <row r="179" spans="1:17" x14ac:dyDescent="0.35">
      <c r="A179">
        <v>177</v>
      </c>
      <c r="B179" s="14">
        <f t="shared" ca="1" si="26"/>
        <v>51457</v>
      </c>
      <c r="C179" s="15">
        <f ca="1">(1+(('Symulacja Pożyczka'!$B$5+'Symulacja Pożyczka'!$C$21)/100)*('Arkusz1 (+10)'!B179-'Arkusz1 (+10)'!B178)/365)</f>
        <v>1.0106164383561644</v>
      </c>
      <c r="D179" s="15">
        <f ca="1">(1+(('Symulacja Pożyczka'!$B$5+'Symulacja Pożyczka'!$C$21)/100)*('Arkusz1 (+10)'!B179-'Arkusz1 (+10)'!B178)/366)</f>
        <v>1.0105874316939891</v>
      </c>
      <c r="E179" s="15">
        <f t="shared" ca="1" si="18"/>
        <v>0</v>
      </c>
      <c r="F179" s="15">
        <f t="shared" ca="1" si="19"/>
        <v>0</v>
      </c>
      <c r="G179">
        <f ca="1">IF(E179=1,(1+(('Symulacja Pożyczka'!$B$5+'Symulacja Pożyczka'!$C$21)/100)*(((Arkusz1!B179-DATE(YEAR(B179),1,1)+1)/365)+((DATE(YEAR(B178),12,31)-Arkusz1!B178)/366))),IF(F179=1,(1+(('Symulacja Pożyczka'!$B$5+'Symulacja Pożyczka'!$C$21)/100)*(((Arkusz1!B179-DATE(YEAR(B179),1,1)+1)/366)+((DATE(YEAR(B178),12,31)-Arkusz1!B178)/365))),0))</f>
        <v>0</v>
      </c>
      <c r="H179">
        <f t="shared" ca="1" si="20"/>
        <v>1</v>
      </c>
      <c r="I179">
        <f t="shared" ca="1" si="21"/>
        <v>1.0105874316939891</v>
      </c>
      <c r="J179">
        <f t="shared" ca="1" si="22"/>
        <v>1.0105874316939891</v>
      </c>
      <c r="K179">
        <f ca="1">PRODUCT($J$3:J179)</f>
        <v>6.2312291120489922</v>
      </c>
      <c r="L179">
        <f t="shared" ca="1" si="23"/>
        <v>0.16048198228923308</v>
      </c>
      <c r="M179">
        <f ca="1">SUM($L$3:L179)</f>
        <v>81.058848594131177</v>
      </c>
      <c r="O179">
        <f ca="1">(Q178*'Arkusz1 (+10)'!J179)-Q178</f>
        <v>-14325.196386182215</v>
      </c>
      <c r="P179" s="16">
        <f t="shared" ca="1" si="24"/>
        <v>32241.962836936917</v>
      </c>
      <c r="Q179" s="17">
        <f t="shared" ca="1" si="25"/>
        <v>-1385279.8666673072</v>
      </c>
    </row>
    <row r="180" spans="1:17" x14ac:dyDescent="0.35">
      <c r="A180">
        <v>178</v>
      </c>
      <c r="B180" s="14">
        <f t="shared" ca="1" si="26"/>
        <v>51487</v>
      </c>
      <c r="C180" s="15">
        <f ca="1">(1+(('Symulacja Pożyczka'!$B$5+'Symulacja Pożyczka'!$C$21)/100)*('Arkusz1 (+10)'!B180-'Arkusz1 (+10)'!B179)/365)</f>
        <v>1.0102739726027397</v>
      </c>
      <c r="D180" s="15">
        <f ca="1">(1+(('Symulacja Pożyczka'!$B$5+'Symulacja Pożyczka'!$C$21)/100)*('Arkusz1 (+10)'!B180-'Arkusz1 (+10)'!B179)/366)</f>
        <v>1.0102459016393444</v>
      </c>
      <c r="E180" s="15">
        <f t="shared" ca="1" si="18"/>
        <v>0</v>
      </c>
      <c r="F180" s="15">
        <f t="shared" ca="1" si="19"/>
        <v>0</v>
      </c>
      <c r="G180">
        <f ca="1">IF(E180=1,(1+(('Symulacja Pożyczka'!$B$5+'Symulacja Pożyczka'!$C$21)/100)*(((Arkusz1!B180-DATE(YEAR(B180),1,1)+1)/365)+((DATE(YEAR(B179),12,31)-Arkusz1!B179)/366))),IF(F180=1,(1+(('Symulacja Pożyczka'!$B$5+'Symulacja Pożyczka'!$C$21)/100)*(((Arkusz1!B180-DATE(YEAR(B180),1,1)+1)/366)+((DATE(YEAR(B179),12,31)-Arkusz1!B179)/365))),0))</f>
        <v>0</v>
      </c>
      <c r="H180">
        <f t="shared" ca="1" si="20"/>
        <v>1</v>
      </c>
      <c r="I180">
        <f t="shared" ca="1" si="21"/>
        <v>1.0102459016393444</v>
      </c>
      <c r="J180">
        <f t="shared" ca="1" si="22"/>
        <v>1.0102459016393444</v>
      </c>
      <c r="K180">
        <f ca="1">PRODUCT($J$3:J180)</f>
        <v>6.295073672623265</v>
      </c>
      <c r="L180">
        <f t="shared" ca="1" si="23"/>
        <v>0.15885437597798324</v>
      </c>
      <c r="M180">
        <f ca="1">SUM($L$3:L180)</f>
        <v>81.217702970109158</v>
      </c>
      <c r="O180">
        <f ca="1">(Q179*'Arkusz1 (+10)'!J180)-Q179</f>
        <v>-14193.441256837221</v>
      </c>
      <c r="P180" s="16">
        <f t="shared" ca="1" si="24"/>
        <v>32110.207707591922</v>
      </c>
      <c r="Q180" s="17">
        <f t="shared" ca="1" si="25"/>
        <v>-1417390.074374899</v>
      </c>
    </row>
    <row r="181" spans="1:17" x14ac:dyDescent="0.35">
      <c r="A181">
        <v>179</v>
      </c>
      <c r="B181" s="14">
        <f t="shared" ca="1" si="26"/>
        <v>51518</v>
      </c>
      <c r="C181" s="15">
        <f ca="1">(1+(('Symulacja Pożyczka'!$B$5+'Symulacja Pożyczka'!$C$21)/100)*('Arkusz1 (+10)'!B181-'Arkusz1 (+10)'!B180)/365)</f>
        <v>1.0106164383561644</v>
      </c>
      <c r="D181" s="15">
        <f ca="1">(1+(('Symulacja Pożyczka'!$B$5+'Symulacja Pożyczka'!$C$21)/100)*('Arkusz1 (+10)'!B181-'Arkusz1 (+10)'!B180)/366)</f>
        <v>1.0105874316939891</v>
      </c>
      <c r="E181" s="15">
        <f t="shared" ca="1" si="18"/>
        <v>1</v>
      </c>
      <c r="F181" s="15">
        <f t="shared" ca="1" si="19"/>
        <v>0</v>
      </c>
      <c r="G181">
        <f ca="1">IF(E181=1,(1+(('Symulacja Pożyczka'!$B$5+'Symulacja Pożyczka'!$C$21)/100)*(((Arkusz1!B181-DATE(YEAR(B181),1,1)+1)/365)+((DATE(YEAR(B180),12,31)-Arkusz1!B180)/366))),IF(F181=1,(1+(('Symulacja Pożyczka'!$B$5+'Symulacja Pożyczka'!$C$21)/100)*(((Arkusz1!B181-DATE(YEAR(B181),1,1)+1)/366)+((DATE(YEAR(B180),12,31)-Arkusz1!B180)/365))),0))</f>
        <v>1.0106033385732465</v>
      </c>
      <c r="H181">
        <f t="shared" ca="1" si="20"/>
        <v>0</v>
      </c>
      <c r="I181">
        <f t="shared" ca="1" si="21"/>
        <v>1.0106164383561644</v>
      </c>
      <c r="J181">
        <f t="shared" ca="1" si="22"/>
        <v>1.0106033385732465</v>
      </c>
      <c r="K181">
        <f ca="1">PRODUCT($J$3:J181)</f>
        <v>6.3618224701176196</v>
      </c>
      <c r="L181">
        <f t="shared" ca="1" si="23"/>
        <v>0.15718766197848832</v>
      </c>
      <c r="M181">
        <f ca="1">SUM($L$3:L181)</f>
        <v>81.374890632087642</v>
      </c>
      <c r="O181">
        <f ca="1">(Q180*'Arkusz1 (+10)'!J181)-Q180</f>
        <v>-15029.066848956048</v>
      </c>
      <c r="P181" s="16">
        <f t="shared" ca="1" si="24"/>
        <v>32945.83329971075</v>
      </c>
      <c r="Q181" s="17">
        <f t="shared" ca="1" si="25"/>
        <v>-1450335.9076746097</v>
      </c>
    </row>
    <row r="182" spans="1:17" x14ac:dyDescent="0.35">
      <c r="A182">
        <v>180</v>
      </c>
      <c r="B182" s="14">
        <f t="shared" ca="1" si="26"/>
        <v>51549</v>
      </c>
      <c r="C182" s="15">
        <f ca="1">(1+(('Symulacja Pożyczka'!$B$5+'Symulacja Pożyczka'!$C$21)/100)*('Arkusz1 (+10)'!B182-'Arkusz1 (+10)'!B181)/365)</f>
        <v>1.0106164383561644</v>
      </c>
      <c r="D182" s="15">
        <f ca="1">(1+(('Symulacja Pożyczka'!$B$5+'Symulacja Pożyczka'!$C$21)/100)*('Arkusz1 (+10)'!B182-'Arkusz1 (+10)'!B181)/366)</f>
        <v>1.0105874316939891</v>
      </c>
      <c r="E182" s="15">
        <f t="shared" ca="1" si="18"/>
        <v>0</v>
      </c>
      <c r="F182" s="15">
        <f t="shared" ca="1" si="19"/>
        <v>0</v>
      </c>
      <c r="G182">
        <f ca="1">IF(E182=1,(1+(('Symulacja Pożyczka'!$B$5+'Symulacja Pożyczka'!$C$21)/100)*(((Arkusz1!B182-DATE(YEAR(B182),1,1)+1)/365)+((DATE(YEAR(B181),12,31)-Arkusz1!B181)/366))),IF(F182=1,(1+(('Symulacja Pożyczka'!$B$5+'Symulacja Pożyczka'!$C$21)/100)*(((Arkusz1!B182-DATE(YEAR(B182),1,1)+1)/366)+((DATE(YEAR(B181),12,31)-Arkusz1!B181)/365))),0))</f>
        <v>0</v>
      </c>
      <c r="H182">
        <f t="shared" ca="1" si="20"/>
        <v>0</v>
      </c>
      <c r="I182">
        <f t="shared" ca="1" si="21"/>
        <v>1.0106164383561644</v>
      </c>
      <c r="J182">
        <f t="shared" ca="1" si="22"/>
        <v>1.0106164383561644</v>
      </c>
      <c r="K182">
        <f ca="1">PRODUCT($J$3:J182)</f>
        <v>6.4293623662044848</v>
      </c>
      <c r="L182">
        <f t="shared" ca="1" si="23"/>
        <v>0.15553641917220803</v>
      </c>
      <c r="M182">
        <f ca="1">SUM($L$3:L182)</f>
        <v>81.530427051259849</v>
      </c>
      <c r="O182">
        <f ca="1">(Q181*'Arkusz1 (+10)'!J182)-Q181</f>
        <v>-15397.401759559289</v>
      </c>
      <c r="P182" s="16">
        <f t="shared" ca="1" si="24"/>
        <v>33314.16821031399</v>
      </c>
      <c r="Q182" s="17">
        <f t="shared" ca="1" si="25"/>
        <v>-1483650.0758849236</v>
      </c>
    </row>
  </sheetData>
  <pageMargins left="0.7" right="0.7" top="0.75" bottom="0.75" header="0.3" footer="0.3"/>
  <pageSetup paperSize="9" orientation="portrait" horizontalDpi="300" verticalDpi="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Arkusz37"/>
  <dimension ref="A1:Q182"/>
  <sheetViews>
    <sheetView topLeftCell="G1" workbookViewId="0">
      <pane ySplit="1" topLeftCell="A2" activePane="bottomLeft" state="frozen"/>
      <selection pane="bottomLeft" activeCell="G3" sqref="G3"/>
    </sheetView>
  </sheetViews>
  <sheetFormatPr defaultRowHeight="14.5" x14ac:dyDescent="0.35"/>
  <cols>
    <col min="1" max="1" width="4" bestFit="1" customWidth="1"/>
    <col min="2" max="2" width="16.1796875" customWidth="1"/>
    <col min="3" max="3" width="16.1796875" style="15" customWidth="1"/>
    <col min="4" max="11" width="16.1796875" customWidth="1"/>
    <col min="12" max="12" width="17.453125" customWidth="1"/>
    <col min="13" max="13" width="12.1796875" customWidth="1"/>
    <col min="14" max="14" width="14.1796875" customWidth="1"/>
    <col min="15" max="15" width="15.1796875" customWidth="1"/>
    <col min="16" max="16" width="16.81640625" customWidth="1"/>
    <col min="17" max="17" width="16.1796875" customWidth="1"/>
  </cols>
  <sheetData>
    <row r="1" spans="1:17" x14ac:dyDescent="0.35">
      <c r="A1" s="1" t="s">
        <v>6</v>
      </c>
      <c r="B1" s="2"/>
      <c r="C1" s="3" t="s">
        <v>7</v>
      </c>
      <c r="D1" s="2" t="s">
        <v>8</v>
      </c>
      <c r="E1" s="2" t="s">
        <v>9</v>
      </c>
      <c r="F1" s="2" t="s">
        <v>10</v>
      </c>
      <c r="G1" s="2" t="s">
        <v>11</v>
      </c>
      <c r="H1" s="2" t="s">
        <v>12</v>
      </c>
      <c r="I1" s="2" t="s">
        <v>13</v>
      </c>
      <c r="J1" s="2" t="s">
        <v>14</v>
      </c>
      <c r="K1" s="2" t="s">
        <v>15</v>
      </c>
      <c r="L1" s="4" t="s">
        <v>16</v>
      </c>
      <c r="M1" s="5" t="s">
        <v>17</v>
      </c>
      <c r="N1" s="4" t="s">
        <v>18</v>
      </c>
      <c r="O1" s="6" t="s">
        <v>19</v>
      </c>
      <c r="P1" s="7" t="s">
        <v>20</v>
      </c>
      <c r="Q1" s="7" t="s">
        <v>21</v>
      </c>
    </row>
    <row r="2" spans="1:17" x14ac:dyDescent="0.35">
      <c r="A2" s="8">
        <v>0</v>
      </c>
      <c r="B2" s="9">
        <f ca="1">'Symulacja Pożyczka'!B10</f>
        <v>46083</v>
      </c>
      <c r="C2" s="10"/>
      <c r="D2" s="9"/>
      <c r="E2" s="9"/>
      <c r="F2" s="9"/>
      <c r="G2" s="11"/>
      <c r="H2" s="11"/>
      <c r="I2" s="11"/>
      <c r="J2" s="11"/>
      <c r="K2" s="11"/>
      <c r="L2" s="7"/>
      <c r="M2" s="12"/>
      <c r="N2" s="13">
        <f ca="1">'Symulacja Pożyczka'!B3/VLOOKUP('Symulacja Pożyczka'!B4,'Arkusz1 (+0)'!$A$1:$O$182,13,1)</f>
        <v>11583.851739827893</v>
      </c>
      <c r="O2" s="7"/>
    </row>
    <row r="3" spans="1:17" x14ac:dyDescent="0.35">
      <c r="A3">
        <v>1</v>
      </c>
      <c r="B3" s="14">
        <f ca="1">'Symulacja Pożyczka'!B11</f>
        <v>46098</v>
      </c>
      <c r="C3" s="15">
        <f ca="1">(1+(('Symulacja Pożyczka'!$B$5+'Symulacja Pożyczka'!$C$18)/100)*('Arkusz1 (+0)'!B3-'Arkusz1 (+0)'!B2)/365)</f>
        <v>1.0010273972602739</v>
      </c>
      <c r="D3" s="15">
        <f ca="1">(1+(('Symulacja Pożyczka'!$B$5+'Symulacja Pożyczka'!$C$18)/100)*('Arkusz1 (+0)'!B3-'Arkusz1 (+0)'!B2)/366)</f>
        <v>1.0010245901639345</v>
      </c>
      <c r="E3" s="15">
        <f ca="1">IF(AND(MOD(YEAR(B2),4)=0,MOD(YEAR(B3),4)&lt;&gt;0),1,0)</f>
        <v>0</v>
      </c>
      <c r="F3" s="15">
        <f ca="1">IF(AND(MOD(YEAR(B3),4)=0,MOD(YEAR(B2),4)&lt;&gt;0),1,0)</f>
        <v>0</v>
      </c>
      <c r="G3">
        <f ca="1">IF(E3=1,(1+(('Symulacja Pożyczka'!$B$5+'Symulacja Pożyczka'!$C$18)/100)*(((Arkusz1!B3-DATE(YEAR(B3),1,1)+1)/365)+((DATE(YEAR(B2),12,31)-Arkusz1!B2)/366))),IF(F3=1,(1+(('Symulacja Pożyczka'!$B$5+'Symulacja Pożyczka'!$C$18)/100)*(((Arkusz1!B3-DATE(YEAR(B3),1,1)+1)/366)+((DATE(YEAR(B2),12,31)-Arkusz1!B2)/365))),0))</f>
        <v>0</v>
      </c>
      <c r="H3">
        <f ca="1">IF(MOD(YEAR(B3),4)=0,1,0)</f>
        <v>0</v>
      </c>
      <c r="I3">
        <f ca="1">IF(H3=0,C3,IF(H3=1,D3,"blad"))</f>
        <v>1.0010273972602739</v>
      </c>
      <c r="J3">
        <f ca="1">IF(OR(E3=1,F3=1),G3,I3)</f>
        <v>1.0010273972602739</v>
      </c>
      <c r="K3">
        <f ca="1">J3</f>
        <v>1.0010273972602739</v>
      </c>
      <c r="L3">
        <f ca="1">1/K3</f>
        <v>0.99897365720150533</v>
      </c>
      <c r="O3">
        <f ca="1">('Symulacja Pożyczka'!$B$3*'Arkusz1 (+0)'!J3)-'Symulacja Pożyczka'!$B$3</f>
        <v>1263.6986301369034</v>
      </c>
      <c r="P3" s="16">
        <f ca="1">$N$2-O3</f>
        <v>10320.153109690989</v>
      </c>
      <c r="Q3" s="17">
        <f ca="1">'Symulacja Pożyczka'!B3-P3</f>
        <v>1219679.8468903089</v>
      </c>
    </row>
    <row r="4" spans="1:17" x14ac:dyDescent="0.35">
      <c r="A4">
        <v>2</v>
      </c>
      <c r="B4" s="14">
        <f ca="1">DATE(YEAR((B3)),MONTH((B3))+1,IF(AND(DAY(B3)&gt;28,MONTH((B3))+1=2),IF(MOD(YEAR(B3),4)=0,29,28),DAY(B3)))</f>
        <v>46129</v>
      </c>
      <c r="C4" s="15">
        <f ca="1">(1+(('Symulacja Pożyczka'!$B$5+'Symulacja Pożyczka'!$C$18)/100)*('Arkusz1 (+0)'!B4-'Arkusz1 (+0)'!B3)/365)</f>
        <v>1.0021232876712329</v>
      </c>
      <c r="D4" s="15">
        <f ca="1">(1+(('Symulacja Pożyczka'!$B$5+'Symulacja Pożyczka'!$C$18)/100)*('Arkusz1 (+0)'!B4-'Arkusz1 (+0)'!B3)/366)</f>
        <v>1.0021174863387978</v>
      </c>
      <c r="E4" s="15">
        <f t="shared" ref="E4:E67" ca="1" si="0">IF(AND(MOD(YEAR(B3),4)=0,MOD(YEAR(B4),4)&lt;&gt;0),1,0)</f>
        <v>0</v>
      </c>
      <c r="F4" s="15">
        <f t="shared" ref="F4:F67" ca="1" si="1">IF(AND(MOD(YEAR(B4),4)=0,MOD(YEAR(B3),4)&lt;&gt;0),1,0)</f>
        <v>0</v>
      </c>
      <c r="G4">
        <f ca="1">IF(E4=1,(1+(('Symulacja Pożyczka'!$B$5+'Symulacja Pożyczka'!$C$18)/100)*(((Arkusz1!B4-DATE(YEAR(B4),1,1)+1)/365)+((DATE(YEAR(B3),12,31)-Arkusz1!B3)/366))),IF(F4=1,(1+(('Symulacja Pożyczka'!$B$5+'Symulacja Pożyczka'!$C$22)/100)*(((Arkusz1!B4-DATE(YEAR(B4),1,1)+1)/366)+((DATE(YEAR(B3),12,31)-Arkusz1!B3)/365))),0))</f>
        <v>0</v>
      </c>
      <c r="H4">
        <f t="shared" ref="H4:H67" ca="1" si="2">IF(MOD(YEAR(B4),4)=0,1,0)</f>
        <v>0</v>
      </c>
      <c r="I4">
        <f t="shared" ref="I4:I67" ca="1" si="3">IF(H4=0,C4,IF(H4=1,D4,"blad"))</f>
        <v>1.0021232876712329</v>
      </c>
      <c r="J4">
        <f t="shared" ref="J4:J67" ca="1" si="4">IF(OR(E4=1,F4=1),G4,I4)</f>
        <v>1.0021232876712329</v>
      </c>
      <c r="K4">
        <f ca="1">PRODUCT($J$3:J4)</f>
        <v>1.0031528663914431</v>
      </c>
      <c r="L4">
        <f t="shared" ref="L4:L67" ca="1" si="5">1/K4</f>
        <v>0.99685704293226551</v>
      </c>
      <c r="M4">
        <f ca="1">L3+L4</f>
        <v>1.9958307001337707</v>
      </c>
      <c r="O4">
        <f ca="1">(Q3*'Arkusz1 (+0)'!J4)-Q3</f>
        <v>2589.7311817535665</v>
      </c>
      <c r="P4" s="16">
        <f ca="1">$N$2-O4</f>
        <v>8994.1205580743263</v>
      </c>
      <c r="Q4" s="17">
        <f ca="1">Q3-P4</f>
        <v>1210685.7263322347</v>
      </c>
    </row>
    <row r="5" spans="1:17" x14ac:dyDescent="0.35">
      <c r="A5">
        <v>3</v>
      </c>
      <c r="B5" s="14">
        <f ca="1">DATE(YEAR((B4)),MONTH((B4))+1,IF(AND(DAY(B4)&gt;28,MONTH((B4))+1=2),IF(MOD(YEAR(B4),4)=0,29,28),IF(AND(OR(DAY(B4)=28,DAY(B4)=29),MONTH((B4))=2),DAY(B3),DAY(B4))))</f>
        <v>46159</v>
      </c>
      <c r="C5" s="15">
        <f ca="1">(1+(('Symulacja Pożyczka'!$B$5+'Symulacja Pożyczka'!$C$18)/100)*('Arkusz1 (+0)'!B5-'Arkusz1 (+0)'!B4)/365)</f>
        <v>1.002054794520548</v>
      </c>
      <c r="D5" s="15">
        <f ca="1">(1+(('Symulacja Pożyczka'!$B$5+'Symulacja Pożyczka'!$C$18)/100)*('Arkusz1 (+0)'!B5-'Arkusz1 (+0)'!B4)/366)</f>
        <v>1.0020491803278688</v>
      </c>
      <c r="E5" s="15">
        <f t="shared" ca="1" si="0"/>
        <v>0</v>
      </c>
      <c r="F5" s="15">
        <f t="shared" ca="1" si="1"/>
        <v>0</v>
      </c>
      <c r="G5">
        <f ca="1">IF(E5=1,(1+(('Symulacja Pożyczka'!$B$5+'Symulacja Pożyczka'!$C$18)/100)*(((Arkusz1!B5-DATE(YEAR(B5),1,1)+1)/365)+((DATE(YEAR(B4),12,31)-Arkusz1!B4)/366))),IF(F5=1,(1+(('Symulacja Pożyczka'!$B$5+'Symulacja Pożyczka'!$C$22)/100)*(((Arkusz1!B5-DATE(YEAR(B5),1,1)+1)/366)+((DATE(YEAR(B4),12,31)-Arkusz1!B4)/365))),0))</f>
        <v>0</v>
      </c>
      <c r="H5">
        <f t="shared" ca="1" si="2"/>
        <v>0</v>
      </c>
      <c r="I5">
        <f t="shared" ca="1" si="3"/>
        <v>1.002054794520548</v>
      </c>
      <c r="J5">
        <f t="shared" ca="1" si="4"/>
        <v>1.002054794520548</v>
      </c>
      <c r="K5">
        <f ca="1">PRODUCT($J$3:J5)</f>
        <v>1.0052141394045762</v>
      </c>
      <c r="L5">
        <f t="shared" ca="1" si="5"/>
        <v>0.99481290682235657</v>
      </c>
      <c r="M5">
        <f ca="1">SUM($L$3:L5)</f>
        <v>2.9906436069561275</v>
      </c>
      <c r="O5">
        <f ca="1">(Q4*'Arkusz1 (+0)'!J5)-Q4</f>
        <v>2487.7103965731803</v>
      </c>
      <c r="P5" s="16">
        <f t="shared" ref="P5:P68" ca="1" si="6">$N$2-O5</f>
        <v>9096.1413432547124</v>
      </c>
      <c r="Q5" s="17">
        <f t="shared" ref="Q5:Q68" ca="1" si="7">Q4-P5</f>
        <v>1201589.5849889801</v>
      </c>
    </row>
    <row r="6" spans="1:17" x14ac:dyDescent="0.35">
      <c r="A6">
        <v>4</v>
      </c>
      <c r="B6" s="14">
        <f t="shared" ref="B6:B69" ca="1" si="8">DATE(YEAR((B5)),MONTH((B5))+1,IF(AND(DAY(B5)&gt;28,MONTH((B5))+1=2),IF(MOD(YEAR(B5),4)=0,29,28),IF(AND(OR(DAY(B5)=28,DAY(B5)=29),MONTH((B5))=2),DAY(B4),DAY(B5))))</f>
        <v>46190</v>
      </c>
      <c r="C6" s="15">
        <f ca="1">(1+(('Symulacja Pożyczka'!$B$5+'Symulacja Pożyczka'!$C$18)/100)*('Arkusz1 (+0)'!B6-'Arkusz1 (+0)'!B5)/365)</f>
        <v>1.0021232876712329</v>
      </c>
      <c r="D6" s="15">
        <f ca="1">(1+(('Symulacja Pożyczka'!$B$5+'Symulacja Pożyczka'!$C$18)/100)*('Arkusz1 (+0)'!B6-'Arkusz1 (+0)'!B5)/366)</f>
        <v>1.0021174863387978</v>
      </c>
      <c r="E6" s="15">
        <f t="shared" ca="1" si="0"/>
        <v>0</v>
      </c>
      <c r="F6" s="15">
        <f t="shared" ca="1" si="1"/>
        <v>0</v>
      </c>
      <c r="G6">
        <f ca="1">IF(E6=1,(1+(('Symulacja Pożyczka'!$B$5+'Symulacja Pożyczka'!$C$18)/100)*(((Arkusz1!B6-DATE(YEAR(B6),1,1)+1)/365)+((DATE(YEAR(B5),12,31)-Arkusz1!B5)/366))),IF(F6=1,(1+(('Symulacja Pożyczka'!$B$5+'Symulacja Pożyczka'!$C$22)/100)*(((Arkusz1!B6-DATE(YEAR(B6),1,1)+1)/366)+((DATE(YEAR(B5),12,31)-Arkusz1!B5)/365))),0))</f>
        <v>0</v>
      </c>
      <c r="H6">
        <f t="shared" ca="1" si="2"/>
        <v>0</v>
      </c>
      <c r="I6">
        <f t="shared" ca="1" si="3"/>
        <v>1.0021232876712329</v>
      </c>
      <c r="J6">
        <f t="shared" ca="1" si="4"/>
        <v>1.0021232876712329</v>
      </c>
      <c r="K6">
        <f ca="1">PRODUCT($J$3:J6)</f>
        <v>1.0073484981937229</v>
      </c>
      <c r="L6">
        <f t="shared" ca="1" si="5"/>
        <v>0.99270510830472325</v>
      </c>
      <c r="M6">
        <f ca="1">SUM($L$3:L6)</f>
        <v>3.9833487152608509</v>
      </c>
      <c r="O6">
        <f ca="1">(Q5*'Arkusz1 (+0)'!J6)-Q5</f>
        <v>2551.3203516888898</v>
      </c>
      <c r="P6" s="16">
        <f t="shared" ca="1" si="6"/>
        <v>9032.531388139003</v>
      </c>
      <c r="Q6" s="17">
        <f t="shared" ca="1" si="7"/>
        <v>1192557.0536008412</v>
      </c>
    </row>
    <row r="7" spans="1:17" x14ac:dyDescent="0.35">
      <c r="A7">
        <v>5</v>
      </c>
      <c r="B7" s="14">
        <f t="shared" ca="1" si="8"/>
        <v>46220</v>
      </c>
      <c r="C7" s="15">
        <f ca="1">(1+(('Symulacja Pożyczka'!$B$5+'Symulacja Pożyczka'!$C$18)/100)*('Arkusz1 (+0)'!B7-'Arkusz1 (+0)'!B6)/365)</f>
        <v>1.002054794520548</v>
      </c>
      <c r="D7" s="15">
        <f ca="1">(1+(('Symulacja Pożyczka'!$B$5+'Symulacja Pożyczka'!$C$18)/100)*('Arkusz1 (+0)'!B7-'Arkusz1 (+0)'!B6)/366)</f>
        <v>1.0020491803278688</v>
      </c>
      <c r="E7" s="15">
        <f t="shared" ca="1" si="0"/>
        <v>0</v>
      </c>
      <c r="F7" s="15">
        <f t="shared" ca="1" si="1"/>
        <v>0</v>
      </c>
      <c r="G7">
        <f ca="1">IF(E7=1,(1+(('Symulacja Pożyczka'!$B$5+'Symulacja Pożyczka'!$C$18)/100)*(((Arkusz1!B7-DATE(YEAR(B7),1,1)+1)/365)+((DATE(YEAR(B6),12,31)-Arkusz1!B6)/366))),IF(F7=1,(1+(('Symulacja Pożyczka'!$B$5+'Symulacja Pożyczka'!$C$22)/100)*(((Arkusz1!B7-DATE(YEAR(B7),1,1)+1)/366)+((DATE(YEAR(B6),12,31)-Arkusz1!B6)/365))),0))</f>
        <v>0</v>
      </c>
      <c r="H7">
        <f t="shared" ca="1" si="2"/>
        <v>0</v>
      </c>
      <c r="I7">
        <f t="shared" ca="1" si="3"/>
        <v>1.002054794520548</v>
      </c>
      <c r="J7">
        <f t="shared" ca="1" si="4"/>
        <v>1.002054794520548</v>
      </c>
      <c r="K7">
        <f ca="1">PRODUCT($J$3:J7)</f>
        <v>1.0094183923680935</v>
      </c>
      <c r="L7">
        <f t="shared" ca="1" si="5"/>
        <v>0.99066948607306637</v>
      </c>
      <c r="M7">
        <f ca="1">SUM($L$3:L7)</f>
        <v>4.9740182013339176</v>
      </c>
      <c r="O7">
        <f ca="1">(Q6*'Arkusz1 (+0)'!J7)-Q6</f>
        <v>2450.4596991799772</v>
      </c>
      <c r="P7" s="16">
        <f t="shared" ca="1" si="6"/>
        <v>9133.3920406479156</v>
      </c>
      <c r="Q7" s="17">
        <f t="shared" ca="1" si="7"/>
        <v>1183423.6615601932</v>
      </c>
    </row>
    <row r="8" spans="1:17" x14ac:dyDescent="0.35">
      <c r="A8">
        <v>6</v>
      </c>
      <c r="B8" s="14">
        <f t="shared" ca="1" si="8"/>
        <v>46251</v>
      </c>
      <c r="C8" s="15">
        <f ca="1">(1+(('Symulacja Pożyczka'!$B$5+'Symulacja Pożyczka'!$C$18)/100)*('Arkusz1 (+0)'!B8-'Arkusz1 (+0)'!B7)/365)</f>
        <v>1.0021232876712329</v>
      </c>
      <c r="D8" s="15">
        <f ca="1">(1+(('Symulacja Pożyczka'!$B$5+'Symulacja Pożyczka'!$C$18)/100)*('Arkusz1 (+0)'!B8-'Arkusz1 (+0)'!B7)/366)</f>
        <v>1.0021174863387978</v>
      </c>
      <c r="E8" s="15">
        <f t="shared" ca="1" si="0"/>
        <v>0</v>
      </c>
      <c r="F8" s="15">
        <f t="shared" ca="1" si="1"/>
        <v>0</v>
      </c>
      <c r="G8">
        <f ca="1">IF(E8=1,(1+(('Symulacja Pożyczka'!$B$5+'Symulacja Pożyczka'!$C$18)/100)*(((Arkusz1!B8-DATE(YEAR(B8),1,1)+1)/365)+((DATE(YEAR(B7),12,31)-Arkusz1!B7)/366))),IF(F8=1,(1+(('Symulacja Pożyczka'!$B$5+'Symulacja Pożyczka'!$C$22)/100)*(((Arkusz1!B8-DATE(YEAR(B8),1,1)+1)/366)+((DATE(YEAR(B7),12,31)-Arkusz1!B7)/365))),0))</f>
        <v>0</v>
      </c>
      <c r="H8">
        <f t="shared" ca="1" si="2"/>
        <v>0</v>
      </c>
      <c r="I8">
        <f t="shared" ca="1" si="3"/>
        <v>1.0021232876712329</v>
      </c>
      <c r="J8">
        <f t="shared" ca="1" si="4"/>
        <v>1.0021232876712329</v>
      </c>
      <c r="K8">
        <f ca="1">PRODUCT($J$3:J8)</f>
        <v>1.0115616779957244</v>
      </c>
      <c r="L8">
        <f t="shared" ca="1" si="5"/>
        <v>0.98857046658921255</v>
      </c>
      <c r="M8">
        <f ca="1">SUM($L$3:L8)</f>
        <v>5.9625886679231304</v>
      </c>
      <c r="O8">
        <f ca="1">(Q7*'Arkusz1 (+0)'!J8)-Q7</f>
        <v>2512.7488704361022</v>
      </c>
      <c r="P8" s="16">
        <f t="shared" ca="1" si="6"/>
        <v>9071.1028693917906</v>
      </c>
      <c r="Q8" s="17">
        <f t="shared" ca="1" si="7"/>
        <v>1174352.5586908013</v>
      </c>
    </row>
    <row r="9" spans="1:17" x14ac:dyDescent="0.35">
      <c r="A9">
        <v>7</v>
      </c>
      <c r="B9" s="14">
        <f t="shared" ca="1" si="8"/>
        <v>46282</v>
      </c>
      <c r="C9" s="15">
        <f ca="1">(1+(('Symulacja Pożyczka'!$B$5+'Symulacja Pożyczka'!$C$18)/100)*('Arkusz1 (+0)'!B9-'Arkusz1 (+0)'!B8)/365)</f>
        <v>1.0021232876712329</v>
      </c>
      <c r="D9" s="15">
        <f ca="1">(1+(('Symulacja Pożyczka'!$B$5+'Symulacja Pożyczka'!$C$18)/100)*('Arkusz1 (+0)'!B9-'Arkusz1 (+0)'!B8)/366)</f>
        <v>1.0021174863387978</v>
      </c>
      <c r="E9" s="15">
        <f t="shared" ca="1" si="0"/>
        <v>0</v>
      </c>
      <c r="F9" s="15">
        <f t="shared" ca="1" si="1"/>
        <v>0</v>
      </c>
      <c r="G9">
        <f ca="1">IF(E9=1,(1+(('Symulacja Pożyczka'!$B$5+'Symulacja Pożyczka'!$C$18)/100)*(((Arkusz1!B9-DATE(YEAR(B9),1,1)+1)/365)+((DATE(YEAR(B8),12,31)-Arkusz1!B8)/366))),IF(F9=1,(1+(('Symulacja Pożyczka'!$B$5+'Symulacja Pożyczka'!$C$22)/100)*(((Arkusz1!B9-DATE(YEAR(B9),1,1)+1)/366)+((DATE(YEAR(B8),12,31)-Arkusz1!B8)/365))),0))</f>
        <v>0</v>
      </c>
      <c r="H9">
        <f t="shared" ca="1" si="2"/>
        <v>0</v>
      </c>
      <c r="I9">
        <f t="shared" ca="1" si="3"/>
        <v>1.0021232876712329</v>
      </c>
      <c r="J9">
        <f t="shared" ca="1" si="4"/>
        <v>1.0021232876712329</v>
      </c>
      <c r="K9">
        <f ca="1">PRODUCT($J$3:J9)</f>
        <v>1.0137095144353043</v>
      </c>
      <c r="L9">
        <f t="shared" ca="1" si="5"/>
        <v>0.98647589448448525</v>
      </c>
      <c r="M9">
        <f ca="1">SUM($L$3:L9)</f>
        <v>6.9490645624076155</v>
      </c>
      <c r="O9">
        <f ca="1">(Q8*'Arkusz1 (+0)'!J9)-Q8</f>
        <v>2493.4883095489349</v>
      </c>
      <c r="P9" s="16">
        <f t="shared" ca="1" si="6"/>
        <v>9090.3634302789578</v>
      </c>
      <c r="Q9" s="17">
        <f t="shared" ca="1" si="7"/>
        <v>1165262.1952605224</v>
      </c>
    </row>
    <row r="10" spans="1:17" x14ac:dyDescent="0.35">
      <c r="A10">
        <v>8</v>
      </c>
      <c r="B10" s="14">
        <f t="shared" ca="1" si="8"/>
        <v>46312</v>
      </c>
      <c r="C10" s="15">
        <f ca="1">(1+(('Symulacja Pożyczka'!$B$5+'Symulacja Pożyczka'!$C$18)/100)*('Arkusz1 (+0)'!B10-'Arkusz1 (+0)'!B9)/365)</f>
        <v>1.002054794520548</v>
      </c>
      <c r="D10" s="15">
        <f ca="1">(1+(('Symulacja Pożyczka'!$B$5+'Symulacja Pożyczka'!$C$18)/100)*('Arkusz1 (+0)'!B10-'Arkusz1 (+0)'!B9)/366)</f>
        <v>1.0020491803278688</v>
      </c>
      <c r="E10" s="15">
        <f t="shared" ca="1" si="0"/>
        <v>0</v>
      </c>
      <c r="F10" s="15">
        <f t="shared" ca="1" si="1"/>
        <v>0</v>
      </c>
      <c r="G10">
        <f ca="1">IF(E10=1,(1+(('Symulacja Pożyczka'!$B$5+'Symulacja Pożyczka'!$C$18)/100)*(((Arkusz1!B10-DATE(YEAR(B10),1,1)+1)/365)+((DATE(YEAR(B9),12,31)-Arkusz1!B9)/366))),IF(F10=1,(1+(('Symulacja Pożyczka'!$B$5+'Symulacja Pożyczka'!$C$22)/100)*(((Arkusz1!B10-DATE(YEAR(B10),1,1)+1)/366)+((DATE(YEAR(B9),12,31)-Arkusz1!B9)/365))),0))</f>
        <v>0</v>
      </c>
      <c r="H10">
        <f t="shared" ca="1" si="2"/>
        <v>0</v>
      </c>
      <c r="I10">
        <f t="shared" ca="1" si="3"/>
        <v>1.002054794520548</v>
      </c>
      <c r="J10">
        <f t="shared" ca="1" si="4"/>
        <v>1.002054794520548</v>
      </c>
      <c r="K10">
        <f ca="1">PRODUCT($J$3:J10)</f>
        <v>1.0157924791909934</v>
      </c>
      <c r="L10">
        <f t="shared" ca="1" si="5"/>
        <v>0.98445304576032011</v>
      </c>
      <c r="M10">
        <f ca="1">SUM($L$3:L10)</f>
        <v>7.9335176081679357</v>
      </c>
      <c r="O10">
        <f ca="1">(Q9*'Arkusz1 (+0)'!J10)-Q9</f>
        <v>2394.3743738231715</v>
      </c>
      <c r="P10" s="16">
        <f t="shared" ca="1" si="6"/>
        <v>9189.4773660047213</v>
      </c>
      <c r="Q10" s="17">
        <f t="shared" ca="1" si="7"/>
        <v>1156072.7178945178</v>
      </c>
    </row>
    <row r="11" spans="1:17" x14ac:dyDescent="0.35">
      <c r="A11">
        <v>9</v>
      </c>
      <c r="B11" s="14">
        <f t="shared" ca="1" si="8"/>
        <v>46343</v>
      </c>
      <c r="C11" s="15">
        <f ca="1">(1+(('Symulacja Pożyczka'!$B$5+'Symulacja Pożyczka'!$C$18)/100)*('Arkusz1 (+0)'!B11-'Arkusz1 (+0)'!B10)/365)</f>
        <v>1.0021232876712329</v>
      </c>
      <c r="D11" s="15">
        <f ca="1">(1+(('Symulacja Pożyczka'!$B$5+'Symulacja Pożyczka'!$C$18)/100)*('Arkusz1 (+0)'!B11-'Arkusz1 (+0)'!B10)/366)</f>
        <v>1.0021174863387978</v>
      </c>
      <c r="E11" s="15">
        <f t="shared" ca="1" si="0"/>
        <v>0</v>
      </c>
      <c r="F11" s="15">
        <f t="shared" ca="1" si="1"/>
        <v>0</v>
      </c>
      <c r="G11">
        <f ca="1">IF(E11=1,(1+(('Symulacja Pożyczka'!$B$5+'Symulacja Pożyczka'!$C$18)/100)*(((Arkusz1!B11-DATE(YEAR(B11),1,1)+1)/365)+((DATE(YEAR(B10),12,31)-Arkusz1!B10)/366))),IF(F11=1,(1+(('Symulacja Pożyczka'!$B$5+'Symulacja Pożyczka'!$C$22)/100)*(((Arkusz1!B11-DATE(YEAR(B11),1,1)+1)/366)+((DATE(YEAR(B10),12,31)-Arkusz1!B10)/365))),0))</f>
        <v>0</v>
      </c>
      <c r="H11">
        <f t="shared" ca="1" si="2"/>
        <v>0</v>
      </c>
      <c r="I11">
        <f t="shared" ca="1" si="3"/>
        <v>1.0021232876712329</v>
      </c>
      <c r="J11">
        <f t="shared" ca="1" si="4"/>
        <v>1.0021232876712329</v>
      </c>
      <c r="K11">
        <f ca="1">PRODUCT($J$3:J11)</f>
        <v>1.0179492988385908</v>
      </c>
      <c r="L11">
        <f t="shared" ca="1" si="5"/>
        <v>0.9823671976010302</v>
      </c>
      <c r="M11">
        <f ca="1">SUM($L$3:L11)</f>
        <v>8.9158848057689664</v>
      </c>
      <c r="O11">
        <f ca="1">(Q10*'Arkusz1 (+0)'!J11)-Q10</f>
        <v>2454.6749489542563</v>
      </c>
      <c r="P11" s="16">
        <f t="shared" ca="1" si="6"/>
        <v>9129.1767908736365</v>
      </c>
      <c r="Q11" s="17">
        <f t="shared" ca="1" si="7"/>
        <v>1146943.5411036443</v>
      </c>
    </row>
    <row r="12" spans="1:17" x14ac:dyDescent="0.35">
      <c r="A12">
        <v>10</v>
      </c>
      <c r="B12" s="14">
        <f t="shared" ca="1" si="8"/>
        <v>46373</v>
      </c>
      <c r="C12" s="15">
        <f ca="1">(1+(('Symulacja Pożyczka'!$B$5+'Symulacja Pożyczka'!$C$18)/100)*('Arkusz1 (+0)'!B12-'Arkusz1 (+0)'!B11)/365)</f>
        <v>1.002054794520548</v>
      </c>
      <c r="D12" s="15">
        <f ca="1">(1+(('Symulacja Pożyczka'!$B$5+'Symulacja Pożyczka'!$C$18)/100)*('Arkusz1 (+0)'!B12-'Arkusz1 (+0)'!B11)/366)</f>
        <v>1.0020491803278688</v>
      </c>
      <c r="E12" s="15">
        <f t="shared" ca="1" si="0"/>
        <v>0</v>
      </c>
      <c r="F12" s="15">
        <f t="shared" ca="1" si="1"/>
        <v>0</v>
      </c>
      <c r="G12">
        <f ca="1">IF(E12=1,(1+(('Symulacja Pożyczka'!$B$5+'Symulacja Pożyczka'!$C$18)/100)*(((Arkusz1!B12-DATE(YEAR(B12),1,1)+1)/365)+((DATE(YEAR(B11),12,31)-Arkusz1!B11)/366))),IF(F12=1,(1+(('Symulacja Pożyczka'!$B$5+'Symulacja Pożyczka'!$C$22)/100)*(((Arkusz1!B12-DATE(YEAR(B12),1,1)+1)/366)+((DATE(YEAR(B11),12,31)-Arkusz1!B11)/365))),0))</f>
        <v>0</v>
      </c>
      <c r="H12">
        <f t="shared" ca="1" si="2"/>
        <v>0</v>
      </c>
      <c r="I12">
        <f t="shared" ca="1" si="3"/>
        <v>1.002054794520548</v>
      </c>
      <c r="J12">
        <f t="shared" ca="1" si="4"/>
        <v>1.002054794520548</v>
      </c>
      <c r="K12">
        <f ca="1">PRODUCT($J$3:J12)</f>
        <v>1.0200409754800399</v>
      </c>
      <c r="L12">
        <f t="shared" ca="1" si="5"/>
        <v>0.98035277409262067</v>
      </c>
      <c r="M12">
        <f ca="1">SUM($L$3:L12)</f>
        <v>9.8962375798615874</v>
      </c>
      <c r="O12">
        <f ca="1">(Q11*'Arkusz1 (+0)'!J12)-Q11</f>
        <v>2356.7333036377095</v>
      </c>
      <c r="P12" s="16">
        <f t="shared" ca="1" si="6"/>
        <v>9227.1184361901833</v>
      </c>
      <c r="Q12" s="17">
        <f t="shared" ca="1" si="7"/>
        <v>1137716.422667454</v>
      </c>
    </row>
    <row r="13" spans="1:17" x14ac:dyDescent="0.35">
      <c r="A13">
        <v>11</v>
      </c>
      <c r="B13" s="14">
        <f t="shared" ca="1" si="8"/>
        <v>46404</v>
      </c>
      <c r="C13" s="15">
        <f ca="1">(1+(('Symulacja Pożyczka'!$B$5+'Symulacja Pożyczka'!$C$18)/100)*('Arkusz1 (+0)'!B13-'Arkusz1 (+0)'!B12)/365)</f>
        <v>1.0021232876712329</v>
      </c>
      <c r="D13" s="15">
        <f ca="1">(1+(('Symulacja Pożyczka'!$B$5+'Symulacja Pożyczka'!$C$18)/100)*('Arkusz1 (+0)'!B13-'Arkusz1 (+0)'!B12)/366)</f>
        <v>1.0021174863387978</v>
      </c>
      <c r="E13" s="15">
        <f t="shared" ca="1" si="0"/>
        <v>0</v>
      </c>
      <c r="F13" s="15">
        <f t="shared" ca="1" si="1"/>
        <v>0</v>
      </c>
      <c r="G13">
        <f ca="1">IF(E13=1,(1+(('Symulacja Pożyczka'!$B$5+'Symulacja Pożyczka'!$C$18)/100)*(((Arkusz1!B13-DATE(YEAR(B13),1,1)+1)/365)+((DATE(YEAR(B12),12,31)-Arkusz1!B12)/366))),IF(F13=1,(1+(('Symulacja Pożyczka'!$B$5+'Symulacja Pożyczka'!$C$22)/100)*(((Arkusz1!B13-DATE(YEAR(B13),1,1)+1)/366)+((DATE(YEAR(B12),12,31)-Arkusz1!B12)/365))),0))</f>
        <v>0</v>
      </c>
      <c r="H13">
        <f t="shared" ca="1" si="2"/>
        <v>0</v>
      </c>
      <c r="I13">
        <f t="shared" ca="1" si="3"/>
        <v>1.0021232876712329</v>
      </c>
      <c r="J13">
        <f t="shared" ca="1" si="4"/>
        <v>1.0021232876712329</v>
      </c>
      <c r="K13">
        <f ca="1">PRODUCT($J$3:J13)</f>
        <v>1.0222068159074291</v>
      </c>
      <c r="L13">
        <f t="shared" ca="1" si="5"/>
        <v>0.97827561354331627</v>
      </c>
      <c r="M13">
        <f ca="1">SUM($L$3:L13)</f>
        <v>10.874513193404903</v>
      </c>
      <c r="O13">
        <f ca="1">(Q12*'Arkusz1 (+0)'!J13)-Q12</f>
        <v>2415.6992536089383</v>
      </c>
      <c r="P13" s="16">
        <f t="shared" ca="1" si="6"/>
        <v>9168.1524862189544</v>
      </c>
      <c r="Q13" s="17">
        <f t="shared" ca="1" si="7"/>
        <v>1128548.2701812349</v>
      </c>
    </row>
    <row r="14" spans="1:17" x14ac:dyDescent="0.35">
      <c r="A14">
        <v>12</v>
      </c>
      <c r="B14" s="14">
        <f t="shared" ca="1" si="8"/>
        <v>46435</v>
      </c>
      <c r="C14" s="15">
        <f ca="1">(1+(('Symulacja Pożyczka'!$B$5+'Symulacja Pożyczka'!$C$18)/100)*('Arkusz1 (+0)'!B14-'Arkusz1 (+0)'!B13)/365)</f>
        <v>1.0021232876712329</v>
      </c>
      <c r="D14" s="15">
        <f ca="1">(1+(('Symulacja Pożyczka'!$B$5+'Symulacja Pożyczka'!$C$18)/100)*('Arkusz1 (+0)'!B14-'Arkusz1 (+0)'!B13)/366)</f>
        <v>1.0021174863387978</v>
      </c>
      <c r="E14" s="15">
        <f t="shared" ca="1" si="0"/>
        <v>0</v>
      </c>
      <c r="F14" s="15">
        <f t="shared" ca="1" si="1"/>
        <v>0</v>
      </c>
      <c r="G14">
        <f ca="1">IF(E14=1,(1+(('Symulacja Pożyczka'!$B$5+'Symulacja Pożyczka'!$C$18)/100)*(((Arkusz1!B14-DATE(YEAR(B14),1,1)+1)/365)+((DATE(YEAR(B13),12,31)-Arkusz1!B13)/366))),IF(F14=1,(1+(('Symulacja Pożyczka'!$B$5+'Symulacja Pożyczka'!$C$22)/100)*(((Arkusz1!B14-DATE(YEAR(B14),1,1)+1)/366)+((DATE(YEAR(B13),12,31)-Arkusz1!B13)/365))),0))</f>
        <v>0</v>
      </c>
      <c r="H14">
        <f t="shared" ca="1" si="2"/>
        <v>0</v>
      </c>
      <c r="I14">
        <f t="shared" ca="1" si="3"/>
        <v>1.0021232876712329</v>
      </c>
      <c r="J14">
        <f t="shared" ca="1" si="4"/>
        <v>1.0021232876712329</v>
      </c>
      <c r="K14">
        <f ca="1">PRODUCT($J$3:J14)</f>
        <v>1.0243772550370955</v>
      </c>
      <c r="L14">
        <f t="shared" ca="1" si="5"/>
        <v>0.97620285405867124</v>
      </c>
      <c r="M14">
        <f ca="1">SUM($L$3:L14)</f>
        <v>11.850716047463575</v>
      </c>
      <c r="O14">
        <f ca="1">(Q13*'Arkusz1 (+0)'!J14)-Q13</f>
        <v>2396.2326284670271</v>
      </c>
      <c r="P14" s="16">
        <f t="shared" ca="1" si="6"/>
        <v>9187.6191113608656</v>
      </c>
      <c r="Q14" s="17">
        <f t="shared" ca="1" si="7"/>
        <v>1119360.6510698739</v>
      </c>
    </row>
    <row r="15" spans="1:17" x14ac:dyDescent="0.35">
      <c r="A15">
        <v>13</v>
      </c>
      <c r="B15" s="14">
        <f t="shared" ca="1" si="8"/>
        <v>46463</v>
      </c>
      <c r="C15" s="15">
        <f ca="1">(1+(('Symulacja Pożyczka'!$B$5+'Symulacja Pożyczka'!$C$18)/100)*('Arkusz1 (+0)'!B15-'Arkusz1 (+0)'!B14)/365)</f>
        <v>1.001917808219178</v>
      </c>
      <c r="D15" s="15">
        <f ca="1">(1+(('Symulacja Pożyczka'!$B$5+'Symulacja Pożyczka'!$C$18)/100)*('Arkusz1 (+0)'!B15-'Arkusz1 (+0)'!B14)/366)</f>
        <v>1.0019125683060108</v>
      </c>
      <c r="E15" s="15">
        <f t="shared" ca="1" si="0"/>
        <v>0</v>
      </c>
      <c r="F15" s="15">
        <f t="shared" ca="1" si="1"/>
        <v>0</v>
      </c>
      <c r="G15">
        <f ca="1">IF(E15=1,(1+(('Symulacja Pożyczka'!$B$5+'Symulacja Pożyczka'!$C$18)/100)*(((Arkusz1!B15-DATE(YEAR(B15),1,1)+1)/365)+((DATE(YEAR(B14),12,31)-Arkusz1!B14)/366))),IF(F15=1,(1+(('Symulacja Pożyczka'!$B$5+'Symulacja Pożyczka'!$C$22)/100)*(((Arkusz1!B15-DATE(YEAR(B15),1,1)+1)/366)+((DATE(YEAR(B14),12,31)-Arkusz1!B14)/365))),0))</f>
        <v>0</v>
      </c>
      <c r="H15">
        <f t="shared" ca="1" si="2"/>
        <v>0</v>
      </c>
      <c r="I15">
        <f t="shared" ca="1" si="3"/>
        <v>1.001917808219178</v>
      </c>
      <c r="J15">
        <f t="shared" ca="1" si="4"/>
        <v>1.001917808219178</v>
      </c>
      <c r="K15">
        <f ca="1">PRODUCT($J$3:J15)</f>
        <v>1.0263418141563447</v>
      </c>
      <c r="L15">
        <f t="shared" ca="1" si="5"/>
        <v>0.97433426779167354</v>
      </c>
      <c r="M15">
        <f ca="1">SUM($L$3:L15)</f>
        <v>12.825050315255249</v>
      </c>
      <c r="O15">
        <f ca="1">(Q14*'Arkusz1 (+0)'!J15)-Q14</f>
        <v>2146.7190568461083</v>
      </c>
      <c r="P15" s="16">
        <f t="shared" ca="1" si="6"/>
        <v>9437.1326829817845</v>
      </c>
      <c r="Q15" s="17">
        <f t="shared" ca="1" si="7"/>
        <v>1109923.518386892</v>
      </c>
    </row>
    <row r="16" spans="1:17" x14ac:dyDescent="0.35">
      <c r="A16">
        <v>14</v>
      </c>
      <c r="B16" s="14">
        <f t="shared" ca="1" si="8"/>
        <v>46494</v>
      </c>
      <c r="C16" s="15">
        <f ca="1">(1+(('Symulacja Pożyczka'!$B$5+'Symulacja Pożyczka'!$C$18)/100)*('Arkusz1 (+0)'!B16-'Arkusz1 (+0)'!B15)/365)</f>
        <v>1.0021232876712329</v>
      </c>
      <c r="D16" s="15">
        <f ca="1">(1+(('Symulacja Pożyczka'!$B$5+'Symulacja Pożyczka'!$C$18)/100)*('Arkusz1 (+0)'!B16-'Arkusz1 (+0)'!B15)/366)</f>
        <v>1.0021174863387978</v>
      </c>
      <c r="E16" s="15">
        <f t="shared" ca="1" si="0"/>
        <v>0</v>
      </c>
      <c r="F16" s="15">
        <f t="shared" ca="1" si="1"/>
        <v>0</v>
      </c>
      <c r="G16">
        <f ca="1">IF(E16=1,(1+(('Symulacja Pożyczka'!$B$5+'Symulacja Pożyczka'!$C$18)/100)*(((Arkusz1!B16-DATE(YEAR(B16),1,1)+1)/365)+((DATE(YEAR(B15),12,31)-Arkusz1!B15)/366))),IF(F16=1,(1+(('Symulacja Pożyczka'!$B$5+'Symulacja Pożyczka'!$C$22)/100)*(((Arkusz1!B16-DATE(YEAR(B16),1,1)+1)/366)+((DATE(YEAR(B15),12,31)-Arkusz1!B15)/365))),0))</f>
        <v>0</v>
      </c>
      <c r="H16">
        <f t="shared" ca="1" si="2"/>
        <v>0</v>
      </c>
      <c r="I16">
        <f t="shared" ca="1" si="3"/>
        <v>1.0021232876712329</v>
      </c>
      <c r="J16">
        <f t="shared" ca="1" si="4"/>
        <v>1.0021232876712329</v>
      </c>
      <c r="K16">
        <f ca="1">PRODUCT($J$3:J16)</f>
        <v>1.0285210330768138</v>
      </c>
      <c r="L16">
        <f t="shared" ca="1" si="5"/>
        <v>0.97226985918655129</v>
      </c>
      <c r="M16">
        <f ca="1">SUM($L$3:L16)</f>
        <v>13.797320174441801</v>
      </c>
      <c r="O16">
        <f ca="1">(Q15*'Arkusz1 (+0)'!J16)-Q15</f>
        <v>2356.6869226023555</v>
      </c>
      <c r="P16" s="16">
        <f t="shared" ca="1" si="6"/>
        <v>9227.1648172255373</v>
      </c>
      <c r="Q16" s="17">
        <f t="shared" ca="1" si="7"/>
        <v>1100696.3535696664</v>
      </c>
    </row>
    <row r="17" spans="1:17" x14ac:dyDescent="0.35">
      <c r="A17">
        <v>15</v>
      </c>
      <c r="B17" s="14">
        <f t="shared" ca="1" si="8"/>
        <v>46524</v>
      </c>
      <c r="C17" s="15">
        <f ca="1">(1+(('Symulacja Pożyczka'!$B$5+'Symulacja Pożyczka'!$C$18)/100)*('Arkusz1 (+0)'!B17-'Arkusz1 (+0)'!B16)/365)</f>
        <v>1.002054794520548</v>
      </c>
      <c r="D17" s="15">
        <f ca="1">(1+(('Symulacja Pożyczka'!$B$5+'Symulacja Pożyczka'!$C$18)/100)*('Arkusz1 (+0)'!B17-'Arkusz1 (+0)'!B16)/366)</f>
        <v>1.0020491803278688</v>
      </c>
      <c r="E17" s="15">
        <f t="shared" ca="1" si="0"/>
        <v>0</v>
      </c>
      <c r="F17" s="15">
        <f t="shared" ca="1" si="1"/>
        <v>0</v>
      </c>
      <c r="G17">
        <f ca="1">IF(E17=1,(1+(('Symulacja Pożyczka'!$B$5+'Symulacja Pożyczka'!$C$18)/100)*(((Arkusz1!B17-DATE(YEAR(B17),1,1)+1)/365)+((DATE(YEAR(B16),12,31)-Arkusz1!B16)/366))),IF(F17=1,(1+(('Symulacja Pożyczka'!$B$5+'Symulacja Pożyczka'!$C$22)/100)*(((Arkusz1!B17-DATE(YEAR(B17),1,1)+1)/366)+((DATE(YEAR(B16),12,31)-Arkusz1!B16)/365))),0))</f>
        <v>0</v>
      </c>
      <c r="H17">
        <f t="shared" ca="1" si="2"/>
        <v>0</v>
      </c>
      <c r="I17">
        <f t="shared" ca="1" si="3"/>
        <v>1.002054794520548</v>
      </c>
      <c r="J17">
        <f t="shared" ca="1" si="4"/>
        <v>1.002054794520548</v>
      </c>
      <c r="K17">
        <f ca="1">PRODUCT($J$3:J17)</f>
        <v>1.0306344324598484</v>
      </c>
      <c r="L17">
        <f t="shared" ca="1" si="5"/>
        <v>0.9702761410884243</v>
      </c>
      <c r="M17">
        <f ca="1">SUM($L$3:L17)</f>
        <v>14.767596315530225</v>
      </c>
      <c r="O17">
        <f ca="1">(Q16*'Arkusz1 (+0)'!J17)-Q16</f>
        <v>2261.7048361022025</v>
      </c>
      <c r="P17" s="16">
        <f t="shared" ca="1" si="6"/>
        <v>9322.1469037256902</v>
      </c>
      <c r="Q17" s="17">
        <f t="shared" ca="1" si="7"/>
        <v>1091374.2066659406</v>
      </c>
    </row>
    <row r="18" spans="1:17" x14ac:dyDescent="0.35">
      <c r="A18">
        <v>16</v>
      </c>
      <c r="B18" s="14">
        <f t="shared" ca="1" si="8"/>
        <v>46555</v>
      </c>
      <c r="C18" s="15">
        <f ca="1">(1+(('Symulacja Pożyczka'!$B$5+'Symulacja Pożyczka'!$C$18)/100)*('Arkusz1 (+0)'!B18-'Arkusz1 (+0)'!B17)/365)</f>
        <v>1.0021232876712329</v>
      </c>
      <c r="D18" s="15">
        <f ca="1">(1+(('Symulacja Pożyczka'!$B$5+'Symulacja Pożyczka'!$C$18)/100)*('Arkusz1 (+0)'!B18-'Arkusz1 (+0)'!B17)/366)</f>
        <v>1.0021174863387978</v>
      </c>
      <c r="E18" s="15">
        <f t="shared" ca="1" si="0"/>
        <v>0</v>
      </c>
      <c r="F18" s="15">
        <f t="shared" ca="1" si="1"/>
        <v>0</v>
      </c>
      <c r="G18">
        <f ca="1">IF(E18=1,(1+(('Symulacja Pożyczka'!$B$5+'Symulacja Pożyczka'!$C$18)/100)*(((Arkusz1!B18-DATE(YEAR(B18),1,1)+1)/365)+((DATE(YEAR(B17),12,31)-Arkusz1!B17)/366))),IF(F18=1,(1+(('Symulacja Pożyczka'!$B$5+'Symulacja Pożyczka'!$C$22)/100)*(((Arkusz1!B18-DATE(YEAR(B18),1,1)+1)/366)+((DATE(YEAR(B17),12,31)-Arkusz1!B17)/365))),0))</f>
        <v>0</v>
      </c>
      <c r="H18">
        <f t="shared" ca="1" si="2"/>
        <v>0</v>
      </c>
      <c r="I18">
        <f t="shared" ca="1" si="3"/>
        <v>1.0021232876712329</v>
      </c>
      <c r="J18">
        <f t="shared" ca="1" si="4"/>
        <v>1.0021232876712329</v>
      </c>
      <c r="K18">
        <f ca="1">PRODUCT($J$3:J18)</f>
        <v>1.0328227658438385</v>
      </c>
      <c r="L18">
        <f t="shared" ca="1" si="5"/>
        <v>0.96822033079700609</v>
      </c>
      <c r="M18">
        <f ca="1">SUM($L$3:L18)</f>
        <v>15.735816646327232</v>
      </c>
      <c r="O18">
        <f ca="1">(Q17*'Arkusz1 (+0)'!J18)-Q17</f>
        <v>2317.3013977154624</v>
      </c>
      <c r="P18" s="16">
        <f t="shared" ca="1" si="6"/>
        <v>9266.5503421124304</v>
      </c>
      <c r="Q18" s="17">
        <f t="shared" ca="1" si="7"/>
        <v>1082107.6563238283</v>
      </c>
    </row>
    <row r="19" spans="1:17" x14ac:dyDescent="0.35">
      <c r="A19">
        <v>17</v>
      </c>
      <c r="B19" s="14">
        <f t="shared" ca="1" si="8"/>
        <v>46585</v>
      </c>
      <c r="C19" s="15">
        <f ca="1">(1+(('Symulacja Pożyczka'!$B$5+'Symulacja Pożyczka'!$C$18)/100)*('Arkusz1 (+0)'!B19-'Arkusz1 (+0)'!B18)/365)</f>
        <v>1.002054794520548</v>
      </c>
      <c r="D19" s="15">
        <f ca="1">(1+(('Symulacja Pożyczka'!$B$5+'Symulacja Pożyczka'!$C$18)/100)*('Arkusz1 (+0)'!B19-'Arkusz1 (+0)'!B18)/366)</f>
        <v>1.0020491803278688</v>
      </c>
      <c r="E19" s="15">
        <f t="shared" ca="1" si="0"/>
        <v>0</v>
      </c>
      <c r="F19" s="15">
        <f t="shared" ca="1" si="1"/>
        <v>0</v>
      </c>
      <c r="G19">
        <f ca="1">IF(E19=1,(1+(('Symulacja Pożyczka'!$B$5+'Symulacja Pożyczka'!$C$18)/100)*(((Arkusz1!B19-DATE(YEAR(B19),1,1)+1)/365)+((DATE(YEAR(B18),12,31)-Arkusz1!B18)/366))),IF(F19=1,(1+(('Symulacja Pożyczka'!$B$5+'Symulacja Pożyczka'!$C$22)/100)*(((Arkusz1!B19-DATE(YEAR(B19),1,1)+1)/366)+((DATE(YEAR(B18),12,31)-Arkusz1!B18)/365))),0))</f>
        <v>0</v>
      </c>
      <c r="H19">
        <f t="shared" ca="1" si="2"/>
        <v>0</v>
      </c>
      <c r="I19">
        <f t="shared" ca="1" si="3"/>
        <v>1.002054794520548</v>
      </c>
      <c r="J19">
        <f t="shared" ca="1" si="4"/>
        <v>1.002054794520548</v>
      </c>
      <c r="K19">
        <f ca="1">PRODUCT($J$3:J19)</f>
        <v>1.0349450044037916</v>
      </c>
      <c r="L19">
        <f t="shared" ca="1" si="5"/>
        <v>0.96623491658484539</v>
      </c>
      <c r="M19">
        <f ca="1">SUM($L$3:L19)</f>
        <v>16.702051562912075</v>
      </c>
      <c r="O19">
        <f ca="1">(Q18*'Arkusz1 (+0)'!J19)-Q18</f>
        <v>2223.5088828571606</v>
      </c>
      <c r="P19" s="16">
        <f t="shared" ca="1" si="6"/>
        <v>9360.3428569707321</v>
      </c>
      <c r="Q19" s="17">
        <f t="shared" ca="1" si="7"/>
        <v>1072747.3134668577</v>
      </c>
    </row>
    <row r="20" spans="1:17" x14ac:dyDescent="0.35">
      <c r="A20">
        <v>18</v>
      </c>
      <c r="B20" s="14">
        <f t="shared" ca="1" si="8"/>
        <v>46616</v>
      </c>
      <c r="C20" s="15">
        <f ca="1">(1+(('Symulacja Pożyczka'!$B$5+'Symulacja Pożyczka'!$C$18)/100)*('Arkusz1 (+0)'!B20-'Arkusz1 (+0)'!B19)/365)</f>
        <v>1.0021232876712329</v>
      </c>
      <c r="D20" s="15">
        <f ca="1">(1+(('Symulacja Pożyczka'!$B$5+'Symulacja Pożyczka'!$C$18)/100)*('Arkusz1 (+0)'!B20-'Arkusz1 (+0)'!B19)/366)</f>
        <v>1.0021174863387978</v>
      </c>
      <c r="E20" s="15">
        <f t="shared" ca="1" si="0"/>
        <v>0</v>
      </c>
      <c r="F20" s="15">
        <f t="shared" ca="1" si="1"/>
        <v>0</v>
      </c>
      <c r="G20">
        <f ca="1">IF(E20=1,(1+(('Symulacja Pożyczka'!$B$5+'Symulacja Pożyczka'!$C$18)/100)*(((Arkusz1!B20-DATE(YEAR(B20),1,1)+1)/365)+((DATE(YEAR(B19),12,31)-Arkusz1!B19)/366))),IF(F20=1,(1+(('Symulacja Pożyczka'!$B$5+'Symulacja Pożyczka'!$C$22)/100)*(((Arkusz1!B20-DATE(YEAR(B20),1,1)+1)/366)+((DATE(YEAR(B19),12,31)-Arkusz1!B19)/365))),0))</f>
        <v>0</v>
      </c>
      <c r="H20">
        <f t="shared" ca="1" si="2"/>
        <v>0</v>
      </c>
      <c r="I20">
        <f t="shared" ca="1" si="3"/>
        <v>1.0021232876712329</v>
      </c>
      <c r="J20">
        <f t="shared" ca="1" si="4"/>
        <v>1.0021232876712329</v>
      </c>
      <c r="K20">
        <f ca="1">PRODUCT($J$3:J20)</f>
        <v>1.0371424903720463</v>
      </c>
      <c r="L20">
        <f t="shared" ca="1" si="5"/>
        <v>0.96418766879493822</v>
      </c>
      <c r="M20">
        <f ca="1">SUM($L$3:L20)</f>
        <v>17.666239231707014</v>
      </c>
      <c r="O20">
        <f ca="1">(Q19*'Arkusz1 (+0)'!J20)-Q19</f>
        <v>2277.7511450324673</v>
      </c>
      <c r="P20" s="16">
        <f t="shared" ca="1" si="6"/>
        <v>9306.1005947954254</v>
      </c>
      <c r="Q20" s="17">
        <f t="shared" ca="1" si="7"/>
        <v>1063441.2128720623</v>
      </c>
    </row>
    <row r="21" spans="1:17" x14ac:dyDescent="0.35">
      <c r="A21">
        <v>19</v>
      </c>
      <c r="B21" s="14">
        <f t="shared" ca="1" si="8"/>
        <v>46647</v>
      </c>
      <c r="C21" s="15">
        <f ca="1">(1+(('Symulacja Pożyczka'!$B$5+'Symulacja Pożyczka'!$C$18)/100)*('Arkusz1 (+0)'!B21-'Arkusz1 (+0)'!B20)/365)</f>
        <v>1.0021232876712329</v>
      </c>
      <c r="D21" s="15">
        <f ca="1">(1+(('Symulacja Pożyczka'!$B$5+'Symulacja Pożyczka'!$C$18)/100)*('Arkusz1 (+0)'!B21-'Arkusz1 (+0)'!B20)/366)</f>
        <v>1.0021174863387978</v>
      </c>
      <c r="E21" s="15">
        <f t="shared" ca="1" si="0"/>
        <v>0</v>
      </c>
      <c r="F21" s="15">
        <f t="shared" ca="1" si="1"/>
        <v>0</v>
      </c>
      <c r="G21">
        <f ca="1">IF(E21=1,(1+(('Symulacja Pożyczka'!$B$5+'Symulacja Pożyczka'!$C$18)/100)*(((Arkusz1!B21-DATE(YEAR(B21),1,1)+1)/365)+((DATE(YEAR(B20),12,31)-Arkusz1!B20)/366))),IF(F21=1,(1+(('Symulacja Pożyczka'!$B$5+'Symulacja Pożyczka'!$C$22)/100)*(((Arkusz1!B21-DATE(YEAR(B21),1,1)+1)/366)+((DATE(YEAR(B20),12,31)-Arkusz1!B20)/365))),0))</f>
        <v>0</v>
      </c>
      <c r="H21">
        <f t="shared" ca="1" si="2"/>
        <v>0</v>
      </c>
      <c r="I21">
        <f t="shared" ca="1" si="3"/>
        <v>1.0021232876712329</v>
      </c>
      <c r="J21">
        <f t="shared" ca="1" si="4"/>
        <v>1.0021232876712329</v>
      </c>
      <c r="K21">
        <f ca="1">PRODUCT($J$3:J21)</f>
        <v>1.0393446422351651</v>
      </c>
      <c r="L21">
        <f t="shared" ca="1" si="5"/>
        <v>0.96214475869086857</v>
      </c>
      <c r="M21">
        <f ca="1">SUM($L$3:L21)</f>
        <v>18.628383990397882</v>
      </c>
      <c r="O21">
        <f ca="1">(Q20*'Arkusz1 (+0)'!J21)-Q20</f>
        <v>2257.9916163722519</v>
      </c>
      <c r="P21" s="16">
        <f t="shared" ca="1" si="6"/>
        <v>9325.8601234556409</v>
      </c>
      <c r="Q21" s="17">
        <f t="shared" ca="1" si="7"/>
        <v>1054115.3527486068</v>
      </c>
    </row>
    <row r="22" spans="1:17" x14ac:dyDescent="0.35">
      <c r="A22">
        <v>20</v>
      </c>
      <c r="B22" s="14">
        <f t="shared" ca="1" si="8"/>
        <v>46677</v>
      </c>
      <c r="C22" s="15">
        <f ca="1">(1+(('Symulacja Pożyczka'!$B$5+'Symulacja Pożyczka'!$C$18)/100)*('Arkusz1 (+0)'!B22-'Arkusz1 (+0)'!B21)/365)</f>
        <v>1.002054794520548</v>
      </c>
      <c r="D22" s="15">
        <f ca="1">(1+(('Symulacja Pożyczka'!$B$5+'Symulacja Pożyczka'!$C$18)/100)*('Arkusz1 (+0)'!B22-'Arkusz1 (+0)'!B21)/366)</f>
        <v>1.0020491803278688</v>
      </c>
      <c r="E22" s="15">
        <f t="shared" ca="1" si="0"/>
        <v>0</v>
      </c>
      <c r="F22" s="15">
        <f t="shared" ca="1" si="1"/>
        <v>0</v>
      </c>
      <c r="G22">
        <f ca="1">IF(E22=1,(1+(('Symulacja Pożyczka'!$B$5+'Symulacja Pożyczka'!$C$18)/100)*(((Arkusz1!B22-DATE(YEAR(B22),1,1)+1)/365)+((DATE(YEAR(B21),12,31)-Arkusz1!B21)/366))),IF(F22=1,(1+(('Symulacja Pożyczka'!$B$5+'Symulacja Pożyczka'!$C$22)/100)*(((Arkusz1!B22-DATE(YEAR(B22),1,1)+1)/366)+((DATE(YEAR(B21),12,31)-Arkusz1!B21)/365))),0))</f>
        <v>0</v>
      </c>
      <c r="H22">
        <f t="shared" ca="1" si="2"/>
        <v>0</v>
      </c>
      <c r="I22">
        <f t="shared" ca="1" si="3"/>
        <v>1.002054794520548</v>
      </c>
      <c r="J22">
        <f t="shared" ca="1" si="4"/>
        <v>1.002054794520548</v>
      </c>
      <c r="K22">
        <f ca="1">PRODUCT($J$3:J22)</f>
        <v>1.041480281910991</v>
      </c>
      <c r="L22">
        <f t="shared" ca="1" si="5"/>
        <v>0.96017180293142024</v>
      </c>
      <c r="M22">
        <f ca="1">SUM($L$3:L22)</f>
        <v>19.588555793329302</v>
      </c>
      <c r="O22">
        <f ca="1">(Q21*'Arkusz1 (+0)'!J22)-Q21</f>
        <v>2165.9904508534819</v>
      </c>
      <c r="P22" s="16">
        <f t="shared" ca="1" si="6"/>
        <v>9417.8612889744109</v>
      </c>
      <c r="Q22" s="17">
        <f t="shared" ca="1" si="7"/>
        <v>1044697.4914596324</v>
      </c>
    </row>
    <row r="23" spans="1:17" x14ac:dyDescent="0.35">
      <c r="A23">
        <v>21</v>
      </c>
      <c r="B23" s="14">
        <f t="shared" ca="1" si="8"/>
        <v>46708</v>
      </c>
      <c r="C23" s="15">
        <f ca="1">(1+(('Symulacja Pożyczka'!$B$5+'Symulacja Pożyczka'!$C$18)/100)*('Arkusz1 (+0)'!B23-'Arkusz1 (+0)'!B22)/365)</f>
        <v>1.0021232876712329</v>
      </c>
      <c r="D23" s="15">
        <f ca="1">(1+(('Symulacja Pożyczka'!$B$5+'Symulacja Pożyczka'!$C$18)/100)*('Arkusz1 (+0)'!B23-'Arkusz1 (+0)'!B22)/366)</f>
        <v>1.0021174863387978</v>
      </c>
      <c r="E23" s="15">
        <f t="shared" ca="1" si="0"/>
        <v>0</v>
      </c>
      <c r="F23" s="15">
        <f t="shared" ca="1" si="1"/>
        <v>0</v>
      </c>
      <c r="G23">
        <f ca="1">IF(E23=1,(1+(('Symulacja Pożyczka'!$B$5+'Symulacja Pożyczka'!$C$18)/100)*(((Arkusz1!B23-DATE(YEAR(B23),1,1)+1)/365)+((DATE(YEAR(B22),12,31)-Arkusz1!B22)/366))),IF(F23=1,(1+(('Symulacja Pożyczka'!$B$5+'Symulacja Pożyczka'!$C$22)/100)*(((Arkusz1!B23-DATE(YEAR(B23),1,1)+1)/366)+((DATE(YEAR(B22),12,31)-Arkusz1!B22)/365))),0))</f>
        <v>0</v>
      </c>
      <c r="H23">
        <f t="shared" ca="1" si="2"/>
        <v>0</v>
      </c>
      <c r="I23">
        <f t="shared" ca="1" si="3"/>
        <v>1.0021232876712329</v>
      </c>
      <c r="J23">
        <f t="shared" ca="1" si="4"/>
        <v>1.0021232876712329</v>
      </c>
      <c r="K23">
        <f ca="1">PRODUCT($J$3:J23)</f>
        <v>1.0436916441534048</v>
      </c>
      <c r="L23">
        <f t="shared" ca="1" si="5"/>
        <v>0.95813740159925742</v>
      </c>
      <c r="M23">
        <f ca="1">SUM($L$3:L23)</f>
        <v>20.546693194928558</v>
      </c>
      <c r="O23">
        <f ca="1">(Q22*'Arkusz1 (+0)'!J23)-Q22</f>
        <v>2218.1933037842391</v>
      </c>
      <c r="P23" s="16">
        <f t="shared" ca="1" si="6"/>
        <v>9365.6584360436536</v>
      </c>
      <c r="Q23" s="17">
        <f t="shared" ca="1" si="7"/>
        <v>1035331.8330235888</v>
      </c>
    </row>
    <row r="24" spans="1:17" x14ac:dyDescent="0.35">
      <c r="A24">
        <v>22</v>
      </c>
      <c r="B24" s="14">
        <f t="shared" ca="1" si="8"/>
        <v>46738</v>
      </c>
      <c r="C24" s="15">
        <f ca="1">(1+(('Symulacja Pożyczka'!$B$5+'Symulacja Pożyczka'!$C$18)/100)*('Arkusz1 (+0)'!B24-'Arkusz1 (+0)'!B23)/365)</f>
        <v>1.002054794520548</v>
      </c>
      <c r="D24" s="15">
        <f ca="1">(1+(('Symulacja Pożyczka'!$B$5+'Symulacja Pożyczka'!$C$18)/100)*('Arkusz1 (+0)'!B24-'Arkusz1 (+0)'!B23)/366)</f>
        <v>1.0020491803278688</v>
      </c>
      <c r="E24" s="15">
        <f t="shared" ca="1" si="0"/>
        <v>0</v>
      </c>
      <c r="F24" s="15">
        <f t="shared" ca="1" si="1"/>
        <v>0</v>
      </c>
      <c r="G24">
        <f ca="1">IF(E24=1,(1+(('Symulacja Pożyczka'!$B$5+'Symulacja Pożyczka'!$C$18)/100)*(((Arkusz1!B24-DATE(YEAR(B24),1,1)+1)/365)+((DATE(YEAR(B23),12,31)-Arkusz1!B23)/366))),IF(F24=1,(1+(('Symulacja Pożyczka'!$B$5+'Symulacja Pożyczka'!$C$22)/100)*(((Arkusz1!B24-DATE(YEAR(B24),1,1)+1)/366)+((DATE(YEAR(B23),12,31)-Arkusz1!B23)/365))),0))</f>
        <v>0</v>
      </c>
      <c r="H24">
        <f t="shared" ca="1" si="2"/>
        <v>0</v>
      </c>
      <c r="I24">
        <f t="shared" ca="1" si="3"/>
        <v>1.002054794520548</v>
      </c>
      <c r="J24">
        <f t="shared" ca="1" si="4"/>
        <v>1.002054794520548</v>
      </c>
      <c r="K24">
        <f ca="1">PRODUCT($J$3:J24)</f>
        <v>1.045836216024953</v>
      </c>
      <c r="L24">
        <f t="shared" ca="1" si="5"/>
        <v>0.95617266325011319</v>
      </c>
      <c r="M24">
        <f ca="1">SUM($L$3:L24)</f>
        <v>21.502865858178673</v>
      </c>
      <c r="O24">
        <f ca="1">(Q23*'Arkusz1 (+0)'!J24)-Q23</f>
        <v>2127.3941774457926</v>
      </c>
      <c r="P24" s="16">
        <f t="shared" ca="1" si="6"/>
        <v>9456.4575623821001</v>
      </c>
      <c r="Q24" s="17">
        <f t="shared" ca="1" si="7"/>
        <v>1025875.3754612067</v>
      </c>
    </row>
    <row r="25" spans="1:17" x14ac:dyDescent="0.35">
      <c r="A25">
        <v>23</v>
      </c>
      <c r="B25" s="14">
        <f t="shared" ca="1" si="8"/>
        <v>46769</v>
      </c>
      <c r="C25" s="15">
        <f ca="1">(1+(('Symulacja Pożyczka'!$B$5+'Symulacja Pożyczka'!$C$18)/100)*('Arkusz1 (+0)'!B25-'Arkusz1 (+0)'!B24)/365)</f>
        <v>1.0021232876712329</v>
      </c>
      <c r="D25" s="15">
        <f ca="1">(1+(('Symulacja Pożyczka'!$B$5+'Symulacja Pożyczka'!$C$18)/100)*('Arkusz1 (+0)'!B25-'Arkusz1 (+0)'!B24)/366)</f>
        <v>1.0021174863387978</v>
      </c>
      <c r="E25" s="15">
        <f t="shared" ca="1" si="0"/>
        <v>0</v>
      </c>
      <c r="F25" s="15">
        <f t="shared" ca="1" si="1"/>
        <v>1</v>
      </c>
      <c r="G25">
        <f ca="1">IF(E25=1,(1+(('Symulacja Pożyczka'!$B$5+'Symulacja Pożyczka'!$C$18)/100)*(((Arkusz1!B25-DATE(YEAR(B25),1,1)+1)/365)+((DATE(YEAR(B24),12,31)-Arkusz1!B24)/366))),IF(F25=1,(1+(('Symulacja Pożyczka'!$B$5+'Symulacja Pożyczka'!$C$22)/100)*(((Arkusz1!B25-DATE(YEAR(B25),1,1)+1)/366)+((DATE(YEAR(B24),12,31)-Arkusz1!B24)/365))),0))</f>
        <v>1.0021201062953813</v>
      </c>
      <c r="H25">
        <f t="shared" ca="1" si="2"/>
        <v>1</v>
      </c>
      <c r="I25">
        <f t="shared" ca="1" si="3"/>
        <v>1.0021174863387978</v>
      </c>
      <c r="J25">
        <f t="shared" ca="1" si="4"/>
        <v>1.0021201062953813</v>
      </c>
      <c r="K25">
        <f ca="1">PRODUCT($J$3:J25)</f>
        <v>1.0480534999704854</v>
      </c>
      <c r="L25">
        <f t="shared" ca="1" si="5"/>
        <v>0.95414976432802467</v>
      </c>
      <c r="M25">
        <f ca="1">SUM($L$3:L25)</f>
        <v>22.457015622506699</v>
      </c>
      <c r="O25">
        <f ca="1">(Q24*'Arkusz1 (+0)'!J25)-Q24</f>
        <v>2174.9648417918943</v>
      </c>
      <c r="P25" s="16">
        <f t="shared" ca="1" si="6"/>
        <v>9408.8868980359985</v>
      </c>
      <c r="Q25" s="17">
        <f t="shared" ca="1" si="7"/>
        <v>1016466.4885631707</v>
      </c>
    </row>
    <row r="26" spans="1:17" x14ac:dyDescent="0.35">
      <c r="A26">
        <v>24</v>
      </c>
      <c r="B26" s="14">
        <f t="shared" ca="1" si="8"/>
        <v>46800</v>
      </c>
      <c r="C26" s="15">
        <f ca="1">(1+(('Symulacja Pożyczka'!$B$5+'Symulacja Pożyczka'!$C$18)/100)*('Arkusz1 (+0)'!B26-'Arkusz1 (+0)'!B25)/365)</f>
        <v>1.0021232876712329</v>
      </c>
      <c r="D26" s="15">
        <f ca="1">(1+(('Symulacja Pożyczka'!$B$5+'Symulacja Pożyczka'!$C$18)/100)*('Arkusz1 (+0)'!B26-'Arkusz1 (+0)'!B25)/366)</f>
        <v>1.0021174863387978</v>
      </c>
      <c r="E26" s="15">
        <f t="shared" ca="1" si="0"/>
        <v>0</v>
      </c>
      <c r="F26" s="15">
        <f t="shared" ca="1" si="1"/>
        <v>0</v>
      </c>
      <c r="G26">
        <f ca="1">IF(E26=1,(1+(('Symulacja Pożyczka'!$B$5+'Symulacja Pożyczka'!$C$18)/100)*(((Arkusz1!B26-DATE(YEAR(B26),1,1)+1)/365)+((DATE(YEAR(B25),12,31)-Arkusz1!B25)/366))),IF(F26=1,(1+(('Symulacja Pożyczka'!$B$5+'Symulacja Pożyczka'!$C$22)/100)*(((Arkusz1!B26-DATE(YEAR(B26),1,1)+1)/366)+((DATE(YEAR(B25),12,31)-Arkusz1!B25)/365))),0))</f>
        <v>0</v>
      </c>
      <c r="H26">
        <f t="shared" ca="1" si="2"/>
        <v>1</v>
      </c>
      <c r="I26">
        <f t="shared" ca="1" si="3"/>
        <v>1.0021174863387978</v>
      </c>
      <c r="J26">
        <f t="shared" ca="1" si="4"/>
        <v>1.0021174863387978</v>
      </c>
      <c r="K26">
        <f ca="1">PRODUCT($J$3:J26)</f>
        <v>1.0502727389390021</v>
      </c>
      <c r="L26">
        <f t="shared" ca="1" si="5"/>
        <v>0.95213363436454779</v>
      </c>
      <c r="M26">
        <f ca="1">SUM($L$3:L26)</f>
        <v>23.409149256871245</v>
      </c>
      <c r="O26">
        <f ca="1">(Q25*'Arkusz1 (+0)'!J26)-Q25</f>
        <v>2152.35390337836</v>
      </c>
      <c r="P26" s="16">
        <f t="shared" ca="1" si="6"/>
        <v>9431.4978364495328</v>
      </c>
      <c r="Q26" s="17">
        <f t="shared" ca="1" si="7"/>
        <v>1007034.9907267211</v>
      </c>
    </row>
    <row r="27" spans="1:17" x14ac:dyDescent="0.35">
      <c r="A27">
        <v>25</v>
      </c>
      <c r="B27" s="14">
        <f t="shared" ca="1" si="8"/>
        <v>46829</v>
      </c>
      <c r="C27" s="15">
        <f ca="1">(1+(('Symulacja Pożyczka'!$B$5+'Symulacja Pożyczka'!$C$18)/100)*('Arkusz1 (+0)'!B27-'Arkusz1 (+0)'!B26)/365)</f>
        <v>1.0019863013698631</v>
      </c>
      <c r="D27" s="15">
        <f ca="1">(1+(('Symulacja Pożyczka'!$B$5+'Symulacja Pożyczka'!$C$18)/100)*('Arkusz1 (+0)'!B27-'Arkusz1 (+0)'!B26)/366)</f>
        <v>1.0019808743169398</v>
      </c>
      <c r="E27" s="15">
        <f t="shared" ca="1" si="0"/>
        <v>0</v>
      </c>
      <c r="F27" s="15">
        <f t="shared" ca="1" si="1"/>
        <v>0</v>
      </c>
      <c r="G27">
        <f ca="1">IF(E27=1,(1+(('Symulacja Pożyczka'!$B$5+'Symulacja Pożyczka'!$C$18)/100)*(((Arkusz1!B27-DATE(YEAR(B27),1,1)+1)/365)+((DATE(YEAR(B26),12,31)-Arkusz1!B26)/366))),IF(F27=1,(1+(('Symulacja Pożyczka'!$B$5+'Symulacja Pożyczka'!$C$22)/100)*(((Arkusz1!B27-DATE(YEAR(B27),1,1)+1)/366)+((DATE(YEAR(B26),12,31)-Arkusz1!B26)/365))),0))</f>
        <v>0</v>
      </c>
      <c r="H27">
        <f t="shared" ca="1" si="2"/>
        <v>1</v>
      </c>
      <c r="I27">
        <f t="shared" ca="1" si="3"/>
        <v>1.0019808743169398</v>
      </c>
      <c r="J27">
        <f t="shared" ca="1" si="4"/>
        <v>1.0019808743169398</v>
      </c>
      <c r="K27">
        <f ca="1">PRODUCT($J$3:J27)</f>
        <v>1.0523531972333484</v>
      </c>
      <c r="L27">
        <f t="shared" ca="1" si="5"/>
        <v>0.95025130595793716</v>
      </c>
      <c r="M27">
        <f ca="1">SUM($L$3:L27)</f>
        <v>24.359400562829183</v>
      </c>
      <c r="O27">
        <f ca="1">(Q26*'Arkusz1 (+0)'!J27)-Q26</f>
        <v>1994.8097493903479</v>
      </c>
      <c r="P27" s="16">
        <f t="shared" ca="1" si="6"/>
        <v>9589.0419904375449</v>
      </c>
      <c r="Q27" s="17">
        <f t="shared" ca="1" si="7"/>
        <v>997445.94873628358</v>
      </c>
    </row>
    <row r="28" spans="1:17" x14ac:dyDescent="0.35">
      <c r="A28">
        <v>26</v>
      </c>
      <c r="B28" s="14">
        <f t="shared" ca="1" si="8"/>
        <v>46860</v>
      </c>
      <c r="C28" s="15">
        <f ca="1">(1+(('Symulacja Pożyczka'!$B$5+'Symulacja Pożyczka'!$C$18)/100)*('Arkusz1 (+0)'!B28-'Arkusz1 (+0)'!B27)/365)</f>
        <v>1.0021232876712329</v>
      </c>
      <c r="D28" s="15">
        <f ca="1">(1+(('Symulacja Pożyczka'!$B$5+'Symulacja Pożyczka'!$C$18)/100)*('Arkusz1 (+0)'!B28-'Arkusz1 (+0)'!B27)/366)</f>
        <v>1.0021174863387978</v>
      </c>
      <c r="E28" s="15">
        <f t="shared" ca="1" si="0"/>
        <v>0</v>
      </c>
      <c r="F28" s="15">
        <f t="shared" ca="1" si="1"/>
        <v>0</v>
      </c>
      <c r="G28">
        <f ca="1">IF(E28=1,(1+(('Symulacja Pożyczka'!$B$5+'Symulacja Pożyczka'!$C$18)/100)*(((Arkusz1!B28-DATE(YEAR(B28),1,1)+1)/365)+((DATE(YEAR(B27),12,31)-Arkusz1!B27)/366))),IF(F28=1,(1+(('Symulacja Pożyczka'!$B$5+'Symulacja Pożyczka'!$C$22)/100)*(((Arkusz1!B28-DATE(YEAR(B28),1,1)+1)/366)+((DATE(YEAR(B27),12,31)-Arkusz1!B27)/365))),0))</f>
        <v>0</v>
      </c>
      <c r="H28">
        <f t="shared" ca="1" si="2"/>
        <v>1</v>
      </c>
      <c r="I28">
        <f t="shared" ca="1" si="3"/>
        <v>1.0021174863387978</v>
      </c>
      <c r="J28">
        <f t="shared" ca="1" si="4"/>
        <v>1.0021174863387978</v>
      </c>
      <c r="K28">
        <f ca="1">PRODUCT($J$3:J28)</f>
        <v>1.0545815407520802</v>
      </c>
      <c r="L28">
        <f t="shared" ca="1" si="5"/>
        <v>0.94824341348402974</v>
      </c>
      <c r="M28">
        <f ca="1">SUM($L$3:L28)</f>
        <v>25.307643976313212</v>
      </c>
      <c r="O28">
        <f ca="1">(Q27*'Arkusz1 (+0)'!J28)-Q27</f>
        <v>2112.0781701382948</v>
      </c>
      <c r="P28" s="16">
        <f t="shared" ca="1" si="6"/>
        <v>9471.7735696895979</v>
      </c>
      <c r="Q28" s="17">
        <f t="shared" ca="1" si="7"/>
        <v>987974.17516659398</v>
      </c>
    </row>
    <row r="29" spans="1:17" x14ac:dyDescent="0.35">
      <c r="A29">
        <v>27</v>
      </c>
      <c r="B29" s="14">
        <f t="shared" ca="1" si="8"/>
        <v>46890</v>
      </c>
      <c r="C29" s="15">
        <f ca="1">(1+(('Symulacja Pożyczka'!$B$5+'Symulacja Pożyczka'!$C$18)/100)*('Arkusz1 (+0)'!B29-'Arkusz1 (+0)'!B28)/365)</f>
        <v>1.002054794520548</v>
      </c>
      <c r="D29" s="15">
        <f ca="1">(1+(('Symulacja Pożyczka'!$B$5+'Symulacja Pożyczka'!$C$18)/100)*('Arkusz1 (+0)'!B29-'Arkusz1 (+0)'!B28)/366)</f>
        <v>1.0020491803278688</v>
      </c>
      <c r="E29" s="15">
        <f t="shared" ca="1" si="0"/>
        <v>0</v>
      </c>
      <c r="F29" s="15">
        <f t="shared" ca="1" si="1"/>
        <v>0</v>
      </c>
      <c r="G29">
        <f ca="1">IF(E29=1,(1+(('Symulacja Pożyczka'!$B$5+'Symulacja Pożyczka'!$C$18)/100)*(((Arkusz1!B29-DATE(YEAR(B29),1,1)+1)/365)+((DATE(YEAR(B28),12,31)-Arkusz1!B28)/366))),IF(F29=1,(1+(('Symulacja Pożyczka'!$B$5+'Symulacja Pożyczka'!$C$22)/100)*(((Arkusz1!B29-DATE(YEAR(B29),1,1)+1)/366)+((DATE(YEAR(B28),12,31)-Arkusz1!B28)/365))),0))</f>
        <v>0</v>
      </c>
      <c r="H29">
        <f t="shared" ca="1" si="2"/>
        <v>1</v>
      </c>
      <c r="I29">
        <f t="shared" ca="1" si="3"/>
        <v>1.0020491803278688</v>
      </c>
      <c r="J29">
        <f t="shared" ca="1" si="4"/>
        <v>1.0020491803278688</v>
      </c>
      <c r="K29">
        <f ca="1">PRODUCT($J$3:J29)</f>
        <v>1.0567425684995231</v>
      </c>
      <c r="L29">
        <f t="shared" ca="1" si="5"/>
        <v>0.94630426539919532</v>
      </c>
      <c r="M29">
        <f ca="1">SUM($L$3:L29)</f>
        <v>26.253948241712408</v>
      </c>
      <c r="O29">
        <f ca="1">(Q28*'Arkusz1 (+0)'!J29)-Q28</f>
        <v>2024.537244193838</v>
      </c>
      <c r="P29" s="16">
        <f t="shared" ca="1" si="6"/>
        <v>9559.3144956340548</v>
      </c>
      <c r="Q29" s="17">
        <f t="shared" ca="1" si="7"/>
        <v>978414.86067095993</v>
      </c>
    </row>
    <row r="30" spans="1:17" x14ac:dyDescent="0.35">
      <c r="A30">
        <v>28</v>
      </c>
      <c r="B30" s="14">
        <f t="shared" ca="1" si="8"/>
        <v>46921</v>
      </c>
      <c r="C30" s="15">
        <f ca="1">(1+(('Symulacja Pożyczka'!$B$5+'Symulacja Pożyczka'!$C$18)/100)*('Arkusz1 (+0)'!B30-'Arkusz1 (+0)'!B29)/365)</f>
        <v>1.0021232876712329</v>
      </c>
      <c r="D30" s="15">
        <f ca="1">(1+(('Symulacja Pożyczka'!$B$5+'Symulacja Pożyczka'!$C$18)/100)*('Arkusz1 (+0)'!B30-'Arkusz1 (+0)'!B29)/366)</f>
        <v>1.0021174863387978</v>
      </c>
      <c r="E30" s="15">
        <f t="shared" ca="1" si="0"/>
        <v>0</v>
      </c>
      <c r="F30" s="15">
        <f t="shared" ca="1" si="1"/>
        <v>0</v>
      </c>
      <c r="G30">
        <f ca="1">IF(E30=1,(1+(('Symulacja Pożyczka'!$B$5+'Symulacja Pożyczka'!$C$18)/100)*(((Arkusz1!B30-DATE(YEAR(B30),1,1)+1)/365)+((DATE(YEAR(B29),12,31)-Arkusz1!B29)/366))),IF(F30=1,(1+(('Symulacja Pożyczka'!$B$5+'Symulacja Pożyczka'!$C$22)/100)*(((Arkusz1!B30-DATE(YEAR(B30),1,1)+1)/366)+((DATE(YEAR(B29),12,31)-Arkusz1!B29)/365))),0))</f>
        <v>0</v>
      </c>
      <c r="H30">
        <f t="shared" ca="1" si="2"/>
        <v>1</v>
      </c>
      <c r="I30">
        <f t="shared" ca="1" si="3"/>
        <v>1.0021174863387978</v>
      </c>
      <c r="J30">
        <f t="shared" ca="1" si="4"/>
        <v>1.0021174863387978</v>
      </c>
      <c r="K30">
        <f ca="1">PRODUCT($J$3:J30)</f>
        <v>1.0589802064519469</v>
      </c>
      <c r="L30">
        <f t="shared" ca="1" si="5"/>
        <v>0.94430471306960806</v>
      </c>
      <c r="M30">
        <f ca="1">SUM($L$3:L30)</f>
        <v>27.198252954782017</v>
      </c>
      <c r="O30">
        <f ca="1">(Q29*'Arkusz1 (+0)'!J30)-Q29</f>
        <v>2071.7801011474803</v>
      </c>
      <c r="P30" s="16">
        <f t="shared" ca="1" si="6"/>
        <v>9512.0716386804124</v>
      </c>
      <c r="Q30" s="17">
        <f t="shared" ca="1" si="7"/>
        <v>968902.78903227951</v>
      </c>
    </row>
    <row r="31" spans="1:17" x14ac:dyDescent="0.35">
      <c r="A31">
        <v>29</v>
      </c>
      <c r="B31" s="14">
        <f t="shared" ca="1" si="8"/>
        <v>46951</v>
      </c>
      <c r="C31" s="15">
        <f ca="1">(1+(('Symulacja Pożyczka'!$B$5+'Symulacja Pożyczka'!$C$18)/100)*('Arkusz1 (+0)'!B31-'Arkusz1 (+0)'!B30)/365)</f>
        <v>1.002054794520548</v>
      </c>
      <c r="D31" s="15">
        <f ca="1">(1+(('Symulacja Pożyczka'!$B$5+'Symulacja Pożyczka'!$C$18)/100)*('Arkusz1 (+0)'!B31-'Arkusz1 (+0)'!B30)/366)</f>
        <v>1.0020491803278688</v>
      </c>
      <c r="E31" s="15">
        <f t="shared" ca="1" si="0"/>
        <v>0</v>
      </c>
      <c r="F31" s="15">
        <f t="shared" ca="1" si="1"/>
        <v>0</v>
      </c>
      <c r="G31">
        <f ca="1">IF(E31=1,(1+(('Symulacja Pożyczka'!$B$5+'Symulacja Pożyczka'!$C$18)/100)*(((Arkusz1!B31-DATE(YEAR(B31),1,1)+1)/365)+((DATE(YEAR(B30),12,31)-Arkusz1!B30)/366))),IF(F31=1,(1+(('Symulacja Pożyczka'!$B$5+'Symulacja Pożyczka'!$C$22)/100)*(((Arkusz1!B31-DATE(YEAR(B31),1,1)+1)/366)+((DATE(YEAR(B30),12,31)-Arkusz1!B30)/365))),0))</f>
        <v>0</v>
      </c>
      <c r="H31">
        <f t="shared" ca="1" si="2"/>
        <v>1</v>
      </c>
      <c r="I31">
        <f t="shared" ca="1" si="3"/>
        <v>1.0020491803278688</v>
      </c>
      <c r="J31">
        <f t="shared" ca="1" si="4"/>
        <v>1.0020491803278688</v>
      </c>
      <c r="K31">
        <f ca="1">PRODUCT($J$3:J31)</f>
        <v>1.0611502478586108</v>
      </c>
      <c r="L31">
        <f t="shared" ca="1" si="5"/>
        <v>0.94237361958684807</v>
      </c>
      <c r="M31">
        <f ca="1">SUM($L$3:L31)</f>
        <v>28.140626574368866</v>
      </c>
      <c r="O31">
        <f ca="1">(Q30*'Arkusz1 (+0)'!J31)-Q30</f>
        <v>1985.4565349022159</v>
      </c>
      <c r="P31" s="16">
        <f t="shared" ca="1" si="6"/>
        <v>9598.3952049256768</v>
      </c>
      <c r="Q31" s="17">
        <f t="shared" ca="1" si="7"/>
        <v>959304.39382735384</v>
      </c>
    </row>
    <row r="32" spans="1:17" x14ac:dyDescent="0.35">
      <c r="A32">
        <v>30</v>
      </c>
      <c r="B32" s="14">
        <f t="shared" ca="1" si="8"/>
        <v>46982</v>
      </c>
      <c r="C32" s="15">
        <f ca="1">(1+(('Symulacja Pożyczka'!$B$5+'Symulacja Pożyczka'!$C$18)/100)*('Arkusz1 (+0)'!B32-'Arkusz1 (+0)'!B31)/365)</f>
        <v>1.0021232876712329</v>
      </c>
      <c r="D32" s="15">
        <f ca="1">(1+(('Symulacja Pożyczka'!$B$5+'Symulacja Pożyczka'!$C$18)/100)*('Arkusz1 (+0)'!B32-'Arkusz1 (+0)'!B31)/366)</f>
        <v>1.0021174863387978</v>
      </c>
      <c r="E32" s="15">
        <f t="shared" ca="1" si="0"/>
        <v>0</v>
      </c>
      <c r="F32" s="15">
        <f t="shared" ca="1" si="1"/>
        <v>0</v>
      </c>
      <c r="G32">
        <f ca="1">IF(E32=1,(1+(('Symulacja Pożyczka'!$B$5+'Symulacja Pożyczka'!$C$18)/100)*(((Arkusz1!B32-DATE(YEAR(B32),1,1)+1)/365)+((DATE(YEAR(B31),12,31)-Arkusz1!B31)/366))),IF(F32=1,(1+(('Symulacja Pożyczka'!$B$5+'Symulacja Pożyczka'!$C$22)/100)*(((Arkusz1!B32-DATE(YEAR(B32),1,1)+1)/366)+((DATE(YEAR(B31),12,31)-Arkusz1!B31)/365))),0))</f>
        <v>0</v>
      </c>
      <c r="H32">
        <f t="shared" ca="1" si="2"/>
        <v>1</v>
      </c>
      <c r="I32">
        <f t="shared" ca="1" si="3"/>
        <v>1.0021174863387978</v>
      </c>
      <c r="J32">
        <f t="shared" ca="1" si="4"/>
        <v>1.0021174863387978</v>
      </c>
      <c r="K32">
        <f ca="1">PRODUCT($J$3:J32)</f>
        <v>1.0633972190118632</v>
      </c>
      <c r="L32">
        <f t="shared" ca="1" si="5"/>
        <v>0.94038237275928405</v>
      </c>
      <c r="M32">
        <f ca="1">SUM($L$3:L32)</f>
        <v>29.081008947128151</v>
      </c>
      <c r="O32">
        <f ca="1">(Q31*'Arkusz1 (+0)'!J32)-Q31</f>
        <v>2031.313948678202</v>
      </c>
      <c r="P32" s="16">
        <f t="shared" ca="1" si="6"/>
        <v>9552.5377911496907</v>
      </c>
      <c r="Q32" s="17">
        <f t="shared" ca="1" si="7"/>
        <v>949751.85603620415</v>
      </c>
    </row>
    <row r="33" spans="1:17" x14ac:dyDescent="0.35">
      <c r="A33">
        <v>31</v>
      </c>
      <c r="B33" s="14">
        <f t="shared" ca="1" si="8"/>
        <v>47013</v>
      </c>
      <c r="C33" s="15">
        <f ca="1">(1+(('Symulacja Pożyczka'!$B$5+'Symulacja Pożyczka'!$C$18)/100)*('Arkusz1 (+0)'!B33-'Arkusz1 (+0)'!B32)/365)</f>
        <v>1.0021232876712329</v>
      </c>
      <c r="D33" s="15">
        <f ca="1">(1+(('Symulacja Pożyczka'!$B$5+'Symulacja Pożyczka'!$C$18)/100)*('Arkusz1 (+0)'!B33-'Arkusz1 (+0)'!B32)/366)</f>
        <v>1.0021174863387978</v>
      </c>
      <c r="E33" s="15">
        <f t="shared" ca="1" si="0"/>
        <v>0</v>
      </c>
      <c r="F33" s="15">
        <f t="shared" ca="1" si="1"/>
        <v>0</v>
      </c>
      <c r="G33">
        <f ca="1">IF(E33=1,(1+(('Symulacja Pożyczka'!$B$5+'Symulacja Pożyczka'!$C$18)/100)*(((Arkusz1!B33-DATE(YEAR(B33),1,1)+1)/365)+((DATE(YEAR(B32),12,31)-Arkusz1!B32)/366))),IF(F33=1,(1+(('Symulacja Pożyczka'!$B$5+'Symulacja Pożyczka'!$C$22)/100)*(((Arkusz1!B33-DATE(YEAR(B33),1,1)+1)/366)+((DATE(YEAR(B32),12,31)-Arkusz1!B32)/365))),0))</f>
        <v>0</v>
      </c>
      <c r="H33">
        <f t="shared" ca="1" si="2"/>
        <v>1</v>
      </c>
      <c r="I33">
        <f t="shared" ca="1" si="3"/>
        <v>1.0021174863387978</v>
      </c>
      <c r="J33">
        <f t="shared" ca="1" si="4"/>
        <v>1.0021174863387978</v>
      </c>
      <c r="K33">
        <f ca="1">PRODUCT($J$3:J33)</f>
        <v>1.0656489480958364</v>
      </c>
      <c r="L33">
        <f t="shared" ca="1" si="5"/>
        <v>0.93839533346029025</v>
      </c>
      <c r="M33">
        <f ca="1">SUM($L$3:L33)</f>
        <v>30.019404280588439</v>
      </c>
      <c r="O33">
        <f ca="1">(Q32*'Arkusz1 (+0)'!J33)-Q32</f>
        <v>2011.0865804045461</v>
      </c>
      <c r="P33" s="16">
        <f t="shared" ca="1" si="6"/>
        <v>9572.7651594233466</v>
      </c>
      <c r="Q33" s="17">
        <f t="shared" ca="1" si="7"/>
        <v>940179.0908767808</v>
      </c>
    </row>
    <row r="34" spans="1:17" x14ac:dyDescent="0.35">
      <c r="A34">
        <v>32</v>
      </c>
      <c r="B34" s="14">
        <f t="shared" ca="1" si="8"/>
        <v>47043</v>
      </c>
      <c r="C34" s="15">
        <f ca="1">(1+(('Symulacja Pożyczka'!$B$5+'Symulacja Pożyczka'!$C$18)/100)*('Arkusz1 (+0)'!B34-'Arkusz1 (+0)'!B33)/365)</f>
        <v>1.002054794520548</v>
      </c>
      <c r="D34" s="15">
        <f ca="1">(1+(('Symulacja Pożyczka'!$B$5+'Symulacja Pożyczka'!$C$18)/100)*('Arkusz1 (+0)'!B34-'Arkusz1 (+0)'!B33)/366)</f>
        <v>1.0020491803278688</v>
      </c>
      <c r="E34" s="15">
        <f t="shared" ca="1" si="0"/>
        <v>0</v>
      </c>
      <c r="F34" s="15">
        <f t="shared" ca="1" si="1"/>
        <v>0</v>
      </c>
      <c r="G34">
        <f ca="1">IF(E34=1,(1+(('Symulacja Pożyczka'!$B$5+'Symulacja Pożyczka'!$C$18)/100)*(((Arkusz1!B34-DATE(YEAR(B34),1,1)+1)/365)+((DATE(YEAR(B33),12,31)-Arkusz1!B33)/366))),IF(F34=1,(1+(('Symulacja Pożyczka'!$B$5+'Symulacja Pożyczka'!$C$22)/100)*(((Arkusz1!B34-DATE(YEAR(B34),1,1)+1)/366)+((DATE(YEAR(B33),12,31)-Arkusz1!B33)/365))),0))</f>
        <v>0</v>
      </c>
      <c r="H34">
        <f t="shared" ca="1" si="2"/>
        <v>1</v>
      </c>
      <c r="I34">
        <f t="shared" ca="1" si="3"/>
        <v>1.0020491803278688</v>
      </c>
      <c r="J34">
        <f t="shared" ca="1" si="4"/>
        <v>1.0020491803278688</v>
      </c>
      <c r="K34">
        <f ca="1">PRODUCT($J$3:J34)</f>
        <v>1.0678326549566886</v>
      </c>
      <c r="L34">
        <f t="shared" ca="1" si="5"/>
        <v>0.93647632459840835</v>
      </c>
      <c r="M34">
        <f ca="1">SUM($L$3:L34)</f>
        <v>30.955880605186849</v>
      </c>
      <c r="O34">
        <f ca="1">(Q33*'Arkusz1 (+0)'!J34)-Q33</f>
        <v>1926.5964976983378</v>
      </c>
      <c r="P34" s="16">
        <f t="shared" ca="1" si="6"/>
        <v>9657.255242129555</v>
      </c>
      <c r="Q34" s="17">
        <f t="shared" ca="1" si="7"/>
        <v>930521.83563465124</v>
      </c>
    </row>
    <row r="35" spans="1:17" x14ac:dyDescent="0.35">
      <c r="A35">
        <v>33</v>
      </c>
      <c r="B35" s="14">
        <f t="shared" ca="1" si="8"/>
        <v>47074</v>
      </c>
      <c r="C35" s="15">
        <f ca="1">(1+(('Symulacja Pożyczka'!$B$5+'Symulacja Pożyczka'!$C$18)/100)*('Arkusz1 (+0)'!B35-'Arkusz1 (+0)'!B34)/365)</f>
        <v>1.0021232876712329</v>
      </c>
      <c r="D35" s="15">
        <f ca="1">(1+(('Symulacja Pożyczka'!$B$5+'Symulacja Pożyczka'!$C$18)/100)*('Arkusz1 (+0)'!B35-'Arkusz1 (+0)'!B34)/366)</f>
        <v>1.0021174863387978</v>
      </c>
      <c r="E35" s="15">
        <f t="shared" ca="1" si="0"/>
        <v>0</v>
      </c>
      <c r="F35" s="15">
        <f t="shared" ca="1" si="1"/>
        <v>0</v>
      </c>
      <c r="G35">
        <f ca="1">IF(E35=1,(1+(('Symulacja Pożyczka'!$B$5+'Symulacja Pożyczka'!$C$18)/100)*(((Arkusz1!B35-DATE(YEAR(B35),1,1)+1)/365)+((DATE(YEAR(B34),12,31)-Arkusz1!B34)/366))),IF(F35=1,(1+(('Symulacja Pożyczka'!$B$5+'Symulacja Pożyczka'!$C$22)/100)*(((Arkusz1!B35-DATE(YEAR(B35),1,1)+1)/366)+((DATE(YEAR(B34),12,31)-Arkusz1!B34)/365))),0))</f>
        <v>0</v>
      </c>
      <c r="H35">
        <f t="shared" ca="1" si="2"/>
        <v>1</v>
      </c>
      <c r="I35">
        <f t="shared" ca="1" si="3"/>
        <v>1.0021174863387978</v>
      </c>
      <c r="J35">
        <f t="shared" ca="1" si="4"/>
        <v>1.0021174863387978</v>
      </c>
      <c r="K35">
        <f ca="1">PRODUCT($J$3:J35)</f>
        <v>1.0700937760156815</v>
      </c>
      <c r="L35">
        <f t="shared" ca="1" si="5"/>
        <v>0.93449753882630349</v>
      </c>
      <c r="M35">
        <f ca="1">SUM($L$3:L35)</f>
        <v>31.890378144013152</v>
      </c>
      <c r="O35">
        <f ca="1">(Q34*'Arkusz1 (+0)'!J35)-Q34</f>
        <v>1970.3672749093967</v>
      </c>
      <c r="P35" s="16">
        <f t="shared" ca="1" si="6"/>
        <v>9613.4844649184961</v>
      </c>
      <c r="Q35" s="17">
        <f t="shared" ca="1" si="7"/>
        <v>920908.35116973275</v>
      </c>
    </row>
    <row r="36" spans="1:17" x14ac:dyDescent="0.35">
      <c r="A36">
        <v>34</v>
      </c>
      <c r="B36" s="14">
        <f t="shared" ca="1" si="8"/>
        <v>47104</v>
      </c>
      <c r="C36" s="15">
        <f ca="1">(1+(('Symulacja Pożyczka'!$B$5+'Symulacja Pożyczka'!$C$18)/100)*('Arkusz1 (+0)'!B36-'Arkusz1 (+0)'!B35)/365)</f>
        <v>1.002054794520548</v>
      </c>
      <c r="D36" s="15">
        <f ca="1">(1+(('Symulacja Pożyczka'!$B$5+'Symulacja Pożyczka'!$C$18)/100)*('Arkusz1 (+0)'!B36-'Arkusz1 (+0)'!B35)/366)</f>
        <v>1.0020491803278688</v>
      </c>
      <c r="E36" s="15">
        <f t="shared" ca="1" si="0"/>
        <v>0</v>
      </c>
      <c r="F36" s="15">
        <f t="shared" ca="1" si="1"/>
        <v>0</v>
      </c>
      <c r="G36">
        <f ca="1">IF(E36=1,(1+(('Symulacja Pożyczka'!$B$5+'Symulacja Pożyczka'!$C$18)/100)*(((Arkusz1!B36-DATE(YEAR(B36),1,1)+1)/365)+((DATE(YEAR(B35),12,31)-Arkusz1!B35)/366))),IF(F36=1,(1+(('Symulacja Pożyczka'!$B$5+'Symulacja Pożyczka'!$C$22)/100)*(((Arkusz1!B36-DATE(YEAR(B36),1,1)+1)/366)+((DATE(YEAR(B35),12,31)-Arkusz1!B35)/365))),0))</f>
        <v>0</v>
      </c>
      <c r="H36">
        <f t="shared" ca="1" si="2"/>
        <v>1</v>
      </c>
      <c r="I36">
        <f t="shared" ca="1" si="3"/>
        <v>1.0020491803278688</v>
      </c>
      <c r="J36">
        <f t="shared" ca="1" si="4"/>
        <v>1.0020491803278688</v>
      </c>
      <c r="K36">
        <f ca="1">PRODUCT($J$3:J36)</f>
        <v>1.0722865911304678</v>
      </c>
      <c r="L36">
        <f t="shared" ca="1" si="5"/>
        <v>0.93258650091459316</v>
      </c>
      <c r="M36">
        <f ca="1">SUM($L$3:L36)</f>
        <v>32.822964644927744</v>
      </c>
      <c r="O36">
        <f ca="1">(Q35*'Arkusz1 (+0)'!J36)-Q35</f>
        <v>1887.107276987168</v>
      </c>
      <c r="P36" s="16">
        <f t="shared" ca="1" si="6"/>
        <v>9696.7444628407247</v>
      </c>
      <c r="Q36" s="17">
        <f t="shared" ca="1" si="7"/>
        <v>911211.60670689202</v>
      </c>
    </row>
    <row r="37" spans="1:17" x14ac:dyDescent="0.35">
      <c r="A37">
        <v>35</v>
      </c>
      <c r="B37" s="14">
        <f t="shared" ca="1" si="8"/>
        <v>47135</v>
      </c>
      <c r="C37" s="15">
        <f ca="1">(1+(('Symulacja Pożyczka'!$B$5+'Symulacja Pożyczka'!$C$18)/100)*('Arkusz1 (+0)'!B37-'Arkusz1 (+0)'!B36)/365)</f>
        <v>1.0021232876712329</v>
      </c>
      <c r="D37" s="15">
        <f ca="1">(1+(('Symulacja Pożyczka'!$B$5+'Symulacja Pożyczka'!$C$18)/100)*('Arkusz1 (+0)'!B37-'Arkusz1 (+0)'!B36)/366)</f>
        <v>1.0021174863387978</v>
      </c>
      <c r="E37" s="15">
        <f t="shared" ca="1" si="0"/>
        <v>1</v>
      </c>
      <c r="F37" s="15">
        <f t="shared" ca="1" si="1"/>
        <v>0</v>
      </c>
      <c r="G37">
        <f ca="1">IF(E37=1,(1+(('Symulacja Pożyczka'!$B$5+'Symulacja Pożyczka'!$C$18)/100)*(((Arkusz1!B37-DATE(YEAR(B37),1,1)+1)/365)+((DATE(YEAR(B36),12,31)-Arkusz1!B36)/366))),IF(F37=1,(1+(('Symulacja Pożyczka'!$B$5+'Symulacja Pożyczka'!$C$22)/100)*(((Arkusz1!B37-DATE(YEAR(B37),1,1)+1)/366)+((DATE(YEAR(B36),12,31)-Arkusz1!B36)/365))),0))</f>
        <v>1.0021206677146492</v>
      </c>
      <c r="H37">
        <f t="shared" ca="1" si="2"/>
        <v>0</v>
      </c>
      <c r="I37">
        <f t="shared" ca="1" si="3"/>
        <v>1.0021232876712329</v>
      </c>
      <c r="J37">
        <f t="shared" ca="1" si="4"/>
        <v>1.0021206677146492</v>
      </c>
      <c r="K37">
        <f ca="1">PRODUCT($J$3:J37)</f>
        <v>1.0745605546851293</v>
      </c>
      <c r="L37">
        <f t="shared" ca="1" si="5"/>
        <v>0.93061298001304604</v>
      </c>
      <c r="M37">
        <f ca="1">SUM($L$3:L37)</f>
        <v>33.753577624940789</v>
      </c>
      <c r="O37">
        <f ca="1">(Q36*'Arkusz1 (+0)'!J37)-Q36</f>
        <v>1932.3770355569432</v>
      </c>
      <c r="P37" s="16">
        <f t="shared" ca="1" si="6"/>
        <v>9651.4747042709496</v>
      </c>
      <c r="Q37" s="17">
        <f t="shared" ca="1" si="7"/>
        <v>901560.13200262107</v>
      </c>
    </row>
    <row r="38" spans="1:17" x14ac:dyDescent="0.35">
      <c r="A38">
        <v>36</v>
      </c>
      <c r="B38" s="14">
        <f t="shared" ca="1" si="8"/>
        <v>47166</v>
      </c>
      <c r="C38" s="15">
        <f ca="1">(1+(('Symulacja Pożyczka'!$B$5+'Symulacja Pożyczka'!$C$18)/100)*('Arkusz1 (+0)'!B38-'Arkusz1 (+0)'!B37)/365)</f>
        <v>1.0021232876712329</v>
      </c>
      <c r="D38" s="15">
        <f ca="1">(1+(('Symulacja Pożyczka'!$B$5+'Symulacja Pożyczka'!$C$18)/100)*('Arkusz1 (+0)'!B38-'Arkusz1 (+0)'!B37)/366)</f>
        <v>1.0021174863387978</v>
      </c>
      <c r="E38" s="15">
        <f t="shared" ca="1" si="0"/>
        <v>0</v>
      </c>
      <c r="F38" s="15">
        <f t="shared" ca="1" si="1"/>
        <v>0</v>
      </c>
      <c r="G38">
        <f ca="1">IF(E38=1,(1+(('Symulacja Pożyczka'!$B$5+'Symulacja Pożyczka'!$C$18)/100)*(((Arkusz1!B38-DATE(YEAR(B38),1,1)+1)/365)+((DATE(YEAR(B37),12,31)-Arkusz1!B37)/366))),IF(F38=1,(1+(('Symulacja Pożyczka'!$B$5+'Symulacja Pożyczka'!$C$22)/100)*(((Arkusz1!B38-DATE(YEAR(B38),1,1)+1)/366)+((DATE(YEAR(B37),12,31)-Arkusz1!B37)/365))),0))</f>
        <v>0</v>
      </c>
      <c r="H38">
        <f t="shared" ca="1" si="2"/>
        <v>0</v>
      </c>
      <c r="I38">
        <f t="shared" ca="1" si="3"/>
        <v>1.0021232876712329</v>
      </c>
      <c r="J38">
        <f t="shared" ca="1" si="4"/>
        <v>1.0021232876712329</v>
      </c>
      <c r="K38">
        <f ca="1">PRODUCT($J$3:J38)</f>
        <v>1.0768421558628856</v>
      </c>
      <c r="L38">
        <f t="shared" ca="1" si="5"/>
        <v>0.9286412075859799</v>
      </c>
      <c r="M38">
        <f ca="1">SUM($L$3:L38)</f>
        <v>34.682218832526772</v>
      </c>
      <c r="O38">
        <f ca="1">(Q37*'Arkusz1 (+0)'!J38)-Q37</f>
        <v>1914.2715131562436</v>
      </c>
      <c r="P38" s="16">
        <f t="shared" ca="1" si="6"/>
        <v>9669.5802266716491</v>
      </c>
      <c r="Q38" s="17">
        <f t="shared" ca="1" si="7"/>
        <v>891890.55177594943</v>
      </c>
    </row>
    <row r="39" spans="1:17" x14ac:dyDescent="0.35">
      <c r="A39">
        <v>37</v>
      </c>
      <c r="B39" s="14">
        <f t="shared" ca="1" si="8"/>
        <v>47194</v>
      </c>
      <c r="C39" s="15">
        <f ca="1">(1+(('Symulacja Pożyczka'!$B$5+'Symulacja Pożyczka'!$C$18)/100)*('Arkusz1 (+0)'!B39-'Arkusz1 (+0)'!B38)/365)</f>
        <v>1.001917808219178</v>
      </c>
      <c r="D39" s="15">
        <f ca="1">(1+(('Symulacja Pożyczka'!$B$5+'Symulacja Pożyczka'!$C$18)/100)*('Arkusz1 (+0)'!B39-'Arkusz1 (+0)'!B38)/366)</f>
        <v>1.0019125683060108</v>
      </c>
      <c r="E39" s="15">
        <f t="shared" ca="1" si="0"/>
        <v>0</v>
      </c>
      <c r="F39" s="15">
        <f t="shared" ca="1" si="1"/>
        <v>0</v>
      </c>
      <c r="G39">
        <f ca="1">IF(E39=1,(1+(('Symulacja Pożyczka'!$B$5+'Symulacja Pożyczka'!$C$18)/100)*(((Arkusz1!B39-DATE(YEAR(B39),1,1)+1)/365)+((DATE(YEAR(B38),12,31)-Arkusz1!B38)/366))),IF(F39=1,(1+(('Symulacja Pożyczka'!$B$5+'Symulacja Pożyczka'!$C$22)/100)*(((Arkusz1!B39-DATE(YEAR(B39),1,1)+1)/366)+((DATE(YEAR(B38),12,31)-Arkusz1!B38)/365))),0))</f>
        <v>0</v>
      </c>
      <c r="H39">
        <f t="shared" ca="1" si="2"/>
        <v>0</v>
      </c>
      <c r="I39">
        <f t="shared" ca="1" si="3"/>
        <v>1.001917808219178</v>
      </c>
      <c r="J39">
        <f t="shared" ca="1" si="4"/>
        <v>1.001917808219178</v>
      </c>
      <c r="K39">
        <f ca="1">PRODUCT($J$3:J39)</f>
        <v>1.0789073326001568</v>
      </c>
      <c r="L39">
        <f t="shared" ca="1" si="5"/>
        <v>0.92686366083916505</v>
      </c>
      <c r="M39">
        <f ca="1">SUM($L$3:L39)</f>
        <v>35.609082493365939</v>
      </c>
      <c r="O39">
        <f ca="1">(Q38*'Arkusz1 (+0)'!J39)-Q38</f>
        <v>1710.4750308031216</v>
      </c>
      <c r="P39" s="16">
        <f t="shared" ca="1" si="6"/>
        <v>9873.3767090247711</v>
      </c>
      <c r="Q39" s="17">
        <f t="shared" ca="1" si="7"/>
        <v>882017.17506692465</v>
      </c>
    </row>
    <row r="40" spans="1:17" x14ac:dyDescent="0.35">
      <c r="A40">
        <v>38</v>
      </c>
      <c r="B40" s="14">
        <f t="shared" ca="1" si="8"/>
        <v>47225</v>
      </c>
      <c r="C40" s="15">
        <f ca="1">(1+(('Symulacja Pożyczka'!$B$5+'Symulacja Pożyczka'!$C$18)/100)*('Arkusz1 (+0)'!B40-'Arkusz1 (+0)'!B39)/365)</f>
        <v>1.0021232876712329</v>
      </c>
      <c r="D40" s="15">
        <f ca="1">(1+(('Symulacja Pożyczka'!$B$5+'Symulacja Pożyczka'!$C$18)/100)*('Arkusz1 (+0)'!B40-'Arkusz1 (+0)'!B39)/366)</f>
        <v>1.0021174863387978</v>
      </c>
      <c r="E40" s="15">
        <f t="shared" ca="1" si="0"/>
        <v>0</v>
      </c>
      <c r="F40" s="15">
        <f t="shared" ca="1" si="1"/>
        <v>0</v>
      </c>
      <c r="G40">
        <f ca="1">IF(E40=1,(1+(('Symulacja Pożyczka'!$B$5+'Symulacja Pożyczka'!$C$18)/100)*(((Arkusz1!B40-DATE(YEAR(B40),1,1)+1)/365)+((DATE(YEAR(B39),12,31)-Arkusz1!B39)/366))),IF(F40=1,(1+(('Symulacja Pożyczka'!$B$5+'Symulacja Pożyczka'!$C$22)/100)*(((Arkusz1!B40-DATE(YEAR(B40),1,1)+1)/366)+((DATE(YEAR(B39),12,31)-Arkusz1!B39)/365))),0))</f>
        <v>0</v>
      </c>
      <c r="H40">
        <f t="shared" ca="1" si="2"/>
        <v>0</v>
      </c>
      <c r="I40">
        <f t="shared" ca="1" si="3"/>
        <v>1.0021232876712329</v>
      </c>
      <c r="J40">
        <f t="shared" ca="1" si="4"/>
        <v>1.0021232876712329</v>
      </c>
      <c r="K40">
        <f ca="1">PRODUCT($J$3:J40)</f>
        <v>1.0811981632378695</v>
      </c>
      <c r="L40">
        <f t="shared" ca="1" si="5"/>
        <v>0.92489983242784557</v>
      </c>
      <c r="M40">
        <f ca="1">SUM($L$3:L40)</f>
        <v>36.533982325793787</v>
      </c>
      <c r="O40">
        <f ca="1">(Q39*'Arkusz1 (+0)'!J40)-Q39</f>
        <v>1872.7761936353054</v>
      </c>
      <c r="P40" s="16">
        <f t="shared" ca="1" si="6"/>
        <v>9711.0755461925874</v>
      </c>
      <c r="Q40" s="17">
        <f t="shared" ca="1" si="7"/>
        <v>872306.09952073207</v>
      </c>
    </row>
    <row r="41" spans="1:17" x14ac:dyDescent="0.35">
      <c r="A41">
        <v>39</v>
      </c>
      <c r="B41" s="14">
        <f t="shared" ca="1" si="8"/>
        <v>47255</v>
      </c>
      <c r="C41" s="15">
        <f ca="1">(1+(('Symulacja Pożyczka'!$B$5+'Symulacja Pożyczka'!$C$18)/100)*('Arkusz1 (+0)'!B41-'Arkusz1 (+0)'!B40)/365)</f>
        <v>1.002054794520548</v>
      </c>
      <c r="D41" s="15">
        <f ca="1">(1+(('Symulacja Pożyczka'!$B$5+'Symulacja Pożyczka'!$C$18)/100)*('Arkusz1 (+0)'!B41-'Arkusz1 (+0)'!B40)/366)</f>
        <v>1.0020491803278688</v>
      </c>
      <c r="E41" s="15">
        <f t="shared" ca="1" si="0"/>
        <v>0</v>
      </c>
      <c r="F41" s="15">
        <f t="shared" ca="1" si="1"/>
        <v>0</v>
      </c>
      <c r="G41">
        <f ca="1">IF(E41=1,(1+(('Symulacja Pożyczka'!$B$5+'Symulacja Pożyczka'!$C$18)/100)*(((Arkusz1!B41-DATE(YEAR(B41),1,1)+1)/365)+((DATE(YEAR(B40),12,31)-Arkusz1!B40)/366))),IF(F41=1,(1+(('Symulacja Pożyczka'!$B$5+'Symulacja Pożyczka'!$C$22)/100)*(((Arkusz1!B41-DATE(YEAR(B41),1,1)+1)/366)+((DATE(YEAR(B40),12,31)-Arkusz1!B40)/365))),0))</f>
        <v>0</v>
      </c>
      <c r="H41">
        <f t="shared" ca="1" si="2"/>
        <v>0</v>
      </c>
      <c r="I41">
        <f t="shared" ca="1" si="3"/>
        <v>1.002054794520548</v>
      </c>
      <c r="J41">
        <f t="shared" ca="1" si="4"/>
        <v>1.002054794520548</v>
      </c>
      <c r="K41">
        <f ca="1">PRODUCT($J$3:J41)</f>
        <v>1.0834198032993172</v>
      </c>
      <c r="L41">
        <f t="shared" ca="1" si="5"/>
        <v>0.92300325040646247</v>
      </c>
      <c r="M41">
        <f ca="1">SUM($L$3:L41)</f>
        <v>37.456985576200246</v>
      </c>
      <c r="O41">
        <f ca="1">(Q40*'Arkusz1 (+0)'!J41)-Q40</f>
        <v>1792.4097935358295</v>
      </c>
      <c r="P41" s="16">
        <f t="shared" ca="1" si="6"/>
        <v>9791.4419462920632</v>
      </c>
      <c r="Q41" s="17">
        <f t="shared" ca="1" si="7"/>
        <v>862514.65757444</v>
      </c>
    </row>
    <row r="42" spans="1:17" x14ac:dyDescent="0.35">
      <c r="A42">
        <v>40</v>
      </c>
      <c r="B42" s="14">
        <f t="shared" ca="1" si="8"/>
        <v>47286</v>
      </c>
      <c r="C42" s="15">
        <f ca="1">(1+(('Symulacja Pożyczka'!$B$5+'Symulacja Pożyczka'!$C$18)/100)*('Arkusz1 (+0)'!B42-'Arkusz1 (+0)'!B41)/365)</f>
        <v>1.0021232876712329</v>
      </c>
      <c r="D42" s="15">
        <f ca="1">(1+(('Symulacja Pożyczka'!$B$5+'Symulacja Pożyczka'!$C$18)/100)*('Arkusz1 (+0)'!B42-'Arkusz1 (+0)'!B41)/366)</f>
        <v>1.0021174863387978</v>
      </c>
      <c r="E42" s="15">
        <f t="shared" ca="1" si="0"/>
        <v>0</v>
      </c>
      <c r="F42" s="15">
        <f t="shared" ca="1" si="1"/>
        <v>0</v>
      </c>
      <c r="G42">
        <f ca="1">IF(E42=1,(1+(('Symulacja Pożyczka'!$B$5+'Symulacja Pożyczka'!$C$18)/100)*(((Arkusz1!B42-DATE(YEAR(B42),1,1)+1)/365)+((DATE(YEAR(B41),12,31)-Arkusz1!B41)/366))),IF(F42=1,(1+(('Symulacja Pożyczka'!$B$5+'Symulacja Pożyczka'!$C$22)/100)*(((Arkusz1!B42-DATE(YEAR(B42),1,1)+1)/366)+((DATE(YEAR(B41),12,31)-Arkusz1!B41)/365))),0))</f>
        <v>0</v>
      </c>
      <c r="H42">
        <f t="shared" ca="1" si="2"/>
        <v>0</v>
      </c>
      <c r="I42">
        <f t="shared" ca="1" si="3"/>
        <v>1.0021232876712329</v>
      </c>
      <c r="J42">
        <f t="shared" ca="1" si="4"/>
        <v>1.0021232876712329</v>
      </c>
      <c r="K42">
        <f ca="1">PRODUCT($J$3:J42)</f>
        <v>1.0857202152104322</v>
      </c>
      <c r="L42">
        <f t="shared" ca="1" si="5"/>
        <v>0.9210476013898129</v>
      </c>
      <c r="M42">
        <f ca="1">SUM($L$3:L42)</f>
        <v>38.378033177590062</v>
      </c>
      <c r="O42">
        <f ca="1">(Q41*'Arkusz1 (+0)'!J42)-Q41</f>
        <v>1831.3667386855232</v>
      </c>
      <c r="P42" s="16">
        <f t="shared" ca="1" si="6"/>
        <v>9752.4850011423696</v>
      </c>
      <c r="Q42" s="17">
        <f t="shared" ca="1" si="7"/>
        <v>852762.17257329763</v>
      </c>
    </row>
    <row r="43" spans="1:17" x14ac:dyDescent="0.35">
      <c r="A43">
        <v>41</v>
      </c>
      <c r="B43" s="14">
        <f t="shared" ca="1" si="8"/>
        <v>47316</v>
      </c>
      <c r="C43" s="15">
        <f ca="1">(1+(('Symulacja Pożyczka'!$B$5+'Symulacja Pożyczka'!$C$18)/100)*('Arkusz1 (+0)'!B43-'Arkusz1 (+0)'!B42)/365)</f>
        <v>1.002054794520548</v>
      </c>
      <c r="D43" s="15">
        <f ca="1">(1+(('Symulacja Pożyczka'!$B$5+'Symulacja Pożyczka'!$C$18)/100)*('Arkusz1 (+0)'!B43-'Arkusz1 (+0)'!B42)/366)</f>
        <v>1.0020491803278688</v>
      </c>
      <c r="E43" s="15">
        <f t="shared" ca="1" si="0"/>
        <v>0</v>
      </c>
      <c r="F43" s="15">
        <f t="shared" ca="1" si="1"/>
        <v>0</v>
      </c>
      <c r="G43">
        <f ca="1">IF(E43=1,(1+(('Symulacja Pożyczka'!$B$5+'Symulacja Pożyczka'!$C$18)/100)*(((Arkusz1!B43-DATE(YEAR(B43),1,1)+1)/365)+((DATE(YEAR(B42),12,31)-Arkusz1!B42)/366))),IF(F43=1,(1+(('Symulacja Pożyczka'!$B$5+'Symulacja Pożyczka'!$C$22)/100)*(((Arkusz1!B43-DATE(YEAR(B43),1,1)+1)/366)+((DATE(YEAR(B42),12,31)-Arkusz1!B42)/365))),0))</f>
        <v>0</v>
      </c>
      <c r="H43">
        <f t="shared" ca="1" si="2"/>
        <v>0</v>
      </c>
      <c r="I43">
        <f t="shared" ca="1" si="3"/>
        <v>1.002054794520548</v>
      </c>
      <c r="J43">
        <f t="shared" ca="1" si="4"/>
        <v>1.002054794520548</v>
      </c>
      <c r="K43">
        <f ca="1">PRODUCT($J$3:J43)</f>
        <v>1.0879511471594947</v>
      </c>
      <c r="L43">
        <f t="shared" ca="1" si="5"/>
        <v>0.91915891868019606</v>
      </c>
      <c r="M43">
        <f ca="1">SUM($L$3:L43)</f>
        <v>39.297192096270258</v>
      </c>
      <c r="O43">
        <f ca="1">(Q42*'Arkusz1 (+0)'!J43)-Q42</f>
        <v>1752.2510395342251</v>
      </c>
      <c r="P43" s="16">
        <f t="shared" ca="1" si="6"/>
        <v>9831.6007002936676</v>
      </c>
      <c r="Q43" s="17">
        <f t="shared" ca="1" si="7"/>
        <v>842930.57187300397</v>
      </c>
    </row>
    <row r="44" spans="1:17" x14ac:dyDescent="0.35">
      <c r="A44">
        <v>42</v>
      </c>
      <c r="B44" s="14">
        <f t="shared" ca="1" si="8"/>
        <v>47347</v>
      </c>
      <c r="C44" s="15">
        <f ca="1">(1+(('Symulacja Pożyczka'!$B$5+'Symulacja Pożyczka'!$C$18)/100)*('Arkusz1 (+0)'!B44-'Arkusz1 (+0)'!B43)/365)</f>
        <v>1.0021232876712329</v>
      </c>
      <c r="D44" s="15">
        <f ca="1">(1+(('Symulacja Pożyczka'!$B$5+'Symulacja Pożyczka'!$C$18)/100)*('Arkusz1 (+0)'!B44-'Arkusz1 (+0)'!B43)/366)</f>
        <v>1.0021174863387978</v>
      </c>
      <c r="E44" s="15">
        <f t="shared" ca="1" si="0"/>
        <v>0</v>
      </c>
      <c r="F44" s="15">
        <f t="shared" ca="1" si="1"/>
        <v>0</v>
      </c>
      <c r="G44">
        <f ca="1">IF(E44=1,(1+(('Symulacja Pożyczka'!$B$5+'Symulacja Pożyczka'!$C$18)/100)*(((Arkusz1!B44-DATE(YEAR(B44),1,1)+1)/365)+((DATE(YEAR(B43),12,31)-Arkusz1!B43)/366))),IF(F44=1,(1+(('Symulacja Pożyczka'!$B$5+'Symulacja Pożyczka'!$C$22)/100)*(((Arkusz1!B44-DATE(YEAR(B44),1,1)+1)/366)+((DATE(YEAR(B43),12,31)-Arkusz1!B43)/365))),0))</f>
        <v>0</v>
      </c>
      <c r="H44">
        <f t="shared" ca="1" si="2"/>
        <v>0</v>
      </c>
      <c r="I44">
        <f t="shared" ca="1" si="3"/>
        <v>1.0021232876712329</v>
      </c>
      <c r="J44">
        <f t="shared" ca="1" si="4"/>
        <v>1.0021232876712329</v>
      </c>
      <c r="K44">
        <f ca="1">PRODUCT($J$3:J44)</f>
        <v>1.0902611804171622</v>
      </c>
      <c r="L44">
        <f t="shared" ca="1" si="5"/>
        <v>0.91721141499083181</v>
      </c>
      <c r="M44">
        <f ca="1">SUM($L$3:L44)</f>
        <v>40.214403511261089</v>
      </c>
      <c r="O44">
        <f ca="1">(Q43*'Arkusz1 (+0)'!J44)-Q43</f>
        <v>1789.7840909633087</v>
      </c>
      <c r="P44" s="16">
        <f t="shared" ca="1" si="6"/>
        <v>9794.067648864584</v>
      </c>
      <c r="Q44" s="17">
        <f t="shared" ca="1" si="7"/>
        <v>833136.50422413938</v>
      </c>
    </row>
    <row r="45" spans="1:17" x14ac:dyDescent="0.35">
      <c r="A45">
        <v>43</v>
      </c>
      <c r="B45" s="14">
        <f t="shared" ca="1" si="8"/>
        <v>47378</v>
      </c>
      <c r="C45" s="15">
        <f ca="1">(1+(('Symulacja Pożyczka'!$B$5+'Symulacja Pożyczka'!$C$18)/100)*('Arkusz1 (+0)'!B45-'Arkusz1 (+0)'!B44)/365)</f>
        <v>1.0021232876712329</v>
      </c>
      <c r="D45" s="15">
        <f ca="1">(1+(('Symulacja Pożyczka'!$B$5+'Symulacja Pożyczka'!$C$18)/100)*('Arkusz1 (+0)'!B45-'Arkusz1 (+0)'!B44)/366)</f>
        <v>1.0021174863387978</v>
      </c>
      <c r="E45" s="15">
        <f t="shared" ca="1" si="0"/>
        <v>0</v>
      </c>
      <c r="F45" s="15">
        <f t="shared" ca="1" si="1"/>
        <v>0</v>
      </c>
      <c r="G45">
        <f ca="1">IF(E45=1,(1+(('Symulacja Pożyczka'!$B$5+'Symulacja Pożyczka'!$C$18)/100)*(((Arkusz1!B45-DATE(YEAR(B45),1,1)+1)/365)+((DATE(YEAR(B44),12,31)-Arkusz1!B44)/366))),IF(F45=1,(1+(('Symulacja Pożyczka'!$B$5+'Symulacja Pożyczka'!$C$22)/100)*(((Arkusz1!B45-DATE(YEAR(B45),1,1)+1)/366)+((DATE(YEAR(B44),12,31)-Arkusz1!B44)/365))),0))</f>
        <v>0</v>
      </c>
      <c r="H45">
        <f t="shared" ca="1" si="2"/>
        <v>0</v>
      </c>
      <c r="I45">
        <f t="shared" ca="1" si="3"/>
        <v>1.0021232876712329</v>
      </c>
      <c r="J45">
        <f t="shared" ca="1" si="4"/>
        <v>1.0021232876712329</v>
      </c>
      <c r="K45">
        <f ca="1">PRODUCT($J$3:J45)</f>
        <v>1.0925761185399658</v>
      </c>
      <c r="L45">
        <f t="shared" ca="1" si="5"/>
        <v>0.91526803765061482</v>
      </c>
      <c r="M45">
        <f ca="1">SUM($L$3:L45)</f>
        <v>41.129671548911702</v>
      </c>
      <c r="O45">
        <f ca="1">(Q44*'Arkusz1 (+0)'!J45)-Q44</f>
        <v>1768.9884678731905</v>
      </c>
      <c r="P45" s="16">
        <f t="shared" ca="1" si="6"/>
        <v>9814.8632719547022</v>
      </c>
      <c r="Q45" s="17">
        <f t="shared" ca="1" si="7"/>
        <v>823321.64095218468</v>
      </c>
    </row>
    <row r="46" spans="1:17" x14ac:dyDescent="0.35">
      <c r="A46">
        <v>44</v>
      </c>
      <c r="B46" s="14">
        <f t="shared" ca="1" si="8"/>
        <v>47408</v>
      </c>
      <c r="C46" s="15">
        <f ca="1">(1+(('Symulacja Pożyczka'!$B$5+'Symulacja Pożyczka'!$C$18)/100)*('Arkusz1 (+0)'!B46-'Arkusz1 (+0)'!B45)/365)</f>
        <v>1.002054794520548</v>
      </c>
      <c r="D46" s="15">
        <f ca="1">(1+(('Symulacja Pożyczka'!$B$5+'Symulacja Pożyczka'!$C$18)/100)*('Arkusz1 (+0)'!B46-'Arkusz1 (+0)'!B45)/366)</f>
        <v>1.0020491803278688</v>
      </c>
      <c r="E46" s="15">
        <f t="shared" ca="1" si="0"/>
        <v>0</v>
      </c>
      <c r="F46" s="15">
        <f t="shared" ca="1" si="1"/>
        <v>0</v>
      </c>
      <c r="G46">
        <f ca="1">IF(E46=1,(1+(('Symulacja Pożyczka'!$B$5+'Symulacja Pożyczka'!$C$18)/100)*(((Arkusz1!B46-DATE(YEAR(B46),1,1)+1)/365)+((DATE(YEAR(B45),12,31)-Arkusz1!B45)/366))),IF(F46=1,(1+(('Symulacja Pożyczka'!$B$5+'Symulacja Pożyczka'!$C$22)/100)*(((Arkusz1!B46-DATE(YEAR(B46),1,1)+1)/366)+((DATE(YEAR(B45),12,31)-Arkusz1!B45)/365))),0))</f>
        <v>0</v>
      </c>
      <c r="H46">
        <f t="shared" ca="1" si="2"/>
        <v>0</v>
      </c>
      <c r="I46">
        <f t="shared" ca="1" si="3"/>
        <v>1.002054794520548</v>
      </c>
      <c r="J46">
        <f t="shared" ca="1" si="4"/>
        <v>1.002054794520548</v>
      </c>
      <c r="K46">
        <f ca="1">PRODUCT($J$3:J46)</f>
        <v>1.0948211379616233</v>
      </c>
      <c r="L46">
        <f t="shared" ca="1" si="5"/>
        <v>0.91339120640457794</v>
      </c>
      <c r="M46">
        <f ca="1">SUM($L$3:L46)</f>
        <v>42.043062755316278</v>
      </c>
      <c r="O46">
        <f ca="1">(Q45*'Arkusz1 (+0)'!J46)-Q45</f>
        <v>1691.7567964771297</v>
      </c>
      <c r="P46" s="16">
        <f t="shared" ca="1" si="6"/>
        <v>9892.0949433507631</v>
      </c>
      <c r="Q46" s="17">
        <f t="shared" ca="1" si="7"/>
        <v>813429.54600883392</v>
      </c>
    </row>
    <row r="47" spans="1:17" x14ac:dyDescent="0.35">
      <c r="A47">
        <v>45</v>
      </c>
      <c r="B47" s="14">
        <f t="shared" ca="1" si="8"/>
        <v>47439</v>
      </c>
      <c r="C47" s="15">
        <f ca="1">(1+(('Symulacja Pożyczka'!$B$5+'Symulacja Pożyczka'!$C$18)/100)*('Arkusz1 (+0)'!B47-'Arkusz1 (+0)'!B46)/365)</f>
        <v>1.0021232876712329</v>
      </c>
      <c r="D47" s="15">
        <f ca="1">(1+(('Symulacja Pożyczka'!$B$5+'Symulacja Pożyczka'!$C$18)/100)*('Arkusz1 (+0)'!B47-'Arkusz1 (+0)'!B46)/366)</f>
        <v>1.0021174863387978</v>
      </c>
      <c r="E47" s="15">
        <f t="shared" ca="1" si="0"/>
        <v>0</v>
      </c>
      <c r="F47" s="15">
        <f t="shared" ca="1" si="1"/>
        <v>0</v>
      </c>
      <c r="G47">
        <f ca="1">IF(E47=1,(1+(('Symulacja Pożyczka'!$B$5+'Symulacja Pożyczka'!$C$18)/100)*(((Arkusz1!B47-DATE(YEAR(B47),1,1)+1)/365)+((DATE(YEAR(B46),12,31)-Arkusz1!B46)/366))),IF(F47=1,(1+(('Symulacja Pożyczka'!$B$5+'Symulacja Pożyczka'!$C$22)/100)*(((Arkusz1!B47-DATE(YEAR(B47),1,1)+1)/366)+((DATE(YEAR(B46),12,31)-Arkusz1!B46)/365))),0))</f>
        <v>0</v>
      </c>
      <c r="H47">
        <f t="shared" ca="1" si="2"/>
        <v>0</v>
      </c>
      <c r="I47">
        <f t="shared" ca="1" si="3"/>
        <v>1.0021232876712329</v>
      </c>
      <c r="J47">
        <f t="shared" ca="1" si="4"/>
        <v>1.0021232876712329</v>
      </c>
      <c r="K47">
        <f ca="1">PRODUCT($J$3:J47)</f>
        <v>1.0971457581860624</v>
      </c>
      <c r="L47">
        <f t="shared" ca="1" si="5"/>
        <v>0.91145592327980574</v>
      </c>
      <c r="M47">
        <f ca="1">SUM($L$3:L47)</f>
        <v>42.954518678596081</v>
      </c>
      <c r="O47">
        <f ca="1">(Q46*'Arkusz1 (+0)'!J47)-Q46</f>
        <v>1727.1449264572002</v>
      </c>
      <c r="P47" s="16">
        <f t="shared" ca="1" si="6"/>
        <v>9856.7068133706925</v>
      </c>
      <c r="Q47" s="17">
        <f t="shared" ca="1" si="7"/>
        <v>803572.83919546322</v>
      </c>
    </row>
    <row r="48" spans="1:17" x14ac:dyDescent="0.35">
      <c r="A48">
        <v>46</v>
      </c>
      <c r="B48" s="14">
        <f t="shared" ca="1" si="8"/>
        <v>47469</v>
      </c>
      <c r="C48" s="15">
        <f ca="1">(1+(('Symulacja Pożyczka'!$B$5+'Symulacja Pożyczka'!$C$18)/100)*('Arkusz1 (+0)'!B48-'Arkusz1 (+0)'!B47)/365)</f>
        <v>1.002054794520548</v>
      </c>
      <c r="D48" s="15">
        <f ca="1">(1+(('Symulacja Pożyczka'!$B$5+'Symulacja Pożyczka'!$C$18)/100)*('Arkusz1 (+0)'!B48-'Arkusz1 (+0)'!B47)/366)</f>
        <v>1.0020491803278688</v>
      </c>
      <c r="E48" s="15">
        <f t="shared" ca="1" si="0"/>
        <v>0</v>
      </c>
      <c r="F48" s="15">
        <f t="shared" ca="1" si="1"/>
        <v>0</v>
      </c>
      <c r="G48">
        <f ca="1">IF(E48=1,(1+(('Symulacja Pożyczka'!$B$5+'Symulacja Pożyczka'!$C$18)/100)*(((Arkusz1!B48-DATE(YEAR(B48),1,1)+1)/365)+((DATE(YEAR(B47),12,31)-Arkusz1!B47)/366))),IF(F48=1,(1+(('Symulacja Pożyczka'!$B$5+'Symulacja Pożyczka'!$C$22)/100)*(((Arkusz1!B48-DATE(YEAR(B48),1,1)+1)/366)+((DATE(YEAR(B47),12,31)-Arkusz1!B47)/365))),0))</f>
        <v>0</v>
      </c>
      <c r="H48">
        <f t="shared" ca="1" si="2"/>
        <v>0</v>
      </c>
      <c r="I48">
        <f t="shared" ca="1" si="3"/>
        <v>1.002054794520548</v>
      </c>
      <c r="J48">
        <f t="shared" ca="1" si="4"/>
        <v>1.002054794520548</v>
      </c>
      <c r="K48">
        <f ca="1">PRODUCT($J$3:J48)</f>
        <v>1.0994001672782256</v>
      </c>
      <c r="L48">
        <f t="shared" ca="1" si="5"/>
        <v>0.90958690908305961</v>
      </c>
      <c r="M48">
        <f ca="1">SUM($L$3:L48)</f>
        <v>43.864105587679141</v>
      </c>
      <c r="O48">
        <f ca="1">(Q47*'Arkusz1 (+0)'!J48)-Q47</f>
        <v>1651.1770668399986</v>
      </c>
      <c r="P48" s="16">
        <f t="shared" ca="1" si="6"/>
        <v>9932.6746729878942</v>
      </c>
      <c r="Q48" s="17">
        <f t="shared" ca="1" si="7"/>
        <v>793640.16452247533</v>
      </c>
    </row>
    <row r="49" spans="1:17" x14ac:dyDescent="0.35">
      <c r="A49">
        <v>47</v>
      </c>
      <c r="B49" s="14">
        <f t="shared" ca="1" si="8"/>
        <v>47500</v>
      </c>
      <c r="C49" s="15">
        <f ca="1">(1+(('Symulacja Pożyczka'!$B$5+'Symulacja Pożyczka'!$C$18)/100)*('Arkusz1 (+0)'!B49-'Arkusz1 (+0)'!B48)/365)</f>
        <v>1.0021232876712329</v>
      </c>
      <c r="D49" s="15">
        <f ca="1">(1+(('Symulacja Pożyczka'!$B$5+'Symulacja Pożyczka'!$C$18)/100)*('Arkusz1 (+0)'!B49-'Arkusz1 (+0)'!B48)/366)</f>
        <v>1.0021174863387978</v>
      </c>
      <c r="E49" s="15">
        <f t="shared" ca="1" si="0"/>
        <v>0</v>
      </c>
      <c r="F49" s="15">
        <f t="shared" ca="1" si="1"/>
        <v>0</v>
      </c>
      <c r="G49">
        <f ca="1">IF(E49=1,(1+(('Symulacja Pożyczka'!$B$5+'Symulacja Pożyczka'!$C$18)/100)*(((Arkusz1!B49-DATE(YEAR(B49),1,1)+1)/365)+((DATE(YEAR(B48),12,31)-Arkusz1!B48)/366))),IF(F49=1,(1+(('Symulacja Pożyczka'!$B$5+'Symulacja Pożyczka'!$C$22)/100)*(((Arkusz1!B49-DATE(YEAR(B49),1,1)+1)/366)+((DATE(YEAR(B48),12,31)-Arkusz1!B48)/365))),0))</f>
        <v>0</v>
      </c>
      <c r="H49">
        <f t="shared" ca="1" si="2"/>
        <v>0</v>
      </c>
      <c r="I49">
        <f t="shared" ca="1" si="3"/>
        <v>1.0021232876712329</v>
      </c>
      <c r="J49">
        <f t="shared" ca="1" si="4"/>
        <v>1.0021232876712329</v>
      </c>
      <c r="K49">
        <f ca="1">PRODUCT($J$3:J49)</f>
        <v>1.1017345100991589</v>
      </c>
      <c r="L49">
        <f t="shared" ca="1" si="5"/>
        <v>0.90765968646112161</v>
      </c>
      <c r="M49">
        <f ca="1">SUM($L$3:L49)</f>
        <v>44.771765274140265</v>
      </c>
      <c r="O49">
        <f ca="1">(Q48*'Arkusz1 (+0)'!J49)-Q48</f>
        <v>1685.1263767258497</v>
      </c>
      <c r="P49" s="16">
        <f t="shared" ca="1" si="6"/>
        <v>9898.725363102043</v>
      </c>
      <c r="Q49" s="17">
        <f t="shared" ca="1" si="7"/>
        <v>783741.43915937329</v>
      </c>
    </row>
    <row r="50" spans="1:17" x14ac:dyDescent="0.35">
      <c r="A50">
        <v>48</v>
      </c>
      <c r="B50" s="14">
        <f t="shared" ca="1" si="8"/>
        <v>47531</v>
      </c>
      <c r="C50" s="15">
        <f ca="1">(1+(('Symulacja Pożyczka'!$B$5+'Symulacja Pożyczka'!$C$18)/100)*('Arkusz1 (+0)'!B50-'Arkusz1 (+0)'!B49)/365)</f>
        <v>1.0021232876712329</v>
      </c>
      <c r="D50" s="15">
        <f ca="1">(1+(('Symulacja Pożyczka'!$B$5+'Symulacja Pożyczka'!$C$18)/100)*('Arkusz1 (+0)'!B50-'Arkusz1 (+0)'!B49)/366)</f>
        <v>1.0021174863387978</v>
      </c>
      <c r="E50" s="15">
        <f t="shared" ca="1" si="0"/>
        <v>0</v>
      </c>
      <c r="F50" s="15">
        <f t="shared" ca="1" si="1"/>
        <v>0</v>
      </c>
      <c r="G50">
        <f ca="1">IF(E50=1,(1+(('Symulacja Pożyczka'!$B$5+'Symulacja Pożyczka'!$C$18)/100)*(((Arkusz1!B50-DATE(YEAR(B50),1,1)+1)/365)+((DATE(YEAR(B49),12,31)-Arkusz1!B49)/366))),IF(F50=1,(1+(('Symulacja Pożyczka'!$B$5+'Symulacja Pożyczka'!$C$22)/100)*(((Arkusz1!B50-DATE(YEAR(B50),1,1)+1)/366)+((DATE(YEAR(B49),12,31)-Arkusz1!B49)/365))),0))</f>
        <v>0</v>
      </c>
      <c r="H50">
        <f t="shared" ca="1" si="2"/>
        <v>0</v>
      </c>
      <c r="I50">
        <f t="shared" ca="1" si="3"/>
        <v>1.0021232876712329</v>
      </c>
      <c r="J50">
        <f t="shared" ca="1" si="4"/>
        <v>1.0021232876712329</v>
      </c>
      <c r="K50">
        <f ca="1">PRODUCT($J$3:J50)</f>
        <v>1.1040738094014244</v>
      </c>
      <c r="L50">
        <f t="shared" ca="1" si="5"/>
        <v>0.90573654721703056</v>
      </c>
      <c r="M50">
        <f ca="1">SUM($L$3:L50)</f>
        <v>45.677501821357296</v>
      </c>
      <c r="O50">
        <f ca="1">(Q49*'Arkusz1 (+0)'!J50)-Q49</f>
        <v>1664.1085352014052</v>
      </c>
      <c r="P50" s="16">
        <f t="shared" ca="1" si="6"/>
        <v>9919.7432046264876</v>
      </c>
      <c r="Q50" s="17">
        <f t="shared" ca="1" si="7"/>
        <v>773821.6959547468</v>
      </c>
    </row>
    <row r="51" spans="1:17" x14ac:dyDescent="0.35">
      <c r="A51">
        <v>49</v>
      </c>
      <c r="B51" s="14">
        <f t="shared" ca="1" si="8"/>
        <v>47559</v>
      </c>
      <c r="C51" s="15">
        <f ca="1">(1+(('Symulacja Pożyczka'!$B$5+'Symulacja Pożyczka'!$C$18)/100)*('Arkusz1 (+0)'!B51-'Arkusz1 (+0)'!B50)/365)</f>
        <v>1.001917808219178</v>
      </c>
      <c r="D51" s="15">
        <f ca="1">(1+(('Symulacja Pożyczka'!$B$5+'Symulacja Pożyczka'!$C$18)/100)*('Arkusz1 (+0)'!B51-'Arkusz1 (+0)'!B50)/366)</f>
        <v>1.0019125683060108</v>
      </c>
      <c r="E51" s="15">
        <f t="shared" ca="1" si="0"/>
        <v>0</v>
      </c>
      <c r="F51" s="15">
        <f t="shared" ca="1" si="1"/>
        <v>0</v>
      </c>
      <c r="G51">
        <f ca="1">IF(E51=1,(1+(('Symulacja Pożyczka'!$B$5+'Symulacja Pożyczka'!$C$18)/100)*(((Arkusz1!B51-DATE(YEAR(B51),1,1)+1)/365)+((DATE(YEAR(B50),12,31)-Arkusz1!B50)/366))),IF(F51=1,(1+(('Symulacja Pożyczka'!$B$5+'Symulacja Pożyczka'!$C$22)/100)*(((Arkusz1!B51-DATE(YEAR(B51),1,1)+1)/366)+((DATE(YEAR(B50),12,31)-Arkusz1!B50)/365))),0))</f>
        <v>0</v>
      </c>
      <c r="H51">
        <f t="shared" ca="1" si="2"/>
        <v>0</v>
      </c>
      <c r="I51">
        <f t="shared" ca="1" si="3"/>
        <v>1.001917808219178</v>
      </c>
      <c r="J51">
        <f t="shared" ca="1" si="4"/>
        <v>1.001917808219178</v>
      </c>
      <c r="K51">
        <f ca="1">PRODUCT($J$3:J51)</f>
        <v>1.1061912112276735</v>
      </c>
      <c r="L51">
        <f t="shared" ca="1" si="5"/>
        <v>0.90400284313430734</v>
      </c>
      <c r="M51">
        <f ca="1">SUM($L$3:L51)</f>
        <v>46.581504664491604</v>
      </c>
      <c r="O51">
        <f ca="1">(Q50*'Arkusz1 (+0)'!J51)-Q50</f>
        <v>1484.0416086802725</v>
      </c>
      <c r="P51" s="16">
        <f t="shared" ca="1" si="6"/>
        <v>10099.81013114762</v>
      </c>
      <c r="Q51" s="17">
        <f t="shared" ca="1" si="7"/>
        <v>763721.88582359918</v>
      </c>
    </row>
    <row r="52" spans="1:17" x14ac:dyDescent="0.35">
      <c r="A52">
        <v>50</v>
      </c>
      <c r="B52" s="14">
        <f t="shared" ca="1" si="8"/>
        <v>47590</v>
      </c>
      <c r="C52" s="15">
        <f ca="1">(1+(('Symulacja Pożyczka'!$B$5+'Symulacja Pożyczka'!$C$18)/100)*('Arkusz1 (+0)'!B52-'Arkusz1 (+0)'!B51)/365)</f>
        <v>1.0021232876712329</v>
      </c>
      <c r="D52" s="15">
        <f ca="1">(1+(('Symulacja Pożyczka'!$B$5+'Symulacja Pożyczka'!$C$18)/100)*('Arkusz1 (+0)'!B52-'Arkusz1 (+0)'!B51)/366)</f>
        <v>1.0021174863387978</v>
      </c>
      <c r="E52" s="15">
        <f t="shared" ca="1" si="0"/>
        <v>0</v>
      </c>
      <c r="F52" s="15">
        <f t="shared" ca="1" si="1"/>
        <v>0</v>
      </c>
      <c r="G52">
        <f ca="1">IF(E52=1,(1+(('Symulacja Pożyczka'!$B$5+'Symulacja Pożyczka'!$C$18)/100)*(((Arkusz1!B52-DATE(YEAR(B52),1,1)+1)/365)+((DATE(YEAR(B51),12,31)-Arkusz1!B51)/366))),IF(F52=1,(1+(('Symulacja Pożyczka'!$B$5+'Symulacja Pożyczka'!$C$22)/100)*(((Arkusz1!B52-DATE(YEAR(B52),1,1)+1)/366)+((DATE(YEAR(B51),12,31)-Arkusz1!B51)/365))),0))</f>
        <v>0</v>
      </c>
      <c r="H52">
        <f t="shared" ca="1" si="2"/>
        <v>0</v>
      </c>
      <c r="I52">
        <f t="shared" ca="1" si="3"/>
        <v>1.0021232876712329</v>
      </c>
      <c r="J52">
        <f t="shared" ca="1" si="4"/>
        <v>1.0021232876712329</v>
      </c>
      <c r="K52">
        <f ca="1">PRODUCT($J$3:J52)</f>
        <v>1.1085399733884995</v>
      </c>
      <c r="L52">
        <f t="shared" ca="1" si="5"/>
        <v>0.90208745196916729</v>
      </c>
      <c r="M52">
        <f ca="1">SUM($L$3:L52)</f>
        <v>47.48359211646077</v>
      </c>
      <c r="O52">
        <f ca="1">(Q51*'Arkusz1 (+0)'!J52)-Q51</f>
        <v>1621.6012644199654</v>
      </c>
      <c r="P52" s="16">
        <f t="shared" ca="1" si="6"/>
        <v>9962.2504754079273</v>
      </c>
      <c r="Q52" s="17">
        <f t="shared" ca="1" si="7"/>
        <v>753759.63534819125</v>
      </c>
    </row>
    <row r="53" spans="1:17" x14ac:dyDescent="0.35">
      <c r="A53">
        <v>51</v>
      </c>
      <c r="B53" s="14">
        <f t="shared" ca="1" si="8"/>
        <v>47620</v>
      </c>
      <c r="C53" s="15">
        <f ca="1">(1+(('Symulacja Pożyczka'!$B$5+'Symulacja Pożyczka'!$C$18)/100)*('Arkusz1 (+0)'!B53-'Arkusz1 (+0)'!B52)/365)</f>
        <v>1.002054794520548</v>
      </c>
      <c r="D53" s="15">
        <f ca="1">(1+(('Symulacja Pożyczka'!$B$5+'Symulacja Pożyczka'!$C$18)/100)*('Arkusz1 (+0)'!B53-'Arkusz1 (+0)'!B52)/366)</f>
        <v>1.0020491803278688</v>
      </c>
      <c r="E53" s="15">
        <f t="shared" ca="1" si="0"/>
        <v>0</v>
      </c>
      <c r="F53" s="15">
        <f t="shared" ca="1" si="1"/>
        <v>0</v>
      </c>
      <c r="G53">
        <f ca="1">IF(E53=1,(1+(('Symulacja Pożyczka'!$B$5+'Symulacja Pożyczka'!$C$18)/100)*(((Arkusz1!B53-DATE(YEAR(B53),1,1)+1)/365)+((DATE(YEAR(B52),12,31)-Arkusz1!B52)/366))),IF(F53=1,(1+(('Symulacja Pożyczka'!$B$5+'Symulacja Pożyczka'!$C$22)/100)*(((Arkusz1!B53-DATE(YEAR(B53),1,1)+1)/366)+((DATE(YEAR(B52),12,31)-Arkusz1!B52)/365))),0))</f>
        <v>0</v>
      </c>
      <c r="H53">
        <f t="shared" ca="1" si="2"/>
        <v>0</v>
      </c>
      <c r="I53">
        <f t="shared" ca="1" si="3"/>
        <v>1.002054794520548</v>
      </c>
      <c r="J53">
        <f t="shared" ca="1" si="4"/>
        <v>1.002054794520548</v>
      </c>
      <c r="K53">
        <f ca="1">PRODUCT($J$3:J53)</f>
        <v>1.1108177952516267</v>
      </c>
      <c r="L53">
        <f t="shared" ca="1" si="5"/>
        <v>0.90023764858167055</v>
      </c>
      <c r="M53">
        <f ca="1">SUM($L$3:L53)</f>
        <v>48.383829765042442</v>
      </c>
      <c r="O53">
        <f ca="1">(Q52*'Arkusz1 (+0)'!J53)-Q52</f>
        <v>1548.8211685237475</v>
      </c>
      <c r="P53" s="16">
        <f t="shared" ca="1" si="6"/>
        <v>10035.030571304145</v>
      </c>
      <c r="Q53" s="17">
        <f t="shared" ca="1" si="7"/>
        <v>743724.60477688711</v>
      </c>
    </row>
    <row r="54" spans="1:17" x14ac:dyDescent="0.35">
      <c r="A54">
        <v>52</v>
      </c>
      <c r="B54" s="14">
        <f t="shared" ca="1" si="8"/>
        <v>47651</v>
      </c>
      <c r="C54" s="15">
        <f ca="1">(1+(('Symulacja Pożyczka'!$B$5+'Symulacja Pożyczka'!$C$18)/100)*('Arkusz1 (+0)'!B54-'Arkusz1 (+0)'!B53)/365)</f>
        <v>1.0021232876712329</v>
      </c>
      <c r="D54" s="15">
        <f ca="1">(1+(('Symulacja Pożyczka'!$B$5+'Symulacja Pożyczka'!$C$18)/100)*('Arkusz1 (+0)'!B54-'Arkusz1 (+0)'!B53)/366)</f>
        <v>1.0021174863387978</v>
      </c>
      <c r="E54" s="15">
        <f t="shared" ca="1" si="0"/>
        <v>0</v>
      </c>
      <c r="F54" s="15">
        <f t="shared" ca="1" si="1"/>
        <v>0</v>
      </c>
      <c r="G54">
        <f ca="1">IF(E54=1,(1+(('Symulacja Pożyczka'!$B$5+'Symulacja Pożyczka'!$C$18)/100)*(((Arkusz1!B54-DATE(YEAR(B54),1,1)+1)/365)+((DATE(YEAR(B53),12,31)-Arkusz1!B53)/366))),IF(F54=1,(1+(('Symulacja Pożyczka'!$B$5+'Symulacja Pożyczka'!$C$22)/100)*(((Arkusz1!B54-DATE(YEAR(B54),1,1)+1)/366)+((DATE(YEAR(B53),12,31)-Arkusz1!B53)/365))),0))</f>
        <v>0</v>
      </c>
      <c r="H54">
        <f t="shared" ca="1" si="2"/>
        <v>0</v>
      </c>
      <c r="I54">
        <f t="shared" ca="1" si="3"/>
        <v>1.0021232876712329</v>
      </c>
      <c r="J54">
        <f t="shared" ca="1" si="4"/>
        <v>1.0021232876712329</v>
      </c>
      <c r="K54">
        <f ca="1">PRODUCT($J$3:J54)</f>
        <v>1.1131763809812707</v>
      </c>
      <c r="L54">
        <f t="shared" ca="1" si="5"/>
        <v>0.89833023506885301</v>
      </c>
      <c r="M54">
        <f ca="1">SUM($L$3:L54)</f>
        <v>49.282160000111297</v>
      </c>
      <c r="O54">
        <f ca="1">(Q53*'Arkusz1 (+0)'!J54)-Q53</f>
        <v>1579.1412841153797</v>
      </c>
      <c r="P54" s="16">
        <f t="shared" ca="1" si="6"/>
        <v>10004.710455712513</v>
      </c>
      <c r="Q54" s="17">
        <f t="shared" ca="1" si="7"/>
        <v>733719.89432117459</v>
      </c>
    </row>
    <row r="55" spans="1:17" x14ac:dyDescent="0.35">
      <c r="A55">
        <v>53</v>
      </c>
      <c r="B55" s="14">
        <f t="shared" ca="1" si="8"/>
        <v>47681</v>
      </c>
      <c r="C55" s="15">
        <f ca="1">(1+(('Symulacja Pożyczka'!$B$5+'Symulacja Pożyczka'!$C$18)/100)*('Arkusz1 (+0)'!B55-'Arkusz1 (+0)'!B54)/365)</f>
        <v>1.002054794520548</v>
      </c>
      <c r="D55" s="15">
        <f ca="1">(1+(('Symulacja Pożyczka'!$B$5+'Symulacja Pożyczka'!$C$18)/100)*('Arkusz1 (+0)'!B55-'Arkusz1 (+0)'!B54)/366)</f>
        <v>1.0020491803278688</v>
      </c>
      <c r="E55" s="15">
        <f t="shared" ca="1" si="0"/>
        <v>0</v>
      </c>
      <c r="F55" s="15">
        <f t="shared" ca="1" si="1"/>
        <v>0</v>
      </c>
      <c r="G55">
        <f ca="1">IF(E55=1,(1+(('Symulacja Pożyczka'!$B$5+'Symulacja Pożyczka'!$C$18)/100)*(((Arkusz1!B55-DATE(YEAR(B55),1,1)+1)/365)+((DATE(YEAR(B54),12,31)-Arkusz1!B54)/366))),IF(F55=1,(1+(('Symulacja Pożyczka'!$B$5+'Symulacja Pożyczka'!$C$22)/100)*(((Arkusz1!B55-DATE(YEAR(B55),1,1)+1)/366)+((DATE(YEAR(B54),12,31)-Arkusz1!B54)/365))),0))</f>
        <v>0</v>
      </c>
      <c r="H55">
        <f t="shared" ca="1" si="2"/>
        <v>0</v>
      </c>
      <c r="I55">
        <f t="shared" ca="1" si="3"/>
        <v>1.002054794520548</v>
      </c>
      <c r="J55">
        <f t="shared" ca="1" si="4"/>
        <v>1.002054794520548</v>
      </c>
      <c r="K55">
        <f ca="1">PRODUCT($J$3:J55)</f>
        <v>1.1154637297093144</v>
      </c>
      <c r="L55">
        <f t="shared" ca="1" si="5"/>
        <v>0.89648813615893741</v>
      </c>
      <c r="M55">
        <f ca="1">SUM($L$3:L55)</f>
        <v>50.178648136270233</v>
      </c>
      <c r="O55">
        <f ca="1">(Q54*'Arkusz1 (+0)'!J55)-Q54</f>
        <v>1507.6436184681952</v>
      </c>
      <c r="P55" s="16">
        <f t="shared" ca="1" si="6"/>
        <v>10076.208121359698</v>
      </c>
      <c r="Q55" s="17">
        <f t="shared" ca="1" si="7"/>
        <v>723643.6861998149</v>
      </c>
    </row>
    <row r="56" spans="1:17" x14ac:dyDescent="0.35">
      <c r="A56">
        <v>54</v>
      </c>
      <c r="B56" s="14">
        <f t="shared" ca="1" si="8"/>
        <v>47712</v>
      </c>
      <c r="C56" s="15">
        <f ca="1">(1+(('Symulacja Pożyczka'!$B$5+'Symulacja Pożyczka'!$C$18)/100)*('Arkusz1 (+0)'!B56-'Arkusz1 (+0)'!B55)/365)</f>
        <v>1.0021232876712329</v>
      </c>
      <c r="D56" s="15">
        <f ca="1">(1+(('Symulacja Pożyczka'!$B$5+'Symulacja Pożyczka'!$C$18)/100)*('Arkusz1 (+0)'!B56-'Arkusz1 (+0)'!B55)/366)</f>
        <v>1.0021174863387978</v>
      </c>
      <c r="E56" s="15">
        <f t="shared" ca="1" si="0"/>
        <v>0</v>
      </c>
      <c r="F56" s="15">
        <f t="shared" ca="1" si="1"/>
        <v>0</v>
      </c>
      <c r="G56">
        <f ca="1">IF(E56=1,(1+(('Symulacja Pożyczka'!$B$5+'Symulacja Pożyczka'!$C$18)/100)*(((Arkusz1!B56-DATE(YEAR(B56),1,1)+1)/365)+((DATE(YEAR(B55),12,31)-Arkusz1!B55)/366))),IF(F56=1,(1+(('Symulacja Pożyczka'!$B$5+'Symulacja Pożyczka'!$C$22)/100)*(((Arkusz1!B56-DATE(YEAR(B56),1,1)+1)/366)+((DATE(YEAR(B55),12,31)-Arkusz1!B55)/365))),0))</f>
        <v>0</v>
      </c>
      <c r="H56">
        <f t="shared" ca="1" si="2"/>
        <v>0</v>
      </c>
      <c r="I56">
        <f t="shared" ca="1" si="3"/>
        <v>1.0021232876712329</v>
      </c>
      <c r="J56">
        <f t="shared" ca="1" si="4"/>
        <v>1.0021232876712329</v>
      </c>
      <c r="K56">
        <f ca="1">PRODUCT($J$3:J56)</f>
        <v>1.1178321800943136</v>
      </c>
      <c r="L56">
        <f t="shared" ca="1" si="5"/>
        <v>0.89458866707132023</v>
      </c>
      <c r="M56">
        <f ca="1">SUM($L$3:L56)</f>
        <v>51.073236803341551</v>
      </c>
      <c r="O56">
        <f ca="1">(Q55*'Arkusz1 (+0)'!J56)-Q55</f>
        <v>1536.5037172735902</v>
      </c>
      <c r="P56" s="16">
        <f t="shared" ca="1" si="6"/>
        <v>10047.348022554303</v>
      </c>
      <c r="Q56" s="17">
        <f t="shared" ca="1" si="7"/>
        <v>713596.33817726059</v>
      </c>
    </row>
    <row r="57" spans="1:17" x14ac:dyDescent="0.35">
      <c r="A57">
        <v>55</v>
      </c>
      <c r="B57" s="14">
        <f t="shared" ca="1" si="8"/>
        <v>47743</v>
      </c>
      <c r="C57" s="15">
        <f ca="1">(1+(('Symulacja Pożyczka'!$B$5+'Symulacja Pożyczka'!$C$18)/100)*('Arkusz1 (+0)'!B57-'Arkusz1 (+0)'!B56)/365)</f>
        <v>1.0021232876712329</v>
      </c>
      <c r="D57" s="15">
        <f ca="1">(1+(('Symulacja Pożyczka'!$B$5+'Symulacja Pożyczka'!$C$18)/100)*('Arkusz1 (+0)'!B57-'Arkusz1 (+0)'!B56)/366)</f>
        <v>1.0021174863387978</v>
      </c>
      <c r="E57" s="15">
        <f t="shared" ca="1" si="0"/>
        <v>0</v>
      </c>
      <c r="F57" s="15">
        <f t="shared" ca="1" si="1"/>
        <v>0</v>
      </c>
      <c r="G57">
        <f ca="1">IF(E57=1,(1+(('Symulacja Pożyczka'!$B$5+'Symulacja Pożyczka'!$C$18)/100)*(((Arkusz1!B57-DATE(YEAR(B57),1,1)+1)/365)+((DATE(YEAR(B56),12,31)-Arkusz1!B56)/366))),IF(F57=1,(1+(('Symulacja Pożyczka'!$B$5+'Symulacja Pożyczka'!$C$22)/100)*(((Arkusz1!B57-DATE(YEAR(B57),1,1)+1)/366)+((DATE(YEAR(B56),12,31)-Arkusz1!B56)/365))),0))</f>
        <v>0</v>
      </c>
      <c r="H57">
        <f t="shared" ca="1" si="2"/>
        <v>0</v>
      </c>
      <c r="I57">
        <f t="shared" ca="1" si="3"/>
        <v>1.0021232876712329</v>
      </c>
      <c r="J57">
        <f t="shared" ca="1" si="4"/>
        <v>1.0021232876712329</v>
      </c>
      <c r="K57">
        <f ca="1">PRODUCT($J$3:J57)</f>
        <v>1.1202056593808154</v>
      </c>
      <c r="L57">
        <f t="shared" ca="1" si="5"/>
        <v>0.89269322255767025</v>
      </c>
      <c r="M57">
        <f ca="1">SUM($L$3:L57)</f>
        <v>51.965930025899219</v>
      </c>
      <c r="O57">
        <f ca="1">(Q56*'Arkusz1 (+0)'!J57)-Q56</f>
        <v>1515.1703070887597</v>
      </c>
      <c r="P57" s="16">
        <f t="shared" ca="1" si="6"/>
        <v>10068.681432739133</v>
      </c>
      <c r="Q57" s="17">
        <f t="shared" ca="1" si="7"/>
        <v>703527.65674452146</v>
      </c>
    </row>
    <row r="58" spans="1:17" x14ac:dyDescent="0.35">
      <c r="A58">
        <v>56</v>
      </c>
      <c r="B58" s="14">
        <f t="shared" ca="1" si="8"/>
        <v>47773</v>
      </c>
      <c r="C58" s="15">
        <f ca="1">(1+(('Symulacja Pożyczka'!$B$5+'Symulacja Pożyczka'!$C$18)/100)*('Arkusz1 (+0)'!B58-'Arkusz1 (+0)'!B57)/365)</f>
        <v>1.002054794520548</v>
      </c>
      <c r="D58" s="15">
        <f ca="1">(1+(('Symulacja Pożyczka'!$B$5+'Symulacja Pożyczka'!$C$18)/100)*('Arkusz1 (+0)'!B58-'Arkusz1 (+0)'!B57)/366)</f>
        <v>1.0020491803278688</v>
      </c>
      <c r="E58" s="15">
        <f t="shared" ca="1" si="0"/>
        <v>0</v>
      </c>
      <c r="F58" s="15">
        <f t="shared" ca="1" si="1"/>
        <v>0</v>
      </c>
      <c r="G58">
        <f ca="1">IF(E58=1,(1+(('Symulacja Pożyczka'!$B$5+'Symulacja Pożyczka'!$C$18)/100)*(((Arkusz1!B58-DATE(YEAR(B58),1,1)+1)/365)+((DATE(YEAR(B57),12,31)-Arkusz1!B57)/366))),IF(F58=1,(1+(('Symulacja Pożyczka'!$B$5+'Symulacja Pożyczka'!$C$22)/100)*(((Arkusz1!B58-DATE(YEAR(B58),1,1)+1)/366)+((DATE(YEAR(B57),12,31)-Arkusz1!B57)/365))),0))</f>
        <v>0</v>
      </c>
      <c r="H58">
        <f t="shared" ca="1" si="2"/>
        <v>0</v>
      </c>
      <c r="I58">
        <f t="shared" ca="1" si="3"/>
        <v>1.002054794520548</v>
      </c>
      <c r="J58">
        <f t="shared" ca="1" si="4"/>
        <v>1.002054794520548</v>
      </c>
      <c r="K58">
        <f ca="1">PRODUCT($J$3:J58)</f>
        <v>1.1225074518315981</v>
      </c>
      <c r="L58">
        <f t="shared" ca="1" si="5"/>
        <v>0.89086268279849512</v>
      </c>
      <c r="M58">
        <f ca="1">SUM($L$3:L58)</f>
        <v>52.856792708697711</v>
      </c>
      <c r="O58">
        <f ca="1">(Q57*'Arkusz1 (+0)'!J58)-Q57</f>
        <v>1445.6047741326038</v>
      </c>
      <c r="P58" s="16">
        <f t="shared" ca="1" si="6"/>
        <v>10138.246965695289</v>
      </c>
      <c r="Q58" s="17">
        <f t="shared" ca="1" si="7"/>
        <v>693389.40977882617</v>
      </c>
    </row>
    <row r="59" spans="1:17" x14ac:dyDescent="0.35">
      <c r="A59">
        <v>57</v>
      </c>
      <c r="B59" s="14">
        <f t="shared" ca="1" si="8"/>
        <v>47804</v>
      </c>
      <c r="C59" s="15">
        <f ca="1">(1+(('Symulacja Pożyczka'!$B$5+'Symulacja Pożyczka'!$C$18)/100)*('Arkusz1 (+0)'!B59-'Arkusz1 (+0)'!B58)/365)</f>
        <v>1.0021232876712329</v>
      </c>
      <c r="D59" s="15">
        <f ca="1">(1+(('Symulacja Pożyczka'!$B$5+'Symulacja Pożyczka'!$C$18)/100)*('Arkusz1 (+0)'!B59-'Arkusz1 (+0)'!B58)/366)</f>
        <v>1.0021174863387978</v>
      </c>
      <c r="E59" s="15">
        <f t="shared" ca="1" si="0"/>
        <v>0</v>
      </c>
      <c r="F59" s="15">
        <f t="shared" ca="1" si="1"/>
        <v>0</v>
      </c>
      <c r="G59">
        <f ca="1">IF(E59=1,(1+(('Symulacja Pożyczka'!$B$5+'Symulacja Pożyczka'!$C$18)/100)*(((Arkusz1!B59-DATE(YEAR(B59),1,1)+1)/365)+((DATE(YEAR(B58),12,31)-Arkusz1!B58)/366))),IF(F59=1,(1+(('Symulacja Pożyczka'!$B$5+'Symulacja Pożyczka'!$C$22)/100)*(((Arkusz1!B59-DATE(YEAR(B59),1,1)+1)/366)+((DATE(YEAR(B58),12,31)-Arkusz1!B58)/365))),0))</f>
        <v>0</v>
      </c>
      <c r="H59">
        <f t="shared" ca="1" si="2"/>
        <v>0</v>
      </c>
      <c r="I59">
        <f t="shared" ca="1" si="3"/>
        <v>1.0021232876712329</v>
      </c>
      <c r="J59">
        <f t="shared" ca="1" si="4"/>
        <v>1.0021232876712329</v>
      </c>
      <c r="K59">
        <f ca="1">PRODUCT($J$3:J59)</f>
        <v>1.1248908580649393</v>
      </c>
      <c r="L59">
        <f t="shared" ca="1" si="5"/>
        <v>0.8889751328588632</v>
      </c>
      <c r="M59">
        <f ca="1">SUM($L$3:L59)</f>
        <v>53.745767841556571</v>
      </c>
      <c r="O59">
        <f ca="1">(Q58*'Arkusz1 (+0)'!J59)-Q58</f>
        <v>1472.2651851468254</v>
      </c>
      <c r="P59" s="16">
        <f t="shared" ca="1" si="6"/>
        <v>10111.586554681067</v>
      </c>
      <c r="Q59" s="17">
        <f t="shared" ca="1" si="7"/>
        <v>683277.8232241451</v>
      </c>
    </row>
    <row r="60" spans="1:17" x14ac:dyDescent="0.35">
      <c r="A60">
        <v>58</v>
      </c>
      <c r="B60" s="14">
        <f t="shared" ca="1" si="8"/>
        <v>47834</v>
      </c>
      <c r="C60" s="15">
        <f ca="1">(1+(('Symulacja Pożyczka'!$B$5+'Symulacja Pożyczka'!$C$18)/100)*('Arkusz1 (+0)'!B60-'Arkusz1 (+0)'!B59)/365)</f>
        <v>1.002054794520548</v>
      </c>
      <c r="D60" s="15">
        <f ca="1">(1+(('Symulacja Pożyczka'!$B$5+'Symulacja Pożyczka'!$C$18)/100)*('Arkusz1 (+0)'!B60-'Arkusz1 (+0)'!B59)/366)</f>
        <v>1.0020491803278688</v>
      </c>
      <c r="E60" s="15">
        <f t="shared" ca="1" si="0"/>
        <v>0</v>
      </c>
      <c r="F60" s="15">
        <f t="shared" ca="1" si="1"/>
        <v>0</v>
      </c>
      <c r="G60">
        <f ca="1">IF(E60=1,(1+(('Symulacja Pożyczka'!$B$5+'Symulacja Pożyczka'!$C$18)/100)*(((Arkusz1!B60-DATE(YEAR(B60),1,1)+1)/365)+((DATE(YEAR(B59),12,31)-Arkusz1!B59)/366))),IF(F60=1,(1+(('Symulacja Pożyczka'!$B$5+'Symulacja Pożyczka'!$C$22)/100)*(((Arkusz1!B60-DATE(YEAR(B60),1,1)+1)/366)+((DATE(YEAR(B59),12,31)-Arkusz1!B59)/365))),0))</f>
        <v>0</v>
      </c>
      <c r="H60">
        <f t="shared" ca="1" si="2"/>
        <v>0</v>
      </c>
      <c r="I60">
        <f t="shared" ca="1" si="3"/>
        <v>1.002054794520548</v>
      </c>
      <c r="J60">
        <f t="shared" ca="1" si="4"/>
        <v>1.002054794520548</v>
      </c>
      <c r="K60">
        <f ca="1">PRODUCT($J$3:J60)</f>
        <v>1.1272022776363058</v>
      </c>
      <c r="L60">
        <f t="shared" ca="1" si="5"/>
        <v>0.88715221734377314</v>
      </c>
      <c r="M60">
        <f ca="1">SUM($L$3:L60)</f>
        <v>54.632920058900346</v>
      </c>
      <c r="O60">
        <f ca="1">(Q59*'Arkusz1 (+0)'!J60)-Q59</f>
        <v>1403.9955271729268</v>
      </c>
      <c r="P60" s="16">
        <f t="shared" ca="1" si="6"/>
        <v>10179.856212654966</v>
      </c>
      <c r="Q60" s="17">
        <f t="shared" ca="1" si="7"/>
        <v>673097.96701149014</v>
      </c>
    </row>
    <row r="61" spans="1:17" x14ac:dyDescent="0.35">
      <c r="A61">
        <v>59</v>
      </c>
      <c r="B61" s="14">
        <f t="shared" ca="1" si="8"/>
        <v>47865</v>
      </c>
      <c r="C61" s="15">
        <f ca="1">(1+(('Symulacja Pożyczka'!$B$5+'Symulacja Pożyczka'!$C$18)/100)*('Arkusz1 (+0)'!B61-'Arkusz1 (+0)'!B60)/365)</f>
        <v>1.0021232876712329</v>
      </c>
      <c r="D61" s="15">
        <f ca="1">(1+(('Symulacja Pożyczka'!$B$5+'Symulacja Pożyczka'!$C$18)/100)*('Arkusz1 (+0)'!B61-'Arkusz1 (+0)'!B60)/366)</f>
        <v>1.0021174863387978</v>
      </c>
      <c r="E61" s="15">
        <f t="shared" ca="1" si="0"/>
        <v>0</v>
      </c>
      <c r="F61" s="15">
        <f t="shared" ca="1" si="1"/>
        <v>0</v>
      </c>
      <c r="G61">
        <f ca="1">IF(E61=1,(1+(('Symulacja Pożyczka'!$B$5+'Symulacja Pożyczka'!$C$18)/100)*(((Arkusz1!B61-DATE(YEAR(B61),1,1)+1)/365)+((DATE(YEAR(B60),12,31)-Arkusz1!B60)/366))),IF(F61=1,(1+(('Symulacja Pożyczka'!$B$5+'Symulacja Pożyczka'!$C$22)/100)*(((Arkusz1!B61-DATE(YEAR(B61),1,1)+1)/366)+((DATE(YEAR(B60),12,31)-Arkusz1!B60)/365))),0))</f>
        <v>0</v>
      </c>
      <c r="H61">
        <f t="shared" ca="1" si="2"/>
        <v>0</v>
      </c>
      <c r="I61">
        <f t="shared" ca="1" si="3"/>
        <v>1.0021232876712329</v>
      </c>
      <c r="J61">
        <f t="shared" ca="1" si="4"/>
        <v>1.0021232876712329</v>
      </c>
      <c r="K61">
        <f ca="1">PRODUCT($J$3:J61)</f>
        <v>1.1295956523353967</v>
      </c>
      <c r="L61">
        <f t="shared" ca="1" si="5"/>
        <v>0.88527252909706</v>
      </c>
      <c r="M61">
        <f ca="1">SUM($L$3:L61)</f>
        <v>55.518192587997405</v>
      </c>
      <c r="O61">
        <f ca="1">(Q60*'Arkusz1 (+0)'!J61)-Q60</f>
        <v>1429.1806148875039</v>
      </c>
      <c r="P61" s="16">
        <f t="shared" ca="1" si="6"/>
        <v>10154.671124940389</v>
      </c>
      <c r="Q61" s="17">
        <f t="shared" ca="1" si="7"/>
        <v>662943.29588654975</v>
      </c>
    </row>
    <row r="62" spans="1:17" x14ac:dyDescent="0.35">
      <c r="A62">
        <v>60</v>
      </c>
      <c r="B62" s="14">
        <f t="shared" ca="1" si="8"/>
        <v>47896</v>
      </c>
      <c r="C62" s="15">
        <f ca="1">(1+(('Symulacja Pożyczka'!$B$5+'Symulacja Pożyczka'!$C$18)/100)*('Arkusz1 (+0)'!B62-'Arkusz1 (+0)'!B61)/365)</f>
        <v>1.0021232876712329</v>
      </c>
      <c r="D62" s="15">
        <f ca="1">(1+(('Symulacja Pożyczka'!$B$5+'Symulacja Pożyczka'!$C$18)/100)*('Arkusz1 (+0)'!B62-'Arkusz1 (+0)'!B61)/366)</f>
        <v>1.0021174863387978</v>
      </c>
      <c r="E62" s="15">
        <f t="shared" ca="1" si="0"/>
        <v>0</v>
      </c>
      <c r="F62" s="15">
        <f t="shared" ca="1" si="1"/>
        <v>0</v>
      </c>
      <c r="G62">
        <f ca="1">IF(E62=1,(1+(('Symulacja Pożyczka'!$B$5+'Symulacja Pożyczka'!$C$18)/100)*(((Arkusz1!B62-DATE(YEAR(B62),1,1)+1)/365)+((DATE(YEAR(B61),12,31)-Arkusz1!B61)/366))),IF(F62=1,(1+(('Symulacja Pożyczka'!$B$5+'Symulacja Pożyczka'!$C$22)/100)*(((Arkusz1!B62-DATE(YEAR(B62),1,1)+1)/366)+((DATE(YEAR(B61),12,31)-Arkusz1!B61)/365))),0))</f>
        <v>0</v>
      </c>
      <c r="H62">
        <f t="shared" ca="1" si="2"/>
        <v>0</v>
      </c>
      <c r="I62">
        <f t="shared" ca="1" si="3"/>
        <v>1.0021232876712329</v>
      </c>
      <c r="J62">
        <f t="shared" ca="1" si="4"/>
        <v>1.0021232876712329</v>
      </c>
      <c r="K62">
        <f ca="1">PRODUCT($J$3:J62)</f>
        <v>1.1319941088574788</v>
      </c>
      <c r="L62">
        <f t="shared" ca="1" si="5"/>
        <v>0.88339682351288884</v>
      </c>
      <c r="M62">
        <f ca="1">SUM($L$3:L62)</f>
        <v>56.401589411510294</v>
      </c>
      <c r="O62">
        <f ca="1">(Q61*'Arkusz1 (+0)'!J62)-Q61</f>
        <v>1407.6193268824136</v>
      </c>
      <c r="P62" s="16">
        <f t="shared" ca="1" si="6"/>
        <v>10176.232412945479</v>
      </c>
      <c r="Q62" s="17">
        <f t="shared" ca="1" si="7"/>
        <v>652767.06347360427</v>
      </c>
    </row>
    <row r="63" spans="1:17" x14ac:dyDescent="0.35">
      <c r="A63">
        <v>61</v>
      </c>
      <c r="B63" s="14">
        <f t="shared" ca="1" si="8"/>
        <v>47924</v>
      </c>
      <c r="C63" s="15">
        <f ca="1">(1+(('Symulacja Pożyczka'!$B$5+'Symulacja Pożyczka'!$C$18)/100)*('Arkusz1 (+0)'!B63-'Arkusz1 (+0)'!B62)/365)</f>
        <v>1.001917808219178</v>
      </c>
      <c r="D63" s="15">
        <f ca="1">(1+(('Symulacja Pożyczka'!$B$5+'Symulacja Pożyczka'!$C$18)/100)*('Arkusz1 (+0)'!B63-'Arkusz1 (+0)'!B62)/366)</f>
        <v>1.0019125683060108</v>
      </c>
      <c r="E63" s="15">
        <f t="shared" ca="1" si="0"/>
        <v>0</v>
      </c>
      <c r="F63" s="15">
        <f t="shared" ca="1" si="1"/>
        <v>0</v>
      </c>
      <c r="G63">
        <f ca="1">IF(E63=1,(1+(('Symulacja Pożyczka'!$B$5+'Symulacja Pożyczka'!$C$18)/100)*(((Arkusz1!B63-DATE(YEAR(B63),1,1)+1)/365)+((DATE(YEAR(B62),12,31)-Arkusz1!B62)/366))),IF(F63=1,(1+(('Symulacja Pożyczka'!$B$5+'Symulacja Pożyczka'!$C$22)/100)*(((Arkusz1!B63-DATE(YEAR(B63),1,1)+1)/366)+((DATE(YEAR(B62),12,31)-Arkusz1!B62)/365))),0))</f>
        <v>0</v>
      </c>
      <c r="H63">
        <f t="shared" ca="1" si="2"/>
        <v>0</v>
      </c>
      <c r="I63">
        <f t="shared" ca="1" si="3"/>
        <v>1.001917808219178</v>
      </c>
      <c r="J63">
        <f t="shared" ca="1" si="4"/>
        <v>1.001917808219178</v>
      </c>
      <c r="K63">
        <f ca="1">PRODUCT($J$3:J63)</f>
        <v>1.1341650564635066</v>
      </c>
      <c r="L63">
        <f t="shared" ca="1" si="5"/>
        <v>0.88170588072793121</v>
      </c>
      <c r="M63">
        <f ca="1">SUM($L$3:L63)</f>
        <v>57.283295292238222</v>
      </c>
      <c r="O63">
        <f ca="1">(Q62*'Arkusz1 (+0)'!J63)-Q62</f>
        <v>1251.8820395383518</v>
      </c>
      <c r="P63" s="16">
        <f t="shared" ca="1" si="6"/>
        <v>10331.969700289541</v>
      </c>
      <c r="Q63" s="17">
        <f t="shared" ca="1" si="7"/>
        <v>642435.09377331473</v>
      </c>
    </row>
    <row r="64" spans="1:17" x14ac:dyDescent="0.35">
      <c r="A64">
        <v>62</v>
      </c>
      <c r="B64" s="14">
        <f t="shared" ca="1" si="8"/>
        <v>47955</v>
      </c>
      <c r="C64" s="15">
        <f ca="1">(1+(('Symulacja Pożyczka'!$B$5+'Symulacja Pożyczka'!$C$18)/100)*('Arkusz1 (+0)'!B64-'Arkusz1 (+0)'!B63)/365)</f>
        <v>1.0021232876712329</v>
      </c>
      <c r="D64" s="15">
        <f ca="1">(1+(('Symulacja Pożyczka'!$B$5+'Symulacja Pożyczka'!$C$18)/100)*('Arkusz1 (+0)'!B64-'Arkusz1 (+0)'!B63)/366)</f>
        <v>1.0021174863387978</v>
      </c>
      <c r="E64" s="15">
        <f t="shared" ca="1" si="0"/>
        <v>0</v>
      </c>
      <c r="F64" s="15">
        <f t="shared" ca="1" si="1"/>
        <v>0</v>
      </c>
      <c r="G64">
        <f ca="1">IF(E64=1,(1+(('Symulacja Pożyczka'!$B$5+'Symulacja Pożyczka'!$C$18)/100)*(((Arkusz1!B64-DATE(YEAR(B64),1,1)+1)/365)+((DATE(YEAR(B63),12,31)-Arkusz1!B63)/366))),IF(F64=1,(1+(('Symulacja Pożyczka'!$B$5+'Symulacja Pożyczka'!$C$22)/100)*(((Arkusz1!B64-DATE(YEAR(B64),1,1)+1)/366)+((DATE(YEAR(B63),12,31)-Arkusz1!B63)/365))),0))</f>
        <v>0</v>
      </c>
      <c r="H64">
        <f t="shared" ca="1" si="2"/>
        <v>0</v>
      </c>
      <c r="I64">
        <f t="shared" ca="1" si="3"/>
        <v>1.0021232876712329</v>
      </c>
      <c r="J64">
        <f t="shared" ca="1" si="4"/>
        <v>1.0021232876712329</v>
      </c>
      <c r="K64">
        <f ca="1">PRODUCT($J$3:J64)</f>
        <v>1.1365732151450387</v>
      </c>
      <c r="L64">
        <f t="shared" ca="1" si="5"/>
        <v>0.87983773211863825</v>
      </c>
      <c r="M64">
        <f ca="1">SUM($L$3:L64)</f>
        <v>58.16313302435686</v>
      </c>
      <c r="O64">
        <f ca="1">(Q63*'Arkusz1 (+0)'!J64)-Q63</f>
        <v>1364.0745141762309</v>
      </c>
      <c r="P64" s="16">
        <f t="shared" ca="1" si="6"/>
        <v>10219.777225651662</v>
      </c>
      <c r="Q64" s="17">
        <f t="shared" ca="1" si="7"/>
        <v>632215.31654766307</v>
      </c>
    </row>
    <row r="65" spans="1:17" x14ac:dyDescent="0.35">
      <c r="A65">
        <v>63</v>
      </c>
      <c r="B65" s="14">
        <f t="shared" ca="1" si="8"/>
        <v>47985</v>
      </c>
      <c r="C65" s="15">
        <f ca="1">(1+(('Symulacja Pożyczka'!$B$5+'Symulacja Pożyczka'!$C$18)/100)*('Arkusz1 (+0)'!B65-'Arkusz1 (+0)'!B64)/365)</f>
        <v>1.002054794520548</v>
      </c>
      <c r="D65" s="15">
        <f ca="1">(1+(('Symulacja Pożyczka'!$B$5+'Symulacja Pożyczka'!$C$18)/100)*('Arkusz1 (+0)'!B65-'Arkusz1 (+0)'!B64)/366)</f>
        <v>1.0020491803278688</v>
      </c>
      <c r="E65" s="15">
        <f t="shared" ca="1" si="0"/>
        <v>0</v>
      </c>
      <c r="F65" s="15">
        <f t="shared" ca="1" si="1"/>
        <v>0</v>
      </c>
      <c r="G65">
        <f ca="1">IF(E65=1,(1+(('Symulacja Pożyczka'!$B$5+'Symulacja Pożyczka'!$C$18)/100)*(((Arkusz1!B65-DATE(YEAR(B65),1,1)+1)/365)+((DATE(YEAR(B64),12,31)-Arkusz1!B64)/366))),IF(F65=1,(1+(('Symulacja Pożyczka'!$B$5+'Symulacja Pożyczka'!$C$22)/100)*(((Arkusz1!B65-DATE(YEAR(B65),1,1)+1)/366)+((DATE(YEAR(B64),12,31)-Arkusz1!B64)/365))),0))</f>
        <v>0</v>
      </c>
      <c r="H65">
        <f t="shared" ca="1" si="2"/>
        <v>0</v>
      </c>
      <c r="I65">
        <f t="shared" ca="1" si="3"/>
        <v>1.002054794520548</v>
      </c>
      <c r="J65">
        <f t="shared" ca="1" si="4"/>
        <v>1.002054794520548</v>
      </c>
      <c r="K65">
        <f ca="1">PRODUCT($J$3:J65)</f>
        <v>1.1389086395597203</v>
      </c>
      <c r="L65">
        <f t="shared" ca="1" si="5"/>
        <v>0.87803355358387691</v>
      </c>
      <c r="M65">
        <f ca="1">SUM($L$3:L65)</f>
        <v>59.041166577940736</v>
      </c>
      <c r="O65">
        <f ca="1">(Q64*'Arkusz1 (+0)'!J65)-Q64</f>
        <v>1299.0725682487246</v>
      </c>
      <c r="P65" s="16">
        <f t="shared" ca="1" si="6"/>
        <v>10284.779171579168</v>
      </c>
      <c r="Q65" s="17">
        <f t="shared" ca="1" si="7"/>
        <v>621930.5373760839</v>
      </c>
    </row>
    <row r="66" spans="1:17" x14ac:dyDescent="0.35">
      <c r="A66">
        <v>64</v>
      </c>
      <c r="B66" s="14">
        <f t="shared" ca="1" si="8"/>
        <v>48016</v>
      </c>
      <c r="C66" s="15">
        <f ca="1">(1+(('Symulacja Pożyczka'!$B$5+'Symulacja Pożyczka'!$C$18)/100)*('Arkusz1 (+0)'!B66-'Arkusz1 (+0)'!B65)/365)</f>
        <v>1.0021232876712329</v>
      </c>
      <c r="D66" s="15">
        <f ca="1">(1+(('Symulacja Pożyczka'!$B$5+'Symulacja Pożyczka'!$C$18)/100)*('Arkusz1 (+0)'!B66-'Arkusz1 (+0)'!B65)/366)</f>
        <v>1.0021174863387978</v>
      </c>
      <c r="E66" s="15">
        <f t="shared" ca="1" si="0"/>
        <v>0</v>
      </c>
      <c r="F66" s="15">
        <f t="shared" ca="1" si="1"/>
        <v>0</v>
      </c>
      <c r="G66">
        <f ca="1">IF(E66=1,(1+(('Symulacja Pożyczka'!$B$5+'Symulacja Pożyczka'!$C$18)/100)*(((Arkusz1!B66-DATE(YEAR(B66),1,1)+1)/365)+((DATE(YEAR(B65),12,31)-Arkusz1!B65)/366))),IF(F66=1,(1+(('Symulacja Pożyczka'!$B$5+'Symulacja Pożyczka'!$C$22)/100)*(((Arkusz1!B66-DATE(YEAR(B66),1,1)+1)/366)+((DATE(YEAR(B65),12,31)-Arkusz1!B65)/365))),0))</f>
        <v>0</v>
      </c>
      <c r="H66">
        <f t="shared" ca="1" si="2"/>
        <v>0</v>
      </c>
      <c r="I66">
        <f t="shared" ca="1" si="3"/>
        <v>1.0021232876712329</v>
      </c>
      <c r="J66">
        <f t="shared" ca="1" si="4"/>
        <v>1.0021232876712329</v>
      </c>
      <c r="K66">
        <f ca="1">PRODUCT($J$3:J66)</f>
        <v>1.1413268702327581</v>
      </c>
      <c r="L66">
        <f t="shared" ca="1" si="5"/>
        <v>0.87617318586047443</v>
      </c>
      <c r="M66">
        <f ca="1">SUM($L$3:L66)</f>
        <v>59.917339763801209</v>
      </c>
      <c r="O66">
        <f ca="1">(Q65*'Arkusz1 (+0)'!J66)-Q65</f>
        <v>1320.5374423739268</v>
      </c>
      <c r="P66" s="16">
        <f t="shared" ca="1" si="6"/>
        <v>10263.314297453966</v>
      </c>
      <c r="Q66" s="17">
        <f t="shared" ca="1" si="7"/>
        <v>611667.22307862993</v>
      </c>
    </row>
    <row r="67" spans="1:17" x14ac:dyDescent="0.35">
      <c r="A67">
        <v>65</v>
      </c>
      <c r="B67" s="14">
        <f t="shared" ca="1" si="8"/>
        <v>48046</v>
      </c>
      <c r="C67" s="15">
        <f ca="1">(1+(('Symulacja Pożyczka'!$B$5+'Symulacja Pożyczka'!$C$18)/100)*('Arkusz1 (+0)'!B67-'Arkusz1 (+0)'!B66)/365)</f>
        <v>1.002054794520548</v>
      </c>
      <c r="D67" s="15">
        <f ca="1">(1+(('Symulacja Pożyczka'!$B$5+'Symulacja Pożyczka'!$C$18)/100)*('Arkusz1 (+0)'!B67-'Arkusz1 (+0)'!B66)/366)</f>
        <v>1.0020491803278688</v>
      </c>
      <c r="E67" s="15">
        <f t="shared" ca="1" si="0"/>
        <v>0</v>
      </c>
      <c r="F67" s="15">
        <f t="shared" ca="1" si="1"/>
        <v>0</v>
      </c>
      <c r="G67">
        <f ca="1">IF(E67=1,(1+(('Symulacja Pożyczka'!$B$5+'Symulacja Pożyczka'!$C$18)/100)*(((Arkusz1!B67-DATE(YEAR(B67),1,1)+1)/365)+((DATE(YEAR(B66),12,31)-Arkusz1!B66)/366))),IF(F67=1,(1+(('Symulacja Pożyczka'!$B$5+'Symulacja Pożyczka'!$C$22)/100)*(((Arkusz1!B67-DATE(YEAR(B67),1,1)+1)/366)+((DATE(YEAR(B66),12,31)-Arkusz1!B66)/365))),0))</f>
        <v>0</v>
      </c>
      <c r="H67">
        <f t="shared" ca="1" si="2"/>
        <v>0</v>
      </c>
      <c r="I67">
        <f t="shared" ca="1" si="3"/>
        <v>1.002054794520548</v>
      </c>
      <c r="J67">
        <f t="shared" ca="1" si="4"/>
        <v>1.002054794520548</v>
      </c>
      <c r="K67">
        <f ca="1">PRODUCT($J$3:J67)</f>
        <v>1.1436720624318666</v>
      </c>
      <c r="L67">
        <f t="shared" ca="1" si="5"/>
        <v>0.8743765217746361</v>
      </c>
      <c r="M67">
        <f ca="1">SUM($L$3:L67)</f>
        <v>60.791716285575845</v>
      </c>
      <c r="O67">
        <f ca="1">(Q66*'Arkusz1 (+0)'!J67)-Q66</f>
        <v>1256.8504583807662</v>
      </c>
      <c r="P67" s="16">
        <f t="shared" ca="1" si="6"/>
        <v>10327.001281447127</v>
      </c>
      <c r="Q67" s="17">
        <f t="shared" ca="1" si="7"/>
        <v>601340.22179718281</v>
      </c>
    </row>
    <row r="68" spans="1:17" x14ac:dyDescent="0.35">
      <c r="A68">
        <v>66</v>
      </c>
      <c r="B68" s="14">
        <f t="shared" ca="1" si="8"/>
        <v>48077</v>
      </c>
      <c r="C68" s="15">
        <f ca="1">(1+(('Symulacja Pożyczka'!$B$5+'Symulacja Pożyczka'!$C$18)/100)*('Arkusz1 (+0)'!B68-'Arkusz1 (+0)'!B67)/365)</f>
        <v>1.0021232876712329</v>
      </c>
      <c r="D68" s="15">
        <f ca="1">(1+(('Symulacja Pożyczka'!$B$5+'Symulacja Pożyczka'!$C$18)/100)*('Arkusz1 (+0)'!B68-'Arkusz1 (+0)'!B67)/366)</f>
        <v>1.0021174863387978</v>
      </c>
      <c r="E68" s="15">
        <f t="shared" ref="E68:E131" ca="1" si="9">IF(AND(MOD(YEAR(B67),4)=0,MOD(YEAR(B68),4)&lt;&gt;0),1,0)</f>
        <v>0</v>
      </c>
      <c r="F68" s="15">
        <f t="shared" ref="F68:F131" ca="1" si="10">IF(AND(MOD(YEAR(B68),4)=0,MOD(YEAR(B67),4)&lt;&gt;0),1,0)</f>
        <v>0</v>
      </c>
      <c r="G68">
        <f ca="1">IF(E68=1,(1+(('Symulacja Pożyczka'!$B$5+'Symulacja Pożyczka'!$C$18)/100)*(((Arkusz1!B68-DATE(YEAR(B68),1,1)+1)/365)+((DATE(YEAR(B67),12,31)-Arkusz1!B67)/366))),IF(F68=1,(1+(('Symulacja Pożyczka'!$B$5+'Symulacja Pożyczka'!$C$22)/100)*(((Arkusz1!B68-DATE(YEAR(B68),1,1)+1)/366)+((DATE(YEAR(B67),12,31)-Arkusz1!B67)/365))),0))</f>
        <v>0</v>
      </c>
      <c r="H68">
        <f t="shared" ref="H68:H131" ca="1" si="11">IF(MOD(YEAR(B68),4)=0,1,0)</f>
        <v>0</v>
      </c>
      <c r="I68">
        <f t="shared" ref="I68:I131" ca="1" si="12">IF(H68=0,C68,IF(H68=1,D68,"blad"))</f>
        <v>1.0021232876712329</v>
      </c>
      <c r="J68">
        <f t="shared" ref="J68:J131" ca="1" si="13">IF(OR(E68=1,F68=1),G68,I68)</f>
        <v>1.0021232876712329</v>
      </c>
      <c r="K68">
        <f ca="1">PRODUCT($J$3:J68)</f>
        <v>1.1461004072219616</v>
      </c>
      <c r="L68">
        <f t="shared" ref="L68:L131" ca="1" si="14">1/K68</f>
        <v>0.87252390252953915</v>
      </c>
      <c r="M68">
        <f ca="1">SUM($L$3:L68)</f>
        <v>61.664240188105381</v>
      </c>
      <c r="O68">
        <f ca="1">(Q67*'Arkusz1 (+0)'!J68)-Q67</f>
        <v>1276.8182791584404</v>
      </c>
      <c r="P68" s="16">
        <f t="shared" ca="1" si="6"/>
        <v>10307.033460669452</v>
      </c>
      <c r="Q68" s="17">
        <f t="shared" ca="1" si="7"/>
        <v>591033.18833651335</v>
      </c>
    </row>
    <row r="69" spans="1:17" x14ac:dyDescent="0.35">
      <c r="A69">
        <v>67</v>
      </c>
      <c r="B69" s="14">
        <f t="shared" ca="1" si="8"/>
        <v>48108</v>
      </c>
      <c r="C69" s="15">
        <f ca="1">(1+(('Symulacja Pożyczka'!$B$5+'Symulacja Pożyczka'!$C$18)/100)*('Arkusz1 (+0)'!B69-'Arkusz1 (+0)'!B68)/365)</f>
        <v>1.0021232876712329</v>
      </c>
      <c r="D69" s="15">
        <f ca="1">(1+(('Symulacja Pożyczka'!$B$5+'Symulacja Pożyczka'!$C$18)/100)*('Arkusz1 (+0)'!B69-'Arkusz1 (+0)'!B68)/366)</f>
        <v>1.0021174863387978</v>
      </c>
      <c r="E69" s="15">
        <f t="shared" ca="1" si="9"/>
        <v>0</v>
      </c>
      <c r="F69" s="15">
        <f t="shared" ca="1" si="10"/>
        <v>0</v>
      </c>
      <c r="G69">
        <f ca="1">IF(E69=1,(1+(('Symulacja Pożyczka'!$B$5+'Symulacja Pożyczka'!$C$18)/100)*(((Arkusz1!B69-DATE(YEAR(B69),1,1)+1)/365)+((DATE(YEAR(B68),12,31)-Arkusz1!B68)/366))),IF(F69=1,(1+(('Symulacja Pożyczka'!$B$5+'Symulacja Pożyczka'!$C$22)/100)*(((Arkusz1!B69-DATE(YEAR(B69),1,1)+1)/366)+((DATE(YEAR(B68),12,31)-Arkusz1!B68)/365))),0))</f>
        <v>0</v>
      </c>
      <c r="H69">
        <f t="shared" ca="1" si="11"/>
        <v>0</v>
      </c>
      <c r="I69">
        <f t="shared" ca="1" si="12"/>
        <v>1.0021232876712329</v>
      </c>
      <c r="J69">
        <f t="shared" ca="1" si="13"/>
        <v>1.0021232876712329</v>
      </c>
      <c r="K69">
        <f ca="1">PRODUCT($J$3:J69)</f>
        <v>1.148533908086611</v>
      </c>
      <c r="L69">
        <f t="shared" ca="1" si="14"/>
        <v>0.87067520859348446</v>
      </c>
      <c r="M69">
        <f ca="1">SUM($L$3:L69)</f>
        <v>62.534915396698864</v>
      </c>
      <c r="O69">
        <f ca="1">(Q68*'Arkusz1 (+0)'!J69)-Q68</f>
        <v>1254.9334820844233</v>
      </c>
      <c r="P69" s="16">
        <f t="shared" ref="P69:P132" ca="1" si="15">$N$2-O69</f>
        <v>10328.918257743469</v>
      </c>
      <c r="Q69" s="17">
        <f t="shared" ref="Q69:Q132" ca="1" si="16">Q68-P69</f>
        <v>580704.27007876989</v>
      </c>
    </row>
    <row r="70" spans="1:17" x14ac:dyDescent="0.35">
      <c r="A70">
        <v>68</v>
      </c>
      <c r="B70" s="14">
        <f t="shared" ref="B70:B133" ca="1" si="17">DATE(YEAR((B69)),MONTH((B69))+1,IF(AND(DAY(B69)&gt;28,MONTH((B69))+1=2),IF(MOD(YEAR(B69),4)=0,29,28),IF(AND(OR(DAY(B69)=28,DAY(B69)=29),MONTH((B69))=2),DAY(B68),DAY(B69))))</f>
        <v>48138</v>
      </c>
      <c r="C70" s="15">
        <f ca="1">(1+(('Symulacja Pożyczka'!$B$5+'Symulacja Pożyczka'!$C$18)/100)*('Arkusz1 (+0)'!B70-'Arkusz1 (+0)'!B69)/365)</f>
        <v>1.002054794520548</v>
      </c>
      <c r="D70" s="15">
        <f ca="1">(1+(('Symulacja Pożyczka'!$B$5+'Symulacja Pożyczka'!$C$18)/100)*('Arkusz1 (+0)'!B70-'Arkusz1 (+0)'!B69)/366)</f>
        <v>1.0020491803278688</v>
      </c>
      <c r="E70" s="15">
        <f t="shared" ca="1" si="9"/>
        <v>0</v>
      </c>
      <c r="F70" s="15">
        <f t="shared" ca="1" si="10"/>
        <v>0</v>
      </c>
      <c r="G70">
        <f ca="1">IF(E70=1,(1+(('Symulacja Pożyczka'!$B$5+'Symulacja Pożyczka'!$C$18)/100)*(((Arkusz1!B70-DATE(YEAR(B70),1,1)+1)/365)+((DATE(YEAR(B69),12,31)-Arkusz1!B69)/366))),IF(F70=1,(1+(('Symulacja Pożyczka'!$B$5+'Symulacja Pożyczka'!$C$22)/100)*(((Arkusz1!B70-DATE(YEAR(B70),1,1)+1)/366)+((DATE(YEAR(B69),12,31)-Arkusz1!B69)/365))),0))</f>
        <v>0</v>
      </c>
      <c r="H70">
        <f t="shared" ca="1" si="11"/>
        <v>0</v>
      </c>
      <c r="I70">
        <f t="shared" ca="1" si="12"/>
        <v>1.002054794520548</v>
      </c>
      <c r="J70">
        <f t="shared" ca="1" si="13"/>
        <v>1.002054794520548</v>
      </c>
      <c r="K70">
        <f ca="1">PRODUCT($J$3:J70)</f>
        <v>1.1508939092676109</v>
      </c>
      <c r="L70">
        <f t="shared" ca="1" si="14"/>
        <v>0.86888981855535707</v>
      </c>
      <c r="M70">
        <f ca="1">SUM($L$3:L70)</f>
        <v>63.403805215254224</v>
      </c>
      <c r="O70">
        <f ca="1">(Q69*'Arkusz1 (+0)'!J70)-Q69</f>
        <v>1193.2279522167519</v>
      </c>
      <c r="P70" s="16">
        <f t="shared" ca="1" si="15"/>
        <v>10390.623787611141</v>
      </c>
      <c r="Q70" s="17">
        <f t="shared" ca="1" si="16"/>
        <v>570313.64629115874</v>
      </c>
    </row>
    <row r="71" spans="1:17" x14ac:dyDescent="0.35">
      <c r="A71">
        <v>69</v>
      </c>
      <c r="B71" s="14">
        <f t="shared" ca="1" si="17"/>
        <v>48169</v>
      </c>
      <c r="C71" s="15">
        <f ca="1">(1+(('Symulacja Pożyczka'!$B$5+'Symulacja Pożyczka'!$C$18)/100)*('Arkusz1 (+0)'!B71-'Arkusz1 (+0)'!B70)/365)</f>
        <v>1.0021232876712329</v>
      </c>
      <c r="D71" s="15">
        <f ca="1">(1+(('Symulacja Pożyczka'!$B$5+'Symulacja Pożyczka'!$C$18)/100)*('Arkusz1 (+0)'!B71-'Arkusz1 (+0)'!B70)/366)</f>
        <v>1.0021174863387978</v>
      </c>
      <c r="E71" s="15">
        <f t="shared" ca="1" si="9"/>
        <v>0</v>
      </c>
      <c r="F71" s="15">
        <f t="shared" ca="1" si="10"/>
        <v>0</v>
      </c>
      <c r="G71">
        <f ca="1">IF(E71=1,(1+(('Symulacja Pożyczka'!$B$5+'Symulacja Pożyczka'!$C$18)/100)*(((Arkusz1!B71-DATE(YEAR(B71),1,1)+1)/365)+((DATE(YEAR(B70),12,31)-Arkusz1!B70)/366))),IF(F71=1,(1+(('Symulacja Pożyczka'!$B$5+'Symulacja Pożyczka'!$C$22)/100)*(((Arkusz1!B71-DATE(YEAR(B71),1,1)+1)/366)+((DATE(YEAR(B70),12,31)-Arkusz1!B70)/365))),0))</f>
        <v>0</v>
      </c>
      <c r="H71">
        <f t="shared" ca="1" si="11"/>
        <v>0</v>
      </c>
      <c r="I71">
        <f t="shared" ca="1" si="12"/>
        <v>1.0021232876712329</v>
      </c>
      <c r="J71">
        <f t="shared" ca="1" si="13"/>
        <v>1.0021232876712329</v>
      </c>
      <c r="K71">
        <f ca="1">PRODUCT($J$3:J71)</f>
        <v>1.1533375881160559</v>
      </c>
      <c r="L71">
        <f t="shared" ca="1" si="14"/>
        <v>0.86704882447599019</v>
      </c>
      <c r="M71">
        <f ca="1">SUM($L$3:L71)</f>
        <v>64.27085403973021</v>
      </c>
      <c r="O71">
        <f ca="1">(Q70*'Arkusz1 (+0)'!J71)-Q70</f>
        <v>1210.9399339059601</v>
      </c>
      <c r="P71" s="16">
        <f t="shared" ca="1" si="15"/>
        <v>10372.911805921933</v>
      </c>
      <c r="Q71" s="17">
        <f t="shared" ca="1" si="16"/>
        <v>559940.73448523681</v>
      </c>
    </row>
    <row r="72" spans="1:17" x14ac:dyDescent="0.35">
      <c r="A72">
        <v>70</v>
      </c>
      <c r="B72" s="14">
        <f t="shared" ca="1" si="17"/>
        <v>48199</v>
      </c>
      <c r="C72" s="15">
        <f ca="1">(1+(('Symulacja Pożyczka'!$B$5+'Symulacja Pożyczka'!$C$18)/100)*('Arkusz1 (+0)'!B72-'Arkusz1 (+0)'!B71)/365)</f>
        <v>1.002054794520548</v>
      </c>
      <c r="D72" s="15">
        <f ca="1">(1+(('Symulacja Pożyczka'!$B$5+'Symulacja Pożyczka'!$C$18)/100)*('Arkusz1 (+0)'!B72-'Arkusz1 (+0)'!B71)/366)</f>
        <v>1.0020491803278688</v>
      </c>
      <c r="E72" s="15">
        <f t="shared" ca="1" si="9"/>
        <v>0</v>
      </c>
      <c r="F72" s="15">
        <f t="shared" ca="1" si="10"/>
        <v>0</v>
      </c>
      <c r="G72">
        <f ca="1">IF(E72=1,(1+(('Symulacja Pożyczka'!$B$5+'Symulacja Pożyczka'!$C$18)/100)*(((Arkusz1!B72-DATE(YEAR(B72),1,1)+1)/365)+((DATE(YEAR(B71),12,31)-Arkusz1!B71)/366))),IF(F72=1,(1+(('Symulacja Pożyczka'!$B$5+'Symulacja Pożyczka'!$C$22)/100)*(((Arkusz1!B72-DATE(YEAR(B72),1,1)+1)/366)+((DATE(YEAR(B71),12,31)-Arkusz1!B71)/365))),0))</f>
        <v>0</v>
      </c>
      <c r="H72">
        <f t="shared" ca="1" si="11"/>
        <v>0</v>
      </c>
      <c r="I72">
        <f t="shared" ca="1" si="12"/>
        <v>1.002054794520548</v>
      </c>
      <c r="J72">
        <f t="shared" ca="1" si="13"/>
        <v>1.002054794520548</v>
      </c>
      <c r="K72">
        <f ca="1">PRODUCT($J$3:J72)</f>
        <v>1.1557074598724588</v>
      </c>
      <c r="L72">
        <f t="shared" ca="1" si="14"/>
        <v>0.8652708706322253</v>
      </c>
      <c r="M72">
        <f ca="1">SUM($L$3:L72)</f>
        <v>65.13612491036244</v>
      </c>
      <c r="O72">
        <f ca="1">(Q71*'Arkusz1 (+0)'!J72)-Q71</f>
        <v>1150.5631530518876</v>
      </c>
      <c r="P72" s="16">
        <f t="shared" ca="1" si="15"/>
        <v>10433.288586776005</v>
      </c>
      <c r="Q72" s="17">
        <f t="shared" ca="1" si="16"/>
        <v>549507.44589846081</v>
      </c>
    </row>
    <row r="73" spans="1:17" x14ac:dyDescent="0.35">
      <c r="A73">
        <v>71</v>
      </c>
      <c r="B73" s="14">
        <f t="shared" ca="1" si="17"/>
        <v>48230</v>
      </c>
      <c r="C73" s="15">
        <f ca="1">(1+(('Symulacja Pożyczka'!$B$5+'Symulacja Pożyczka'!$C$18)/100)*('Arkusz1 (+0)'!B73-'Arkusz1 (+0)'!B72)/365)</f>
        <v>1.0021232876712329</v>
      </c>
      <c r="D73" s="15">
        <f ca="1">(1+(('Symulacja Pożyczka'!$B$5+'Symulacja Pożyczka'!$C$18)/100)*('Arkusz1 (+0)'!B73-'Arkusz1 (+0)'!B72)/366)</f>
        <v>1.0021174863387978</v>
      </c>
      <c r="E73" s="15">
        <f t="shared" ca="1" si="9"/>
        <v>0</v>
      </c>
      <c r="F73" s="15">
        <f t="shared" ca="1" si="10"/>
        <v>1</v>
      </c>
      <c r="G73">
        <f ca="1">IF(E73=1,(1+(('Symulacja Pożyczka'!$B$5+'Symulacja Pożyczka'!$C$18)/100)*(((Arkusz1!B73-DATE(YEAR(B73),1,1)+1)/365)+((DATE(YEAR(B72),12,31)-Arkusz1!B72)/366))),IF(F73=1,(1+(('Symulacja Pożyczka'!$B$5+'Symulacja Pożyczka'!$C$22)/100)*(((Arkusz1!B73-DATE(YEAR(B73),1,1)+1)/366)+((DATE(YEAR(B72),12,31)-Arkusz1!B72)/365))),0))</f>
        <v>1.0021201062953813</v>
      </c>
      <c r="H73">
        <f t="shared" ca="1" si="11"/>
        <v>1</v>
      </c>
      <c r="I73">
        <f t="shared" ca="1" si="12"/>
        <v>1.0021174863387978</v>
      </c>
      <c r="J73">
        <f t="shared" ca="1" si="13"/>
        <v>1.0021201062953813</v>
      </c>
      <c r="K73">
        <f ca="1">PRODUCT($J$3:J73)</f>
        <v>1.1581576825337536</v>
      </c>
      <c r="L73">
        <f t="shared" ca="1" si="14"/>
        <v>0.8634402854473624</v>
      </c>
      <c r="M73">
        <f ca="1">SUM($L$3:L73)</f>
        <v>65.999565195809808</v>
      </c>
      <c r="O73">
        <f ca="1">(Q72*'Arkusz1 (+0)'!J73)-Q72</f>
        <v>1165.0141954082064</v>
      </c>
      <c r="P73" s="16">
        <f t="shared" ca="1" si="15"/>
        <v>10418.837544419686</v>
      </c>
      <c r="Q73" s="17">
        <f t="shared" ca="1" si="16"/>
        <v>539088.60835404112</v>
      </c>
    </row>
    <row r="74" spans="1:17" x14ac:dyDescent="0.35">
      <c r="A74">
        <v>72</v>
      </c>
      <c r="B74" s="14">
        <f t="shared" ca="1" si="17"/>
        <v>48261</v>
      </c>
      <c r="C74" s="15">
        <f ca="1">(1+(('Symulacja Pożyczka'!$B$5+'Symulacja Pożyczka'!$C$18)/100)*('Arkusz1 (+0)'!B74-'Arkusz1 (+0)'!B73)/365)</f>
        <v>1.0021232876712329</v>
      </c>
      <c r="D74" s="15">
        <f ca="1">(1+(('Symulacja Pożyczka'!$B$5+'Symulacja Pożyczka'!$C$18)/100)*('Arkusz1 (+0)'!B74-'Arkusz1 (+0)'!B73)/366)</f>
        <v>1.0021174863387978</v>
      </c>
      <c r="E74" s="15">
        <f t="shared" ca="1" si="9"/>
        <v>0</v>
      </c>
      <c r="F74" s="15">
        <f t="shared" ca="1" si="10"/>
        <v>0</v>
      </c>
      <c r="G74">
        <f ca="1">IF(E74=1,(1+(('Symulacja Pożyczka'!$B$5+'Symulacja Pożyczka'!$C$18)/100)*(((Arkusz1!B74-DATE(YEAR(B74),1,1)+1)/365)+((DATE(YEAR(B73),12,31)-Arkusz1!B73)/366))),IF(F74=1,(1+(('Symulacja Pożyczka'!$B$5+'Symulacja Pożyczka'!$C$22)/100)*(((Arkusz1!B74-DATE(YEAR(B74),1,1)+1)/366)+((DATE(YEAR(B73),12,31)-Arkusz1!B73)/365))),0))</f>
        <v>0</v>
      </c>
      <c r="H74">
        <f t="shared" ca="1" si="11"/>
        <v>1</v>
      </c>
      <c r="I74">
        <f t="shared" ca="1" si="12"/>
        <v>1.0021174863387978</v>
      </c>
      <c r="J74">
        <f t="shared" ca="1" si="13"/>
        <v>1.0021174863387978</v>
      </c>
      <c r="K74">
        <f ca="1">PRODUCT($J$3:J74)</f>
        <v>1.1606100656046925</v>
      </c>
      <c r="L74">
        <f t="shared" ca="1" si="14"/>
        <v>0.86161582570713569</v>
      </c>
      <c r="M74">
        <f ca="1">SUM($L$3:L74)</f>
        <v>66.861181021516941</v>
      </c>
      <c r="O74">
        <f ca="1">(Q73*'Arkusz1 (+0)'!J74)-Q73</f>
        <v>1141.5127635912504</v>
      </c>
      <c r="P74" s="16">
        <f t="shared" ca="1" si="15"/>
        <v>10442.338976236642</v>
      </c>
      <c r="Q74" s="17">
        <f t="shared" ca="1" si="16"/>
        <v>528646.26937780448</v>
      </c>
    </row>
    <row r="75" spans="1:17" x14ac:dyDescent="0.35">
      <c r="A75">
        <v>73</v>
      </c>
      <c r="B75" s="14">
        <f t="shared" ca="1" si="17"/>
        <v>48290</v>
      </c>
      <c r="C75" s="15">
        <f ca="1">(1+(('Symulacja Pożyczka'!$B$5+'Symulacja Pożyczka'!$C$18)/100)*('Arkusz1 (+0)'!B75-'Arkusz1 (+0)'!B74)/365)</f>
        <v>1.0019863013698631</v>
      </c>
      <c r="D75" s="15">
        <f ca="1">(1+(('Symulacja Pożyczka'!$B$5+'Symulacja Pożyczka'!$C$18)/100)*('Arkusz1 (+0)'!B75-'Arkusz1 (+0)'!B74)/366)</f>
        <v>1.0019808743169398</v>
      </c>
      <c r="E75" s="15">
        <f t="shared" ca="1" si="9"/>
        <v>0</v>
      </c>
      <c r="F75" s="15">
        <f t="shared" ca="1" si="10"/>
        <v>0</v>
      </c>
      <c r="G75">
        <f ca="1">IF(E75=1,(1+(('Symulacja Pożyczka'!$B$5+'Symulacja Pożyczka'!$C$18)/100)*(((Arkusz1!B75-DATE(YEAR(B75),1,1)+1)/365)+((DATE(YEAR(B74),12,31)-Arkusz1!B74)/366))),IF(F75=1,(1+(('Symulacja Pożyczka'!$B$5+'Symulacja Pożyczka'!$C$22)/100)*(((Arkusz1!B75-DATE(YEAR(B75),1,1)+1)/366)+((DATE(YEAR(B74),12,31)-Arkusz1!B74)/365))),0))</f>
        <v>0</v>
      </c>
      <c r="H75">
        <f t="shared" ca="1" si="11"/>
        <v>1</v>
      </c>
      <c r="I75">
        <f t="shared" ca="1" si="12"/>
        <v>1.0019808743169398</v>
      </c>
      <c r="J75">
        <f t="shared" ca="1" si="13"/>
        <v>1.0019808743169398</v>
      </c>
      <c r="K75">
        <f ca="1">PRODUCT($J$3:J75)</f>
        <v>1.1629090882756308</v>
      </c>
      <c r="L75">
        <f t="shared" ca="1" si="14"/>
        <v>0.85991244722560944</v>
      </c>
      <c r="M75">
        <f ca="1">SUM($L$3:L75)</f>
        <v>67.721093468742552</v>
      </c>
      <c r="O75">
        <f ca="1">(Q74*'Arkusz1 (+0)'!J75)-Q74</f>
        <v>1047.1818177565001</v>
      </c>
      <c r="P75" s="16">
        <f t="shared" ca="1" si="15"/>
        <v>10536.669922071393</v>
      </c>
      <c r="Q75" s="17">
        <f t="shared" ca="1" si="16"/>
        <v>518109.59945573309</v>
      </c>
    </row>
    <row r="76" spans="1:17" x14ac:dyDescent="0.35">
      <c r="A76">
        <v>74</v>
      </c>
      <c r="B76" s="14">
        <f t="shared" ca="1" si="17"/>
        <v>48321</v>
      </c>
      <c r="C76" s="15">
        <f ca="1">(1+(('Symulacja Pożyczka'!$B$5+'Symulacja Pożyczka'!$C$18)/100)*('Arkusz1 (+0)'!B76-'Arkusz1 (+0)'!B75)/365)</f>
        <v>1.0021232876712329</v>
      </c>
      <c r="D76" s="15">
        <f ca="1">(1+(('Symulacja Pożyczka'!$B$5+'Symulacja Pożyczka'!$C$18)/100)*('Arkusz1 (+0)'!B76-'Arkusz1 (+0)'!B75)/366)</f>
        <v>1.0021174863387978</v>
      </c>
      <c r="E76" s="15">
        <f t="shared" ca="1" si="9"/>
        <v>0</v>
      </c>
      <c r="F76" s="15">
        <f t="shared" ca="1" si="10"/>
        <v>0</v>
      </c>
      <c r="G76">
        <f ca="1">IF(E76=1,(1+(('Symulacja Pożyczka'!$B$5+'Symulacja Pożyczka'!$C$18)/100)*(((Arkusz1!B76-DATE(YEAR(B76),1,1)+1)/365)+((DATE(YEAR(B75),12,31)-Arkusz1!B75)/366))),IF(F76=1,(1+(('Symulacja Pożyczka'!$B$5+'Symulacja Pożyczka'!$C$22)/100)*(((Arkusz1!B76-DATE(YEAR(B76),1,1)+1)/366)+((DATE(YEAR(B75),12,31)-Arkusz1!B75)/365))),0))</f>
        <v>0</v>
      </c>
      <c r="H76">
        <f t="shared" ca="1" si="11"/>
        <v>1</v>
      </c>
      <c r="I76">
        <f t="shared" ca="1" si="12"/>
        <v>1.0021174863387978</v>
      </c>
      <c r="J76">
        <f t="shared" ca="1" si="13"/>
        <v>1.0021174863387978</v>
      </c>
      <c r="K76">
        <f ca="1">PRODUCT($J$3:J76)</f>
        <v>1.1653715323833183</v>
      </c>
      <c r="L76">
        <f t="shared" ca="1" si="14"/>
        <v>0.85809544185010722</v>
      </c>
      <c r="M76">
        <f ca="1">SUM($L$3:L76)</f>
        <v>68.579188910592663</v>
      </c>
      <c r="O76">
        <f ca="1">(Q75*'Arkusz1 (+0)'!J76)-Q75</f>
        <v>1097.0899988475139</v>
      </c>
      <c r="P76" s="16">
        <f t="shared" ca="1" si="15"/>
        <v>10486.761740980379</v>
      </c>
      <c r="Q76" s="17">
        <f t="shared" ca="1" si="16"/>
        <v>507622.83771475271</v>
      </c>
    </row>
    <row r="77" spans="1:17" x14ac:dyDescent="0.35">
      <c r="A77">
        <v>75</v>
      </c>
      <c r="B77" s="14">
        <f t="shared" ca="1" si="17"/>
        <v>48351</v>
      </c>
      <c r="C77" s="15">
        <f ca="1">(1+(('Symulacja Pożyczka'!$B$5+'Symulacja Pożyczka'!$C$18)/100)*('Arkusz1 (+0)'!B77-'Arkusz1 (+0)'!B76)/365)</f>
        <v>1.002054794520548</v>
      </c>
      <c r="D77" s="15">
        <f ca="1">(1+(('Symulacja Pożyczka'!$B$5+'Symulacja Pożyczka'!$C$18)/100)*('Arkusz1 (+0)'!B77-'Arkusz1 (+0)'!B76)/366)</f>
        <v>1.0020491803278688</v>
      </c>
      <c r="E77" s="15">
        <f t="shared" ca="1" si="9"/>
        <v>0</v>
      </c>
      <c r="F77" s="15">
        <f t="shared" ca="1" si="10"/>
        <v>0</v>
      </c>
      <c r="G77">
        <f ca="1">IF(E77=1,(1+(('Symulacja Pożyczka'!$B$5+'Symulacja Pożyczka'!$C$18)/100)*(((Arkusz1!B77-DATE(YEAR(B77),1,1)+1)/365)+((DATE(YEAR(B76),12,31)-Arkusz1!B76)/366))),IF(F77=1,(1+(('Symulacja Pożyczka'!$B$5+'Symulacja Pożyczka'!$C$22)/100)*(((Arkusz1!B77-DATE(YEAR(B77),1,1)+1)/366)+((DATE(YEAR(B76),12,31)-Arkusz1!B76)/365))),0))</f>
        <v>0</v>
      </c>
      <c r="H77">
        <f t="shared" ca="1" si="11"/>
        <v>1</v>
      </c>
      <c r="I77">
        <f t="shared" ca="1" si="12"/>
        <v>1.0020491803278688</v>
      </c>
      <c r="J77">
        <f t="shared" ca="1" si="13"/>
        <v>1.0020491803278688</v>
      </c>
      <c r="K77">
        <f ca="1">PRODUCT($J$3:J77)</f>
        <v>1.1677595888021366</v>
      </c>
      <c r="L77">
        <f t="shared" ca="1" si="14"/>
        <v>0.8563406454455057</v>
      </c>
      <c r="M77">
        <f ca="1">SUM($L$3:L77)</f>
        <v>69.435529556038162</v>
      </c>
      <c r="O77">
        <f ca="1">(Q76*'Arkusz1 (+0)'!J77)-Q76</f>
        <v>1040.2107330220169</v>
      </c>
      <c r="P77" s="16">
        <f t="shared" ca="1" si="15"/>
        <v>10543.641006805876</v>
      </c>
      <c r="Q77" s="17">
        <f t="shared" ca="1" si="16"/>
        <v>497079.19670794683</v>
      </c>
    </row>
    <row r="78" spans="1:17" x14ac:dyDescent="0.35">
      <c r="A78">
        <v>76</v>
      </c>
      <c r="B78" s="14">
        <f t="shared" ca="1" si="17"/>
        <v>48382</v>
      </c>
      <c r="C78" s="15">
        <f ca="1">(1+(('Symulacja Pożyczka'!$B$5+'Symulacja Pożyczka'!$C$18)/100)*('Arkusz1 (+0)'!B78-'Arkusz1 (+0)'!B77)/365)</f>
        <v>1.0021232876712329</v>
      </c>
      <c r="D78" s="15">
        <f ca="1">(1+(('Symulacja Pożyczka'!$B$5+'Symulacja Pożyczka'!$C$18)/100)*('Arkusz1 (+0)'!B78-'Arkusz1 (+0)'!B77)/366)</f>
        <v>1.0021174863387978</v>
      </c>
      <c r="E78" s="15">
        <f t="shared" ca="1" si="9"/>
        <v>0</v>
      </c>
      <c r="F78" s="15">
        <f t="shared" ca="1" si="10"/>
        <v>0</v>
      </c>
      <c r="G78">
        <f ca="1">IF(E78=1,(1+(('Symulacja Pożyczka'!$B$5+'Symulacja Pożyczka'!$C$18)/100)*(((Arkusz1!B78-DATE(YEAR(B78),1,1)+1)/365)+((DATE(YEAR(B77),12,31)-Arkusz1!B77)/366))),IF(F78=1,(1+(('Symulacja Pożyczka'!$B$5+'Symulacja Pożyczka'!$C$22)/100)*(((Arkusz1!B78-DATE(YEAR(B78),1,1)+1)/366)+((DATE(YEAR(B77),12,31)-Arkusz1!B77)/365))),0))</f>
        <v>0</v>
      </c>
      <c r="H78">
        <f t="shared" ca="1" si="11"/>
        <v>1</v>
      </c>
      <c r="I78">
        <f t="shared" ca="1" si="12"/>
        <v>1.0021174863387978</v>
      </c>
      <c r="J78">
        <f t="shared" ca="1" si="13"/>
        <v>1.0021174863387978</v>
      </c>
      <c r="K78">
        <f ca="1">PRODUCT($J$3:J78)</f>
        <v>1.1702323037784252</v>
      </c>
      <c r="L78">
        <f t="shared" ca="1" si="14"/>
        <v>0.85453118733025724</v>
      </c>
      <c r="M78">
        <f ca="1">SUM($L$3:L78)</f>
        <v>70.290060743368414</v>
      </c>
      <c r="O78">
        <f ca="1">(Q77*'Arkusz1 (+0)'!J78)-Q77</f>
        <v>1052.5584083296708</v>
      </c>
      <c r="P78" s="16">
        <f t="shared" ca="1" si="15"/>
        <v>10531.293331498222</v>
      </c>
      <c r="Q78" s="17">
        <f t="shared" ca="1" si="16"/>
        <v>486547.90337644861</v>
      </c>
    </row>
    <row r="79" spans="1:17" x14ac:dyDescent="0.35">
      <c r="A79">
        <v>77</v>
      </c>
      <c r="B79" s="14">
        <f t="shared" ca="1" si="17"/>
        <v>48412</v>
      </c>
      <c r="C79" s="15">
        <f ca="1">(1+(('Symulacja Pożyczka'!$B$5+'Symulacja Pożyczka'!$C$18)/100)*('Arkusz1 (+0)'!B79-'Arkusz1 (+0)'!B78)/365)</f>
        <v>1.002054794520548</v>
      </c>
      <c r="D79" s="15">
        <f ca="1">(1+(('Symulacja Pożyczka'!$B$5+'Symulacja Pożyczka'!$C$18)/100)*('Arkusz1 (+0)'!B79-'Arkusz1 (+0)'!B78)/366)</f>
        <v>1.0020491803278688</v>
      </c>
      <c r="E79" s="15">
        <f t="shared" ca="1" si="9"/>
        <v>0</v>
      </c>
      <c r="F79" s="15">
        <f t="shared" ca="1" si="10"/>
        <v>0</v>
      </c>
      <c r="G79">
        <f ca="1">IF(E79=1,(1+(('Symulacja Pożyczka'!$B$5+'Symulacja Pożyczka'!$C$18)/100)*(((Arkusz1!B79-DATE(YEAR(B79),1,1)+1)/365)+((DATE(YEAR(B78),12,31)-Arkusz1!B78)/366))),IF(F79=1,(1+(('Symulacja Pożyczka'!$B$5+'Symulacja Pożyczka'!$C$22)/100)*(((Arkusz1!B79-DATE(YEAR(B79),1,1)+1)/366)+((DATE(YEAR(B78),12,31)-Arkusz1!B78)/365))),0))</f>
        <v>0</v>
      </c>
      <c r="H79">
        <f t="shared" ca="1" si="11"/>
        <v>1</v>
      </c>
      <c r="I79">
        <f t="shared" ca="1" si="12"/>
        <v>1.0020491803278688</v>
      </c>
      <c r="J79">
        <f t="shared" ca="1" si="13"/>
        <v>1.0020491803278688</v>
      </c>
      <c r="K79">
        <f ca="1">PRODUCT($J$3:J79)</f>
        <v>1.1726303207943647</v>
      </c>
      <c r="L79">
        <f t="shared" ca="1" si="14"/>
        <v>0.85278367978970449</v>
      </c>
      <c r="M79">
        <f ca="1">SUM($L$3:L79)</f>
        <v>71.142844423158124</v>
      </c>
      <c r="O79">
        <f ca="1">(Q78*'Arkusz1 (+0)'!J79)-Q78</f>
        <v>997.02439216483617</v>
      </c>
      <c r="P79" s="16">
        <f t="shared" ca="1" si="15"/>
        <v>10586.827347663057</v>
      </c>
      <c r="Q79" s="17">
        <f t="shared" ca="1" si="16"/>
        <v>475961.07602878555</v>
      </c>
    </row>
    <row r="80" spans="1:17" x14ac:dyDescent="0.35">
      <c r="A80">
        <v>78</v>
      </c>
      <c r="B80" s="14">
        <f t="shared" ca="1" si="17"/>
        <v>48443</v>
      </c>
      <c r="C80" s="15">
        <f ca="1">(1+(('Symulacja Pożyczka'!$B$5+'Symulacja Pożyczka'!$C$18)/100)*('Arkusz1 (+0)'!B80-'Arkusz1 (+0)'!B79)/365)</f>
        <v>1.0021232876712329</v>
      </c>
      <c r="D80" s="15">
        <f ca="1">(1+(('Symulacja Pożyczka'!$B$5+'Symulacja Pożyczka'!$C$18)/100)*('Arkusz1 (+0)'!B80-'Arkusz1 (+0)'!B79)/366)</f>
        <v>1.0021174863387978</v>
      </c>
      <c r="E80" s="15">
        <f t="shared" ca="1" si="9"/>
        <v>0</v>
      </c>
      <c r="F80" s="15">
        <f t="shared" ca="1" si="10"/>
        <v>0</v>
      </c>
      <c r="G80">
        <f ca="1">IF(E80=1,(1+(('Symulacja Pożyczka'!$B$5+'Symulacja Pożyczka'!$C$18)/100)*(((Arkusz1!B80-DATE(YEAR(B80),1,1)+1)/365)+((DATE(YEAR(B79),12,31)-Arkusz1!B79)/366))),IF(F80=1,(1+(('Symulacja Pożyczka'!$B$5+'Symulacja Pożyczka'!$C$22)/100)*(((Arkusz1!B80-DATE(YEAR(B80),1,1)+1)/366)+((DATE(YEAR(B79),12,31)-Arkusz1!B79)/365))),0))</f>
        <v>0</v>
      </c>
      <c r="H80">
        <f t="shared" ca="1" si="11"/>
        <v>1</v>
      </c>
      <c r="I80">
        <f t="shared" ca="1" si="12"/>
        <v>1.0021174863387978</v>
      </c>
      <c r="J80">
        <f t="shared" ca="1" si="13"/>
        <v>1.0021174863387978</v>
      </c>
      <c r="K80">
        <f ca="1">PRODUCT($J$3:J80)</f>
        <v>1.1751133494791068</v>
      </c>
      <c r="L80">
        <f t="shared" ca="1" si="14"/>
        <v>0.8509817375858002</v>
      </c>
      <c r="M80">
        <f ca="1">SUM($L$3:L80)</f>
        <v>71.993826160743922</v>
      </c>
      <c r="O80">
        <f ca="1">(Q79*'Arkusz1 (+0)'!J80)-Q79</f>
        <v>1007.8410762904678</v>
      </c>
      <c r="P80" s="16">
        <f t="shared" ca="1" si="15"/>
        <v>10576.010663537425</v>
      </c>
      <c r="Q80" s="17">
        <f t="shared" ca="1" si="16"/>
        <v>465385.06536524813</v>
      </c>
    </row>
    <row r="81" spans="1:17" x14ac:dyDescent="0.35">
      <c r="A81">
        <v>79</v>
      </c>
      <c r="B81" s="14">
        <f t="shared" ca="1" si="17"/>
        <v>48474</v>
      </c>
      <c r="C81" s="15">
        <f ca="1">(1+(('Symulacja Pożyczka'!$B$5+'Symulacja Pożyczka'!$C$18)/100)*('Arkusz1 (+0)'!B81-'Arkusz1 (+0)'!B80)/365)</f>
        <v>1.0021232876712329</v>
      </c>
      <c r="D81" s="15">
        <f ca="1">(1+(('Symulacja Pożyczka'!$B$5+'Symulacja Pożyczka'!$C$18)/100)*('Arkusz1 (+0)'!B81-'Arkusz1 (+0)'!B80)/366)</f>
        <v>1.0021174863387978</v>
      </c>
      <c r="E81" s="15">
        <f t="shared" ca="1" si="9"/>
        <v>0</v>
      </c>
      <c r="F81" s="15">
        <f t="shared" ca="1" si="10"/>
        <v>0</v>
      </c>
      <c r="G81">
        <f ca="1">IF(E81=1,(1+(('Symulacja Pożyczka'!$B$5+'Symulacja Pożyczka'!$C$18)/100)*(((Arkusz1!B81-DATE(YEAR(B81),1,1)+1)/365)+((DATE(YEAR(B80),12,31)-Arkusz1!B80)/366))),IF(F81=1,(1+(('Symulacja Pożyczka'!$B$5+'Symulacja Pożyczka'!$C$22)/100)*(((Arkusz1!B81-DATE(YEAR(B81),1,1)+1)/366)+((DATE(YEAR(B80),12,31)-Arkusz1!B80)/365))),0))</f>
        <v>0</v>
      </c>
      <c r="H81">
        <f t="shared" ca="1" si="11"/>
        <v>1</v>
      </c>
      <c r="I81">
        <f t="shared" ca="1" si="12"/>
        <v>1.0021174863387978</v>
      </c>
      <c r="J81">
        <f t="shared" ca="1" si="13"/>
        <v>1.0021174863387978</v>
      </c>
      <c r="K81">
        <f ca="1">PRODUCT($J$3:J81)</f>
        <v>1.1776016359431678</v>
      </c>
      <c r="L81">
        <f t="shared" ca="1" si="14"/>
        <v>0.84918360290751238</v>
      </c>
      <c r="M81">
        <f ca="1">SUM($L$3:L81)</f>
        <v>72.843009763651438</v>
      </c>
      <c r="O81">
        <f ca="1">(Q80*'Arkusz1 (+0)'!J81)-Q80</f>
        <v>985.44651819142746</v>
      </c>
      <c r="P81" s="16">
        <f t="shared" ca="1" si="15"/>
        <v>10598.405221636465</v>
      </c>
      <c r="Q81" s="17">
        <f t="shared" ca="1" si="16"/>
        <v>454786.66014361166</v>
      </c>
    </row>
    <row r="82" spans="1:17" x14ac:dyDescent="0.35">
      <c r="A82">
        <v>80</v>
      </c>
      <c r="B82" s="14">
        <f t="shared" ca="1" si="17"/>
        <v>48504</v>
      </c>
      <c r="C82" s="15">
        <f ca="1">(1+(('Symulacja Pożyczka'!$B$5+'Symulacja Pożyczka'!$C$18)/100)*('Arkusz1 (+0)'!B82-'Arkusz1 (+0)'!B81)/365)</f>
        <v>1.002054794520548</v>
      </c>
      <c r="D82" s="15">
        <f ca="1">(1+(('Symulacja Pożyczka'!$B$5+'Symulacja Pożyczka'!$C$18)/100)*('Arkusz1 (+0)'!B82-'Arkusz1 (+0)'!B81)/366)</f>
        <v>1.0020491803278688</v>
      </c>
      <c r="E82" s="15">
        <f t="shared" ca="1" si="9"/>
        <v>0</v>
      </c>
      <c r="F82" s="15">
        <f t="shared" ca="1" si="10"/>
        <v>0</v>
      </c>
      <c r="G82">
        <f ca="1">IF(E82=1,(1+(('Symulacja Pożyczka'!$B$5+'Symulacja Pożyczka'!$C$18)/100)*(((Arkusz1!B82-DATE(YEAR(B82),1,1)+1)/365)+((DATE(YEAR(B81),12,31)-Arkusz1!B81)/366))),IF(F82=1,(1+(('Symulacja Pożyczka'!$B$5+'Symulacja Pożyczka'!$C$22)/100)*(((Arkusz1!B82-DATE(YEAR(B82),1,1)+1)/366)+((DATE(YEAR(B81),12,31)-Arkusz1!B81)/365))),0))</f>
        <v>0</v>
      </c>
      <c r="H82">
        <f t="shared" ca="1" si="11"/>
        <v>1</v>
      </c>
      <c r="I82">
        <f t="shared" ca="1" si="12"/>
        <v>1.0020491803278688</v>
      </c>
      <c r="J82">
        <f t="shared" ca="1" si="13"/>
        <v>1.0020491803278688</v>
      </c>
      <c r="K82">
        <f ca="1">PRODUCT($J$3:J82)</f>
        <v>1.1800147540496086</v>
      </c>
      <c r="L82">
        <f t="shared" ca="1" si="14"/>
        <v>0.84744703112242548</v>
      </c>
      <c r="M82">
        <f ca="1">SUM($L$3:L82)</f>
        <v>73.690456794773866</v>
      </c>
      <c r="O82">
        <f ca="1">(Q81*'Arkusz1 (+0)'!J82)-Q81</f>
        <v>931.93987734348048</v>
      </c>
      <c r="P82" s="16">
        <f t="shared" ca="1" si="15"/>
        <v>10651.911862484412</v>
      </c>
      <c r="Q82" s="17">
        <f t="shared" ca="1" si="16"/>
        <v>444134.74828112725</v>
      </c>
    </row>
    <row r="83" spans="1:17" x14ac:dyDescent="0.35">
      <c r="A83">
        <v>81</v>
      </c>
      <c r="B83" s="14">
        <f t="shared" ca="1" si="17"/>
        <v>48535</v>
      </c>
      <c r="C83" s="15">
        <f ca="1">(1+(('Symulacja Pożyczka'!$B$5+'Symulacja Pożyczka'!$C$18)/100)*('Arkusz1 (+0)'!B83-'Arkusz1 (+0)'!B82)/365)</f>
        <v>1.0021232876712329</v>
      </c>
      <c r="D83" s="15">
        <f ca="1">(1+(('Symulacja Pożyczka'!$B$5+'Symulacja Pożyczka'!$C$18)/100)*('Arkusz1 (+0)'!B83-'Arkusz1 (+0)'!B82)/366)</f>
        <v>1.0021174863387978</v>
      </c>
      <c r="E83" s="15">
        <f t="shared" ca="1" si="9"/>
        <v>0</v>
      </c>
      <c r="F83" s="15">
        <f t="shared" ca="1" si="10"/>
        <v>0</v>
      </c>
      <c r="G83">
        <f ca="1">IF(E83=1,(1+(('Symulacja Pożyczka'!$B$5+'Symulacja Pożyczka'!$C$18)/100)*(((Arkusz1!B83-DATE(YEAR(B83),1,1)+1)/365)+((DATE(YEAR(B82),12,31)-Arkusz1!B82)/366))),IF(F83=1,(1+(('Symulacja Pożyczka'!$B$5+'Symulacja Pożyczka'!$C$22)/100)*(((Arkusz1!B83-DATE(YEAR(B83),1,1)+1)/366)+((DATE(YEAR(B82),12,31)-Arkusz1!B82)/365))),0))</f>
        <v>0</v>
      </c>
      <c r="H83">
        <f t="shared" ca="1" si="11"/>
        <v>1</v>
      </c>
      <c r="I83">
        <f t="shared" ca="1" si="12"/>
        <v>1.0021174863387978</v>
      </c>
      <c r="J83">
        <f t="shared" ca="1" si="13"/>
        <v>1.0021174863387978</v>
      </c>
      <c r="K83">
        <f ca="1">PRODUCT($J$3:J83)</f>
        <v>1.1825134191708886</v>
      </c>
      <c r="L83">
        <f t="shared" ca="1" si="14"/>
        <v>0.84565636532153976</v>
      </c>
      <c r="M83">
        <f ca="1">SUM($L$3:L83)</f>
        <v>74.536113160095411</v>
      </c>
      <c r="O83">
        <f ca="1">(Q82*'Arkusz1 (+0)'!J83)-Q82</f>
        <v>940.44926207070239</v>
      </c>
      <c r="P83" s="16">
        <f t="shared" ca="1" si="15"/>
        <v>10643.40247775719</v>
      </c>
      <c r="Q83" s="17">
        <f t="shared" ca="1" si="16"/>
        <v>433491.34580337006</v>
      </c>
    </row>
    <row r="84" spans="1:17" x14ac:dyDescent="0.35">
      <c r="A84">
        <v>82</v>
      </c>
      <c r="B84" s="14">
        <f t="shared" ca="1" si="17"/>
        <v>48565</v>
      </c>
      <c r="C84" s="15">
        <f ca="1">(1+(('Symulacja Pożyczka'!$B$5+'Symulacja Pożyczka'!$C$18)/100)*('Arkusz1 (+0)'!B84-'Arkusz1 (+0)'!B83)/365)</f>
        <v>1.002054794520548</v>
      </c>
      <c r="D84" s="15">
        <f ca="1">(1+(('Symulacja Pożyczka'!$B$5+'Symulacja Pożyczka'!$C$18)/100)*('Arkusz1 (+0)'!B84-'Arkusz1 (+0)'!B83)/366)</f>
        <v>1.0020491803278688</v>
      </c>
      <c r="E84" s="15">
        <f t="shared" ca="1" si="9"/>
        <v>0</v>
      </c>
      <c r="F84" s="15">
        <f t="shared" ca="1" si="10"/>
        <v>0</v>
      </c>
      <c r="G84">
        <f ca="1">IF(E84=1,(1+(('Symulacja Pożyczka'!$B$5+'Symulacja Pożyczka'!$C$18)/100)*(((Arkusz1!B84-DATE(YEAR(B84),1,1)+1)/365)+((DATE(YEAR(B83),12,31)-Arkusz1!B83)/366))),IF(F84=1,(1+(('Symulacja Pożyczka'!$B$5+'Symulacja Pożyczka'!$C$22)/100)*(((Arkusz1!B84-DATE(YEAR(B84),1,1)+1)/366)+((DATE(YEAR(B83),12,31)-Arkusz1!B83)/365))),0))</f>
        <v>0</v>
      </c>
      <c r="H84">
        <f t="shared" ca="1" si="11"/>
        <v>1</v>
      </c>
      <c r="I84">
        <f t="shared" ca="1" si="12"/>
        <v>1.0020491803278688</v>
      </c>
      <c r="J84">
        <f t="shared" ca="1" si="13"/>
        <v>1.0020491803278688</v>
      </c>
      <c r="K84">
        <f ca="1">PRODUCT($J$3:J84)</f>
        <v>1.1849366024068946</v>
      </c>
      <c r="L84">
        <f t="shared" ca="1" si="14"/>
        <v>0.8439270067012502</v>
      </c>
      <c r="M84">
        <f ca="1">SUM($L$3:L84)</f>
        <v>75.380040166796661</v>
      </c>
      <c r="O84">
        <f ca="1">(Q83*'Arkusz1 (+0)'!J84)-Q83</f>
        <v>888.30193812167272</v>
      </c>
      <c r="P84" s="16">
        <f t="shared" ca="1" si="15"/>
        <v>10695.54980170622</v>
      </c>
      <c r="Q84" s="17">
        <f t="shared" ca="1" si="16"/>
        <v>422795.79600166384</v>
      </c>
    </row>
    <row r="85" spans="1:17" x14ac:dyDescent="0.35">
      <c r="A85">
        <v>83</v>
      </c>
      <c r="B85" s="14">
        <f t="shared" ca="1" si="17"/>
        <v>48596</v>
      </c>
      <c r="C85" s="15">
        <f ca="1">(1+(('Symulacja Pożyczka'!$B$5+'Symulacja Pożyczka'!$C$18)/100)*('Arkusz1 (+0)'!B85-'Arkusz1 (+0)'!B84)/365)</f>
        <v>1.0021232876712329</v>
      </c>
      <c r="D85" s="15">
        <f ca="1">(1+(('Symulacja Pożyczka'!$B$5+'Symulacja Pożyczka'!$C$18)/100)*('Arkusz1 (+0)'!B85-'Arkusz1 (+0)'!B84)/366)</f>
        <v>1.0021174863387978</v>
      </c>
      <c r="E85" s="15">
        <f t="shared" ca="1" si="9"/>
        <v>1</v>
      </c>
      <c r="F85" s="15">
        <f t="shared" ca="1" si="10"/>
        <v>0</v>
      </c>
      <c r="G85">
        <f ca="1">IF(E85=1,(1+(('Symulacja Pożyczka'!$B$5+'Symulacja Pożyczka'!$C$18)/100)*(((Arkusz1!B85-DATE(YEAR(B85),1,1)+1)/365)+((DATE(YEAR(B84),12,31)-Arkusz1!B84)/366))),IF(F85=1,(1+(('Symulacja Pożyczka'!$B$5+'Symulacja Pożyczka'!$C$22)/100)*(((Arkusz1!B85-DATE(YEAR(B85),1,1)+1)/366)+((DATE(YEAR(B84),12,31)-Arkusz1!B84)/365))),0))</f>
        <v>1.0021206677146492</v>
      </c>
      <c r="H85">
        <f t="shared" ca="1" si="11"/>
        <v>0</v>
      </c>
      <c r="I85">
        <f t="shared" ca="1" si="12"/>
        <v>1.0021232876712329</v>
      </c>
      <c r="J85">
        <f t="shared" ca="1" si="13"/>
        <v>1.0021206677146492</v>
      </c>
      <c r="K85">
        <f ca="1">PRODUCT($J$3:J85)</f>
        <v>1.187449459203525</v>
      </c>
      <c r="L85">
        <f t="shared" ca="1" si="14"/>
        <v>0.84214110524817143</v>
      </c>
      <c r="M85">
        <f ca="1">SUM($L$3:L85)</f>
        <v>76.222181272044836</v>
      </c>
      <c r="O85">
        <f ca="1">(Q84*'Arkusz1 (+0)'!J85)-Q84</f>
        <v>896.60939447017154</v>
      </c>
      <c r="P85" s="16">
        <f t="shared" ca="1" si="15"/>
        <v>10687.242345357721</v>
      </c>
      <c r="Q85" s="17">
        <f t="shared" ca="1" si="16"/>
        <v>412108.55365630612</v>
      </c>
    </row>
    <row r="86" spans="1:17" x14ac:dyDescent="0.35">
      <c r="A86">
        <v>84</v>
      </c>
      <c r="B86" s="14">
        <f t="shared" ca="1" si="17"/>
        <v>48627</v>
      </c>
      <c r="C86" s="15">
        <f ca="1">(1+(('Symulacja Pożyczka'!$B$5+'Symulacja Pożyczka'!$C$18)/100)*('Arkusz1 (+0)'!B86-'Arkusz1 (+0)'!B85)/365)</f>
        <v>1.0021232876712329</v>
      </c>
      <c r="D86" s="15">
        <f ca="1">(1+(('Symulacja Pożyczka'!$B$5+'Symulacja Pożyczka'!$C$18)/100)*('Arkusz1 (+0)'!B86-'Arkusz1 (+0)'!B85)/366)</f>
        <v>1.0021174863387978</v>
      </c>
      <c r="E86" s="15">
        <f t="shared" ca="1" si="9"/>
        <v>0</v>
      </c>
      <c r="F86" s="15">
        <f t="shared" ca="1" si="10"/>
        <v>0</v>
      </c>
      <c r="G86">
        <f ca="1">IF(E86=1,(1+(('Symulacja Pożyczka'!$B$5+'Symulacja Pożyczka'!$C$18)/100)*(((Arkusz1!B86-DATE(YEAR(B86),1,1)+1)/365)+((DATE(YEAR(B85),12,31)-Arkusz1!B85)/366))),IF(F86=1,(1+(('Symulacja Pożyczka'!$B$5+'Symulacja Pożyczka'!$C$22)/100)*(((Arkusz1!B86-DATE(YEAR(B86),1,1)+1)/366)+((DATE(YEAR(B85),12,31)-Arkusz1!B85)/365))),0))</f>
        <v>0</v>
      </c>
      <c r="H86">
        <f t="shared" ca="1" si="11"/>
        <v>0</v>
      </c>
      <c r="I86">
        <f t="shared" ca="1" si="12"/>
        <v>1.0021232876712329</v>
      </c>
      <c r="J86">
        <f t="shared" ca="1" si="13"/>
        <v>1.0021232876712329</v>
      </c>
      <c r="K86">
        <f ca="1">PRODUCT($J$3:J86)</f>
        <v>1.189970756000464</v>
      </c>
      <c r="L86">
        <f t="shared" ca="1" si="14"/>
        <v>0.84035678604492536</v>
      </c>
      <c r="M86">
        <f ca="1">SUM($L$3:L86)</f>
        <v>77.062538058089757</v>
      </c>
      <c r="O86">
        <f ca="1">(Q85*'Arkusz1 (+0)'!J86)-Q85</f>
        <v>875.02501118805958</v>
      </c>
      <c r="P86" s="16">
        <f t="shared" ca="1" si="15"/>
        <v>10708.826728639833</v>
      </c>
      <c r="Q86" s="17">
        <f t="shared" ca="1" si="16"/>
        <v>401399.72692766628</v>
      </c>
    </row>
    <row r="87" spans="1:17" x14ac:dyDescent="0.35">
      <c r="A87">
        <v>85</v>
      </c>
      <c r="B87" s="14">
        <f t="shared" ca="1" si="17"/>
        <v>48655</v>
      </c>
      <c r="C87" s="15">
        <f ca="1">(1+(('Symulacja Pożyczka'!$B$5+'Symulacja Pożyczka'!$C$18)/100)*('Arkusz1 (+0)'!B87-'Arkusz1 (+0)'!B86)/365)</f>
        <v>1.001917808219178</v>
      </c>
      <c r="D87" s="15">
        <f ca="1">(1+(('Symulacja Pożyczka'!$B$5+'Symulacja Pożyczka'!$C$18)/100)*('Arkusz1 (+0)'!B87-'Arkusz1 (+0)'!B86)/366)</f>
        <v>1.0019125683060108</v>
      </c>
      <c r="E87" s="15">
        <f t="shared" ca="1" si="9"/>
        <v>0</v>
      </c>
      <c r="F87" s="15">
        <f t="shared" ca="1" si="10"/>
        <v>0</v>
      </c>
      <c r="G87">
        <f ca="1">IF(E87=1,(1+(('Symulacja Pożyczka'!$B$5+'Symulacja Pożyczka'!$C$18)/100)*(((Arkusz1!B87-DATE(YEAR(B87),1,1)+1)/365)+((DATE(YEAR(B86),12,31)-Arkusz1!B86)/366))),IF(F87=1,(1+(('Symulacja Pożyczka'!$B$5+'Symulacja Pożyczka'!$C$22)/100)*(((Arkusz1!B87-DATE(YEAR(B87),1,1)+1)/366)+((DATE(YEAR(B86),12,31)-Arkusz1!B86)/365))),0))</f>
        <v>0</v>
      </c>
      <c r="H87">
        <f t="shared" ca="1" si="11"/>
        <v>0</v>
      </c>
      <c r="I87">
        <f t="shared" ca="1" si="12"/>
        <v>1.001917808219178</v>
      </c>
      <c r="J87">
        <f t="shared" ca="1" si="13"/>
        <v>1.001917808219178</v>
      </c>
      <c r="K87">
        <f ca="1">PRODUCT($J$3:J87)</f>
        <v>1.1922528916969031</v>
      </c>
      <c r="L87">
        <f t="shared" ca="1" si="14"/>
        <v>0.83874822779982994</v>
      </c>
      <c r="M87">
        <f ca="1">SUM($L$3:L87)</f>
        <v>77.901286285889583</v>
      </c>
      <c r="O87">
        <f ca="1">(Q86*'Arkusz1 (+0)'!J87)-Q86</f>
        <v>769.80769547767704</v>
      </c>
      <c r="P87" s="16">
        <f t="shared" ca="1" si="15"/>
        <v>10814.044044350216</v>
      </c>
      <c r="Q87" s="17">
        <f t="shared" ca="1" si="16"/>
        <v>390585.68288331607</v>
      </c>
    </row>
    <row r="88" spans="1:17" x14ac:dyDescent="0.35">
      <c r="A88">
        <v>86</v>
      </c>
      <c r="B88" s="14">
        <f t="shared" ca="1" si="17"/>
        <v>48686</v>
      </c>
      <c r="C88" s="15">
        <f ca="1">(1+(('Symulacja Pożyczka'!$B$5+'Symulacja Pożyczka'!$C$18)/100)*('Arkusz1 (+0)'!B88-'Arkusz1 (+0)'!B87)/365)</f>
        <v>1.0021232876712329</v>
      </c>
      <c r="D88" s="15">
        <f ca="1">(1+(('Symulacja Pożyczka'!$B$5+'Symulacja Pożyczka'!$C$18)/100)*('Arkusz1 (+0)'!B88-'Arkusz1 (+0)'!B87)/366)</f>
        <v>1.0021174863387978</v>
      </c>
      <c r="E88" s="15">
        <f t="shared" ca="1" si="9"/>
        <v>0</v>
      </c>
      <c r="F88" s="15">
        <f t="shared" ca="1" si="10"/>
        <v>0</v>
      </c>
      <c r="G88">
        <f ca="1">IF(E88=1,(1+(('Symulacja Pożyczka'!$B$5+'Symulacja Pożyczka'!$C$18)/100)*(((Arkusz1!B88-DATE(YEAR(B88),1,1)+1)/365)+((DATE(YEAR(B87),12,31)-Arkusz1!B87)/366))),IF(F88=1,(1+(('Symulacja Pożyczka'!$B$5+'Symulacja Pożyczka'!$C$22)/100)*(((Arkusz1!B88-DATE(YEAR(B88),1,1)+1)/366)+((DATE(YEAR(B87),12,31)-Arkusz1!B87)/365))),0))</f>
        <v>0</v>
      </c>
      <c r="H88">
        <f t="shared" ca="1" si="11"/>
        <v>0</v>
      </c>
      <c r="I88">
        <f t="shared" ca="1" si="12"/>
        <v>1.0021232876712329</v>
      </c>
      <c r="J88">
        <f t="shared" ca="1" si="13"/>
        <v>1.0021232876712329</v>
      </c>
      <c r="K88">
        <f ca="1">PRODUCT($J$3:J88)</f>
        <v>1.194784387562835</v>
      </c>
      <c r="L88">
        <f t="shared" ca="1" si="14"/>
        <v>0.83697109738756859</v>
      </c>
      <c r="M88">
        <f ca="1">SUM($L$3:L88)</f>
        <v>78.738257383277158</v>
      </c>
      <c r="O88">
        <f ca="1">(Q87*'Arkusz1 (+0)'!J88)-Q87</f>
        <v>829.32576502626762</v>
      </c>
      <c r="P88" s="16">
        <f t="shared" ca="1" si="15"/>
        <v>10754.525974801625</v>
      </c>
      <c r="Q88" s="17">
        <f t="shared" ca="1" si="16"/>
        <v>379831.15690851444</v>
      </c>
    </row>
    <row r="89" spans="1:17" x14ac:dyDescent="0.35">
      <c r="A89">
        <v>87</v>
      </c>
      <c r="B89" s="14">
        <f t="shared" ca="1" si="17"/>
        <v>48716</v>
      </c>
      <c r="C89" s="15">
        <f ca="1">(1+(('Symulacja Pożyczka'!$B$5+'Symulacja Pożyczka'!$C$18)/100)*('Arkusz1 (+0)'!B89-'Arkusz1 (+0)'!B88)/365)</f>
        <v>1.002054794520548</v>
      </c>
      <c r="D89" s="15">
        <f ca="1">(1+(('Symulacja Pożyczka'!$B$5+'Symulacja Pożyczka'!$C$18)/100)*('Arkusz1 (+0)'!B89-'Arkusz1 (+0)'!B88)/366)</f>
        <v>1.0020491803278688</v>
      </c>
      <c r="E89" s="15">
        <f t="shared" ca="1" si="9"/>
        <v>0</v>
      </c>
      <c r="F89" s="15">
        <f t="shared" ca="1" si="10"/>
        <v>0</v>
      </c>
      <c r="G89">
        <f ca="1">IF(E89=1,(1+(('Symulacja Pożyczka'!$B$5+'Symulacja Pożyczka'!$C$18)/100)*(((Arkusz1!B89-DATE(YEAR(B89),1,1)+1)/365)+((DATE(YEAR(B88),12,31)-Arkusz1!B88)/366))),IF(F89=1,(1+(('Symulacja Pożyczka'!$B$5+'Symulacja Pożyczka'!$C$22)/100)*(((Arkusz1!B89-DATE(YEAR(B89),1,1)+1)/366)+((DATE(YEAR(B88),12,31)-Arkusz1!B88)/365))),0))</f>
        <v>0</v>
      </c>
      <c r="H89">
        <f t="shared" ca="1" si="11"/>
        <v>0</v>
      </c>
      <c r="I89">
        <f t="shared" ca="1" si="12"/>
        <v>1.002054794520548</v>
      </c>
      <c r="J89">
        <f t="shared" ca="1" si="13"/>
        <v>1.002054794520548</v>
      </c>
      <c r="K89">
        <f ca="1">PRODUCT($J$3:J89)</f>
        <v>1.1972394239756354</v>
      </c>
      <c r="L89">
        <f t="shared" ca="1" si="14"/>
        <v>0.83525482035943266</v>
      </c>
      <c r="M89">
        <f ca="1">SUM($L$3:L89)</f>
        <v>79.573512203636596</v>
      </c>
      <c r="O89">
        <f ca="1">(Q88*'Arkusz1 (+0)'!J89)-Q88</f>
        <v>780.47497994900914</v>
      </c>
      <c r="P89" s="16">
        <f t="shared" ca="1" si="15"/>
        <v>10803.376759878884</v>
      </c>
      <c r="Q89" s="17">
        <f t="shared" ca="1" si="16"/>
        <v>369027.78014863556</v>
      </c>
    </row>
    <row r="90" spans="1:17" x14ac:dyDescent="0.35">
      <c r="A90">
        <v>88</v>
      </c>
      <c r="B90" s="14">
        <f t="shared" ca="1" si="17"/>
        <v>48747</v>
      </c>
      <c r="C90" s="15">
        <f ca="1">(1+(('Symulacja Pożyczka'!$B$5+'Symulacja Pożyczka'!$C$18)/100)*('Arkusz1 (+0)'!B90-'Arkusz1 (+0)'!B89)/365)</f>
        <v>1.0021232876712329</v>
      </c>
      <c r="D90" s="15">
        <f ca="1">(1+(('Symulacja Pożyczka'!$B$5+'Symulacja Pożyczka'!$C$18)/100)*('Arkusz1 (+0)'!B90-'Arkusz1 (+0)'!B89)/366)</f>
        <v>1.0021174863387978</v>
      </c>
      <c r="E90" s="15">
        <f t="shared" ca="1" si="9"/>
        <v>0</v>
      </c>
      <c r="F90" s="15">
        <f t="shared" ca="1" si="10"/>
        <v>0</v>
      </c>
      <c r="G90">
        <f ca="1">IF(E90=1,(1+(('Symulacja Pożyczka'!$B$5+'Symulacja Pożyczka'!$C$18)/100)*(((Arkusz1!B90-DATE(YEAR(B90),1,1)+1)/365)+((DATE(YEAR(B89),12,31)-Arkusz1!B89)/366))),IF(F90=1,(1+(('Symulacja Pożyczka'!$B$5+'Symulacja Pożyczka'!$C$22)/100)*(((Arkusz1!B90-DATE(YEAR(B90),1,1)+1)/366)+((DATE(YEAR(B89),12,31)-Arkusz1!B89)/365))),0))</f>
        <v>0</v>
      </c>
      <c r="H90">
        <f t="shared" ca="1" si="11"/>
        <v>0</v>
      </c>
      <c r="I90">
        <f t="shared" ca="1" si="12"/>
        <v>1.0021232876712329</v>
      </c>
      <c r="J90">
        <f t="shared" ca="1" si="13"/>
        <v>1.0021232876712329</v>
      </c>
      <c r="K90">
        <f ca="1">PRODUCT($J$3:J90)</f>
        <v>1.199781507684077</v>
      </c>
      <c r="L90">
        <f t="shared" ca="1" si="14"/>
        <v>0.83348509173998464</v>
      </c>
      <c r="M90">
        <f ca="1">SUM($L$3:L90)</f>
        <v>80.406997295376584</v>
      </c>
      <c r="O90">
        <f ca="1">(Q89*'Arkusz1 (+0)'!J90)-Q89</f>
        <v>783.55213593202643</v>
      </c>
      <c r="P90" s="16">
        <f t="shared" ca="1" si="15"/>
        <v>10800.299603895866</v>
      </c>
      <c r="Q90" s="17">
        <f t="shared" ca="1" si="16"/>
        <v>358227.48054473969</v>
      </c>
    </row>
    <row r="91" spans="1:17" x14ac:dyDescent="0.35">
      <c r="A91">
        <v>89</v>
      </c>
      <c r="B91" s="14">
        <f t="shared" ca="1" si="17"/>
        <v>48777</v>
      </c>
      <c r="C91" s="15">
        <f ca="1">(1+(('Symulacja Pożyczka'!$B$5+'Symulacja Pożyczka'!$C$18)/100)*('Arkusz1 (+0)'!B91-'Arkusz1 (+0)'!B90)/365)</f>
        <v>1.002054794520548</v>
      </c>
      <c r="D91" s="15">
        <f ca="1">(1+(('Symulacja Pożyczka'!$B$5+'Symulacja Pożyczka'!$C$18)/100)*('Arkusz1 (+0)'!B91-'Arkusz1 (+0)'!B90)/366)</f>
        <v>1.0020491803278688</v>
      </c>
      <c r="E91" s="15">
        <f t="shared" ca="1" si="9"/>
        <v>0</v>
      </c>
      <c r="F91" s="15">
        <f t="shared" ca="1" si="10"/>
        <v>0</v>
      </c>
      <c r="G91">
        <f ca="1">IF(E91=1,(1+(('Symulacja Pożyczka'!$B$5+'Symulacja Pożyczka'!$C$18)/100)*(((Arkusz1!B91-DATE(YEAR(B91),1,1)+1)/365)+((DATE(YEAR(B90),12,31)-Arkusz1!B90)/366))),IF(F91=1,(1+(('Symulacja Pożyczka'!$B$5+'Symulacja Pożyczka'!$C$22)/100)*(((Arkusz1!B91-DATE(YEAR(B91),1,1)+1)/366)+((DATE(YEAR(B90),12,31)-Arkusz1!B90)/365))),0))</f>
        <v>0</v>
      </c>
      <c r="H91">
        <f t="shared" ca="1" si="11"/>
        <v>0</v>
      </c>
      <c r="I91">
        <f t="shared" ca="1" si="12"/>
        <v>1.002054794520548</v>
      </c>
      <c r="J91">
        <f t="shared" ca="1" si="13"/>
        <v>1.002054794520548</v>
      </c>
      <c r="K91">
        <f ca="1">PRODUCT($J$3:J91)</f>
        <v>1.202246812151921</v>
      </c>
      <c r="L91">
        <f t="shared" ca="1" si="14"/>
        <v>0.83177596304878854</v>
      </c>
      <c r="M91">
        <f ca="1">SUM($L$3:L91)</f>
        <v>81.238773258425368</v>
      </c>
      <c r="O91">
        <f ca="1">(Q90*'Arkusz1 (+0)'!J91)-Q90</f>
        <v>736.08386413304834</v>
      </c>
      <c r="P91" s="16">
        <f t="shared" ca="1" si="15"/>
        <v>10847.767875694844</v>
      </c>
      <c r="Q91" s="17">
        <f t="shared" ca="1" si="16"/>
        <v>347379.71266904485</v>
      </c>
    </row>
    <row r="92" spans="1:17" x14ac:dyDescent="0.35">
      <c r="A92">
        <v>90</v>
      </c>
      <c r="B92" s="14">
        <f t="shared" ca="1" si="17"/>
        <v>48808</v>
      </c>
      <c r="C92" s="15">
        <f ca="1">(1+(('Symulacja Pożyczka'!$B$5+'Symulacja Pożyczka'!$C$18)/100)*('Arkusz1 (+0)'!B92-'Arkusz1 (+0)'!B91)/365)</f>
        <v>1.0021232876712329</v>
      </c>
      <c r="D92" s="15">
        <f ca="1">(1+(('Symulacja Pożyczka'!$B$5+'Symulacja Pożyczka'!$C$18)/100)*('Arkusz1 (+0)'!B92-'Arkusz1 (+0)'!B91)/366)</f>
        <v>1.0021174863387978</v>
      </c>
      <c r="E92" s="15">
        <f t="shared" ca="1" si="9"/>
        <v>0</v>
      </c>
      <c r="F92" s="15">
        <f t="shared" ca="1" si="10"/>
        <v>0</v>
      </c>
      <c r="G92">
        <f ca="1">IF(E92=1,(1+(('Symulacja Pożyczka'!$B$5+'Symulacja Pożyczka'!$C$18)/100)*(((Arkusz1!B92-DATE(YEAR(B92),1,1)+1)/365)+((DATE(YEAR(B91),12,31)-Arkusz1!B91)/366))),IF(F92=1,(1+(('Symulacja Pożyczka'!$B$5+'Symulacja Pożyczka'!$C$22)/100)*(((Arkusz1!B92-DATE(YEAR(B92),1,1)+1)/366)+((DATE(YEAR(B91),12,31)-Arkusz1!B91)/365))),0))</f>
        <v>0</v>
      </c>
      <c r="H92">
        <f t="shared" ca="1" si="11"/>
        <v>0</v>
      </c>
      <c r="I92">
        <f t="shared" ca="1" si="12"/>
        <v>1.0021232876712329</v>
      </c>
      <c r="J92">
        <f t="shared" ca="1" si="13"/>
        <v>1.0021232876712329</v>
      </c>
      <c r="K92">
        <f ca="1">PRODUCT($J$3:J92)</f>
        <v>1.2047995279859423</v>
      </c>
      <c r="L92">
        <f t="shared" ca="1" si="14"/>
        <v>0.83001360539350089</v>
      </c>
      <c r="M92">
        <f ca="1">SUM($L$3:L92)</f>
        <v>82.068786863818872</v>
      </c>
      <c r="O92">
        <f ca="1">(Q91*'Arkusz1 (+0)'!J92)-Q91</f>
        <v>737.58706114662345</v>
      </c>
      <c r="P92" s="16">
        <f t="shared" ca="1" si="15"/>
        <v>10846.264678681269</v>
      </c>
      <c r="Q92" s="17">
        <f t="shared" ca="1" si="16"/>
        <v>336533.44799036358</v>
      </c>
    </row>
    <row r="93" spans="1:17" x14ac:dyDescent="0.35">
      <c r="A93">
        <v>91</v>
      </c>
      <c r="B93" s="14">
        <f t="shared" ca="1" si="17"/>
        <v>48839</v>
      </c>
      <c r="C93" s="15">
        <f ca="1">(1+(('Symulacja Pożyczka'!$B$5+'Symulacja Pożyczka'!$C$18)/100)*('Arkusz1 (+0)'!B93-'Arkusz1 (+0)'!B92)/365)</f>
        <v>1.0021232876712329</v>
      </c>
      <c r="D93" s="15">
        <f ca="1">(1+(('Symulacja Pożyczka'!$B$5+'Symulacja Pożyczka'!$C$18)/100)*('Arkusz1 (+0)'!B93-'Arkusz1 (+0)'!B92)/366)</f>
        <v>1.0021174863387978</v>
      </c>
      <c r="E93" s="15">
        <f t="shared" ca="1" si="9"/>
        <v>0</v>
      </c>
      <c r="F93" s="15">
        <f t="shared" ca="1" si="10"/>
        <v>0</v>
      </c>
      <c r="G93">
        <f ca="1">IF(E93=1,(1+(('Symulacja Pożyczka'!$B$5+'Symulacja Pożyczka'!$C$18)/100)*(((Arkusz1!B93-DATE(YEAR(B93),1,1)+1)/365)+((DATE(YEAR(B92),12,31)-Arkusz1!B92)/366))),IF(F93=1,(1+(('Symulacja Pożyczka'!$B$5+'Symulacja Pożyczka'!$C$22)/100)*(((Arkusz1!B93-DATE(YEAR(B93),1,1)+1)/366)+((DATE(YEAR(B92),12,31)-Arkusz1!B92)/365))),0))</f>
        <v>0</v>
      </c>
      <c r="H93">
        <f t="shared" ca="1" si="11"/>
        <v>0</v>
      </c>
      <c r="I93">
        <f t="shared" ca="1" si="12"/>
        <v>1.0021232876712329</v>
      </c>
      <c r="J93">
        <f t="shared" ca="1" si="13"/>
        <v>1.0021232876712329</v>
      </c>
      <c r="K93">
        <f ca="1">PRODUCT($J$3:J93)</f>
        <v>1.2073576639700221</v>
      </c>
      <c r="L93">
        <f t="shared" ca="1" si="14"/>
        <v>0.82825498180200341</v>
      </c>
      <c r="M93">
        <f ca="1">SUM($L$3:L93)</f>
        <v>82.897041845620876</v>
      </c>
      <c r="O93">
        <f ca="1">(Q92*'Arkusz1 (+0)'!J93)-Q92</f>
        <v>714.55732107546646</v>
      </c>
      <c r="P93" s="16">
        <f t="shared" ca="1" si="15"/>
        <v>10869.294418752426</v>
      </c>
      <c r="Q93" s="17">
        <f t="shared" ca="1" si="16"/>
        <v>325664.15357161115</v>
      </c>
    </row>
    <row r="94" spans="1:17" x14ac:dyDescent="0.35">
      <c r="A94">
        <v>92</v>
      </c>
      <c r="B94" s="14">
        <f t="shared" ca="1" si="17"/>
        <v>48869</v>
      </c>
      <c r="C94" s="15">
        <f ca="1">(1+(('Symulacja Pożyczka'!$B$5+'Symulacja Pożyczka'!$C$18)/100)*('Arkusz1 (+0)'!B94-'Arkusz1 (+0)'!B93)/365)</f>
        <v>1.002054794520548</v>
      </c>
      <c r="D94" s="15">
        <f ca="1">(1+(('Symulacja Pożyczka'!$B$5+'Symulacja Pożyczka'!$C$18)/100)*('Arkusz1 (+0)'!B94-'Arkusz1 (+0)'!B93)/366)</f>
        <v>1.0020491803278688</v>
      </c>
      <c r="E94" s="15">
        <f t="shared" ca="1" si="9"/>
        <v>0</v>
      </c>
      <c r="F94" s="15">
        <f t="shared" ca="1" si="10"/>
        <v>0</v>
      </c>
      <c r="G94">
        <f ca="1">IF(E94=1,(1+(('Symulacja Pożyczka'!$B$5+'Symulacja Pożyczka'!$C$18)/100)*(((Arkusz1!B94-DATE(YEAR(B94),1,1)+1)/365)+((DATE(YEAR(B93),12,31)-Arkusz1!B93)/366))),IF(F94=1,(1+(('Symulacja Pożyczka'!$B$5+'Symulacja Pożyczka'!$C$22)/100)*(((Arkusz1!B94-DATE(YEAR(B94),1,1)+1)/366)+((DATE(YEAR(B93),12,31)-Arkusz1!B93)/365))),0))</f>
        <v>0</v>
      </c>
      <c r="H94">
        <f t="shared" ca="1" si="11"/>
        <v>0</v>
      </c>
      <c r="I94">
        <f t="shared" ca="1" si="12"/>
        <v>1.002054794520548</v>
      </c>
      <c r="J94">
        <f t="shared" ca="1" si="13"/>
        <v>1.002054794520548</v>
      </c>
      <c r="K94">
        <f ca="1">PRODUCT($J$3:J94)</f>
        <v>1.2098385358822894</v>
      </c>
      <c r="L94">
        <f t="shared" ca="1" si="14"/>
        <v>0.82655657787486314</v>
      </c>
      <c r="M94">
        <f ca="1">SUM($L$3:L94)</f>
        <v>83.723598423495744</v>
      </c>
      <c r="O94">
        <f ca="1">(Q93*'Arkusz1 (+0)'!J94)-Q93</f>
        <v>669.17291829787428</v>
      </c>
      <c r="P94" s="16">
        <f t="shared" ca="1" si="15"/>
        <v>10914.678821530018</v>
      </c>
      <c r="Q94" s="17">
        <f t="shared" ca="1" si="16"/>
        <v>314749.47475008114</v>
      </c>
    </row>
    <row r="95" spans="1:17" x14ac:dyDescent="0.35">
      <c r="A95">
        <v>93</v>
      </c>
      <c r="B95" s="14">
        <f t="shared" ca="1" si="17"/>
        <v>48900</v>
      </c>
      <c r="C95" s="15">
        <f ca="1">(1+(('Symulacja Pożyczka'!$B$5+'Symulacja Pożyczka'!$C$18)/100)*('Arkusz1 (+0)'!B95-'Arkusz1 (+0)'!B94)/365)</f>
        <v>1.0021232876712329</v>
      </c>
      <c r="D95" s="15">
        <f ca="1">(1+(('Symulacja Pożyczka'!$B$5+'Symulacja Pożyczka'!$C$18)/100)*('Arkusz1 (+0)'!B95-'Arkusz1 (+0)'!B94)/366)</f>
        <v>1.0021174863387978</v>
      </c>
      <c r="E95" s="15">
        <f t="shared" ca="1" si="9"/>
        <v>0</v>
      </c>
      <c r="F95" s="15">
        <f t="shared" ca="1" si="10"/>
        <v>0</v>
      </c>
      <c r="G95">
        <f ca="1">IF(E95=1,(1+(('Symulacja Pożyczka'!$B$5+'Symulacja Pożyczka'!$C$18)/100)*(((Arkusz1!B95-DATE(YEAR(B95),1,1)+1)/365)+((DATE(YEAR(B94),12,31)-Arkusz1!B94)/366))),IF(F95=1,(1+(('Symulacja Pożyczka'!$B$5+'Symulacja Pożyczka'!$C$22)/100)*(((Arkusz1!B95-DATE(YEAR(B95),1,1)+1)/366)+((DATE(YEAR(B94),12,31)-Arkusz1!B94)/365))),0))</f>
        <v>0</v>
      </c>
      <c r="H95">
        <f t="shared" ca="1" si="11"/>
        <v>0</v>
      </c>
      <c r="I95">
        <f t="shared" ca="1" si="12"/>
        <v>1.0021232876712329</v>
      </c>
      <c r="J95">
        <f t="shared" ca="1" si="13"/>
        <v>1.0021232876712329</v>
      </c>
      <c r="K95">
        <f ca="1">PRODUCT($J$3:J95)</f>
        <v>1.2124073711297108</v>
      </c>
      <c r="L95">
        <f t="shared" ca="1" si="14"/>
        <v>0.82480527899480571</v>
      </c>
      <c r="M95">
        <f ca="1">SUM($L$3:L95)</f>
        <v>84.548403702490546</v>
      </c>
      <c r="O95">
        <f ca="1">(Q94*'Arkusz1 (+0)'!J95)-Q94</f>
        <v>668.30367926385952</v>
      </c>
      <c r="P95" s="16">
        <f t="shared" ca="1" si="15"/>
        <v>10915.548060564033</v>
      </c>
      <c r="Q95" s="17">
        <f t="shared" ca="1" si="16"/>
        <v>303833.9266895171</v>
      </c>
    </row>
    <row r="96" spans="1:17" x14ac:dyDescent="0.35">
      <c r="A96">
        <v>94</v>
      </c>
      <c r="B96" s="14">
        <f t="shared" ca="1" si="17"/>
        <v>48930</v>
      </c>
      <c r="C96" s="15">
        <f ca="1">(1+(('Symulacja Pożyczka'!$B$5+'Symulacja Pożyczka'!$C$18)/100)*('Arkusz1 (+0)'!B96-'Arkusz1 (+0)'!B95)/365)</f>
        <v>1.002054794520548</v>
      </c>
      <c r="D96" s="15">
        <f ca="1">(1+(('Symulacja Pożyczka'!$B$5+'Symulacja Pożyczka'!$C$18)/100)*('Arkusz1 (+0)'!B96-'Arkusz1 (+0)'!B95)/366)</f>
        <v>1.0020491803278688</v>
      </c>
      <c r="E96" s="15">
        <f t="shared" ca="1" si="9"/>
        <v>0</v>
      </c>
      <c r="F96" s="15">
        <f t="shared" ca="1" si="10"/>
        <v>0</v>
      </c>
      <c r="G96">
        <f ca="1">IF(E96=1,(1+(('Symulacja Pożyczka'!$B$5+'Symulacja Pożyczka'!$C$18)/100)*(((Arkusz1!B96-DATE(YEAR(B96),1,1)+1)/365)+((DATE(YEAR(B95),12,31)-Arkusz1!B95)/366))),IF(F96=1,(1+(('Symulacja Pożyczka'!$B$5+'Symulacja Pożyczka'!$C$22)/100)*(((Arkusz1!B96-DATE(YEAR(B96),1,1)+1)/366)+((DATE(YEAR(B95),12,31)-Arkusz1!B95)/365))),0))</f>
        <v>0</v>
      </c>
      <c r="H96">
        <f t="shared" ca="1" si="11"/>
        <v>0</v>
      </c>
      <c r="I96">
        <f t="shared" ca="1" si="12"/>
        <v>1.002054794520548</v>
      </c>
      <c r="J96">
        <f t="shared" ca="1" si="13"/>
        <v>1.002054794520548</v>
      </c>
      <c r="K96">
        <f ca="1">PRODUCT($J$3:J96)</f>
        <v>1.2148986191525801</v>
      </c>
      <c r="L96">
        <f t="shared" ca="1" si="14"/>
        <v>0.82311394896269052</v>
      </c>
      <c r="M96">
        <f ca="1">SUM($L$3:L96)</f>
        <v>85.371517651453232</v>
      </c>
      <c r="O96">
        <f ca="1">(Q95*'Arkusz1 (+0)'!J96)-Q95</f>
        <v>624.31628771818941</v>
      </c>
      <c r="P96" s="16">
        <f t="shared" ca="1" si="15"/>
        <v>10959.535452109703</v>
      </c>
      <c r="Q96" s="17">
        <f t="shared" ca="1" si="16"/>
        <v>292874.3912374074</v>
      </c>
    </row>
    <row r="97" spans="1:17" x14ac:dyDescent="0.35">
      <c r="A97">
        <v>95</v>
      </c>
      <c r="B97" s="14">
        <f t="shared" ca="1" si="17"/>
        <v>48961</v>
      </c>
      <c r="C97" s="15">
        <f ca="1">(1+(('Symulacja Pożyczka'!$B$5+'Symulacja Pożyczka'!$C$18)/100)*('Arkusz1 (+0)'!B97-'Arkusz1 (+0)'!B96)/365)</f>
        <v>1.0021232876712329</v>
      </c>
      <c r="D97" s="15">
        <f ca="1">(1+(('Symulacja Pożyczka'!$B$5+'Symulacja Pożyczka'!$C$18)/100)*('Arkusz1 (+0)'!B97-'Arkusz1 (+0)'!B96)/366)</f>
        <v>1.0021174863387978</v>
      </c>
      <c r="E97" s="15">
        <f t="shared" ca="1" si="9"/>
        <v>0</v>
      </c>
      <c r="F97" s="15">
        <f t="shared" ca="1" si="10"/>
        <v>0</v>
      </c>
      <c r="G97">
        <f ca="1">IF(E97=1,(1+(('Symulacja Pożyczka'!$B$5+'Symulacja Pożyczka'!$C$18)/100)*(((Arkusz1!B97-DATE(YEAR(B97),1,1)+1)/365)+((DATE(YEAR(B96),12,31)-Arkusz1!B96)/366))),IF(F97=1,(1+(('Symulacja Pożyczka'!$B$5+'Symulacja Pożyczka'!$C$22)/100)*(((Arkusz1!B97-DATE(YEAR(B97),1,1)+1)/366)+((DATE(YEAR(B96),12,31)-Arkusz1!B96)/365))),0))</f>
        <v>0</v>
      </c>
      <c r="H97">
        <f t="shared" ca="1" si="11"/>
        <v>0</v>
      </c>
      <c r="I97">
        <f t="shared" ca="1" si="12"/>
        <v>1.0021232876712329</v>
      </c>
      <c r="J97">
        <f t="shared" ca="1" si="13"/>
        <v>1.0021232876712329</v>
      </c>
      <c r="K97">
        <f ca="1">PRODUCT($J$3:J97)</f>
        <v>1.2174781984124248</v>
      </c>
      <c r="L97">
        <f t="shared" ca="1" si="14"/>
        <v>0.8213699442864657</v>
      </c>
      <c r="M97">
        <f ca="1">SUM($L$3:L97)</f>
        <v>86.192887595739691</v>
      </c>
      <c r="O97">
        <f ca="1">(Q96*'Arkusz1 (+0)'!J97)-Q96</f>
        <v>621.85658413422061</v>
      </c>
      <c r="P97" s="16">
        <f t="shared" ca="1" si="15"/>
        <v>10961.995155693672</v>
      </c>
      <c r="Q97" s="17">
        <f t="shared" ca="1" si="16"/>
        <v>281912.39608171373</v>
      </c>
    </row>
    <row r="98" spans="1:17" x14ac:dyDescent="0.35">
      <c r="A98">
        <v>96</v>
      </c>
      <c r="B98" s="14">
        <f t="shared" ca="1" si="17"/>
        <v>48992</v>
      </c>
      <c r="C98" s="15">
        <f ca="1">(1+(('Symulacja Pożyczka'!$B$5+'Symulacja Pożyczka'!$C$18)/100)*('Arkusz1 (+0)'!B98-'Arkusz1 (+0)'!B97)/365)</f>
        <v>1.0021232876712329</v>
      </c>
      <c r="D98" s="15">
        <f ca="1">(1+(('Symulacja Pożyczka'!$B$5+'Symulacja Pożyczka'!$C$18)/100)*('Arkusz1 (+0)'!B98-'Arkusz1 (+0)'!B97)/366)</f>
        <v>1.0021174863387978</v>
      </c>
      <c r="E98" s="15">
        <f t="shared" ca="1" si="9"/>
        <v>0</v>
      </c>
      <c r="F98" s="15">
        <f t="shared" ca="1" si="10"/>
        <v>0</v>
      </c>
      <c r="G98">
        <f ca="1">IF(E98=1,(1+(('Symulacja Pożyczka'!$B$5+'Symulacja Pożyczka'!$C$18)/100)*(((Arkusz1!B98-DATE(YEAR(B98),1,1)+1)/365)+((DATE(YEAR(B97),12,31)-Arkusz1!B97)/366))),IF(F98=1,(1+(('Symulacja Pożyczka'!$B$5+'Symulacja Pożyczka'!$C$22)/100)*(((Arkusz1!B98-DATE(YEAR(B98),1,1)+1)/366)+((DATE(YEAR(B97),12,31)-Arkusz1!B97)/365))),0))</f>
        <v>0</v>
      </c>
      <c r="H98">
        <f t="shared" ca="1" si="11"/>
        <v>0</v>
      </c>
      <c r="I98">
        <f t="shared" ca="1" si="12"/>
        <v>1.0021232876712329</v>
      </c>
      <c r="J98">
        <f t="shared" ca="1" si="13"/>
        <v>1.0021232876712329</v>
      </c>
      <c r="K98">
        <f ca="1">PRODUCT($J$3:J98)</f>
        <v>1.2200632548611088</v>
      </c>
      <c r="L98">
        <f t="shared" ca="1" si="14"/>
        <v>0.81962963478794337</v>
      </c>
      <c r="M98">
        <f ca="1">SUM($L$3:L98)</f>
        <v>87.012517230527635</v>
      </c>
      <c r="O98">
        <f ca="1">(Q97*'Arkusz1 (+0)'!J98)-Q97</f>
        <v>598.58111496805213</v>
      </c>
      <c r="P98" s="16">
        <f t="shared" ca="1" si="15"/>
        <v>10985.270624859841</v>
      </c>
      <c r="Q98" s="17">
        <f t="shared" ca="1" si="16"/>
        <v>270927.12545685389</v>
      </c>
    </row>
    <row r="99" spans="1:17" x14ac:dyDescent="0.35">
      <c r="A99">
        <v>97</v>
      </c>
      <c r="B99" s="14">
        <f t="shared" ca="1" si="17"/>
        <v>49020</v>
      </c>
      <c r="C99" s="15">
        <f ca="1">(1+(('Symulacja Pożyczka'!$B$5+'Symulacja Pożyczka'!$C$18)/100)*('Arkusz1 (+0)'!B99-'Arkusz1 (+0)'!B98)/365)</f>
        <v>1.001917808219178</v>
      </c>
      <c r="D99" s="15">
        <f ca="1">(1+(('Symulacja Pożyczka'!$B$5+'Symulacja Pożyczka'!$C$18)/100)*('Arkusz1 (+0)'!B99-'Arkusz1 (+0)'!B98)/366)</f>
        <v>1.0019125683060108</v>
      </c>
      <c r="E99" s="15">
        <f t="shared" ca="1" si="9"/>
        <v>0</v>
      </c>
      <c r="F99" s="15">
        <f t="shared" ca="1" si="10"/>
        <v>0</v>
      </c>
      <c r="G99">
        <f ca="1">IF(E99=1,(1+(('Symulacja Pożyczka'!$B$5+'Symulacja Pożyczka'!$C$18)/100)*(((Arkusz1!B99-DATE(YEAR(B99),1,1)+1)/365)+((DATE(YEAR(B98),12,31)-Arkusz1!B98)/366))),IF(F99=1,(1+(('Symulacja Pożyczka'!$B$5+'Symulacja Pożyczka'!$C$22)/100)*(((Arkusz1!B99-DATE(YEAR(B99),1,1)+1)/366)+((DATE(YEAR(B98),12,31)-Arkusz1!B98)/365))),0))</f>
        <v>0</v>
      </c>
      <c r="H99">
        <f t="shared" ca="1" si="11"/>
        <v>0</v>
      </c>
      <c r="I99">
        <f t="shared" ca="1" si="12"/>
        <v>1.001917808219178</v>
      </c>
      <c r="J99">
        <f t="shared" ca="1" si="13"/>
        <v>1.001917808219178</v>
      </c>
      <c r="K99">
        <f ca="1">PRODUCT($J$3:J99)</f>
        <v>1.2224031021991983</v>
      </c>
      <c r="L99">
        <f t="shared" ca="1" si="14"/>
        <v>0.81806075115559029</v>
      </c>
      <c r="M99">
        <f ca="1">SUM($L$3:L99)</f>
        <v>87.83057798168322</v>
      </c>
      <c r="O99">
        <f ca="1">(Q98*'Arkusz1 (+0)'!J99)-Q98</f>
        <v>519.58626799943158</v>
      </c>
      <c r="P99" s="16">
        <f t="shared" ca="1" si="15"/>
        <v>11064.265471828461</v>
      </c>
      <c r="Q99" s="17">
        <f t="shared" ca="1" si="16"/>
        <v>259862.85998502542</v>
      </c>
    </row>
    <row r="100" spans="1:17" x14ac:dyDescent="0.35">
      <c r="A100">
        <v>98</v>
      </c>
      <c r="B100" s="14">
        <f t="shared" ca="1" si="17"/>
        <v>49051</v>
      </c>
      <c r="C100" s="15">
        <f ca="1">(1+(('Symulacja Pożyczka'!$B$5+'Symulacja Pożyczka'!$C$18)/100)*('Arkusz1 (+0)'!B100-'Arkusz1 (+0)'!B99)/365)</f>
        <v>1.0021232876712329</v>
      </c>
      <c r="D100" s="15">
        <f ca="1">(1+(('Symulacja Pożyczka'!$B$5+'Symulacja Pożyczka'!$C$18)/100)*('Arkusz1 (+0)'!B100-'Arkusz1 (+0)'!B99)/366)</f>
        <v>1.0021174863387978</v>
      </c>
      <c r="E100" s="15">
        <f t="shared" ca="1" si="9"/>
        <v>0</v>
      </c>
      <c r="F100" s="15">
        <f t="shared" ca="1" si="10"/>
        <v>0</v>
      </c>
      <c r="G100">
        <f ca="1">IF(E100=1,(1+(('Symulacja Pożyczka'!$B$5+'Symulacja Pożyczka'!$C$18)/100)*(((Arkusz1!B100-DATE(YEAR(B100),1,1)+1)/365)+((DATE(YEAR(B99),12,31)-Arkusz1!B99)/366))),IF(F100=1,(1+(('Symulacja Pożyczka'!$B$5+'Symulacja Pożyczka'!$C$22)/100)*(((Arkusz1!B100-DATE(YEAR(B100),1,1)+1)/366)+((DATE(YEAR(B99),12,31)-Arkusz1!B99)/365))),0))</f>
        <v>0</v>
      </c>
      <c r="H100">
        <f t="shared" ca="1" si="11"/>
        <v>0</v>
      </c>
      <c r="I100">
        <f t="shared" ca="1" si="12"/>
        <v>1.0021232876712329</v>
      </c>
      <c r="J100">
        <f t="shared" ca="1" si="13"/>
        <v>1.0021232876712329</v>
      </c>
      <c r="K100">
        <f ca="1">PRODUCT($J$3:J100)</f>
        <v>1.2249986156353747</v>
      </c>
      <c r="L100">
        <f t="shared" ca="1" si="14"/>
        <v>0.81632745313865207</v>
      </c>
      <c r="M100">
        <f ca="1">SUM($L$3:L100)</f>
        <v>88.646905434821875</v>
      </c>
      <c r="O100">
        <f ca="1">(Q99*'Arkusz1 (+0)'!J100)-Q99</f>
        <v>551.76360681751976</v>
      </c>
      <c r="P100" s="16">
        <f t="shared" ca="1" si="15"/>
        <v>11032.088133010373</v>
      </c>
      <c r="Q100" s="17">
        <f t="shared" ca="1" si="16"/>
        <v>248830.77185201505</v>
      </c>
    </row>
    <row r="101" spans="1:17" x14ac:dyDescent="0.35">
      <c r="A101">
        <v>99</v>
      </c>
      <c r="B101" s="14">
        <f t="shared" ca="1" si="17"/>
        <v>49081</v>
      </c>
      <c r="C101" s="15">
        <f ca="1">(1+(('Symulacja Pożyczka'!$B$5+'Symulacja Pożyczka'!$C$18)/100)*('Arkusz1 (+0)'!B101-'Arkusz1 (+0)'!B100)/365)</f>
        <v>1.002054794520548</v>
      </c>
      <c r="D101" s="15">
        <f ca="1">(1+(('Symulacja Pożyczka'!$B$5+'Symulacja Pożyczka'!$C$18)/100)*('Arkusz1 (+0)'!B101-'Arkusz1 (+0)'!B100)/366)</f>
        <v>1.0020491803278688</v>
      </c>
      <c r="E101" s="15">
        <f t="shared" ca="1" si="9"/>
        <v>0</v>
      </c>
      <c r="F101" s="15">
        <f t="shared" ca="1" si="10"/>
        <v>0</v>
      </c>
      <c r="G101">
        <f ca="1">IF(E101=1,(1+(('Symulacja Pożyczka'!$B$5+'Symulacja Pożyczka'!$C$18)/100)*(((Arkusz1!B101-DATE(YEAR(B101),1,1)+1)/365)+((DATE(YEAR(B100),12,31)-Arkusz1!B100)/366))),IF(F101=1,(1+(('Symulacja Pożyczka'!$B$5+'Symulacja Pożyczka'!$C$22)/100)*(((Arkusz1!B101-DATE(YEAR(B101),1,1)+1)/366)+((DATE(YEAR(B100),12,31)-Arkusz1!B100)/365))),0))</f>
        <v>0</v>
      </c>
      <c r="H101">
        <f t="shared" ca="1" si="11"/>
        <v>0</v>
      </c>
      <c r="I101">
        <f t="shared" ca="1" si="12"/>
        <v>1.002054794520548</v>
      </c>
      <c r="J101">
        <f t="shared" ca="1" si="13"/>
        <v>1.002054794520548</v>
      </c>
      <c r="K101">
        <f ca="1">PRODUCT($J$3:J101)</f>
        <v>1.2275157360784612</v>
      </c>
      <c r="L101">
        <f t="shared" ca="1" si="14"/>
        <v>0.81465350757514143</v>
      </c>
      <c r="M101">
        <f ca="1">SUM($L$3:L101)</f>
        <v>89.461558942397019</v>
      </c>
      <c r="O101">
        <f ca="1">(Q100*'Arkusz1 (+0)'!J101)-Q100</f>
        <v>511.29610654525459</v>
      </c>
      <c r="P101" s="16">
        <f t="shared" ca="1" si="15"/>
        <v>11072.555633282638</v>
      </c>
      <c r="Q101" s="17">
        <f t="shared" ca="1" si="16"/>
        <v>237758.21621873241</v>
      </c>
    </row>
    <row r="102" spans="1:17" x14ac:dyDescent="0.35">
      <c r="A102">
        <v>100</v>
      </c>
      <c r="B102" s="14">
        <f t="shared" ca="1" si="17"/>
        <v>49112</v>
      </c>
      <c r="C102" s="15">
        <f ca="1">(1+(('Symulacja Pożyczka'!$B$5+'Symulacja Pożyczka'!$C$18)/100)*('Arkusz1 (+0)'!B102-'Arkusz1 (+0)'!B101)/365)</f>
        <v>1.0021232876712329</v>
      </c>
      <c r="D102" s="15">
        <f ca="1">(1+(('Symulacja Pożyczka'!$B$5+'Symulacja Pożyczka'!$C$18)/100)*('Arkusz1 (+0)'!B102-'Arkusz1 (+0)'!B101)/366)</f>
        <v>1.0021174863387978</v>
      </c>
      <c r="E102" s="15">
        <f t="shared" ca="1" si="9"/>
        <v>0</v>
      </c>
      <c r="F102" s="15">
        <f t="shared" ca="1" si="10"/>
        <v>0</v>
      </c>
      <c r="G102">
        <f ca="1">IF(E102=1,(1+(('Symulacja Pożyczka'!$B$5+'Symulacja Pożyczka'!$C$18)/100)*(((Arkusz1!B102-DATE(YEAR(B102),1,1)+1)/365)+((DATE(YEAR(B101),12,31)-Arkusz1!B101)/366))),IF(F102=1,(1+(('Symulacja Pożyczka'!$B$5+'Symulacja Pożyczka'!$C$22)/100)*(((Arkusz1!B102-DATE(YEAR(B102),1,1)+1)/366)+((DATE(YEAR(B101),12,31)-Arkusz1!B101)/365))),0))</f>
        <v>0</v>
      </c>
      <c r="H102">
        <f t="shared" ca="1" si="11"/>
        <v>0</v>
      </c>
      <c r="I102">
        <f t="shared" ca="1" si="12"/>
        <v>1.0021232876712329</v>
      </c>
      <c r="J102">
        <f t="shared" ca="1" si="13"/>
        <v>1.0021232876712329</v>
      </c>
      <c r="K102">
        <f ca="1">PRODUCT($J$3:J102)</f>
        <v>1.2301221051071209</v>
      </c>
      <c r="L102">
        <f t="shared" ca="1" si="14"/>
        <v>0.81292742878798885</v>
      </c>
      <c r="M102">
        <f ca="1">SUM($L$3:L102)</f>
        <v>90.274486371185006</v>
      </c>
      <c r="O102">
        <f ca="1">(Q101*'Arkusz1 (+0)'!J102)-Q101</f>
        <v>504.82908923155628</v>
      </c>
      <c r="P102" s="16">
        <f t="shared" ca="1" si="15"/>
        <v>11079.022650596336</v>
      </c>
      <c r="Q102" s="17">
        <f t="shared" ca="1" si="16"/>
        <v>226679.19356813608</v>
      </c>
    </row>
    <row r="103" spans="1:17" x14ac:dyDescent="0.35">
      <c r="A103">
        <v>101</v>
      </c>
      <c r="B103" s="14">
        <f t="shared" ca="1" si="17"/>
        <v>49142</v>
      </c>
      <c r="C103" s="15">
        <f ca="1">(1+(('Symulacja Pożyczka'!$B$5+'Symulacja Pożyczka'!$C$18)/100)*('Arkusz1 (+0)'!B103-'Arkusz1 (+0)'!B102)/365)</f>
        <v>1.002054794520548</v>
      </c>
      <c r="D103" s="15">
        <f ca="1">(1+(('Symulacja Pożyczka'!$B$5+'Symulacja Pożyczka'!$C$18)/100)*('Arkusz1 (+0)'!B103-'Arkusz1 (+0)'!B102)/366)</f>
        <v>1.0020491803278688</v>
      </c>
      <c r="E103" s="15">
        <f t="shared" ca="1" si="9"/>
        <v>0</v>
      </c>
      <c r="F103" s="15">
        <f t="shared" ca="1" si="10"/>
        <v>0</v>
      </c>
      <c r="G103">
        <f ca="1">IF(E103=1,(1+(('Symulacja Pożyczka'!$B$5+'Symulacja Pożyczka'!$C$18)/100)*(((Arkusz1!B103-DATE(YEAR(B103),1,1)+1)/365)+((DATE(YEAR(B102),12,31)-Arkusz1!B102)/366))),IF(F103=1,(1+(('Symulacja Pożyczka'!$B$5+'Symulacja Pożyczka'!$C$22)/100)*(((Arkusz1!B103-DATE(YEAR(B103),1,1)+1)/366)+((DATE(YEAR(B102),12,31)-Arkusz1!B102)/365))),0))</f>
        <v>0</v>
      </c>
      <c r="H103">
        <f t="shared" ca="1" si="11"/>
        <v>0</v>
      </c>
      <c r="I103">
        <f t="shared" ca="1" si="12"/>
        <v>1.002054794520548</v>
      </c>
      <c r="J103">
        <f t="shared" ca="1" si="13"/>
        <v>1.002054794520548</v>
      </c>
      <c r="K103">
        <f ca="1">PRODUCT($J$3:J103)</f>
        <v>1.2326497532683001</v>
      </c>
      <c r="L103">
        <f t="shared" ca="1" si="14"/>
        <v>0.81126045524980428</v>
      </c>
      <c r="M103">
        <f ca="1">SUM($L$3:L103)</f>
        <v>91.085746826434814</v>
      </c>
      <c r="O103">
        <f ca="1">(Q102*'Arkusz1 (+0)'!J103)-Q102</f>
        <v>465.77916486604954</v>
      </c>
      <c r="P103" s="16">
        <f t="shared" ca="1" si="15"/>
        <v>11118.072574961843</v>
      </c>
      <c r="Q103" s="17">
        <f t="shared" ca="1" si="16"/>
        <v>215561.12099317423</v>
      </c>
    </row>
    <row r="104" spans="1:17" x14ac:dyDescent="0.35">
      <c r="A104">
        <v>102</v>
      </c>
      <c r="B104" s="14">
        <f t="shared" ca="1" si="17"/>
        <v>49173</v>
      </c>
      <c r="C104" s="15">
        <f ca="1">(1+(('Symulacja Pożyczka'!$B$5+'Symulacja Pożyczka'!$C$18)/100)*('Arkusz1 (+0)'!B104-'Arkusz1 (+0)'!B103)/365)</f>
        <v>1.0021232876712329</v>
      </c>
      <c r="D104" s="15">
        <f ca="1">(1+(('Symulacja Pożyczka'!$B$5+'Symulacja Pożyczka'!$C$18)/100)*('Arkusz1 (+0)'!B104-'Arkusz1 (+0)'!B103)/366)</f>
        <v>1.0021174863387978</v>
      </c>
      <c r="E104" s="15">
        <f t="shared" ca="1" si="9"/>
        <v>0</v>
      </c>
      <c r="F104" s="15">
        <f t="shared" ca="1" si="10"/>
        <v>0</v>
      </c>
      <c r="G104">
        <f ca="1">IF(E104=1,(1+(('Symulacja Pożyczka'!$B$5+'Symulacja Pożyczka'!$C$18)/100)*(((Arkusz1!B104-DATE(YEAR(B104),1,1)+1)/365)+((DATE(YEAR(B103),12,31)-Arkusz1!B103)/366))),IF(F104=1,(1+(('Symulacja Pożyczka'!$B$5+'Symulacja Pożyczka'!$C$22)/100)*(((Arkusz1!B104-DATE(YEAR(B104),1,1)+1)/366)+((DATE(YEAR(B103),12,31)-Arkusz1!B103)/365))),0))</f>
        <v>0</v>
      </c>
      <c r="H104">
        <f t="shared" ca="1" si="11"/>
        <v>0</v>
      </c>
      <c r="I104">
        <f t="shared" ca="1" si="12"/>
        <v>1.0021232876712329</v>
      </c>
      <c r="J104">
        <f t="shared" ca="1" si="13"/>
        <v>1.0021232876712329</v>
      </c>
      <c r="K104">
        <f ca="1">PRODUCT($J$3:J104)</f>
        <v>1.235267023292363</v>
      </c>
      <c r="L104">
        <f t="shared" ca="1" si="14"/>
        <v>0.80954156562416379</v>
      </c>
      <c r="M104">
        <f ca="1">SUM($L$3:L104)</f>
        <v>91.895288392058973</v>
      </c>
      <c r="O104">
        <f ca="1">(Q103*'Arkusz1 (+0)'!J104)-Q103</f>
        <v>457.69827060194802</v>
      </c>
      <c r="P104" s="16">
        <f t="shared" ca="1" si="15"/>
        <v>11126.153469225945</v>
      </c>
      <c r="Q104" s="17">
        <f t="shared" ca="1" si="16"/>
        <v>204434.96752394829</v>
      </c>
    </row>
    <row r="105" spans="1:17" x14ac:dyDescent="0.35">
      <c r="A105">
        <v>103</v>
      </c>
      <c r="B105" s="14">
        <f t="shared" ca="1" si="17"/>
        <v>49204</v>
      </c>
      <c r="C105" s="15">
        <f ca="1">(1+(('Symulacja Pożyczka'!$B$5+'Symulacja Pożyczka'!$C$18)/100)*('Arkusz1 (+0)'!B105-'Arkusz1 (+0)'!B104)/365)</f>
        <v>1.0021232876712329</v>
      </c>
      <c r="D105" s="15">
        <f ca="1">(1+(('Symulacja Pożyczka'!$B$5+'Symulacja Pożyczka'!$C$18)/100)*('Arkusz1 (+0)'!B105-'Arkusz1 (+0)'!B104)/366)</f>
        <v>1.0021174863387978</v>
      </c>
      <c r="E105" s="15">
        <f t="shared" ca="1" si="9"/>
        <v>0</v>
      </c>
      <c r="F105" s="15">
        <f t="shared" ca="1" si="10"/>
        <v>0</v>
      </c>
      <c r="G105">
        <f ca="1">IF(E105=1,(1+(('Symulacja Pożyczka'!$B$5+'Symulacja Pożyczka'!$C$18)/100)*(((Arkusz1!B105-DATE(YEAR(B105),1,1)+1)/365)+((DATE(YEAR(B104),12,31)-Arkusz1!B104)/366))),IF(F105=1,(1+(('Symulacja Pożyczka'!$B$5+'Symulacja Pożyczka'!$C$22)/100)*(((Arkusz1!B105-DATE(YEAR(B105),1,1)+1)/366)+((DATE(YEAR(B104),12,31)-Arkusz1!B104)/365))),0))</f>
        <v>0</v>
      </c>
      <c r="H105">
        <f t="shared" ca="1" si="11"/>
        <v>0</v>
      </c>
      <c r="I105">
        <f t="shared" ca="1" si="12"/>
        <v>1.0021232876712329</v>
      </c>
      <c r="J105">
        <f t="shared" ca="1" si="13"/>
        <v>1.0021232876712329</v>
      </c>
      <c r="K105">
        <f ca="1">PRODUCT($J$3:J105)</f>
        <v>1.2378898505336002</v>
      </c>
      <c r="L105">
        <f t="shared" ca="1" si="14"/>
        <v>0.80782631796273607</v>
      </c>
      <c r="M105">
        <f ca="1">SUM($L$3:L105)</f>
        <v>92.703114710021708</v>
      </c>
      <c r="O105">
        <f ca="1">(Q104*'Arkusz1 (+0)'!J105)-Q104</f>
        <v>434.07424611249007</v>
      </c>
      <c r="P105" s="16">
        <f t="shared" ca="1" si="15"/>
        <v>11149.777493715403</v>
      </c>
      <c r="Q105" s="17">
        <f t="shared" ca="1" si="16"/>
        <v>193285.19003023289</v>
      </c>
    </row>
    <row r="106" spans="1:17" x14ac:dyDescent="0.35">
      <c r="A106">
        <v>104</v>
      </c>
      <c r="B106" s="14">
        <f t="shared" ca="1" si="17"/>
        <v>49234</v>
      </c>
      <c r="C106" s="15">
        <f ca="1">(1+(('Symulacja Pożyczka'!$B$5+'Symulacja Pożyczka'!$C$18)/100)*('Arkusz1 (+0)'!B106-'Arkusz1 (+0)'!B105)/365)</f>
        <v>1.002054794520548</v>
      </c>
      <c r="D106" s="15">
        <f ca="1">(1+(('Symulacja Pożyczka'!$B$5+'Symulacja Pożyczka'!$C$18)/100)*('Arkusz1 (+0)'!B106-'Arkusz1 (+0)'!B105)/366)</f>
        <v>1.0020491803278688</v>
      </c>
      <c r="E106" s="15">
        <f t="shared" ca="1" si="9"/>
        <v>0</v>
      </c>
      <c r="F106" s="15">
        <f t="shared" ca="1" si="10"/>
        <v>0</v>
      </c>
      <c r="G106">
        <f ca="1">IF(E106=1,(1+(('Symulacja Pożyczka'!$B$5+'Symulacja Pożyczka'!$C$18)/100)*(((Arkusz1!B106-DATE(YEAR(B106),1,1)+1)/365)+((DATE(YEAR(B105),12,31)-Arkusz1!B105)/366))),IF(F106=1,(1+(('Symulacja Pożyczka'!$B$5+'Symulacja Pożyczka'!$C$22)/100)*(((Arkusz1!B106-DATE(YEAR(B106),1,1)+1)/366)+((DATE(YEAR(B105),12,31)-Arkusz1!B105)/365))),0))</f>
        <v>0</v>
      </c>
      <c r="H106">
        <f t="shared" ca="1" si="11"/>
        <v>0</v>
      </c>
      <c r="I106">
        <f t="shared" ca="1" si="12"/>
        <v>1.002054794520548</v>
      </c>
      <c r="J106">
        <f t="shared" ca="1" si="13"/>
        <v>1.002054794520548</v>
      </c>
      <c r="K106">
        <f ca="1">PRODUCT($J$3:J106)</f>
        <v>1.2404334598155187</v>
      </c>
      <c r="L106">
        <f t="shared" ca="1" si="14"/>
        <v>0.80616980466547816</v>
      </c>
      <c r="M106">
        <f ca="1">SUM($L$3:L106)</f>
        <v>93.509284514687181</v>
      </c>
      <c r="O106">
        <f ca="1">(Q105*'Arkusz1 (+0)'!J106)-Q105</f>
        <v>397.16134937721654</v>
      </c>
      <c r="P106" s="16">
        <f t="shared" ca="1" si="15"/>
        <v>11186.690390450676</v>
      </c>
      <c r="Q106" s="17">
        <f t="shared" ca="1" si="16"/>
        <v>182098.49963978221</v>
      </c>
    </row>
    <row r="107" spans="1:17" x14ac:dyDescent="0.35">
      <c r="A107">
        <v>105</v>
      </c>
      <c r="B107" s="14">
        <f t="shared" ca="1" si="17"/>
        <v>49265</v>
      </c>
      <c r="C107" s="15">
        <f ca="1">(1+(('Symulacja Pożyczka'!$B$5+'Symulacja Pożyczka'!$C$18)/100)*('Arkusz1 (+0)'!B107-'Arkusz1 (+0)'!B106)/365)</f>
        <v>1.0021232876712329</v>
      </c>
      <c r="D107" s="15">
        <f ca="1">(1+(('Symulacja Pożyczka'!$B$5+'Symulacja Pożyczka'!$C$18)/100)*('Arkusz1 (+0)'!B107-'Arkusz1 (+0)'!B106)/366)</f>
        <v>1.0021174863387978</v>
      </c>
      <c r="E107" s="15">
        <f t="shared" ca="1" si="9"/>
        <v>0</v>
      </c>
      <c r="F107" s="15">
        <f t="shared" ca="1" si="10"/>
        <v>0</v>
      </c>
      <c r="G107">
        <f ca="1">IF(E107=1,(1+(('Symulacja Pożyczka'!$B$5+'Symulacja Pożyczka'!$C$18)/100)*(((Arkusz1!B107-DATE(YEAR(B107),1,1)+1)/365)+((DATE(YEAR(B106),12,31)-Arkusz1!B106)/366))),IF(F107=1,(1+(('Symulacja Pożyczka'!$B$5+'Symulacja Pożyczka'!$C$22)/100)*(((Arkusz1!B107-DATE(YEAR(B107),1,1)+1)/366)+((DATE(YEAR(B106),12,31)-Arkusz1!B106)/365))),0))</f>
        <v>0</v>
      </c>
      <c r="H107">
        <f t="shared" ca="1" si="11"/>
        <v>0</v>
      </c>
      <c r="I107">
        <f t="shared" ca="1" si="12"/>
        <v>1.0021232876712329</v>
      </c>
      <c r="J107">
        <f t="shared" ca="1" si="13"/>
        <v>1.0021232876712329</v>
      </c>
      <c r="K107">
        <f ca="1">PRODUCT($J$3:J107)</f>
        <v>1.2430672568877297</v>
      </c>
      <c r="L107">
        <f t="shared" ca="1" si="14"/>
        <v>0.804461701053652</v>
      </c>
      <c r="M107">
        <f ca="1">SUM($L$3:L107)</f>
        <v>94.313746215740835</v>
      </c>
      <c r="O107">
        <f ca="1">(Q106*'Arkusz1 (+0)'!J107)-Q106</f>
        <v>386.64749923517229</v>
      </c>
      <c r="P107" s="16">
        <f t="shared" ca="1" si="15"/>
        <v>11197.20424059272</v>
      </c>
      <c r="Q107" s="17">
        <f t="shared" ca="1" si="16"/>
        <v>170901.29539918949</v>
      </c>
    </row>
    <row r="108" spans="1:17" x14ac:dyDescent="0.35">
      <c r="A108">
        <v>106</v>
      </c>
      <c r="B108" s="14">
        <f t="shared" ca="1" si="17"/>
        <v>49295</v>
      </c>
      <c r="C108" s="15">
        <f ca="1">(1+(('Symulacja Pożyczka'!$B$5+'Symulacja Pożyczka'!$C$18)/100)*('Arkusz1 (+0)'!B108-'Arkusz1 (+0)'!B107)/365)</f>
        <v>1.002054794520548</v>
      </c>
      <c r="D108" s="15">
        <f ca="1">(1+(('Symulacja Pożyczka'!$B$5+'Symulacja Pożyczka'!$C$18)/100)*('Arkusz1 (+0)'!B108-'Arkusz1 (+0)'!B107)/366)</f>
        <v>1.0020491803278688</v>
      </c>
      <c r="E108" s="15">
        <f t="shared" ca="1" si="9"/>
        <v>0</v>
      </c>
      <c r="F108" s="15">
        <f t="shared" ca="1" si="10"/>
        <v>0</v>
      </c>
      <c r="G108">
        <f ca="1">IF(E108=1,(1+(('Symulacja Pożyczka'!$B$5+'Symulacja Pożyczka'!$C$18)/100)*(((Arkusz1!B108-DATE(YEAR(B108),1,1)+1)/365)+((DATE(YEAR(B107),12,31)-Arkusz1!B107)/366))),IF(F108=1,(1+(('Symulacja Pożyczka'!$B$5+'Symulacja Pożyczka'!$C$22)/100)*(((Arkusz1!B108-DATE(YEAR(B108),1,1)+1)/366)+((DATE(YEAR(B107),12,31)-Arkusz1!B107)/365))),0))</f>
        <v>0</v>
      </c>
      <c r="H108">
        <f t="shared" ca="1" si="11"/>
        <v>0</v>
      </c>
      <c r="I108">
        <f t="shared" ca="1" si="12"/>
        <v>1.002054794520548</v>
      </c>
      <c r="J108">
        <f t="shared" ca="1" si="13"/>
        <v>1.002054794520548</v>
      </c>
      <c r="K108">
        <f ca="1">PRODUCT($J$3:J108)</f>
        <v>1.2456215046758552</v>
      </c>
      <c r="L108">
        <f t="shared" ca="1" si="14"/>
        <v>0.80281208717589325</v>
      </c>
      <c r="M108">
        <f ca="1">SUM($L$3:L108)</f>
        <v>95.116558302916729</v>
      </c>
      <c r="O108">
        <f ca="1">(Q107*'Arkusz1 (+0)'!J108)-Q107</f>
        <v>351.16704534081509</v>
      </c>
      <c r="P108" s="16">
        <f t="shared" ca="1" si="15"/>
        <v>11232.684694487078</v>
      </c>
      <c r="Q108" s="17">
        <f t="shared" ca="1" si="16"/>
        <v>159668.61070470241</v>
      </c>
    </row>
    <row r="109" spans="1:17" x14ac:dyDescent="0.35">
      <c r="A109">
        <v>107</v>
      </c>
      <c r="B109" s="14">
        <f t="shared" ca="1" si="17"/>
        <v>49326</v>
      </c>
      <c r="C109" s="15">
        <f ca="1">(1+(('Symulacja Pożyczka'!$B$5+'Symulacja Pożyczka'!$C$18)/100)*('Arkusz1 (+0)'!B109-'Arkusz1 (+0)'!B108)/365)</f>
        <v>1.0021232876712329</v>
      </c>
      <c r="D109" s="15">
        <f ca="1">(1+(('Symulacja Pożyczka'!$B$5+'Symulacja Pożyczka'!$C$18)/100)*('Arkusz1 (+0)'!B109-'Arkusz1 (+0)'!B108)/366)</f>
        <v>1.0021174863387978</v>
      </c>
      <c r="E109" s="15">
        <f t="shared" ca="1" si="9"/>
        <v>0</v>
      </c>
      <c r="F109" s="15">
        <f t="shared" ca="1" si="10"/>
        <v>0</v>
      </c>
      <c r="G109">
        <f ca="1">IF(E109=1,(1+(('Symulacja Pożyczka'!$B$5+'Symulacja Pożyczka'!$C$18)/100)*(((Arkusz1!B109-DATE(YEAR(B109),1,1)+1)/365)+((DATE(YEAR(B108),12,31)-Arkusz1!B108)/366))),IF(F109=1,(1+(('Symulacja Pożyczka'!$B$5+'Symulacja Pożyczka'!$C$22)/100)*(((Arkusz1!B109-DATE(YEAR(B109),1,1)+1)/366)+((DATE(YEAR(B108),12,31)-Arkusz1!B108)/365))),0))</f>
        <v>0</v>
      </c>
      <c r="H109">
        <f t="shared" ca="1" si="11"/>
        <v>0</v>
      </c>
      <c r="I109">
        <f t="shared" ca="1" si="12"/>
        <v>1.0021232876712329</v>
      </c>
      <c r="J109">
        <f t="shared" ca="1" si="13"/>
        <v>1.0021232876712329</v>
      </c>
      <c r="K109">
        <f ca="1">PRODUCT($J$3:J109)</f>
        <v>1.2482663174597561</v>
      </c>
      <c r="L109">
        <f t="shared" ca="1" si="14"/>
        <v>0.8011110978585223</v>
      </c>
      <c r="M109">
        <f ca="1">SUM($L$3:L109)</f>
        <v>95.917669400775253</v>
      </c>
      <c r="O109">
        <f ca="1">(Q108*'Arkusz1 (+0)'!J109)-Q108</f>
        <v>339.02239259218914</v>
      </c>
      <c r="P109" s="16">
        <f t="shared" ca="1" si="15"/>
        <v>11244.829347235704</v>
      </c>
      <c r="Q109" s="17">
        <f t="shared" ca="1" si="16"/>
        <v>148423.78135746671</v>
      </c>
    </row>
    <row r="110" spans="1:17" x14ac:dyDescent="0.35">
      <c r="A110">
        <v>108</v>
      </c>
      <c r="B110" s="14">
        <f t="shared" ca="1" si="17"/>
        <v>49357</v>
      </c>
      <c r="C110" s="15">
        <f ca="1">(1+(('Symulacja Pożyczka'!$B$5+'Symulacja Pożyczka'!$C$18)/100)*('Arkusz1 (+0)'!B110-'Arkusz1 (+0)'!B109)/365)</f>
        <v>1.0021232876712329</v>
      </c>
      <c r="D110" s="15">
        <f ca="1">(1+(('Symulacja Pożyczka'!$B$5+'Symulacja Pożyczka'!$C$18)/100)*('Arkusz1 (+0)'!B110-'Arkusz1 (+0)'!B109)/366)</f>
        <v>1.0021174863387978</v>
      </c>
      <c r="E110" s="15">
        <f t="shared" ca="1" si="9"/>
        <v>0</v>
      </c>
      <c r="F110" s="15">
        <f t="shared" ca="1" si="10"/>
        <v>0</v>
      </c>
      <c r="G110">
        <f ca="1">IF(E110=1,(1+(('Symulacja Pożyczka'!$B$5+'Symulacja Pożyczka'!$C$18)/100)*(((Arkusz1!B110-DATE(YEAR(B110),1,1)+1)/365)+((DATE(YEAR(B109),12,31)-Arkusz1!B109)/366))),IF(F110=1,(1+(('Symulacja Pożyczka'!$B$5+'Symulacja Pożyczka'!$C$22)/100)*(((Arkusz1!B110-DATE(YEAR(B110),1,1)+1)/366)+((DATE(YEAR(B109),12,31)-Arkusz1!B109)/365))),0))</f>
        <v>0</v>
      </c>
      <c r="H110">
        <f t="shared" ca="1" si="11"/>
        <v>0</v>
      </c>
      <c r="I110">
        <f t="shared" ca="1" si="12"/>
        <v>1.0021232876712329</v>
      </c>
      <c r="J110">
        <f t="shared" ca="1" si="13"/>
        <v>1.0021232876712329</v>
      </c>
      <c r="K110">
        <f ca="1">PRODUCT($J$3:J110)</f>
        <v>1.2509167459420338</v>
      </c>
      <c r="L110">
        <f t="shared" ca="1" si="14"/>
        <v>0.79941371257839</v>
      </c>
      <c r="M110">
        <f ca="1">SUM($L$3:L110)</f>
        <v>96.717083113353638</v>
      </c>
      <c r="O110">
        <f ca="1">(Q109*'Arkusz1 (+0)'!J110)-Q109</f>
        <v>315.14638507406926</v>
      </c>
      <c r="P110" s="16">
        <f t="shared" ca="1" si="15"/>
        <v>11268.705354753823</v>
      </c>
      <c r="Q110" s="17">
        <f t="shared" ca="1" si="16"/>
        <v>137155.07600271289</v>
      </c>
    </row>
    <row r="111" spans="1:17" x14ac:dyDescent="0.35">
      <c r="A111">
        <v>109</v>
      </c>
      <c r="B111" s="14">
        <f t="shared" ca="1" si="17"/>
        <v>49385</v>
      </c>
      <c r="C111" s="15">
        <f ca="1">(1+(('Symulacja Pożyczka'!$B$5+'Symulacja Pożyczka'!$C$18)/100)*('Arkusz1 (+0)'!B111-'Arkusz1 (+0)'!B110)/365)</f>
        <v>1.001917808219178</v>
      </c>
      <c r="D111" s="15">
        <f ca="1">(1+(('Symulacja Pożyczka'!$B$5+'Symulacja Pożyczka'!$C$18)/100)*('Arkusz1 (+0)'!B111-'Arkusz1 (+0)'!B110)/366)</f>
        <v>1.0019125683060108</v>
      </c>
      <c r="E111" s="15">
        <f t="shared" ca="1" si="9"/>
        <v>0</v>
      </c>
      <c r="F111" s="15">
        <f t="shared" ca="1" si="10"/>
        <v>0</v>
      </c>
      <c r="G111">
        <f ca="1">IF(E111=1,(1+(('Symulacja Pożyczka'!$B$5+'Symulacja Pożyczka'!$C$18)/100)*(((Arkusz1!B111-DATE(YEAR(B111),1,1)+1)/365)+((DATE(YEAR(B110),12,31)-Arkusz1!B110)/366))),IF(F111=1,(1+(('Symulacja Pożyczka'!$B$5+'Symulacja Pożyczka'!$C$22)/100)*(((Arkusz1!B111-DATE(YEAR(B111),1,1)+1)/366)+((DATE(YEAR(B110),12,31)-Arkusz1!B110)/365))),0))</f>
        <v>0</v>
      </c>
      <c r="H111">
        <f t="shared" ca="1" si="11"/>
        <v>0</v>
      </c>
      <c r="I111">
        <f t="shared" ca="1" si="12"/>
        <v>1.001917808219178</v>
      </c>
      <c r="J111">
        <f t="shared" ca="1" si="13"/>
        <v>1.001917808219178</v>
      </c>
      <c r="K111">
        <f ca="1">PRODUCT($J$3:J111)</f>
        <v>1.2533157643589088</v>
      </c>
      <c r="L111">
        <f t="shared" ca="1" si="14"/>
        <v>0.79788352499620563</v>
      </c>
      <c r="M111">
        <f ca="1">SUM($L$3:L111)</f>
        <v>97.514966638349847</v>
      </c>
      <c r="O111">
        <f ca="1">(Q110*'Arkusz1 (+0)'!J111)-Q110</f>
        <v>263.03713205998065</v>
      </c>
      <c r="P111" s="16">
        <f t="shared" ca="1" si="15"/>
        <v>11320.814607767912</v>
      </c>
      <c r="Q111" s="17">
        <f t="shared" ca="1" si="16"/>
        <v>125834.26139494497</v>
      </c>
    </row>
    <row r="112" spans="1:17" x14ac:dyDescent="0.35">
      <c r="A112">
        <v>110</v>
      </c>
      <c r="B112" s="14">
        <f t="shared" ca="1" si="17"/>
        <v>49416</v>
      </c>
      <c r="C112" s="15">
        <f ca="1">(1+(('Symulacja Pożyczka'!$B$5+'Symulacja Pożyczka'!$C$18)/100)*('Arkusz1 (+0)'!B112-'Arkusz1 (+0)'!B111)/365)</f>
        <v>1.0021232876712329</v>
      </c>
      <c r="D112" s="15">
        <f ca="1">(1+(('Symulacja Pożyczka'!$B$5+'Symulacja Pożyczka'!$C$18)/100)*('Arkusz1 (+0)'!B112-'Arkusz1 (+0)'!B111)/366)</f>
        <v>1.0021174863387978</v>
      </c>
      <c r="E112" s="15">
        <f t="shared" ca="1" si="9"/>
        <v>0</v>
      </c>
      <c r="F112" s="15">
        <f t="shared" ca="1" si="10"/>
        <v>0</v>
      </c>
      <c r="G112">
        <f ca="1">IF(E112=1,(1+(('Symulacja Pożyczka'!$B$5+'Symulacja Pożyczka'!$C$18)/100)*(((Arkusz1!B112-DATE(YEAR(B112),1,1)+1)/365)+((DATE(YEAR(B111),12,31)-Arkusz1!B111)/366))),IF(F112=1,(1+(('Symulacja Pożyczka'!$B$5+'Symulacja Pożyczka'!$C$22)/100)*(((Arkusz1!B112-DATE(YEAR(B112),1,1)+1)/366)+((DATE(YEAR(B111),12,31)-Arkusz1!B111)/365))),0))</f>
        <v>0</v>
      </c>
      <c r="H112">
        <f t="shared" ca="1" si="11"/>
        <v>0</v>
      </c>
      <c r="I112">
        <f t="shared" ca="1" si="12"/>
        <v>1.0021232876712329</v>
      </c>
      <c r="J112">
        <f t="shared" ca="1" si="13"/>
        <v>1.0021232876712329</v>
      </c>
      <c r="K112">
        <f ca="1">PRODUCT($J$3:J112)</f>
        <v>1.2559769142695338</v>
      </c>
      <c r="L112">
        <f t="shared" ca="1" si="14"/>
        <v>0.79619297826154078</v>
      </c>
      <c r="M112">
        <f ca="1">SUM($L$3:L112)</f>
        <v>98.311159616611391</v>
      </c>
      <c r="O112">
        <f ca="1">(Q111*'Arkusz1 (+0)'!J112)-Q111</f>
        <v>267.18233583858819</v>
      </c>
      <c r="P112" s="16">
        <f t="shared" ca="1" si="15"/>
        <v>11316.669403989305</v>
      </c>
      <c r="Q112" s="17">
        <f t="shared" ca="1" si="16"/>
        <v>114517.59199095567</v>
      </c>
    </row>
    <row r="113" spans="1:17" x14ac:dyDescent="0.35">
      <c r="A113">
        <v>111</v>
      </c>
      <c r="B113" s="14">
        <f t="shared" ca="1" si="17"/>
        <v>49446</v>
      </c>
      <c r="C113" s="15">
        <f ca="1">(1+(('Symulacja Pożyczka'!$B$5+'Symulacja Pożyczka'!$C$18)/100)*('Arkusz1 (+0)'!B113-'Arkusz1 (+0)'!B112)/365)</f>
        <v>1.002054794520548</v>
      </c>
      <c r="D113" s="15">
        <f ca="1">(1+(('Symulacja Pożyczka'!$B$5+'Symulacja Pożyczka'!$C$18)/100)*('Arkusz1 (+0)'!B113-'Arkusz1 (+0)'!B112)/366)</f>
        <v>1.0020491803278688</v>
      </c>
      <c r="E113" s="15">
        <f t="shared" ca="1" si="9"/>
        <v>0</v>
      </c>
      <c r="F113" s="15">
        <f t="shared" ca="1" si="10"/>
        <v>0</v>
      </c>
      <c r="G113">
        <f ca="1">IF(E113=1,(1+(('Symulacja Pożyczka'!$B$5+'Symulacja Pożyczka'!$C$18)/100)*(((Arkusz1!B113-DATE(YEAR(B113),1,1)+1)/365)+((DATE(YEAR(B112),12,31)-Arkusz1!B112)/366))),IF(F113=1,(1+(('Symulacja Pożyczka'!$B$5+'Symulacja Pożyczka'!$C$22)/100)*(((Arkusz1!B113-DATE(YEAR(B113),1,1)+1)/366)+((DATE(YEAR(B112),12,31)-Arkusz1!B112)/365))),0))</f>
        <v>0</v>
      </c>
      <c r="H113">
        <f t="shared" ca="1" si="11"/>
        <v>0</v>
      </c>
      <c r="I113">
        <f t="shared" ca="1" si="12"/>
        <v>1.002054794520548</v>
      </c>
      <c r="J113">
        <f t="shared" ca="1" si="13"/>
        <v>1.002054794520548</v>
      </c>
      <c r="K113">
        <f ca="1">PRODUCT($J$3:J113)</f>
        <v>1.2585576887509098</v>
      </c>
      <c r="L113">
        <f t="shared" ca="1" si="14"/>
        <v>0.79456032006961674</v>
      </c>
      <c r="M113">
        <f ca="1">SUM($L$3:L113)</f>
        <v>99.105719936681012</v>
      </c>
      <c r="O113">
        <f ca="1">(Q112*'Arkusz1 (+0)'!J113)-Q112</f>
        <v>235.31012052936421</v>
      </c>
      <c r="P113" s="16">
        <f t="shared" ca="1" si="15"/>
        <v>11348.541619298529</v>
      </c>
      <c r="Q113" s="17">
        <f t="shared" ca="1" si="16"/>
        <v>103169.05037165714</v>
      </c>
    </row>
    <row r="114" spans="1:17" x14ac:dyDescent="0.35">
      <c r="A114">
        <v>112</v>
      </c>
      <c r="B114" s="14">
        <f t="shared" ca="1" si="17"/>
        <v>49477</v>
      </c>
      <c r="C114" s="15">
        <f ca="1">(1+(('Symulacja Pożyczka'!$B$5+'Symulacja Pożyczka'!$C$18)/100)*('Arkusz1 (+0)'!B114-'Arkusz1 (+0)'!B113)/365)</f>
        <v>1.0021232876712329</v>
      </c>
      <c r="D114" s="15">
        <f ca="1">(1+(('Symulacja Pożyczka'!$B$5+'Symulacja Pożyczka'!$C$18)/100)*('Arkusz1 (+0)'!B114-'Arkusz1 (+0)'!B113)/366)</f>
        <v>1.0021174863387978</v>
      </c>
      <c r="E114" s="15">
        <f t="shared" ca="1" si="9"/>
        <v>0</v>
      </c>
      <c r="F114" s="15">
        <f t="shared" ca="1" si="10"/>
        <v>0</v>
      </c>
      <c r="G114">
        <f ca="1">IF(E114=1,(1+(('Symulacja Pożyczka'!$B$5+'Symulacja Pożyczka'!$C$18)/100)*(((Arkusz1!B114-DATE(YEAR(B114),1,1)+1)/365)+((DATE(YEAR(B113),12,31)-Arkusz1!B113)/366))),IF(F114=1,(1+(('Symulacja Pożyczka'!$B$5+'Symulacja Pożyczka'!$C$22)/100)*(((Arkusz1!B114-DATE(YEAR(B114),1,1)+1)/366)+((DATE(YEAR(B113),12,31)-Arkusz1!B113)/365))),0))</f>
        <v>0</v>
      </c>
      <c r="H114">
        <f t="shared" ca="1" si="11"/>
        <v>0</v>
      </c>
      <c r="I114">
        <f t="shared" ca="1" si="12"/>
        <v>1.0021232876712329</v>
      </c>
      <c r="J114">
        <f t="shared" ca="1" si="13"/>
        <v>1.0021232876712329</v>
      </c>
      <c r="K114">
        <f ca="1">PRODUCT($J$3:J114)</f>
        <v>1.26122996877497</v>
      </c>
      <c r="L114">
        <f t="shared" ca="1" si="14"/>
        <v>0.79287681450457281</v>
      </c>
      <c r="M114">
        <f ca="1">SUM($L$3:L114)</f>
        <v>99.898596751185579</v>
      </c>
      <c r="O114">
        <f ca="1">(Q113*'Arkusz1 (+0)'!J114)-Q113</f>
        <v>219.05757270695176</v>
      </c>
      <c r="P114" s="16">
        <f t="shared" ca="1" si="15"/>
        <v>11364.794167120941</v>
      </c>
      <c r="Q114" s="17">
        <f t="shared" ca="1" si="16"/>
        <v>91804.256204536199</v>
      </c>
    </row>
    <row r="115" spans="1:17" x14ac:dyDescent="0.35">
      <c r="A115">
        <v>113</v>
      </c>
      <c r="B115" s="14">
        <f t="shared" ca="1" si="17"/>
        <v>49507</v>
      </c>
      <c r="C115" s="15">
        <f ca="1">(1+(('Symulacja Pożyczka'!$B$5+'Symulacja Pożyczka'!$C$18)/100)*('Arkusz1 (+0)'!B115-'Arkusz1 (+0)'!B114)/365)</f>
        <v>1.002054794520548</v>
      </c>
      <c r="D115" s="15">
        <f ca="1">(1+(('Symulacja Pożyczka'!$B$5+'Symulacja Pożyczka'!$C$18)/100)*('Arkusz1 (+0)'!B115-'Arkusz1 (+0)'!B114)/366)</f>
        <v>1.0020491803278688</v>
      </c>
      <c r="E115" s="15">
        <f t="shared" ca="1" si="9"/>
        <v>0</v>
      </c>
      <c r="F115" s="15">
        <f t="shared" ca="1" si="10"/>
        <v>0</v>
      </c>
      <c r="G115">
        <f ca="1">IF(E115=1,(1+(('Symulacja Pożyczka'!$B$5+'Symulacja Pożyczka'!$C$18)/100)*(((Arkusz1!B115-DATE(YEAR(B115),1,1)+1)/365)+((DATE(YEAR(B114),12,31)-Arkusz1!B114)/366))),IF(F115=1,(1+(('Symulacja Pożyczka'!$B$5+'Symulacja Pożyczka'!$C$22)/100)*(((Arkusz1!B115-DATE(YEAR(B115),1,1)+1)/366)+((DATE(YEAR(B114),12,31)-Arkusz1!B114)/365))),0))</f>
        <v>0</v>
      </c>
      <c r="H115">
        <f t="shared" ca="1" si="11"/>
        <v>0</v>
      </c>
      <c r="I115">
        <f t="shared" ca="1" si="12"/>
        <v>1.002054794520548</v>
      </c>
      <c r="J115">
        <f t="shared" ca="1" si="13"/>
        <v>1.002054794520548</v>
      </c>
      <c r="K115">
        <f ca="1">PRODUCT($J$3:J115)</f>
        <v>1.2638215372039596</v>
      </c>
      <c r="L115">
        <f t="shared" ca="1" si="14"/>
        <v>0.79125095637503506</v>
      </c>
      <c r="M115">
        <f ca="1">SUM($L$3:L115)</f>
        <v>100.68984770756062</v>
      </c>
      <c r="O115">
        <f ca="1">(Q114*'Arkusz1 (+0)'!J115)-Q114</f>
        <v>188.63888261206739</v>
      </c>
      <c r="P115" s="16">
        <f t="shared" ca="1" si="15"/>
        <v>11395.212857215825</v>
      </c>
      <c r="Q115" s="17">
        <f t="shared" ca="1" si="16"/>
        <v>80409.043347320374</v>
      </c>
    </row>
    <row r="116" spans="1:17" x14ac:dyDescent="0.35">
      <c r="A116">
        <v>114</v>
      </c>
      <c r="B116" s="14">
        <f t="shared" ca="1" si="17"/>
        <v>49538</v>
      </c>
      <c r="C116" s="15">
        <f ca="1">(1+(('Symulacja Pożyczka'!$B$5+'Symulacja Pożyczka'!$C$18)/100)*('Arkusz1 (+0)'!B116-'Arkusz1 (+0)'!B115)/365)</f>
        <v>1.0021232876712329</v>
      </c>
      <c r="D116" s="15">
        <f ca="1">(1+(('Symulacja Pożyczka'!$B$5+'Symulacja Pożyczka'!$C$18)/100)*('Arkusz1 (+0)'!B116-'Arkusz1 (+0)'!B115)/366)</f>
        <v>1.0021174863387978</v>
      </c>
      <c r="E116" s="15">
        <f t="shared" ca="1" si="9"/>
        <v>0</v>
      </c>
      <c r="F116" s="15">
        <f t="shared" ca="1" si="10"/>
        <v>0</v>
      </c>
      <c r="G116">
        <f ca="1">IF(E116=1,(1+(('Symulacja Pożyczka'!$B$5+'Symulacja Pożyczka'!$C$18)/100)*(((Arkusz1!B116-DATE(YEAR(B116),1,1)+1)/365)+((DATE(YEAR(B115),12,31)-Arkusz1!B115)/366))),IF(F116=1,(1+(('Symulacja Pożyczka'!$B$5+'Symulacja Pożyczka'!$C$22)/100)*(((Arkusz1!B116-DATE(YEAR(B116),1,1)+1)/366)+((DATE(YEAR(B115),12,31)-Arkusz1!B115)/365))),0))</f>
        <v>0</v>
      </c>
      <c r="H116">
        <f t="shared" ca="1" si="11"/>
        <v>0</v>
      </c>
      <c r="I116">
        <f t="shared" ca="1" si="12"/>
        <v>1.0021232876712329</v>
      </c>
      <c r="J116">
        <f t="shared" ca="1" si="13"/>
        <v>1.0021232876712329</v>
      </c>
      <c r="K116">
        <f ca="1">PRODUCT($J$3:J116)</f>
        <v>1.2665049938925435</v>
      </c>
      <c r="L116">
        <f t="shared" ca="1" si="14"/>
        <v>0.7895744626529636</v>
      </c>
      <c r="M116">
        <f ca="1">SUM($L$3:L116)</f>
        <v>101.47942217021358</v>
      </c>
      <c r="O116">
        <f ca="1">(Q115*'Arkusz1 (+0)'!J116)-Q115</f>
        <v>170.73153039500176</v>
      </c>
      <c r="P116" s="16">
        <f t="shared" ca="1" si="15"/>
        <v>11413.120209432891</v>
      </c>
      <c r="Q116" s="17">
        <f t="shared" ca="1" si="16"/>
        <v>68995.923137887483</v>
      </c>
    </row>
    <row r="117" spans="1:17" x14ac:dyDescent="0.35">
      <c r="A117">
        <v>115</v>
      </c>
      <c r="B117" s="14">
        <f t="shared" ca="1" si="17"/>
        <v>49569</v>
      </c>
      <c r="C117" s="15">
        <f ca="1">(1+(('Symulacja Pożyczka'!$B$5+'Symulacja Pożyczka'!$C$18)/100)*('Arkusz1 (+0)'!B117-'Arkusz1 (+0)'!B116)/365)</f>
        <v>1.0021232876712329</v>
      </c>
      <c r="D117" s="15">
        <f ca="1">(1+(('Symulacja Pożyczka'!$B$5+'Symulacja Pożyczka'!$C$18)/100)*('Arkusz1 (+0)'!B117-'Arkusz1 (+0)'!B116)/366)</f>
        <v>1.0021174863387978</v>
      </c>
      <c r="E117" s="15">
        <f t="shared" ca="1" si="9"/>
        <v>0</v>
      </c>
      <c r="F117" s="15">
        <f t="shared" ca="1" si="10"/>
        <v>0</v>
      </c>
      <c r="G117">
        <f ca="1">IF(E117=1,(1+(('Symulacja Pożyczka'!$B$5+'Symulacja Pożyczka'!$C$18)/100)*(((Arkusz1!B117-DATE(YEAR(B117),1,1)+1)/365)+((DATE(YEAR(B116),12,31)-Arkusz1!B116)/366))),IF(F117=1,(1+(('Symulacja Pożyczka'!$B$5+'Symulacja Pożyczka'!$C$22)/100)*(((Arkusz1!B117-DATE(YEAR(B117),1,1)+1)/366)+((DATE(YEAR(B116),12,31)-Arkusz1!B116)/365))),0))</f>
        <v>0</v>
      </c>
      <c r="H117">
        <f t="shared" ca="1" si="11"/>
        <v>0</v>
      </c>
      <c r="I117">
        <f t="shared" ca="1" si="12"/>
        <v>1.0021232876712329</v>
      </c>
      <c r="J117">
        <f t="shared" ca="1" si="13"/>
        <v>1.0021232876712329</v>
      </c>
      <c r="K117">
        <f ca="1">PRODUCT($J$3:J117)</f>
        <v>1.2691941483316305</v>
      </c>
      <c r="L117">
        <f t="shared" ca="1" si="14"/>
        <v>0.78790152106713607</v>
      </c>
      <c r="M117">
        <f ca="1">SUM($L$3:L117)</f>
        <v>102.26732369128072</v>
      </c>
      <c r="O117">
        <f ca="1">(Q116*'Arkusz1 (+0)'!J117)-Q116</f>
        <v>146.49819296400528</v>
      </c>
      <c r="P117" s="16">
        <f t="shared" ca="1" si="15"/>
        <v>11437.353546863887</v>
      </c>
      <c r="Q117" s="17">
        <f t="shared" ca="1" si="16"/>
        <v>57558.569591023595</v>
      </c>
    </row>
    <row r="118" spans="1:17" x14ac:dyDescent="0.35">
      <c r="A118">
        <v>116</v>
      </c>
      <c r="B118" s="14">
        <f t="shared" ca="1" si="17"/>
        <v>49599</v>
      </c>
      <c r="C118" s="15">
        <f ca="1">(1+(('Symulacja Pożyczka'!$B$5+'Symulacja Pożyczka'!$C$18)/100)*('Arkusz1 (+0)'!B118-'Arkusz1 (+0)'!B117)/365)</f>
        <v>1.002054794520548</v>
      </c>
      <c r="D118" s="15">
        <f ca="1">(1+(('Symulacja Pożyczka'!$B$5+'Symulacja Pożyczka'!$C$18)/100)*('Arkusz1 (+0)'!B118-'Arkusz1 (+0)'!B117)/366)</f>
        <v>1.0020491803278688</v>
      </c>
      <c r="E118" s="15">
        <f t="shared" ca="1" si="9"/>
        <v>0</v>
      </c>
      <c r="F118" s="15">
        <f t="shared" ca="1" si="10"/>
        <v>0</v>
      </c>
      <c r="G118">
        <f ca="1">IF(E118=1,(1+(('Symulacja Pożyczka'!$B$5+'Symulacja Pożyczka'!$C$18)/100)*(((Arkusz1!B118-DATE(YEAR(B118),1,1)+1)/365)+((DATE(YEAR(B117),12,31)-Arkusz1!B117)/366))),IF(F118=1,(1+(('Symulacja Pożyczka'!$B$5+'Symulacja Pożyczka'!$C$22)/100)*(((Arkusz1!B118-DATE(YEAR(B118),1,1)+1)/366)+((DATE(YEAR(B117),12,31)-Arkusz1!B117)/365))),0))</f>
        <v>0</v>
      </c>
      <c r="H118">
        <f t="shared" ca="1" si="11"/>
        <v>0</v>
      </c>
      <c r="I118">
        <f t="shared" ca="1" si="12"/>
        <v>1.002054794520548</v>
      </c>
      <c r="J118">
        <f t="shared" ca="1" si="13"/>
        <v>1.002054794520548</v>
      </c>
      <c r="K118">
        <f ca="1">PRODUCT($J$3:J118)</f>
        <v>1.2718020815131339</v>
      </c>
      <c r="L118">
        <f t="shared" ca="1" si="14"/>
        <v>0.78628586517978039</v>
      </c>
      <c r="M118">
        <f ca="1">SUM($L$3:L118)</f>
        <v>103.0536095564605</v>
      </c>
      <c r="O118">
        <f ca="1">(Q117*'Arkusz1 (+0)'!J118)-Q117</f>
        <v>118.27103340621397</v>
      </c>
      <c r="P118" s="16">
        <f t="shared" ca="1" si="15"/>
        <v>11465.580706421679</v>
      </c>
      <c r="Q118" s="17">
        <f t="shared" ca="1" si="16"/>
        <v>46092.988884601917</v>
      </c>
    </row>
    <row r="119" spans="1:17" x14ac:dyDescent="0.35">
      <c r="A119">
        <v>117</v>
      </c>
      <c r="B119" s="14">
        <f t="shared" ca="1" si="17"/>
        <v>49630</v>
      </c>
      <c r="C119" s="15">
        <f ca="1">(1+(('Symulacja Pożyczka'!$B$5+'Symulacja Pożyczka'!$C$18)/100)*('Arkusz1 (+0)'!B119-'Arkusz1 (+0)'!B118)/365)</f>
        <v>1.0021232876712329</v>
      </c>
      <c r="D119" s="15">
        <f ca="1">(1+(('Symulacja Pożyczka'!$B$5+'Symulacja Pożyczka'!$C$18)/100)*('Arkusz1 (+0)'!B119-'Arkusz1 (+0)'!B118)/366)</f>
        <v>1.0021174863387978</v>
      </c>
      <c r="E119" s="15">
        <f t="shared" ca="1" si="9"/>
        <v>0</v>
      </c>
      <c r="F119" s="15">
        <f t="shared" ca="1" si="10"/>
        <v>0</v>
      </c>
      <c r="G119">
        <f ca="1">IF(E119=1,(1+(('Symulacja Pożyczka'!$B$5+'Symulacja Pożyczka'!$C$18)/100)*(((Arkusz1!B119-DATE(YEAR(B119),1,1)+1)/365)+((DATE(YEAR(B118),12,31)-Arkusz1!B118)/366))),IF(F119=1,(1+(('Symulacja Pożyczka'!$B$5+'Symulacja Pożyczka'!$C$22)/100)*(((Arkusz1!B119-DATE(YEAR(B119),1,1)+1)/366)+((DATE(YEAR(B118),12,31)-Arkusz1!B118)/365))),0))</f>
        <v>0</v>
      </c>
      <c r="H119">
        <f t="shared" ca="1" si="11"/>
        <v>0</v>
      </c>
      <c r="I119">
        <f t="shared" ca="1" si="12"/>
        <v>1.0021232876712329</v>
      </c>
      <c r="J119">
        <f t="shared" ca="1" si="13"/>
        <v>1.0021232876712329</v>
      </c>
      <c r="K119">
        <f ca="1">PRODUCT($J$3:J119)</f>
        <v>1.2745024831930591</v>
      </c>
      <c r="L119">
        <f t="shared" ca="1" si="14"/>
        <v>0.78461989143768651</v>
      </c>
      <c r="M119">
        <f ca="1">SUM($L$3:L119)</f>
        <v>103.83822944789819</v>
      </c>
      <c r="O119">
        <f ca="1">(Q118*'Arkusz1 (+0)'!J119)-Q118</f>
        <v>97.868675028948928</v>
      </c>
      <c r="P119" s="16">
        <f t="shared" ca="1" si="15"/>
        <v>11485.983064798944</v>
      </c>
      <c r="Q119" s="17">
        <f t="shared" ca="1" si="16"/>
        <v>34607.005819802973</v>
      </c>
    </row>
    <row r="120" spans="1:17" x14ac:dyDescent="0.35">
      <c r="A120">
        <v>118</v>
      </c>
      <c r="B120" s="14">
        <f t="shared" ca="1" si="17"/>
        <v>49660</v>
      </c>
      <c r="C120" s="15">
        <f ca="1">(1+(('Symulacja Pożyczka'!$B$5+'Symulacja Pożyczka'!$C$18)/100)*('Arkusz1 (+0)'!B120-'Arkusz1 (+0)'!B119)/365)</f>
        <v>1.002054794520548</v>
      </c>
      <c r="D120" s="15">
        <f ca="1">(1+(('Symulacja Pożyczka'!$B$5+'Symulacja Pożyczka'!$C$18)/100)*('Arkusz1 (+0)'!B120-'Arkusz1 (+0)'!B119)/366)</f>
        <v>1.0020491803278688</v>
      </c>
      <c r="E120" s="15">
        <f t="shared" ca="1" si="9"/>
        <v>0</v>
      </c>
      <c r="F120" s="15">
        <f t="shared" ca="1" si="10"/>
        <v>0</v>
      </c>
      <c r="G120">
        <f ca="1">IF(E120=1,(1+(('Symulacja Pożyczka'!$B$5+'Symulacja Pożyczka'!$C$18)/100)*(((Arkusz1!B120-DATE(YEAR(B120),1,1)+1)/365)+((DATE(YEAR(B119),12,31)-Arkusz1!B119)/366))),IF(F120=1,(1+(('Symulacja Pożyczka'!$B$5+'Symulacja Pożyczka'!$C$22)/100)*(((Arkusz1!B120-DATE(YEAR(B120),1,1)+1)/366)+((DATE(YEAR(B119),12,31)-Arkusz1!B119)/365))),0))</f>
        <v>0</v>
      </c>
      <c r="H120">
        <f t="shared" ca="1" si="11"/>
        <v>0</v>
      </c>
      <c r="I120">
        <f t="shared" ca="1" si="12"/>
        <v>1.002054794520548</v>
      </c>
      <c r="J120">
        <f t="shared" ca="1" si="13"/>
        <v>1.002054794520548</v>
      </c>
      <c r="K120">
        <f ca="1">PRODUCT($J$3:J120)</f>
        <v>1.277121323911949</v>
      </c>
      <c r="L120">
        <f t="shared" ca="1" si="14"/>
        <v>0.78301096479769128</v>
      </c>
      <c r="M120">
        <f ca="1">SUM($L$3:L120)</f>
        <v>104.62124041269588</v>
      </c>
      <c r="O120">
        <f ca="1">(Q119*'Arkusz1 (+0)'!J120)-Q119</f>
        <v>71.110285931106773</v>
      </c>
      <c r="P120" s="16">
        <f t="shared" ca="1" si="15"/>
        <v>11512.741453896786</v>
      </c>
      <c r="Q120" s="17">
        <f t="shared" ca="1" si="16"/>
        <v>23094.264365906187</v>
      </c>
    </row>
    <row r="121" spans="1:17" x14ac:dyDescent="0.35">
      <c r="A121">
        <v>119</v>
      </c>
      <c r="B121" s="14">
        <f t="shared" ca="1" si="17"/>
        <v>49691</v>
      </c>
      <c r="C121" s="15">
        <f ca="1">(1+(('Symulacja Pożyczka'!$B$5+'Symulacja Pożyczka'!$C$18)/100)*('Arkusz1 (+0)'!B121-'Arkusz1 (+0)'!B120)/365)</f>
        <v>1.0021232876712329</v>
      </c>
      <c r="D121" s="15">
        <f ca="1">(1+(('Symulacja Pożyczka'!$B$5+'Symulacja Pożyczka'!$C$18)/100)*('Arkusz1 (+0)'!B121-'Arkusz1 (+0)'!B120)/366)</f>
        <v>1.0021174863387978</v>
      </c>
      <c r="E121" s="15">
        <f t="shared" ca="1" si="9"/>
        <v>0</v>
      </c>
      <c r="F121" s="15">
        <f t="shared" ca="1" si="10"/>
        <v>1</v>
      </c>
      <c r="G121">
        <f ca="1">IF(E121=1,(1+(('Symulacja Pożyczka'!$B$5+'Symulacja Pożyczka'!$C$18)/100)*(((Arkusz1!B121-DATE(YEAR(B121),1,1)+1)/365)+((DATE(YEAR(B120),12,31)-Arkusz1!B120)/366))),IF(F121=1,(1+(('Symulacja Pożyczka'!$B$5+'Symulacja Pożyczka'!$C$22)/100)*(((Arkusz1!B121-DATE(YEAR(B121),1,1)+1)/366)+((DATE(YEAR(B120),12,31)-Arkusz1!B120)/365))),0))</f>
        <v>1.0021201062953813</v>
      </c>
      <c r="H121">
        <f t="shared" ca="1" si="11"/>
        <v>1</v>
      </c>
      <c r="I121">
        <f t="shared" ca="1" si="12"/>
        <v>1.0021174863387978</v>
      </c>
      <c r="J121">
        <f t="shared" ca="1" si="13"/>
        <v>1.0021201062953813</v>
      </c>
      <c r="K121">
        <f ca="1">PRODUCT($J$3:J121)</f>
        <v>1.2798289568707404</v>
      </c>
      <c r="L121">
        <f t="shared" ca="1" si="14"/>
        <v>0.78135441039329256</v>
      </c>
      <c r="M121">
        <f ca="1">SUM($L$3:L121)</f>
        <v>105.40259482308917</v>
      </c>
      <c r="O121">
        <f ca="1">(Q120*'Arkusz1 (+0)'!J121)-Q120</f>
        <v>48.962295269357128</v>
      </c>
      <c r="P121" s="16">
        <f t="shared" ca="1" si="15"/>
        <v>11534.889444558536</v>
      </c>
      <c r="Q121" s="17">
        <f t="shared" ca="1" si="16"/>
        <v>11559.374921347651</v>
      </c>
    </row>
    <row r="122" spans="1:17" x14ac:dyDescent="0.35">
      <c r="A122">
        <v>120</v>
      </c>
      <c r="B122" s="14">
        <f t="shared" ca="1" si="17"/>
        <v>49722</v>
      </c>
      <c r="C122" s="15">
        <f ca="1">(1+(('Symulacja Pożyczka'!$B$5+'Symulacja Pożyczka'!$C$18)/100)*('Arkusz1 (+0)'!B122-'Arkusz1 (+0)'!B121)/365)</f>
        <v>1.0021232876712329</v>
      </c>
      <c r="D122" s="15">
        <f ca="1">(1+(('Symulacja Pożyczka'!$B$5+'Symulacja Pożyczka'!$C$18)/100)*('Arkusz1 (+0)'!B122-'Arkusz1 (+0)'!B121)/366)</f>
        <v>1.0021174863387978</v>
      </c>
      <c r="E122" s="15">
        <f t="shared" ca="1" si="9"/>
        <v>0</v>
      </c>
      <c r="F122" s="15">
        <f t="shared" ca="1" si="10"/>
        <v>0</v>
      </c>
      <c r="G122">
        <f ca="1">IF(E122=1,(1+(('Symulacja Pożyczka'!$B$5+'Symulacja Pożyczka'!$C$18)/100)*(((Arkusz1!B122-DATE(YEAR(B122),1,1)+1)/365)+((DATE(YEAR(B121),12,31)-Arkusz1!B121)/366))),IF(F122=1,(1+(('Symulacja Pożyczka'!$B$5+'Symulacja Pożyczka'!$C$22)/100)*(((Arkusz1!B122-DATE(YEAR(B122),1,1)+1)/366)+((DATE(YEAR(B121),12,31)-Arkusz1!B121)/365))),0))</f>
        <v>0</v>
      </c>
      <c r="H122">
        <f t="shared" ca="1" si="11"/>
        <v>1</v>
      </c>
      <c r="I122">
        <f t="shared" ca="1" si="12"/>
        <v>1.0021174863387978</v>
      </c>
      <c r="J122">
        <f t="shared" ca="1" si="13"/>
        <v>1.0021174863387978</v>
      </c>
      <c r="K122">
        <f ca="1">PRODUCT($J$3:J122)</f>
        <v>1.2825389772029121</v>
      </c>
      <c r="L122">
        <f t="shared" ca="1" si="14"/>
        <v>0.77970339909738962</v>
      </c>
      <c r="M122">
        <f ca="1">SUM($L$3:L122)</f>
        <v>106.18229822218656</v>
      </c>
      <c r="O122">
        <f ca="1">(Q121*'Arkusz1 (+0)'!J122)-Q121</f>
        <v>24.476818480996371</v>
      </c>
      <c r="P122" s="16">
        <f t="shared" ca="1" si="15"/>
        <v>11559.374921346896</v>
      </c>
      <c r="Q122" s="17">
        <f t="shared" ca="1" si="16"/>
        <v>7.5488060247153044E-10</v>
      </c>
    </row>
    <row r="123" spans="1:17" x14ac:dyDescent="0.35">
      <c r="A123">
        <v>121</v>
      </c>
      <c r="B123" s="14">
        <f t="shared" ca="1" si="17"/>
        <v>49751</v>
      </c>
      <c r="C123" s="15">
        <f ca="1">(1+(('Symulacja Pożyczka'!$B$5+'Symulacja Pożyczka'!$C$18)/100)*('Arkusz1 (+0)'!B123-'Arkusz1 (+0)'!B122)/365)</f>
        <v>1.0019863013698631</v>
      </c>
      <c r="D123" s="15">
        <f ca="1">(1+(('Symulacja Pożyczka'!$B$5+'Symulacja Pożyczka'!$C$18)/100)*('Arkusz1 (+0)'!B123-'Arkusz1 (+0)'!B122)/366)</f>
        <v>1.0019808743169398</v>
      </c>
      <c r="E123" s="15">
        <f t="shared" ca="1" si="9"/>
        <v>0</v>
      </c>
      <c r="F123" s="15">
        <f t="shared" ca="1" si="10"/>
        <v>0</v>
      </c>
      <c r="G123">
        <f ca="1">IF(E123=1,(1+(('Symulacja Pożyczka'!$B$5+'Symulacja Pożyczka'!$C$18)/100)*(((Arkusz1!B123-DATE(YEAR(B123),1,1)+1)/365)+((DATE(YEAR(B122),12,31)-Arkusz1!B122)/366))),IF(F123=1,(1+(('Symulacja Pożyczka'!$B$5+'Symulacja Pożyczka'!$C$22)/100)*(((Arkusz1!B123-DATE(YEAR(B123),1,1)+1)/366)+((DATE(YEAR(B122),12,31)-Arkusz1!B122)/365))),0))</f>
        <v>0</v>
      </c>
      <c r="H123">
        <f t="shared" ca="1" si="11"/>
        <v>1</v>
      </c>
      <c r="I123">
        <f t="shared" ca="1" si="12"/>
        <v>1.0019808743169398</v>
      </c>
      <c r="J123">
        <f t="shared" ca="1" si="13"/>
        <v>1.0019808743169398</v>
      </c>
      <c r="K123">
        <f ca="1">PRODUCT($J$3:J123)</f>
        <v>1.2850795257233276</v>
      </c>
      <c r="L123">
        <f t="shared" ca="1" si="14"/>
        <v>0.77816195806024846</v>
      </c>
      <c r="M123">
        <f ca="1">SUM($L$3:L123)</f>
        <v>106.96046018024681</v>
      </c>
      <c r="O123">
        <f ca="1">(Q122*'Arkusz1 (+0)'!J123)-Q122</f>
        <v>1.4953235977919672E-12</v>
      </c>
      <c r="P123" s="16">
        <f t="shared" ca="1" si="15"/>
        <v>11583.851739827891</v>
      </c>
      <c r="Q123" s="17">
        <f t="shared" ca="1" si="16"/>
        <v>-11583.851739827136</v>
      </c>
    </row>
    <row r="124" spans="1:17" x14ac:dyDescent="0.35">
      <c r="A124">
        <v>122</v>
      </c>
      <c r="B124" s="14">
        <f t="shared" ca="1" si="17"/>
        <v>49782</v>
      </c>
      <c r="C124" s="15">
        <f ca="1">(1+(('Symulacja Pożyczka'!$B$5+'Symulacja Pożyczka'!$C$18)/100)*('Arkusz1 (+0)'!B124-'Arkusz1 (+0)'!B123)/365)</f>
        <v>1.0021232876712329</v>
      </c>
      <c r="D124" s="15">
        <f ca="1">(1+(('Symulacja Pożyczka'!$B$5+'Symulacja Pożyczka'!$C$18)/100)*('Arkusz1 (+0)'!B124-'Arkusz1 (+0)'!B123)/366)</f>
        <v>1.0021174863387978</v>
      </c>
      <c r="E124" s="15">
        <f t="shared" ca="1" si="9"/>
        <v>0</v>
      </c>
      <c r="F124" s="15">
        <f t="shared" ca="1" si="10"/>
        <v>0</v>
      </c>
      <c r="G124">
        <f ca="1">IF(E124=1,(1+(('Symulacja Pożyczka'!$B$5+'Symulacja Pożyczka'!$C$18)/100)*(((Arkusz1!B124-DATE(YEAR(B124),1,1)+1)/365)+((DATE(YEAR(B123),12,31)-Arkusz1!B123)/366))),IF(F124=1,(1+(('Symulacja Pożyczka'!$B$5+'Symulacja Pożyczka'!$C$22)/100)*(((Arkusz1!B124-DATE(YEAR(B124),1,1)+1)/366)+((DATE(YEAR(B123),12,31)-Arkusz1!B123)/365))),0))</f>
        <v>0</v>
      </c>
      <c r="H124">
        <f t="shared" ca="1" si="11"/>
        <v>1</v>
      </c>
      <c r="I124">
        <f t="shared" ca="1" si="12"/>
        <v>1.0021174863387978</v>
      </c>
      <c r="J124">
        <f t="shared" ca="1" si="13"/>
        <v>1.0021174863387978</v>
      </c>
      <c r="K124">
        <f ca="1">PRODUCT($J$3:J124)</f>
        <v>1.2878006640633155</v>
      </c>
      <c r="L124">
        <f t="shared" ca="1" si="14"/>
        <v>0.77651769245464097</v>
      </c>
      <c r="M124">
        <f ca="1">SUM($L$3:L124)</f>
        <v>107.73697787270146</v>
      </c>
      <c r="O124">
        <f ca="1">(Q123*'Arkusz1 (+0)'!J124)-Q123</f>
        <v>-24.528647809744143</v>
      </c>
      <c r="P124" s="16">
        <f t="shared" ca="1" si="15"/>
        <v>11608.380387637637</v>
      </c>
      <c r="Q124" s="17">
        <f t="shared" ca="1" si="16"/>
        <v>-23192.232127464773</v>
      </c>
    </row>
    <row r="125" spans="1:17" x14ac:dyDescent="0.35">
      <c r="A125">
        <v>123</v>
      </c>
      <c r="B125" s="14">
        <f t="shared" ca="1" si="17"/>
        <v>49812</v>
      </c>
      <c r="C125" s="15">
        <f ca="1">(1+(('Symulacja Pożyczka'!$B$5+'Symulacja Pożyczka'!$C$18)/100)*('Arkusz1 (+0)'!B125-'Arkusz1 (+0)'!B124)/365)</f>
        <v>1.002054794520548</v>
      </c>
      <c r="D125" s="15">
        <f ca="1">(1+(('Symulacja Pożyczka'!$B$5+'Symulacja Pożyczka'!$C$18)/100)*('Arkusz1 (+0)'!B125-'Arkusz1 (+0)'!B124)/366)</f>
        <v>1.0020491803278688</v>
      </c>
      <c r="E125" s="15">
        <f t="shared" ca="1" si="9"/>
        <v>0</v>
      </c>
      <c r="F125" s="15">
        <f t="shared" ca="1" si="10"/>
        <v>0</v>
      </c>
      <c r="G125">
        <f ca="1">IF(E125=1,(1+(('Symulacja Pożyczka'!$B$5+'Symulacja Pożyczka'!$C$18)/100)*(((Arkusz1!B125-DATE(YEAR(B125),1,1)+1)/365)+((DATE(YEAR(B124),12,31)-Arkusz1!B124)/366))),IF(F125=1,(1+(('Symulacja Pożyczka'!$B$5+'Symulacja Pożyczka'!$C$22)/100)*(((Arkusz1!B125-DATE(YEAR(B125),1,1)+1)/366)+((DATE(YEAR(B124),12,31)-Arkusz1!B124)/365))),0))</f>
        <v>0</v>
      </c>
      <c r="H125">
        <f t="shared" ca="1" si="11"/>
        <v>1</v>
      </c>
      <c r="I125">
        <f t="shared" ca="1" si="12"/>
        <v>1.0020491803278688</v>
      </c>
      <c r="J125">
        <f t="shared" ca="1" si="13"/>
        <v>1.0020491803278688</v>
      </c>
      <c r="K125">
        <f ca="1">PRODUCT($J$3:J125)</f>
        <v>1.2904395998503304</v>
      </c>
      <c r="L125">
        <f t="shared" ca="1" si="14"/>
        <v>0.774929721713425</v>
      </c>
      <c r="M125">
        <f ca="1">SUM($L$3:L125)</f>
        <v>108.51190759441488</v>
      </c>
      <c r="O125">
        <f ca="1">(Q124*'Arkusz1 (+0)'!J125)-Q124</f>
        <v>-47.5250658349687</v>
      </c>
      <c r="P125" s="16">
        <f t="shared" ca="1" si="15"/>
        <v>11631.376805662861</v>
      </c>
      <c r="Q125" s="17">
        <f t="shared" ca="1" si="16"/>
        <v>-34823.608933127631</v>
      </c>
    </row>
    <row r="126" spans="1:17" x14ac:dyDescent="0.35">
      <c r="A126">
        <v>124</v>
      </c>
      <c r="B126" s="14">
        <f t="shared" ca="1" si="17"/>
        <v>49843</v>
      </c>
      <c r="C126" s="15">
        <f ca="1">(1+(('Symulacja Pożyczka'!$B$5+'Symulacja Pożyczka'!$C$18)/100)*('Arkusz1 (+0)'!B126-'Arkusz1 (+0)'!B125)/365)</f>
        <v>1.0021232876712329</v>
      </c>
      <c r="D126" s="15">
        <f ca="1">(1+(('Symulacja Pożyczka'!$B$5+'Symulacja Pożyczka'!$C$18)/100)*('Arkusz1 (+0)'!B126-'Arkusz1 (+0)'!B125)/366)</f>
        <v>1.0021174863387978</v>
      </c>
      <c r="E126" s="15">
        <f t="shared" ca="1" si="9"/>
        <v>0</v>
      </c>
      <c r="F126" s="15">
        <f t="shared" ca="1" si="10"/>
        <v>0</v>
      </c>
      <c r="G126">
        <f ca="1">IF(E126=1,(1+(('Symulacja Pożyczka'!$B$5+'Symulacja Pożyczka'!$C$18)/100)*(((Arkusz1!B126-DATE(YEAR(B126),1,1)+1)/365)+((DATE(YEAR(B125),12,31)-Arkusz1!B125)/366))),IF(F126=1,(1+(('Symulacja Pożyczka'!$B$5+'Symulacja Pożyczka'!$C$22)/100)*(((Arkusz1!B126-DATE(YEAR(B126),1,1)+1)/366)+((DATE(YEAR(B125),12,31)-Arkusz1!B125)/365))),0))</f>
        <v>0</v>
      </c>
      <c r="H126">
        <f t="shared" ca="1" si="11"/>
        <v>1</v>
      </c>
      <c r="I126">
        <f t="shared" ca="1" si="12"/>
        <v>1.0021174863387978</v>
      </c>
      <c r="J126">
        <f t="shared" ca="1" si="13"/>
        <v>1.0021174863387978</v>
      </c>
      <c r="K126">
        <f ca="1">PRODUCT($J$3:J126)</f>
        <v>1.2931720880740571</v>
      </c>
      <c r="L126">
        <f t="shared" ca="1" si="14"/>
        <v>0.77329228586221399</v>
      </c>
      <c r="M126">
        <f ca="1">SUM($L$3:L126)</f>
        <v>109.28519988027709</v>
      </c>
      <c r="O126">
        <f ca="1">(Q125*'Arkusz1 (+0)'!J126)-Q125</f>
        <v>-73.738516183533648</v>
      </c>
      <c r="P126" s="16">
        <f t="shared" ca="1" si="15"/>
        <v>11657.590256011426</v>
      </c>
      <c r="Q126" s="17">
        <f t="shared" ca="1" si="16"/>
        <v>-46481.199189139057</v>
      </c>
    </row>
    <row r="127" spans="1:17" x14ac:dyDescent="0.35">
      <c r="A127">
        <v>125</v>
      </c>
      <c r="B127" s="14">
        <f t="shared" ca="1" si="17"/>
        <v>49873</v>
      </c>
      <c r="C127" s="15">
        <f ca="1">(1+(('Symulacja Pożyczka'!$B$5+'Symulacja Pożyczka'!$C$18)/100)*('Arkusz1 (+0)'!B127-'Arkusz1 (+0)'!B126)/365)</f>
        <v>1.002054794520548</v>
      </c>
      <c r="D127" s="15">
        <f ca="1">(1+(('Symulacja Pożyczka'!$B$5+'Symulacja Pożyczka'!$C$18)/100)*('Arkusz1 (+0)'!B127-'Arkusz1 (+0)'!B126)/366)</f>
        <v>1.0020491803278688</v>
      </c>
      <c r="E127" s="15">
        <f t="shared" ca="1" si="9"/>
        <v>0</v>
      </c>
      <c r="F127" s="15">
        <f t="shared" ca="1" si="10"/>
        <v>0</v>
      </c>
      <c r="G127">
        <f ca="1">IF(E127=1,(1+(('Symulacja Pożyczka'!$B$5+'Symulacja Pożyczka'!$C$18)/100)*(((Arkusz1!B127-DATE(YEAR(B127),1,1)+1)/365)+((DATE(YEAR(B126),12,31)-Arkusz1!B126)/366))),IF(F127=1,(1+(('Symulacja Pożyczka'!$B$5+'Symulacja Pożyczka'!$C$22)/100)*(((Arkusz1!B127-DATE(YEAR(B127),1,1)+1)/366)+((DATE(YEAR(B126),12,31)-Arkusz1!B126)/365))),0))</f>
        <v>0</v>
      </c>
      <c r="H127">
        <f t="shared" ca="1" si="11"/>
        <v>1</v>
      </c>
      <c r="I127">
        <f t="shared" ca="1" si="12"/>
        <v>1.0020491803278688</v>
      </c>
      <c r="J127">
        <f t="shared" ca="1" si="13"/>
        <v>1.0020491803278688</v>
      </c>
      <c r="K127">
        <f ca="1">PRODUCT($J$3:J127)</f>
        <v>1.2958220308774875</v>
      </c>
      <c r="L127">
        <f t="shared" ca="1" si="14"/>
        <v>0.77171091104449996</v>
      </c>
      <c r="M127">
        <f ca="1">SUM($L$3:L127)</f>
        <v>110.05691079132158</v>
      </c>
      <c r="O127">
        <f ca="1">(Q126*'Arkusz1 (+0)'!J127)-Q126</f>
        <v>-95.248358994133014</v>
      </c>
      <c r="P127" s="16">
        <f t="shared" ca="1" si="15"/>
        <v>11679.100098822026</v>
      </c>
      <c r="Q127" s="17">
        <f t="shared" ca="1" si="16"/>
        <v>-58160.299287961083</v>
      </c>
    </row>
    <row r="128" spans="1:17" x14ac:dyDescent="0.35">
      <c r="A128">
        <v>126</v>
      </c>
      <c r="B128" s="14">
        <f t="shared" ca="1" si="17"/>
        <v>49904</v>
      </c>
      <c r="C128" s="15">
        <f ca="1">(1+(('Symulacja Pożyczka'!$B$5+'Symulacja Pożyczka'!$C$18)/100)*('Arkusz1 (+0)'!B128-'Arkusz1 (+0)'!B127)/365)</f>
        <v>1.0021232876712329</v>
      </c>
      <c r="D128" s="15">
        <f ca="1">(1+(('Symulacja Pożyczka'!$B$5+'Symulacja Pożyczka'!$C$18)/100)*('Arkusz1 (+0)'!B128-'Arkusz1 (+0)'!B127)/366)</f>
        <v>1.0021174863387978</v>
      </c>
      <c r="E128" s="15">
        <f t="shared" ca="1" si="9"/>
        <v>0</v>
      </c>
      <c r="F128" s="15">
        <f t="shared" ca="1" si="10"/>
        <v>0</v>
      </c>
      <c r="G128">
        <f ca="1">IF(E128=1,(1+(('Symulacja Pożyczka'!$B$5+'Symulacja Pożyczka'!$C$18)/100)*(((Arkusz1!B128-DATE(YEAR(B128),1,1)+1)/365)+((DATE(YEAR(B127),12,31)-Arkusz1!B127)/366))),IF(F128=1,(1+(('Symulacja Pożyczka'!$B$5+'Symulacja Pożyczka'!$C$22)/100)*(((Arkusz1!B128-DATE(YEAR(B128),1,1)+1)/366)+((DATE(YEAR(B127),12,31)-Arkusz1!B127)/365))),0))</f>
        <v>0</v>
      </c>
      <c r="H128">
        <f t="shared" ca="1" si="11"/>
        <v>1</v>
      </c>
      <c r="I128">
        <f t="shared" ca="1" si="12"/>
        <v>1.0021174863387978</v>
      </c>
      <c r="J128">
        <f t="shared" ca="1" si="13"/>
        <v>1.0021174863387978</v>
      </c>
      <c r="K128">
        <f ca="1">PRODUCT($J$3:J128)</f>
        <v>1.2985659163253838</v>
      </c>
      <c r="L128">
        <f t="shared" ca="1" si="14"/>
        <v>0.77008027657906619</v>
      </c>
      <c r="M128">
        <f ca="1">SUM($L$3:L128)</f>
        <v>110.82699106790065</v>
      </c>
      <c r="O128">
        <f ca="1">(Q127*'Arkusz1 (+0)'!J128)-Q127</f>
        <v>-123.15363920265372</v>
      </c>
      <c r="P128" s="16">
        <f t="shared" ca="1" si="15"/>
        <v>11707.005379030546</v>
      </c>
      <c r="Q128" s="17">
        <f t="shared" ca="1" si="16"/>
        <v>-69867.304666991637</v>
      </c>
    </row>
    <row r="129" spans="1:17" x14ac:dyDescent="0.35">
      <c r="A129">
        <v>127</v>
      </c>
      <c r="B129" s="14">
        <f t="shared" ca="1" si="17"/>
        <v>49935</v>
      </c>
      <c r="C129" s="15">
        <f ca="1">(1+(('Symulacja Pożyczka'!$B$5+'Symulacja Pożyczka'!$C$18)/100)*('Arkusz1 (+0)'!B129-'Arkusz1 (+0)'!B128)/365)</f>
        <v>1.0021232876712329</v>
      </c>
      <c r="D129" s="15">
        <f ca="1">(1+(('Symulacja Pożyczka'!$B$5+'Symulacja Pożyczka'!$C$18)/100)*('Arkusz1 (+0)'!B129-'Arkusz1 (+0)'!B128)/366)</f>
        <v>1.0021174863387978</v>
      </c>
      <c r="E129" s="15">
        <f t="shared" ca="1" si="9"/>
        <v>0</v>
      </c>
      <c r="F129" s="15">
        <f t="shared" ca="1" si="10"/>
        <v>0</v>
      </c>
      <c r="G129">
        <f ca="1">IF(E129=1,(1+(('Symulacja Pożyczka'!$B$5+'Symulacja Pożyczka'!$C$18)/100)*(((Arkusz1!B129-DATE(YEAR(B129),1,1)+1)/365)+((DATE(YEAR(B128),12,31)-Arkusz1!B128)/366))),IF(F129=1,(1+(('Symulacja Pożyczka'!$B$5+'Symulacja Pożyczka'!$C$22)/100)*(((Arkusz1!B129-DATE(YEAR(B129),1,1)+1)/366)+((DATE(YEAR(B128),12,31)-Arkusz1!B128)/365))),0))</f>
        <v>0</v>
      </c>
      <c r="H129">
        <f t="shared" ca="1" si="11"/>
        <v>1</v>
      </c>
      <c r="I129">
        <f t="shared" ca="1" si="12"/>
        <v>1.0021174863387978</v>
      </c>
      <c r="J129">
        <f t="shared" ca="1" si="13"/>
        <v>1.0021174863387978</v>
      </c>
      <c r="K129">
        <f ca="1">PRODUCT($J$3:J129)</f>
        <v>1.3013156119132312</v>
      </c>
      <c r="L129">
        <f t="shared" ca="1" si="14"/>
        <v>0.76845308766393083</v>
      </c>
      <c r="M129">
        <f ca="1">SUM($L$3:L129)</f>
        <v>111.59544415556458</v>
      </c>
      <c r="O129">
        <f ca="1">(Q128*'Arkusz1 (+0)'!J129)-Q128</f>
        <v>-147.94306316098664</v>
      </c>
      <c r="P129" s="16">
        <f t="shared" ca="1" si="15"/>
        <v>11731.794802988879</v>
      </c>
      <c r="Q129" s="17">
        <f t="shared" ca="1" si="16"/>
        <v>-81599.099469980516</v>
      </c>
    </row>
    <row r="130" spans="1:17" x14ac:dyDescent="0.35">
      <c r="A130">
        <v>128</v>
      </c>
      <c r="B130" s="14">
        <f t="shared" ca="1" si="17"/>
        <v>49965</v>
      </c>
      <c r="C130" s="15">
        <f ca="1">(1+(('Symulacja Pożyczka'!$B$5+'Symulacja Pożyczka'!$C$18)/100)*('Arkusz1 (+0)'!B130-'Arkusz1 (+0)'!B129)/365)</f>
        <v>1.002054794520548</v>
      </c>
      <c r="D130" s="15">
        <f ca="1">(1+(('Symulacja Pożyczka'!$B$5+'Symulacja Pożyczka'!$C$18)/100)*('Arkusz1 (+0)'!B130-'Arkusz1 (+0)'!B129)/366)</f>
        <v>1.0020491803278688</v>
      </c>
      <c r="E130" s="15">
        <f t="shared" ca="1" si="9"/>
        <v>0</v>
      </c>
      <c r="F130" s="15">
        <f t="shared" ca="1" si="10"/>
        <v>0</v>
      </c>
      <c r="G130">
        <f ca="1">IF(E130=1,(1+(('Symulacja Pożyczka'!$B$5+'Symulacja Pożyczka'!$C$18)/100)*(((Arkusz1!B130-DATE(YEAR(B130),1,1)+1)/365)+((DATE(YEAR(B129),12,31)-Arkusz1!B129)/366))),IF(F130=1,(1+(('Symulacja Pożyczka'!$B$5+'Symulacja Pożyczka'!$C$22)/100)*(((Arkusz1!B130-DATE(YEAR(B130),1,1)+1)/366)+((DATE(YEAR(B129),12,31)-Arkusz1!B129)/365))),0))</f>
        <v>0</v>
      </c>
      <c r="H130">
        <f t="shared" ca="1" si="11"/>
        <v>1</v>
      </c>
      <c r="I130">
        <f t="shared" ca="1" si="12"/>
        <v>1.0020491803278688</v>
      </c>
      <c r="J130">
        <f t="shared" ca="1" si="13"/>
        <v>1.0020491803278688</v>
      </c>
      <c r="K130">
        <f ca="1">PRODUCT($J$3:J130)</f>
        <v>1.3039822422655123</v>
      </c>
      <c r="L130">
        <f t="shared" ca="1" si="14"/>
        <v>0.76688160895705171</v>
      </c>
      <c r="M130">
        <f ca="1">SUM($L$3:L130)</f>
        <v>112.36232576452163</v>
      </c>
      <c r="O130">
        <f ca="1">(Q129*'Arkusz1 (+0)'!J130)-Q129</f>
        <v>-167.21126940569957</v>
      </c>
      <c r="P130" s="16">
        <f t="shared" ca="1" si="15"/>
        <v>11751.063009233592</v>
      </c>
      <c r="Q130" s="17">
        <f t="shared" ca="1" si="16"/>
        <v>-93350.162479214108</v>
      </c>
    </row>
    <row r="131" spans="1:17" x14ac:dyDescent="0.35">
      <c r="A131">
        <v>129</v>
      </c>
      <c r="B131" s="14">
        <f t="shared" ca="1" si="17"/>
        <v>49996</v>
      </c>
      <c r="C131" s="15">
        <f ca="1">(1+(('Symulacja Pożyczka'!$B$5+'Symulacja Pożyczka'!$C$18)/100)*('Arkusz1 (+0)'!B131-'Arkusz1 (+0)'!B130)/365)</f>
        <v>1.0021232876712329</v>
      </c>
      <c r="D131" s="15">
        <f ca="1">(1+(('Symulacja Pożyczka'!$B$5+'Symulacja Pożyczka'!$C$18)/100)*('Arkusz1 (+0)'!B131-'Arkusz1 (+0)'!B130)/366)</f>
        <v>1.0021174863387978</v>
      </c>
      <c r="E131" s="15">
        <f t="shared" ca="1" si="9"/>
        <v>0</v>
      </c>
      <c r="F131" s="15">
        <f t="shared" ca="1" si="10"/>
        <v>0</v>
      </c>
      <c r="G131">
        <f ca="1">IF(E131=1,(1+(('Symulacja Pożyczka'!$B$5+'Symulacja Pożyczka'!$C$18)/100)*(((Arkusz1!B131-DATE(YEAR(B131),1,1)+1)/365)+((DATE(YEAR(B130),12,31)-Arkusz1!B130)/366))),IF(F131=1,(1+(('Symulacja Pożyczka'!$B$5+'Symulacja Pożyczka'!$C$22)/100)*(((Arkusz1!B131-DATE(YEAR(B131),1,1)+1)/366)+((DATE(YEAR(B130),12,31)-Arkusz1!B130)/365))),0))</f>
        <v>0</v>
      </c>
      <c r="H131">
        <f t="shared" ca="1" si="11"/>
        <v>1</v>
      </c>
      <c r="I131">
        <f t="shared" ca="1" si="12"/>
        <v>1.0021174863387978</v>
      </c>
      <c r="J131">
        <f t="shared" ca="1" si="13"/>
        <v>1.0021174863387978</v>
      </c>
      <c r="K131">
        <f ca="1">PRODUCT($J$3:J131)</f>
        <v>1.3067434068495445</v>
      </c>
      <c r="L131">
        <f t="shared" ca="1" si="14"/>
        <v>0.76526117886519229</v>
      </c>
      <c r="M131">
        <f ca="1">SUM($L$3:L131)</f>
        <v>113.12758694338682</v>
      </c>
      <c r="O131">
        <f ca="1">(Q130*'Arkusz1 (+0)'!J131)-Q130</f>
        <v>-197.66769377428864</v>
      </c>
      <c r="P131" s="16">
        <f t="shared" ca="1" si="15"/>
        <v>11781.519433602181</v>
      </c>
      <c r="Q131" s="17">
        <f t="shared" ca="1" si="16"/>
        <v>-105131.68191281629</v>
      </c>
    </row>
    <row r="132" spans="1:17" x14ac:dyDescent="0.35">
      <c r="A132">
        <v>130</v>
      </c>
      <c r="B132" s="14">
        <f t="shared" ca="1" si="17"/>
        <v>50026</v>
      </c>
      <c r="C132" s="15">
        <f ca="1">(1+(('Symulacja Pożyczka'!$B$5+'Symulacja Pożyczka'!$C$18)/100)*('Arkusz1 (+0)'!B132-'Arkusz1 (+0)'!B131)/365)</f>
        <v>1.002054794520548</v>
      </c>
      <c r="D132" s="15">
        <f ca="1">(1+(('Symulacja Pożyczka'!$B$5+'Symulacja Pożyczka'!$C$18)/100)*('Arkusz1 (+0)'!B132-'Arkusz1 (+0)'!B131)/366)</f>
        <v>1.0020491803278688</v>
      </c>
      <c r="E132" s="15">
        <f t="shared" ref="E132:E182" ca="1" si="18">IF(AND(MOD(YEAR(B131),4)=0,MOD(YEAR(B132),4)&lt;&gt;0),1,0)</f>
        <v>0</v>
      </c>
      <c r="F132" s="15">
        <f t="shared" ref="F132:F182" ca="1" si="19">IF(AND(MOD(YEAR(B132),4)=0,MOD(YEAR(B131),4)&lt;&gt;0),1,0)</f>
        <v>0</v>
      </c>
      <c r="G132">
        <f ca="1">IF(E132=1,(1+(('Symulacja Pożyczka'!$B$5+'Symulacja Pożyczka'!$C$18)/100)*(((Arkusz1!B132-DATE(YEAR(B132),1,1)+1)/365)+((DATE(YEAR(B131),12,31)-Arkusz1!B131)/366))),IF(F132=1,(1+(('Symulacja Pożyczka'!$B$5+'Symulacja Pożyczka'!$C$22)/100)*(((Arkusz1!B132-DATE(YEAR(B132),1,1)+1)/366)+((DATE(YEAR(B131),12,31)-Arkusz1!B131)/365))),0))</f>
        <v>0</v>
      </c>
      <c r="H132">
        <f t="shared" ref="H132:H182" ca="1" si="20">IF(MOD(YEAR(B132),4)=0,1,0)</f>
        <v>1</v>
      </c>
      <c r="I132">
        <f t="shared" ref="I132:I182" ca="1" si="21">IF(H132=0,C132,IF(H132=1,D132,"blad"))</f>
        <v>1.0020491803278688</v>
      </c>
      <c r="J132">
        <f t="shared" ref="J132:J182" ca="1" si="22">IF(OR(E132=1,F132=1),G132,I132)</f>
        <v>1.0020491803278688</v>
      </c>
      <c r="K132">
        <f ca="1">PRODUCT($J$3:J132)</f>
        <v>1.3094211597324328</v>
      </c>
      <c r="L132">
        <f t="shared" ref="L132:L182" ca="1" si="23">1/K132</f>
        <v>0.76369622757916944</v>
      </c>
      <c r="M132">
        <f ca="1">SUM($L$3:L132)</f>
        <v>113.89128317096599</v>
      </c>
      <c r="O132">
        <f ca="1">(Q131*'Arkusz1 (+0)'!J132)-Q131</f>
        <v>-215.43377441150369</v>
      </c>
      <c r="P132" s="16">
        <f t="shared" ca="1" si="15"/>
        <v>11799.285514239396</v>
      </c>
      <c r="Q132" s="17">
        <f t="shared" ca="1" si="16"/>
        <v>-116930.96742705569</v>
      </c>
    </row>
    <row r="133" spans="1:17" x14ac:dyDescent="0.35">
      <c r="A133">
        <v>131</v>
      </c>
      <c r="B133" s="14">
        <f t="shared" ca="1" si="17"/>
        <v>50057</v>
      </c>
      <c r="C133" s="15">
        <f ca="1">(1+(('Symulacja Pożyczka'!$B$5+'Symulacja Pożyczka'!$C$18)/100)*('Arkusz1 (+0)'!B133-'Arkusz1 (+0)'!B132)/365)</f>
        <v>1.0021232876712329</v>
      </c>
      <c r="D133" s="15">
        <f ca="1">(1+(('Symulacja Pożyczka'!$B$5+'Symulacja Pożyczka'!$C$18)/100)*('Arkusz1 (+0)'!B133-'Arkusz1 (+0)'!B132)/366)</f>
        <v>1.0021174863387978</v>
      </c>
      <c r="E133" s="15">
        <f t="shared" ca="1" si="18"/>
        <v>1</v>
      </c>
      <c r="F133" s="15">
        <f t="shared" ca="1" si="19"/>
        <v>0</v>
      </c>
      <c r="G133">
        <f ca="1">IF(E133=1,(1+(('Symulacja Pożyczka'!$B$5+'Symulacja Pożyczka'!$C$18)/100)*(((Arkusz1!B133-DATE(YEAR(B133),1,1)+1)/365)+((DATE(YEAR(B132),12,31)-Arkusz1!B132)/366))),IF(F133=1,(1+(('Symulacja Pożyczka'!$B$5+'Symulacja Pożyczka'!$C$22)/100)*(((Arkusz1!B133-DATE(YEAR(B133),1,1)+1)/366)+((DATE(YEAR(B132),12,31)-Arkusz1!B132)/365))),0))</f>
        <v>1.0021206677146492</v>
      </c>
      <c r="H133">
        <f t="shared" ca="1" si="20"/>
        <v>0</v>
      </c>
      <c r="I133">
        <f t="shared" ca="1" si="21"/>
        <v>1.0021232876712329</v>
      </c>
      <c r="J133">
        <f t="shared" ca="1" si="22"/>
        <v>1.0021206677146492</v>
      </c>
      <c r="K133">
        <f ca="1">PRODUCT($J$3:J133)</f>
        <v>1.3121980069107559</v>
      </c>
      <c r="L133">
        <f t="shared" ca="1" si="23"/>
        <v>0.76208010889625677</v>
      </c>
      <c r="M133">
        <f ca="1">SUM($L$3:L133)</f>
        <v>114.65336327986225</v>
      </c>
      <c r="O133">
        <f ca="1">(Q132*'Arkusz1 (+0)'!J133)-Q132</f>
        <v>-247.97172746526485</v>
      </c>
      <c r="P133" s="16">
        <f t="shared" ref="P133:P182" ca="1" si="24">$N$2-O133</f>
        <v>11831.823467293158</v>
      </c>
      <c r="Q133" s="17">
        <f t="shared" ref="Q133:Q182" ca="1" si="25">Q132-P133</f>
        <v>-128762.79089434884</v>
      </c>
    </row>
    <row r="134" spans="1:17" x14ac:dyDescent="0.35">
      <c r="A134">
        <v>132</v>
      </c>
      <c r="B134" s="14">
        <f t="shared" ref="B134:B182" ca="1" si="26">DATE(YEAR((B133)),MONTH((B133))+1,IF(AND(DAY(B133)&gt;28,MONTH((B133))+1=2),IF(MOD(YEAR(B133),4)=0,29,28),IF(AND(OR(DAY(B133)=28,DAY(B133)=29),MONTH((B133))=2),DAY(B132),DAY(B133))))</f>
        <v>50088</v>
      </c>
      <c r="C134" s="15">
        <f ca="1">(1+(('Symulacja Pożyczka'!$B$5+'Symulacja Pożyczka'!$C$18)/100)*('Arkusz1 (+0)'!B134-'Arkusz1 (+0)'!B133)/365)</f>
        <v>1.0021232876712329</v>
      </c>
      <c r="D134" s="15">
        <f ca="1">(1+(('Symulacja Pożyczka'!$B$5+'Symulacja Pożyczka'!$C$18)/100)*('Arkusz1 (+0)'!B134-'Arkusz1 (+0)'!B133)/366)</f>
        <v>1.0021174863387978</v>
      </c>
      <c r="E134" s="15">
        <f t="shared" ca="1" si="18"/>
        <v>0</v>
      </c>
      <c r="F134" s="15">
        <f t="shared" ca="1" si="19"/>
        <v>0</v>
      </c>
      <c r="G134">
        <f ca="1">IF(E134=1,(1+(('Symulacja Pożyczka'!$B$5+'Symulacja Pożyczka'!$C$18)/100)*(((Arkusz1!B134-DATE(YEAR(B134),1,1)+1)/365)+((DATE(YEAR(B133),12,31)-Arkusz1!B133)/366))),IF(F134=1,(1+(('Symulacja Pożyczka'!$B$5+'Symulacja Pożyczka'!$C$22)/100)*(((Arkusz1!B134-DATE(YEAR(B134),1,1)+1)/366)+((DATE(YEAR(B133),12,31)-Arkusz1!B133)/365))),0))</f>
        <v>0</v>
      </c>
      <c r="H134">
        <f t="shared" ca="1" si="20"/>
        <v>0</v>
      </c>
      <c r="I134">
        <f t="shared" ca="1" si="21"/>
        <v>1.0021232876712329</v>
      </c>
      <c r="J134">
        <f t="shared" ca="1" si="22"/>
        <v>1.0021232876712329</v>
      </c>
      <c r="K134">
        <f ca="1">PRODUCT($J$3:J134)</f>
        <v>1.3149841807610461</v>
      </c>
      <c r="L134">
        <f t="shared" ca="1" si="23"/>
        <v>0.76046542204123757</v>
      </c>
      <c r="M134">
        <f ca="1">SUM($L$3:L134)</f>
        <v>115.41382870190348</v>
      </c>
      <c r="O134">
        <f ca="1">(Q133*'Arkusz1 (+0)'!J134)-Q133</f>
        <v>-273.40044641951681</v>
      </c>
      <c r="P134" s="16">
        <f t="shared" ca="1" si="24"/>
        <v>11857.25218624741</v>
      </c>
      <c r="Q134" s="17">
        <f t="shared" ca="1" si="25"/>
        <v>-140620.04308059625</v>
      </c>
    </row>
    <row r="135" spans="1:17" x14ac:dyDescent="0.35">
      <c r="A135">
        <v>133</v>
      </c>
      <c r="B135" s="14">
        <f t="shared" ca="1" si="26"/>
        <v>50116</v>
      </c>
      <c r="C135" s="15">
        <f ca="1">(1+(('Symulacja Pożyczka'!$B$5+'Symulacja Pożyczka'!$C$18)/100)*('Arkusz1 (+0)'!B135-'Arkusz1 (+0)'!B134)/365)</f>
        <v>1.001917808219178</v>
      </c>
      <c r="D135" s="15">
        <f ca="1">(1+(('Symulacja Pożyczka'!$B$5+'Symulacja Pożyczka'!$C$18)/100)*('Arkusz1 (+0)'!B135-'Arkusz1 (+0)'!B134)/366)</f>
        <v>1.0019125683060108</v>
      </c>
      <c r="E135" s="15">
        <f t="shared" ca="1" si="18"/>
        <v>0</v>
      </c>
      <c r="F135" s="15">
        <f t="shared" ca="1" si="19"/>
        <v>0</v>
      </c>
      <c r="G135">
        <f ca="1">IF(E135=1,(1+(('Symulacja Pożyczka'!$B$5+'Symulacja Pożyczka'!$C$18)/100)*(((Arkusz1!B135-DATE(YEAR(B135),1,1)+1)/365)+((DATE(YEAR(B134),12,31)-Arkusz1!B134)/366))),IF(F135=1,(1+(('Symulacja Pożyczka'!$B$5+'Symulacja Pożyczka'!$C$22)/100)*(((Arkusz1!B135-DATE(YEAR(B135),1,1)+1)/366)+((DATE(YEAR(B134),12,31)-Arkusz1!B134)/365))),0))</f>
        <v>0</v>
      </c>
      <c r="H135">
        <f t="shared" ca="1" si="20"/>
        <v>0</v>
      </c>
      <c r="I135">
        <f t="shared" ca="1" si="21"/>
        <v>1.001917808219178</v>
      </c>
      <c r="J135">
        <f t="shared" ca="1" si="22"/>
        <v>1.001917808219178</v>
      </c>
      <c r="K135">
        <f ca="1">PRODUCT($J$3:J135)</f>
        <v>1.3175060682309987</v>
      </c>
      <c r="L135">
        <f t="shared" ca="1" si="23"/>
        <v>0.75900978683361153</v>
      </c>
      <c r="M135">
        <f ca="1">SUM($L$3:L135)</f>
        <v>116.1728384887371</v>
      </c>
      <c r="O135">
        <f ca="1">(Q134*'Arkusz1 (+0)'!J135)-Q134</f>
        <v>-269.68227440112969</v>
      </c>
      <c r="P135" s="16">
        <f t="shared" ca="1" si="24"/>
        <v>11853.534014229022</v>
      </c>
      <c r="Q135" s="17">
        <f t="shared" ca="1" si="25"/>
        <v>-152473.57709482528</v>
      </c>
    </row>
    <row r="136" spans="1:17" x14ac:dyDescent="0.35">
      <c r="A136">
        <v>134</v>
      </c>
      <c r="B136" s="14">
        <f t="shared" ca="1" si="26"/>
        <v>50147</v>
      </c>
      <c r="C136" s="15">
        <f ca="1">(1+(('Symulacja Pożyczka'!$B$5+'Symulacja Pożyczka'!$C$18)/100)*('Arkusz1 (+0)'!B136-'Arkusz1 (+0)'!B135)/365)</f>
        <v>1.0021232876712329</v>
      </c>
      <c r="D136" s="15">
        <f ca="1">(1+(('Symulacja Pożyczka'!$B$5+'Symulacja Pożyczka'!$C$18)/100)*('Arkusz1 (+0)'!B136-'Arkusz1 (+0)'!B135)/366)</f>
        <v>1.0021174863387978</v>
      </c>
      <c r="E136" s="15">
        <f t="shared" ca="1" si="18"/>
        <v>0</v>
      </c>
      <c r="F136" s="15">
        <f t="shared" ca="1" si="19"/>
        <v>0</v>
      </c>
      <c r="G136">
        <f ca="1">IF(E136=1,(1+(('Symulacja Pożyczka'!$B$5+'Symulacja Pożyczka'!$C$18)/100)*(((Arkusz1!B136-DATE(YEAR(B136),1,1)+1)/365)+((DATE(YEAR(B135),12,31)-Arkusz1!B135)/366))),IF(F136=1,(1+(('Symulacja Pożyczka'!$B$5+'Symulacja Pożyczka'!$C$22)/100)*(((Arkusz1!B136-DATE(YEAR(B136),1,1)+1)/366)+((DATE(YEAR(B135),12,31)-Arkusz1!B135)/365))),0))</f>
        <v>0</v>
      </c>
      <c r="H136">
        <f t="shared" ca="1" si="20"/>
        <v>0</v>
      </c>
      <c r="I136">
        <f t="shared" ca="1" si="21"/>
        <v>1.0021232876712329</v>
      </c>
      <c r="J136">
        <f t="shared" ca="1" si="22"/>
        <v>1.0021232876712329</v>
      </c>
      <c r="K136">
        <f ca="1">PRODUCT($J$3:J136)</f>
        <v>1.320303512622448</v>
      </c>
      <c r="L136">
        <f t="shared" ca="1" si="23"/>
        <v>0.7574016053428152</v>
      </c>
      <c r="M136">
        <f ca="1">SUM($L$3:L136)</f>
        <v>116.93024009407992</v>
      </c>
      <c r="O136">
        <f ca="1">(Q135*'Arkusz1 (+0)'!J136)-Q135</f>
        <v>-323.74526643421268</v>
      </c>
      <c r="P136" s="16">
        <f t="shared" ca="1" si="24"/>
        <v>11907.597006262105</v>
      </c>
      <c r="Q136" s="17">
        <f t="shared" ca="1" si="25"/>
        <v>-164381.17410108738</v>
      </c>
    </row>
    <row r="137" spans="1:17" x14ac:dyDescent="0.35">
      <c r="A137">
        <v>135</v>
      </c>
      <c r="B137" s="14">
        <f t="shared" ca="1" si="26"/>
        <v>50177</v>
      </c>
      <c r="C137" s="15">
        <f ca="1">(1+(('Symulacja Pożyczka'!$B$5+'Symulacja Pożyczka'!$C$18)/100)*('Arkusz1 (+0)'!B137-'Arkusz1 (+0)'!B136)/365)</f>
        <v>1.002054794520548</v>
      </c>
      <c r="D137" s="15">
        <f ca="1">(1+(('Symulacja Pożyczka'!$B$5+'Symulacja Pożyczka'!$C$18)/100)*('Arkusz1 (+0)'!B137-'Arkusz1 (+0)'!B136)/366)</f>
        <v>1.0020491803278688</v>
      </c>
      <c r="E137" s="15">
        <f t="shared" ca="1" si="18"/>
        <v>0</v>
      </c>
      <c r="F137" s="15">
        <f t="shared" ca="1" si="19"/>
        <v>0</v>
      </c>
      <c r="G137">
        <f ca="1">IF(E137=1,(1+(('Symulacja Pożyczka'!$B$5+'Symulacja Pożyczka'!$C$18)/100)*(((Arkusz1!B137-DATE(YEAR(B137),1,1)+1)/365)+((DATE(YEAR(B136),12,31)-Arkusz1!B136)/366))),IF(F137=1,(1+(('Symulacja Pożyczka'!$B$5+'Symulacja Pożyczka'!$C$22)/100)*(((Arkusz1!B137-DATE(YEAR(B137),1,1)+1)/366)+((DATE(YEAR(B136),12,31)-Arkusz1!B136)/365))),0))</f>
        <v>0</v>
      </c>
      <c r="H137">
        <f t="shared" ca="1" si="20"/>
        <v>0</v>
      </c>
      <c r="I137">
        <f t="shared" ca="1" si="21"/>
        <v>1.002054794520548</v>
      </c>
      <c r="J137">
        <f t="shared" ca="1" si="22"/>
        <v>1.002054794520548</v>
      </c>
      <c r="K137">
        <f ca="1">PRODUCT($J$3:J137)</f>
        <v>1.3230164650456449</v>
      </c>
      <c r="L137">
        <f t="shared" ca="1" si="23"/>
        <v>0.75584849200308279</v>
      </c>
      <c r="M137">
        <f ca="1">SUM($L$3:L137)</f>
        <v>117.686088586083</v>
      </c>
      <c r="O137">
        <f ca="1">(Q136*'Arkusz1 (+0)'!J137)-Q136</f>
        <v>-337.76953582416172</v>
      </c>
      <c r="P137" s="16">
        <f t="shared" ca="1" si="24"/>
        <v>11921.621275652054</v>
      </c>
      <c r="Q137" s="17">
        <f t="shared" ca="1" si="25"/>
        <v>-176302.79537673944</v>
      </c>
    </row>
    <row r="138" spans="1:17" x14ac:dyDescent="0.35">
      <c r="A138">
        <v>136</v>
      </c>
      <c r="B138" s="14">
        <f t="shared" ca="1" si="26"/>
        <v>50208</v>
      </c>
      <c r="C138" s="15">
        <f ca="1">(1+(('Symulacja Pożyczka'!$B$5+'Symulacja Pożyczka'!$C$18)/100)*('Arkusz1 (+0)'!B138-'Arkusz1 (+0)'!B137)/365)</f>
        <v>1.0021232876712329</v>
      </c>
      <c r="D138" s="15">
        <f ca="1">(1+(('Symulacja Pożyczka'!$B$5+'Symulacja Pożyczka'!$C$18)/100)*('Arkusz1 (+0)'!B138-'Arkusz1 (+0)'!B137)/366)</f>
        <v>1.0021174863387978</v>
      </c>
      <c r="E138" s="15">
        <f t="shared" ca="1" si="18"/>
        <v>0</v>
      </c>
      <c r="F138" s="15">
        <f t="shared" ca="1" si="19"/>
        <v>0</v>
      </c>
      <c r="G138">
        <f ca="1">IF(E138=1,(1+(('Symulacja Pożyczka'!$B$5+'Symulacja Pożyczka'!$C$18)/100)*(((Arkusz1!B138-DATE(YEAR(B138),1,1)+1)/365)+((DATE(YEAR(B137),12,31)-Arkusz1!B137)/366))),IF(F138=1,(1+(('Symulacja Pożyczka'!$B$5+'Symulacja Pożyczka'!$C$22)/100)*(((Arkusz1!B138-DATE(YEAR(B138),1,1)+1)/366)+((DATE(YEAR(B137),12,31)-Arkusz1!B137)/365))),0))</f>
        <v>0</v>
      </c>
      <c r="H138">
        <f t="shared" ca="1" si="20"/>
        <v>0</v>
      </c>
      <c r="I138">
        <f t="shared" ca="1" si="21"/>
        <v>1.0021232876712329</v>
      </c>
      <c r="J138">
        <f t="shared" ca="1" si="22"/>
        <v>1.0021232876712329</v>
      </c>
      <c r="K138">
        <f ca="1">PRODUCT($J$3:J138)</f>
        <v>1.3258256095947145</v>
      </c>
      <c r="L138">
        <f t="shared" ca="1" si="23"/>
        <v>0.75424700862859739</v>
      </c>
      <c r="M138">
        <f ca="1">SUM($L$3:L138)</f>
        <v>118.4403355947116</v>
      </c>
      <c r="O138">
        <f ca="1">(Q137*'Arkusz1 (+0)'!J138)-Q137</f>
        <v>-374.34155182732502</v>
      </c>
      <c r="P138" s="16">
        <f t="shared" ca="1" si="24"/>
        <v>11958.193291655218</v>
      </c>
      <c r="Q138" s="17">
        <f t="shared" ca="1" si="25"/>
        <v>-188260.98866839465</v>
      </c>
    </row>
    <row r="139" spans="1:17" x14ac:dyDescent="0.35">
      <c r="A139">
        <v>137</v>
      </c>
      <c r="B139" s="14">
        <f t="shared" ca="1" si="26"/>
        <v>50238</v>
      </c>
      <c r="C139" s="15">
        <f ca="1">(1+(('Symulacja Pożyczka'!$B$5+'Symulacja Pożyczka'!$C$18)/100)*('Arkusz1 (+0)'!B139-'Arkusz1 (+0)'!B138)/365)</f>
        <v>1.002054794520548</v>
      </c>
      <c r="D139" s="15">
        <f ca="1">(1+(('Symulacja Pożyczka'!$B$5+'Symulacja Pożyczka'!$C$18)/100)*('Arkusz1 (+0)'!B139-'Arkusz1 (+0)'!B138)/366)</f>
        <v>1.0020491803278688</v>
      </c>
      <c r="E139" s="15">
        <f t="shared" ca="1" si="18"/>
        <v>0</v>
      </c>
      <c r="F139" s="15">
        <f t="shared" ca="1" si="19"/>
        <v>0</v>
      </c>
      <c r="G139">
        <f ca="1">IF(E139=1,(1+(('Symulacja Pożyczka'!$B$5+'Symulacja Pożyczka'!$C$18)/100)*(((Arkusz1!B139-DATE(YEAR(B139),1,1)+1)/365)+((DATE(YEAR(B138),12,31)-Arkusz1!B138)/366))),IF(F139=1,(1+(('Symulacja Pożyczka'!$B$5+'Symulacja Pożyczka'!$C$22)/100)*(((Arkusz1!B139-DATE(YEAR(B139),1,1)+1)/366)+((DATE(YEAR(B138),12,31)-Arkusz1!B138)/365))),0))</f>
        <v>0</v>
      </c>
      <c r="H139">
        <f t="shared" ca="1" si="20"/>
        <v>0</v>
      </c>
      <c r="I139">
        <f t="shared" ca="1" si="21"/>
        <v>1.002054794520548</v>
      </c>
      <c r="J139">
        <f t="shared" ca="1" si="22"/>
        <v>1.002054794520548</v>
      </c>
      <c r="K139">
        <f ca="1">PRODUCT($J$3:J139)</f>
        <v>1.3285499087925119</v>
      </c>
      <c r="L139">
        <f t="shared" ca="1" si="23"/>
        <v>0.75270036404494334</v>
      </c>
      <c r="M139">
        <f ca="1">SUM($L$3:L139)</f>
        <v>119.19303595875654</v>
      </c>
      <c r="O139">
        <f ca="1">(Q138*'Arkusz1 (+0)'!J139)-Q138</f>
        <v>-386.83764794876333</v>
      </c>
      <c r="P139" s="16">
        <f t="shared" ca="1" si="24"/>
        <v>11970.689387776656</v>
      </c>
      <c r="Q139" s="17">
        <f t="shared" ca="1" si="25"/>
        <v>-200231.67805617131</v>
      </c>
    </row>
    <row r="140" spans="1:17" x14ac:dyDescent="0.35">
      <c r="A140">
        <v>138</v>
      </c>
      <c r="B140" s="14">
        <f t="shared" ca="1" si="26"/>
        <v>50269</v>
      </c>
      <c r="C140" s="15">
        <f ca="1">(1+(('Symulacja Pożyczka'!$B$5+'Symulacja Pożyczka'!$C$18)/100)*('Arkusz1 (+0)'!B140-'Arkusz1 (+0)'!B139)/365)</f>
        <v>1.0021232876712329</v>
      </c>
      <c r="D140" s="15">
        <f ca="1">(1+(('Symulacja Pożyczka'!$B$5+'Symulacja Pożyczka'!$C$18)/100)*('Arkusz1 (+0)'!B140-'Arkusz1 (+0)'!B139)/366)</f>
        <v>1.0021174863387978</v>
      </c>
      <c r="E140" s="15">
        <f t="shared" ca="1" si="18"/>
        <v>0</v>
      </c>
      <c r="F140" s="15">
        <f t="shared" ca="1" si="19"/>
        <v>0</v>
      </c>
      <c r="G140">
        <f ca="1">IF(E140=1,(1+(('Symulacja Pożyczka'!$B$5+'Symulacja Pożyczka'!$C$18)/100)*(((Arkusz1!B140-DATE(YEAR(B140),1,1)+1)/365)+((DATE(YEAR(B139),12,31)-Arkusz1!B139)/366))),IF(F140=1,(1+(('Symulacja Pożyczka'!$B$5+'Symulacja Pożyczka'!$C$22)/100)*(((Arkusz1!B140-DATE(YEAR(B140),1,1)+1)/366)+((DATE(YEAR(B139),12,31)-Arkusz1!B139)/365))),0))</f>
        <v>0</v>
      </c>
      <c r="H140">
        <f t="shared" ca="1" si="20"/>
        <v>0</v>
      </c>
      <c r="I140">
        <f t="shared" ca="1" si="21"/>
        <v>1.0021232876712329</v>
      </c>
      <c r="J140">
        <f t="shared" ca="1" si="22"/>
        <v>1.0021232876712329</v>
      </c>
      <c r="K140">
        <f ca="1">PRODUCT($J$3:J140)</f>
        <v>1.3313708024344686</v>
      </c>
      <c r="L140">
        <f t="shared" ca="1" si="23"/>
        <v>0.75110555088894626</v>
      </c>
      <c r="M140">
        <f ca="1">SUM($L$3:L140)</f>
        <v>119.94414150964549</v>
      </c>
      <c r="O140">
        <f ca="1">(Q139*'Arkusz1 (+0)'!J140)-Q139</f>
        <v>-425.14945340694976</v>
      </c>
      <c r="P140" s="16">
        <f t="shared" ca="1" si="24"/>
        <v>12009.001193234843</v>
      </c>
      <c r="Q140" s="17">
        <f t="shared" ca="1" si="25"/>
        <v>-212240.67924940615</v>
      </c>
    </row>
    <row r="141" spans="1:17" x14ac:dyDescent="0.35">
      <c r="A141">
        <v>139</v>
      </c>
      <c r="B141" s="14">
        <f t="shared" ca="1" si="26"/>
        <v>50300</v>
      </c>
      <c r="C141" s="15">
        <f ca="1">(1+(('Symulacja Pożyczka'!$B$5+'Symulacja Pożyczka'!$C$18)/100)*('Arkusz1 (+0)'!B141-'Arkusz1 (+0)'!B140)/365)</f>
        <v>1.0021232876712329</v>
      </c>
      <c r="D141" s="15">
        <f ca="1">(1+(('Symulacja Pożyczka'!$B$5+'Symulacja Pożyczka'!$C$18)/100)*('Arkusz1 (+0)'!B141-'Arkusz1 (+0)'!B140)/366)</f>
        <v>1.0021174863387978</v>
      </c>
      <c r="E141" s="15">
        <f t="shared" ca="1" si="18"/>
        <v>0</v>
      </c>
      <c r="F141" s="15">
        <f t="shared" ca="1" si="19"/>
        <v>0</v>
      </c>
      <c r="G141">
        <f ca="1">IF(E141=1,(1+(('Symulacja Pożyczka'!$B$5+'Symulacja Pożyczka'!$C$18)/100)*(((Arkusz1!B141-DATE(YEAR(B141),1,1)+1)/365)+((DATE(YEAR(B140),12,31)-Arkusz1!B140)/366))),IF(F141=1,(1+(('Symulacja Pożyczka'!$B$5+'Symulacja Pożyczka'!$C$22)/100)*(((Arkusz1!B141-DATE(YEAR(B141),1,1)+1)/366)+((DATE(YEAR(B140),12,31)-Arkusz1!B140)/365))),0))</f>
        <v>0</v>
      </c>
      <c r="H141">
        <f t="shared" ca="1" si="20"/>
        <v>0</v>
      </c>
      <c r="I141">
        <f t="shared" ca="1" si="21"/>
        <v>1.0021232876712329</v>
      </c>
      <c r="J141">
        <f t="shared" ca="1" si="22"/>
        <v>1.0021232876712329</v>
      </c>
      <c r="K141">
        <f ca="1">PRODUCT($J$3:J141)</f>
        <v>1.3341976856451172</v>
      </c>
      <c r="L141">
        <f t="shared" ca="1" si="23"/>
        <v>0.74951411680531854</v>
      </c>
      <c r="M141">
        <f ca="1">SUM($L$3:L141)</f>
        <v>120.69365562645081</v>
      </c>
      <c r="O141">
        <f ca="1">(Q140*'Arkusz1 (+0)'!J141)-Q140</f>
        <v>-450.64801758437534</v>
      </c>
      <c r="P141" s="16">
        <f t="shared" ca="1" si="24"/>
        <v>12034.499757412268</v>
      </c>
      <c r="Q141" s="17">
        <f t="shared" ca="1" si="25"/>
        <v>-224275.17900681842</v>
      </c>
    </row>
    <row r="142" spans="1:17" x14ac:dyDescent="0.35">
      <c r="A142">
        <v>140</v>
      </c>
      <c r="B142" s="14">
        <f t="shared" ca="1" si="26"/>
        <v>50330</v>
      </c>
      <c r="C142" s="15">
        <f ca="1">(1+(('Symulacja Pożyczka'!$B$5+'Symulacja Pożyczka'!$C$18)/100)*('Arkusz1 (+0)'!B142-'Arkusz1 (+0)'!B141)/365)</f>
        <v>1.002054794520548</v>
      </c>
      <c r="D142" s="15">
        <f ca="1">(1+(('Symulacja Pożyczka'!$B$5+'Symulacja Pożyczka'!$C$18)/100)*('Arkusz1 (+0)'!B142-'Arkusz1 (+0)'!B141)/366)</f>
        <v>1.0020491803278688</v>
      </c>
      <c r="E142" s="15">
        <f t="shared" ca="1" si="18"/>
        <v>0</v>
      </c>
      <c r="F142" s="15">
        <f t="shared" ca="1" si="19"/>
        <v>0</v>
      </c>
      <c r="G142">
        <f ca="1">IF(E142=1,(1+(('Symulacja Pożyczka'!$B$5+'Symulacja Pożyczka'!$C$18)/100)*(((Arkusz1!B142-DATE(YEAR(B142),1,1)+1)/365)+((DATE(YEAR(B141),12,31)-Arkusz1!B141)/366))),IF(F142=1,(1+(('Symulacja Pożyczka'!$B$5+'Symulacja Pożyczka'!$C$22)/100)*(((Arkusz1!B142-DATE(YEAR(B142),1,1)+1)/366)+((DATE(YEAR(B141),12,31)-Arkusz1!B141)/365))),0))</f>
        <v>0</v>
      </c>
      <c r="H142">
        <f t="shared" ca="1" si="20"/>
        <v>0</v>
      </c>
      <c r="I142">
        <f t="shared" ca="1" si="21"/>
        <v>1.002054794520548</v>
      </c>
      <c r="J142">
        <f t="shared" ca="1" si="22"/>
        <v>1.002054794520548</v>
      </c>
      <c r="K142">
        <f ca="1">PRODUCT($J$3:J142)</f>
        <v>1.3369391877389087</v>
      </c>
      <c r="L142">
        <f t="shared" ca="1" si="23"/>
        <v>0.7479771773997026</v>
      </c>
      <c r="M142">
        <f ca="1">SUM($L$3:L142)</f>
        <v>121.44163280385051</v>
      </c>
      <c r="O142">
        <f ca="1">(Q141*'Arkusz1 (+0)'!J142)-Q141</f>
        <v>-460.83940891813836</v>
      </c>
      <c r="P142" s="16">
        <f t="shared" ca="1" si="24"/>
        <v>12044.691148746031</v>
      </c>
      <c r="Q142" s="17">
        <f t="shared" ca="1" si="25"/>
        <v>-236319.87015556445</v>
      </c>
    </row>
    <row r="143" spans="1:17" x14ac:dyDescent="0.35">
      <c r="A143">
        <v>141</v>
      </c>
      <c r="B143" s="14">
        <f t="shared" ca="1" si="26"/>
        <v>50361</v>
      </c>
      <c r="C143" s="15">
        <f ca="1">(1+(('Symulacja Pożyczka'!$B$5+'Symulacja Pożyczka'!$C$18)/100)*('Arkusz1 (+0)'!B143-'Arkusz1 (+0)'!B142)/365)</f>
        <v>1.0021232876712329</v>
      </c>
      <c r="D143" s="15">
        <f ca="1">(1+(('Symulacja Pożyczka'!$B$5+'Symulacja Pożyczka'!$C$18)/100)*('Arkusz1 (+0)'!B143-'Arkusz1 (+0)'!B142)/366)</f>
        <v>1.0021174863387978</v>
      </c>
      <c r="E143" s="15">
        <f t="shared" ca="1" si="18"/>
        <v>0</v>
      </c>
      <c r="F143" s="15">
        <f t="shared" ca="1" si="19"/>
        <v>0</v>
      </c>
      <c r="G143">
        <f ca="1">IF(E143=1,(1+(('Symulacja Pożyczka'!$B$5+'Symulacja Pożyczka'!$C$18)/100)*(((Arkusz1!B143-DATE(YEAR(B143),1,1)+1)/365)+((DATE(YEAR(B142),12,31)-Arkusz1!B142)/366))),IF(F143=1,(1+(('Symulacja Pożyczka'!$B$5+'Symulacja Pożyczka'!$C$22)/100)*(((Arkusz1!B143-DATE(YEAR(B143),1,1)+1)/366)+((DATE(YEAR(B142),12,31)-Arkusz1!B142)/365))),0))</f>
        <v>0</v>
      </c>
      <c r="H143">
        <f t="shared" ca="1" si="20"/>
        <v>0</v>
      </c>
      <c r="I143">
        <f t="shared" ca="1" si="21"/>
        <v>1.0021232876712329</v>
      </c>
      <c r="J143">
        <f t="shared" ca="1" si="22"/>
        <v>1.0021232876712329</v>
      </c>
      <c r="K143">
        <f ca="1">PRODUCT($J$3:J143)</f>
        <v>1.3397778942334229</v>
      </c>
      <c r="L143">
        <f t="shared" ca="1" si="23"/>
        <v>0.74639237167901429</v>
      </c>
      <c r="M143">
        <f ca="1">SUM($L$3:L143)</f>
        <v>122.18802517552952</v>
      </c>
      <c r="O143">
        <f ca="1">(Q142*'Arkusz1 (+0)'!J143)-Q142</f>
        <v>-501.77506676866324</v>
      </c>
      <c r="P143" s="16">
        <f t="shared" ca="1" si="24"/>
        <v>12085.626806596556</v>
      </c>
      <c r="Q143" s="17">
        <f t="shared" ca="1" si="25"/>
        <v>-248405.49696216101</v>
      </c>
    </row>
    <row r="144" spans="1:17" x14ac:dyDescent="0.35">
      <c r="A144">
        <v>142</v>
      </c>
      <c r="B144" s="14">
        <f t="shared" ca="1" si="26"/>
        <v>50391</v>
      </c>
      <c r="C144" s="15">
        <f ca="1">(1+(('Symulacja Pożyczka'!$B$5+'Symulacja Pożyczka'!$C$18)/100)*('Arkusz1 (+0)'!B144-'Arkusz1 (+0)'!B143)/365)</f>
        <v>1.002054794520548</v>
      </c>
      <c r="D144" s="15">
        <f ca="1">(1+(('Symulacja Pożyczka'!$B$5+'Symulacja Pożyczka'!$C$18)/100)*('Arkusz1 (+0)'!B144-'Arkusz1 (+0)'!B143)/366)</f>
        <v>1.0020491803278688</v>
      </c>
      <c r="E144" s="15">
        <f t="shared" ca="1" si="18"/>
        <v>0</v>
      </c>
      <c r="F144" s="15">
        <f t="shared" ca="1" si="19"/>
        <v>0</v>
      </c>
      <c r="G144">
        <f ca="1">IF(E144=1,(1+(('Symulacja Pożyczka'!$B$5+'Symulacja Pożyczka'!$C$18)/100)*(((Arkusz1!B144-DATE(YEAR(B144),1,1)+1)/365)+((DATE(YEAR(B143),12,31)-Arkusz1!B143)/366))),IF(F144=1,(1+(('Symulacja Pożyczka'!$B$5+'Symulacja Pożyczka'!$C$22)/100)*(((Arkusz1!B144-DATE(YEAR(B144),1,1)+1)/366)+((DATE(YEAR(B143),12,31)-Arkusz1!B143)/365))),0))</f>
        <v>0</v>
      </c>
      <c r="H144">
        <f t="shared" ca="1" si="20"/>
        <v>0</v>
      </c>
      <c r="I144">
        <f t="shared" ca="1" si="21"/>
        <v>1.002054794520548</v>
      </c>
      <c r="J144">
        <f t="shared" ca="1" si="22"/>
        <v>1.002054794520548</v>
      </c>
      <c r="K144">
        <f ca="1">PRODUCT($J$3:J144)</f>
        <v>1.3425308625092451</v>
      </c>
      <c r="L144">
        <f t="shared" ca="1" si="23"/>
        <v>0.74486183366463476</v>
      </c>
      <c r="M144">
        <f ca="1">SUM($L$3:L144)</f>
        <v>122.93288700919415</v>
      </c>
      <c r="O144">
        <f ca="1">(Q143*'Arkusz1 (+0)'!J144)-Q143</f>
        <v>-510.4222540318442</v>
      </c>
      <c r="P144" s="16">
        <f t="shared" ca="1" si="24"/>
        <v>12094.273993859737</v>
      </c>
      <c r="Q144" s="17">
        <f t="shared" ca="1" si="25"/>
        <v>-260499.77095602074</v>
      </c>
    </row>
    <row r="145" spans="1:17" x14ac:dyDescent="0.35">
      <c r="A145">
        <v>143</v>
      </c>
      <c r="B145" s="14">
        <f t="shared" ca="1" si="26"/>
        <v>50422</v>
      </c>
      <c r="C145" s="15">
        <f ca="1">(1+(('Symulacja Pożyczka'!$B$5+'Symulacja Pożyczka'!$C$18)/100)*('Arkusz1 (+0)'!B145-'Arkusz1 (+0)'!B144)/365)</f>
        <v>1.0021232876712329</v>
      </c>
      <c r="D145" s="15">
        <f ca="1">(1+(('Symulacja Pożyczka'!$B$5+'Symulacja Pożyczka'!$C$18)/100)*('Arkusz1 (+0)'!B145-'Arkusz1 (+0)'!B144)/366)</f>
        <v>1.0021174863387978</v>
      </c>
      <c r="E145" s="15">
        <f t="shared" ca="1" si="18"/>
        <v>0</v>
      </c>
      <c r="F145" s="15">
        <f t="shared" ca="1" si="19"/>
        <v>0</v>
      </c>
      <c r="G145">
        <f ca="1">IF(E145=1,(1+(('Symulacja Pożyczka'!$B$5+'Symulacja Pożyczka'!$C$18)/100)*(((Arkusz1!B145-DATE(YEAR(B145),1,1)+1)/365)+((DATE(YEAR(B144),12,31)-Arkusz1!B144)/366))),IF(F145=1,(1+(('Symulacja Pożyczka'!$B$5+'Symulacja Pożyczka'!$C$22)/100)*(((Arkusz1!B145-DATE(YEAR(B145),1,1)+1)/366)+((DATE(YEAR(B144),12,31)-Arkusz1!B144)/365))),0))</f>
        <v>0</v>
      </c>
      <c r="H145">
        <f t="shared" ca="1" si="20"/>
        <v>0</v>
      </c>
      <c r="I145">
        <f t="shared" ca="1" si="21"/>
        <v>1.0021232876712329</v>
      </c>
      <c r="J145">
        <f t="shared" ca="1" si="22"/>
        <v>1.0021232876712329</v>
      </c>
      <c r="K145">
        <f ca="1">PRODUCT($J$3:J145)</f>
        <v>1.3453814417378607</v>
      </c>
      <c r="L145">
        <f t="shared" ca="1" si="23"/>
        <v>0.74328362869958764</v>
      </c>
      <c r="M145">
        <f ca="1">SUM($L$3:L145)</f>
        <v>123.67617063789373</v>
      </c>
      <c r="O145">
        <f ca="1">(Q144*'Arkusz1 (+0)'!J145)-Q144</f>
        <v>-553.11595202991157</v>
      </c>
      <c r="P145" s="16">
        <f t="shared" ca="1" si="24"/>
        <v>12136.967691857804</v>
      </c>
      <c r="Q145" s="17">
        <f t="shared" ca="1" si="25"/>
        <v>-272636.73864787852</v>
      </c>
    </row>
    <row r="146" spans="1:17" x14ac:dyDescent="0.35">
      <c r="A146">
        <v>144</v>
      </c>
      <c r="B146" s="14">
        <f t="shared" ca="1" si="26"/>
        <v>50453</v>
      </c>
      <c r="C146" s="15">
        <f ca="1">(1+(('Symulacja Pożyczka'!$B$5+'Symulacja Pożyczka'!$C$18)/100)*('Arkusz1 (+0)'!B146-'Arkusz1 (+0)'!B145)/365)</f>
        <v>1.0021232876712329</v>
      </c>
      <c r="D146" s="15">
        <f ca="1">(1+(('Symulacja Pożyczka'!$B$5+'Symulacja Pożyczka'!$C$18)/100)*('Arkusz1 (+0)'!B146-'Arkusz1 (+0)'!B145)/366)</f>
        <v>1.0021174863387978</v>
      </c>
      <c r="E146" s="15">
        <f t="shared" ca="1" si="18"/>
        <v>0</v>
      </c>
      <c r="F146" s="15">
        <f t="shared" ca="1" si="19"/>
        <v>0</v>
      </c>
      <c r="G146">
        <f ca="1">IF(E146=1,(1+(('Symulacja Pożyczka'!$B$5+'Symulacja Pożyczka'!$C$18)/100)*(((Arkusz1!B146-DATE(YEAR(B146),1,1)+1)/365)+((DATE(YEAR(B145),12,31)-Arkusz1!B145)/366))),IF(F146=1,(1+(('Symulacja Pożyczka'!$B$5+'Symulacja Pożyczka'!$C$22)/100)*(((Arkusz1!B146-DATE(YEAR(B146),1,1)+1)/366)+((DATE(YEAR(B145),12,31)-Arkusz1!B145)/365))),0))</f>
        <v>0</v>
      </c>
      <c r="H146">
        <f t="shared" ca="1" si="20"/>
        <v>0</v>
      </c>
      <c r="I146">
        <f t="shared" ca="1" si="21"/>
        <v>1.0021232876712329</v>
      </c>
      <c r="J146">
        <f t="shared" ca="1" si="22"/>
        <v>1.0021232876712329</v>
      </c>
      <c r="K146">
        <f ca="1">PRODUCT($J$3:J146)</f>
        <v>1.3482380735662083</v>
      </c>
      <c r="L146">
        <f t="shared" ca="1" si="23"/>
        <v>0.74170876761765969</v>
      </c>
      <c r="M146">
        <f ca="1">SUM($L$3:L146)</f>
        <v>124.4178794055114</v>
      </c>
      <c r="O146">
        <f ca="1">(Q145*'Arkusz1 (+0)'!J146)-Q145</f>
        <v>-578.88622589618899</v>
      </c>
      <c r="P146" s="16">
        <f t="shared" ca="1" si="24"/>
        <v>12162.737965724082</v>
      </c>
      <c r="Q146" s="17">
        <f t="shared" ca="1" si="25"/>
        <v>-284799.4766136026</v>
      </c>
    </row>
    <row r="147" spans="1:17" x14ac:dyDescent="0.35">
      <c r="A147">
        <v>145</v>
      </c>
      <c r="B147" s="14">
        <f t="shared" ca="1" si="26"/>
        <v>50481</v>
      </c>
      <c r="C147" s="15">
        <f ca="1">(1+(('Symulacja Pożyczka'!$B$5+'Symulacja Pożyczka'!$C$18)/100)*('Arkusz1 (+0)'!B147-'Arkusz1 (+0)'!B146)/365)</f>
        <v>1.001917808219178</v>
      </c>
      <c r="D147" s="15">
        <f ca="1">(1+(('Symulacja Pożyczka'!$B$5+'Symulacja Pożyczka'!$C$18)/100)*('Arkusz1 (+0)'!B147-'Arkusz1 (+0)'!B146)/366)</f>
        <v>1.0019125683060108</v>
      </c>
      <c r="E147" s="15">
        <f t="shared" ca="1" si="18"/>
        <v>0</v>
      </c>
      <c r="F147" s="15">
        <f t="shared" ca="1" si="19"/>
        <v>0</v>
      </c>
      <c r="G147">
        <f ca="1">IF(E147=1,(1+(('Symulacja Pożyczka'!$B$5+'Symulacja Pożyczka'!$C$18)/100)*(((Arkusz1!B147-DATE(YEAR(B147),1,1)+1)/365)+((DATE(YEAR(B146),12,31)-Arkusz1!B146)/366))),IF(F147=1,(1+(('Symulacja Pożyczka'!$B$5+'Symulacja Pożyczka'!$C$22)/100)*(((Arkusz1!B147-DATE(YEAR(B147),1,1)+1)/366)+((DATE(YEAR(B146),12,31)-Arkusz1!B146)/365))),0))</f>
        <v>0</v>
      </c>
      <c r="H147">
        <f t="shared" ca="1" si="20"/>
        <v>0</v>
      </c>
      <c r="I147">
        <f t="shared" ca="1" si="21"/>
        <v>1.001917808219178</v>
      </c>
      <c r="J147">
        <f t="shared" ca="1" si="22"/>
        <v>1.001917808219178</v>
      </c>
      <c r="K147">
        <f ca="1">PRODUCT($J$3:J147)</f>
        <v>1.3508237356251023</v>
      </c>
      <c r="L147">
        <f t="shared" ca="1" si="23"/>
        <v>0.74028903522134493</v>
      </c>
      <c r="M147">
        <f ca="1">SUM($L$3:L147)</f>
        <v>125.15816844073275</v>
      </c>
      <c r="O147">
        <f ca="1">(Q146*'Arkusz1 (+0)'!J147)-Q146</f>
        <v>-546.19077706715325</v>
      </c>
      <c r="P147" s="16">
        <f t="shared" ca="1" si="24"/>
        <v>12130.042516895046</v>
      </c>
      <c r="Q147" s="17">
        <f t="shared" ca="1" si="25"/>
        <v>-296929.51913049765</v>
      </c>
    </row>
    <row r="148" spans="1:17" x14ac:dyDescent="0.35">
      <c r="A148">
        <v>146</v>
      </c>
      <c r="B148" s="14">
        <f t="shared" ca="1" si="26"/>
        <v>50512</v>
      </c>
      <c r="C148" s="15">
        <f ca="1">(1+(('Symulacja Pożyczka'!$B$5+'Symulacja Pożyczka'!$C$18)/100)*('Arkusz1 (+0)'!B148-'Arkusz1 (+0)'!B147)/365)</f>
        <v>1.0021232876712329</v>
      </c>
      <c r="D148" s="15">
        <f ca="1">(1+(('Symulacja Pożyczka'!$B$5+'Symulacja Pożyczka'!$C$18)/100)*('Arkusz1 (+0)'!B148-'Arkusz1 (+0)'!B147)/366)</f>
        <v>1.0021174863387978</v>
      </c>
      <c r="E148" s="15">
        <f t="shared" ca="1" si="18"/>
        <v>0</v>
      </c>
      <c r="F148" s="15">
        <f t="shared" ca="1" si="19"/>
        <v>0</v>
      </c>
      <c r="G148">
        <f ca="1">IF(E148=1,(1+(('Symulacja Pożyczka'!$B$5+'Symulacja Pożyczka'!$C$18)/100)*(((Arkusz1!B148-DATE(YEAR(B148),1,1)+1)/365)+((DATE(YEAR(B147),12,31)-Arkusz1!B147)/366))),IF(F148=1,(1+(('Symulacja Pożyczka'!$B$5+'Symulacja Pożyczka'!$C$22)/100)*(((Arkusz1!B148-DATE(YEAR(B148),1,1)+1)/366)+((DATE(YEAR(B147),12,31)-Arkusz1!B147)/365))),0))</f>
        <v>0</v>
      </c>
      <c r="H148">
        <f t="shared" ca="1" si="20"/>
        <v>0</v>
      </c>
      <c r="I148">
        <f t="shared" ca="1" si="21"/>
        <v>1.0021232876712329</v>
      </c>
      <c r="J148">
        <f t="shared" ca="1" si="22"/>
        <v>1.0021232876712329</v>
      </c>
      <c r="K148">
        <f ca="1">PRODUCT($J$3:J148)</f>
        <v>1.3536919230089639</v>
      </c>
      <c r="L148">
        <f t="shared" ca="1" si="23"/>
        <v>0.73872051905075764</v>
      </c>
      <c r="M148">
        <f ca="1">SUM($L$3:L148)</f>
        <v>125.89688895978351</v>
      </c>
      <c r="O148">
        <f ca="1">(Q147*'Arkusz1 (+0)'!J148)-Q147</f>
        <v>-630.46678719489137</v>
      </c>
      <c r="P148" s="16">
        <f t="shared" ca="1" si="24"/>
        <v>12214.318527022784</v>
      </c>
      <c r="Q148" s="17">
        <f t="shared" ca="1" si="25"/>
        <v>-309143.83765752043</v>
      </c>
    </row>
    <row r="149" spans="1:17" x14ac:dyDescent="0.35">
      <c r="A149">
        <v>147</v>
      </c>
      <c r="B149" s="14">
        <f t="shared" ca="1" si="26"/>
        <v>50542</v>
      </c>
      <c r="C149" s="15">
        <f ca="1">(1+(('Symulacja Pożyczka'!$B$5+'Symulacja Pożyczka'!$C$18)/100)*('Arkusz1 (+0)'!B149-'Arkusz1 (+0)'!B148)/365)</f>
        <v>1.002054794520548</v>
      </c>
      <c r="D149" s="15">
        <f ca="1">(1+(('Symulacja Pożyczka'!$B$5+'Symulacja Pożyczka'!$C$18)/100)*('Arkusz1 (+0)'!B149-'Arkusz1 (+0)'!B148)/366)</f>
        <v>1.0020491803278688</v>
      </c>
      <c r="E149" s="15">
        <f t="shared" ca="1" si="18"/>
        <v>0</v>
      </c>
      <c r="F149" s="15">
        <f t="shared" ca="1" si="19"/>
        <v>0</v>
      </c>
      <c r="G149">
        <f ca="1">IF(E149=1,(1+(('Symulacja Pożyczka'!$B$5+'Symulacja Pożyczka'!$C$18)/100)*(((Arkusz1!B149-DATE(YEAR(B149),1,1)+1)/365)+((DATE(YEAR(B148),12,31)-Arkusz1!B148)/366))),IF(F149=1,(1+(('Symulacja Pożyczka'!$B$5+'Symulacja Pożyczka'!$C$22)/100)*(((Arkusz1!B149-DATE(YEAR(B149),1,1)+1)/366)+((DATE(YEAR(B148),12,31)-Arkusz1!B148)/365))),0))</f>
        <v>0</v>
      </c>
      <c r="H149">
        <f t="shared" ca="1" si="20"/>
        <v>0</v>
      </c>
      <c r="I149">
        <f t="shared" ca="1" si="21"/>
        <v>1.002054794520548</v>
      </c>
      <c r="J149">
        <f t="shared" ca="1" si="22"/>
        <v>1.002054794520548</v>
      </c>
      <c r="K149">
        <f ca="1">PRODUCT($J$3:J149)</f>
        <v>1.3564734817548729</v>
      </c>
      <c r="L149">
        <f t="shared" ca="1" si="23"/>
        <v>0.73720571279159663</v>
      </c>
      <c r="M149">
        <f ca="1">SUM($L$3:L149)</f>
        <v>126.6340946725751</v>
      </c>
      <c r="O149">
        <f ca="1">(Q148*'Arkusz1 (+0)'!J149)-Q148</f>
        <v>-635.22706367983483</v>
      </c>
      <c r="P149" s="16">
        <f t="shared" ca="1" si="24"/>
        <v>12219.078803507728</v>
      </c>
      <c r="Q149" s="17">
        <f t="shared" ca="1" si="25"/>
        <v>-321362.91646102816</v>
      </c>
    </row>
    <row r="150" spans="1:17" x14ac:dyDescent="0.35">
      <c r="A150">
        <v>148</v>
      </c>
      <c r="B150" s="14">
        <f t="shared" ca="1" si="26"/>
        <v>50573</v>
      </c>
      <c r="C150" s="15">
        <f ca="1">(1+(('Symulacja Pożyczka'!$B$5+'Symulacja Pożyczka'!$C$18)/100)*('Arkusz1 (+0)'!B150-'Arkusz1 (+0)'!B149)/365)</f>
        <v>1.0021232876712329</v>
      </c>
      <c r="D150" s="15">
        <f ca="1">(1+(('Symulacja Pożyczka'!$B$5+'Symulacja Pożyczka'!$C$18)/100)*('Arkusz1 (+0)'!B150-'Arkusz1 (+0)'!B149)/366)</f>
        <v>1.0021174863387978</v>
      </c>
      <c r="E150" s="15">
        <f t="shared" ca="1" si="18"/>
        <v>0</v>
      </c>
      <c r="F150" s="15">
        <f t="shared" ca="1" si="19"/>
        <v>0</v>
      </c>
      <c r="G150">
        <f ca="1">IF(E150=1,(1+(('Symulacja Pożyczka'!$B$5+'Symulacja Pożyczka'!$C$18)/100)*(((Arkusz1!B150-DATE(YEAR(B150),1,1)+1)/365)+((DATE(YEAR(B149),12,31)-Arkusz1!B149)/366))),IF(F150=1,(1+(('Symulacja Pożyczka'!$B$5+'Symulacja Pożyczka'!$C$22)/100)*(((Arkusz1!B150-DATE(YEAR(B150),1,1)+1)/366)+((DATE(YEAR(B149),12,31)-Arkusz1!B149)/365))),0))</f>
        <v>0</v>
      </c>
      <c r="H150">
        <f t="shared" ca="1" si="20"/>
        <v>0</v>
      </c>
      <c r="I150">
        <f t="shared" ca="1" si="21"/>
        <v>1.0021232876712329</v>
      </c>
      <c r="J150">
        <f t="shared" ca="1" si="22"/>
        <v>1.0021232876712329</v>
      </c>
      <c r="K150">
        <f ca="1">PRODUCT($J$3:J150)</f>
        <v>1.3593536651750375</v>
      </c>
      <c r="L150">
        <f t="shared" ca="1" si="23"/>
        <v>0.73564372953026524</v>
      </c>
      <c r="M150">
        <f ca="1">SUM($L$3:L150)</f>
        <v>127.36973840210537</v>
      </c>
      <c r="O150">
        <f ca="1">(Q149*'Arkusz1 (+0)'!J150)-Q149</f>
        <v>-682.34591851313598</v>
      </c>
      <c r="P150" s="16">
        <f t="shared" ca="1" si="24"/>
        <v>12266.197658341029</v>
      </c>
      <c r="Q150" s="17">
        <f t="shared" ca="1" si="25"/>
        <v>-333629.11411936919</v>
      </c>
    </row>
    <row r="151" spans="1:17" x14ac:dyDescent="0.35">
      <c r="A151">
        <v>149</v>
      </c>
      <c r="B151" s="14">
        <f t="shared" ca="1" si="26"/>
        <v>50603</v>
      </c>
      <c r="C151" s="15">
        <f ca="1">(1+(('Symulacja Pożyczka'!$B$5+'Symulacja Pożyczka'!$C$18)/100)*('Arkusz1 (+0)'!B151-'Arkusz1 (+0)'!B150)/365)</f>
        <v>1.002054794520548</v>
      </c>
      <c r="D151" s="15">
        <f ca="1">(1+(('Symulacja Pożyczka'!$B$5+'Symulacja Pożyczka'!$C$18)/100)*('Arkusz1 (+0)'!B151-'Arkusz1 (+0)'!B150)/366)</f>
        <v>1.0020491803278688</v>
      </c>
      <c r="E151" s="15">
        <f t="shared" ca="1" si="18"/>
        <v>0</v>
      </c>
      <c r="F151" s="15">
        <f t="shared" ca="1" si="19"/>
        <v>0</v>
      </c>
      <c r="G151">
        <f ca="1">IF(E151=1,(1+(('Symulacja Pożyczka'!$B$5+'Symulacja Pożyczka'!$C$18)/100)*(((Arkusz1!B151-DATE(YEAR(B151),1,1)+1)/365)+((DATE(YEAR(B150),12,31)-Arkusz1!B150)/366))),IF(F151=1,(1+(('Symulacja Pożyczka'!$B$5+'Symulacja Pożyczka'!$C$22)/100)*(((Arkusz1!B151-DATE(YEAR(B151),1,1)+1)/366)+((DATE(YEAR(B150),12,31)-Arkusz1!B150)/365))),0))</f>
        <v>0</v>
      </c>
      <c r="H151">
        <f t="shared" ca="1" si="20"/>
        <v>0</v>
      </c>
      <c r="I151">
        <f t="shared" ca="1" si="21"/>
        <v>1.002054794520548</v>
      </c>
      <c r="J151">
        <f t="shared" ca="1" si="22"/>
        <v>1.002054794520548</v>
      </c>
      <c r="K151">
        <f ca="1">PRODUCT($J$3:J151)</f>
        <v>1.362146857637726</v>
      </c>
      <c r="L151">
        <f t="shared" ca="1" si="23"/>
        <v>0.73413523247722978</v>
      </c>
      <c r="M151">
        <f ca="1">SUM($L$3:L151)</f>
        <v>128.10387363458261</v>
      </c>
      <c r="O151">
        <f ca="1">(Q150*'Arkusz1 (+0)'!J151)-Q150</f>
        <v>-685.53927558776923</v>
      </c>
      <c r="P151" s="16">
        <f t="shared" ca="1" si="24"/>
        <v>12269.391015415662</v>
      </c>
      <c r="Q151" s="17">
        <f t="shared" ca="1" si="25"/>
        <v>-345898.50513478485</v>
      </c>
    </row>
    <row r="152" spans="1:17" x14ac:dyDescent="0.35">
      <c r="A152">
        <v>150</v>
      </c>
      <c r="B152" s="14">
        <f t="shared" ca="1" si="26"/>
        <v>50634</v>
      </c>
      <c r="C152" s="15">
        <f ca="1">(1+(('Symulacja Pożyczka'!$B$5+'Symulacja Pożyczka'!$C$18)/100)*('Arkusz1 (+0)'!B152-'Arkusz1 (+0)'!B151)/365)</f>
        <v>1.0021232876712329</v>
      </c>
      <c r="D152" s="15">
        <f ca="1">(1+(('Symulacja Pożyczka'!$B$5+'Symulacja Pożyczka'!$C$18)/100)*('Arkusz1 (+0)'!B152-'Arkusz1 (+0)'!B151)/366)</f>
        <v>1.0021174863387978</v>
      </c>
      <c r="E152" s="15">
        <f t="shared" ca="1" si="18"/>
        <v>0</v>
      </c>
      <c r="F152" s="15">
        <f t="shared" ca="1" si="19"/>
        <v>0</v>
      </c>
      <c r="G152">
        <f ca="1">IF(E152=1,(1+(('Symulacja Pożyczka'!$B$5+'Symulacja Pożyczka'!$C$18)/100)*(((Arkusz1!B152-DATE(YEAR(B152),1,1)+1)/365)+((DATE(YEAR(B151),12,31)-Arkusz1!B151)/366))),IF(F152=1,(1+(('Symulacja Pożyczka'!$B$5+'Symulacja Pożyczka'!$C$22)/100)*(((Arkusz1!B152-DATE(YEAR(B152),1,1)+1)/366)+((DATE(YEAR(B151),12,31)-Arkusz1!B151)/365))),0))</f>
        <v>0</v>
      </c>
      <c r="H152">
        <f t="shared" ca="1" si="20"/>
        <v>0</v>
      </c>
      <c r="I152">
        <f t="shared" ca="1" si="21"/>
        <v>1.0021232876712329</v>
      </c>
      <c r="J152">
        <f t="shared" ca="1" si="22"/>
        <v>1.0021232876712329</v>
      </c>
      <c r="K152">
        <f ca="1">PRODUCT($J$3:J152)</f>
        <v>1.3650390872669569</v>
      </c>
      <c r="L152">
        <f t="shared" ca="1" si="23"/>
        <v>0.73257975491542304</v>
      </c>
      <c r="M152">
        <f ca="1">SUM($L$3:L152)</f>
        <v>128.83645338949805</v>
      </c>
      <c r="O152">
        <f ca="1">(Q151*'Arkusz1 (+0)'!J152)-Q151</f>
        <v>-734.44203145056963</v>
      </c>
      <c r="P152" s="16">
        <f t="shared" ca="1" si="24"/>
        <v>12318.293771278462</v>
      </c>
      <c r="Q152" s="17">
        <f t="shared" ca="1" si="25"/>
        <v>-358216.79890606331</v>
      </c>
    </row>
    <row r="153" spans="1:17" x14ac:dyDescent="0.35">
      <c r="A153">
        <v>151</v>
      </c>
      <c r="B153" s="14">
        <f t="shared" ca="1" si="26"/>
        <v>50665</v>
      </c>
      <c r="C153" s="15">
        <f ca="1">(1+(('Symulacja Pożyczka'!$B$5+'Symulacja Pożyczka'!$C$18)/100)*('Arkusz1 (+0)'!B153-'Arkusz1 (+0)'!B152)/365)</f>
        <v>1.0021232876712329</v>
      </c>
      <c r="D153" s="15">
        <f ca="1">(1+(('Symulacja Pożyczka'!$B$5+'Symulacja Pożyczka'!$C$18)/100)*('Arkusz1 (+0)'!B153-'Arkusz1 (+0)'!B152)/366)</f>
        <v>1.0021174863387978</v>
      </c>
      <c r="E153" s="15">
        <f t="shared" ca="1" si="18"/>
        <v>0</v>
      </c>
      <c r="F153" s="15">
        <f t="shared" ca="1" si="19"/>
        <v>0</v>
      </c>
      <c r="G153">
        <f ca="1">IF(E153=1,(1+(('Symulacja Pożyczka'!$B$5+'Symulacja Pożyczka'!$C$18)/100)*(((Arkusz1!B153-DATE(YEAR(B153),1,1)+1)/365)+((DATE(YEAR(B152),12,31)-Arkusz1!B152)/366))),IF(F153=1,(1+(('Symulacja Pożyczka'!$B$5+'Symulacja Pożyczka'!$C$22)/100)*(((Arkusz1!B153-DATE(YEAR(B153),1,1)+1)/366)+((DATE(YEAR(B152),12,31)-Arkusz1!B152)/365))),0))</f>
        <v>0</v>
      </c>
      <c r="H153">
        <f t="shared" ca="1" si="20"/>
        <v>0</v>
      </c>
      <c r="I153">
        <f t="shared" ca="1" si="21"/>
        <v>1.0021232876712329</v>
      </c>
      <c r="J153">
        <f t="shared" ca="1" si="22"/>
        <v>1.0021232876712329</v>
      </c>
      <c r="K153">
        <f ca="1">PRODUCT($J$3:J153)</f>
        <v>1.3679374579317019</v>
      </c>
      <c r="L153">
        <f t="shared" ca="1" si="23"/>
        <v>0.73102757308216637</v>
      </c>
      <c r="M153">
        <f ca="1">SUM($L$3:L153)</f>
        <v>129.56748096258022</v>
      </c>
      <c r="O153">
        <f ca="1">(Q152*'Arkusz1 (+0)'!J153)-Q152</f>
        <v>-760.59731274575461</v>
      </c>
      <c r="P153" s="16">
        <f t="shared" ca="1" si="24"/>
        <v>12344.449052573647</v>
      </c>
      <c r="Q153" s="17">
        <f t="shared" ca="1" si="25"/>
        <v>-370561.24795863696</v>
      </c>
    </row>
    <row r="154" spans="1:17" x14ac:dyDescent="0.35">
      <c r="A154">
        <v>152</v>
      </c>
      <c r="B154" s="14">
        <f t="shared" ca="1" si="26"/>
        <v>50695</v>
      </c>
      <c r="C154" s="15">
        <f ca="1">(1+(('Symulacja Pożyczka'!$B$5+'Symulacja Pożyczka'!$C$18)/100)*('Arkusz1 (+0)'!B154-'Arkusz1 (+0)'!B153)/365)</f>
        <v>1.002054794520548</v>
      </c>
      <c r="D154" s="15">
        <f ca="1">(1+(('Symulacja Pożyczka'!$B$5+'Symulacja Pożyczka'!$C$18)/100)*('Arkusz1 (+0)'!B154-'Arkusz1 (+0)'!B153)/366)</f>
        <v>1.0020491803278688</v>
      </c>
      <c r="E154" s="15">
        <f t="shared" ca="1" si="18"/>
        <v>0</v>
      </c>
      <c r="F154" s="15">
        <f t="shared" ca="1" si="19"/>
        <v>0</v>
      </c>
      <c r="G154">
        <f ca="1">IF(E154=1,(1+(('Symulacja Pożyczka'!$B$5+'Symulacja Pożyczka'!$C$18)/100)*(((Arkusz1!B154-DATE(YEAR(B154),1,1)+1)/365)+((DATE(YEAR(B153),12,31)-Arkusz1!B153)/366))),IF(F154=1,(1+(('Symulacja Pożyczka'!$B$5+'Symulacja Pożyczka'!$C$22)/100)*(((Arkusz1!B154-DATE(YEAR(B154),1,1)+1)/366)+((DATE(YEAR(B153),12,31)-Arkusz1!B153)/365))),0))</f>
        <v>0</v>
      </c>
      <c r="H154">
        <f t="shared" ca="1" si="20"/>
        <v>0</v>
      </c>
      <c r="I154">
        <f t="shared" ca="1" si="21"/>
        <v>1.002054794520548</v>
      </c>
      <c r="J154">
        <f t="shared" ca="1" si="22"/>
        <v>1.002054794520548</v>
      </c>
      <c r="K154">
        <f ca="1">PRODUCT($J$3:J154)</f>
        <v>1.3707482883247124</v>
      </c>
      <c r="L154">
        <f t="shared" ca="1" si="23"/>
        <v>0.7295285418318268</v>
      </c>
      <c r="M154">
        <f ca="1">SUM($L$3:L154)</f>
        <v>130.29700950441205</v>
      </c>
      <c r="O154">
        <f ca="1">(Q153*'Arkusz1 (+0)'!J154)-Q153</f>
        <v>-761.42722183285514</v>
      </c>
      <c r="P154" s="16">
        <f t="shared" ca="1" si="24"/>
        <v>12345.278961660748</v>
      </c>
      <c r="Q154" s="17">
        <f t="shared" ca="1" si="25"/>
        <v>-382906.52692029771</v>
      </c>
    </row>
    <row r="155" spans="1:17" x14ac:dyDescent="0.35">
      <c r="A155">
        <v>153</v>
      </c>
      <c r="B155" s="14">
        <f t="shared" ca="1" si="26"/>
        <v>50726</v>
      </c>
      <c r="C155" s="15">
        <f ca="1">(1+(('Symulacja Pożyczka'!$B$5+'Symulacja Pożyczka'!$C$18)/100)*('Arkusz1 (+0)'!B155-'Arkusz1 (+0)'!B154)/365)</f>
        <v>1.0021232876712329</v>
      </c>
      <c r="D155" s="15">
        <f ca="1">(1+(('Symulacja Pożyczka'!$B$5+'Symulacja Pożyczka'!$C$18)/100)*('Arkusz1 (+0)'!B155-'Arkusz1 (+0)'!B154)/366)</f>
        <v>1.0021174863387978</v>
      </c>
      <c r="E155" s="15">
        <f t="shared" ca="1" si="18"/>
        <v>0</v>
      </c>
      <c r="F155" s="15">
        <f t="shared" ca="1" si="19"/>
        <v>0</v>
      </c>
      <c r="G155">
        <f ca="1">IF(E155=1,(1+(('Symulacja Pożyczka'!$B$5+'Symulacja Pożyczka'!$C$18)/100)*(((Arkusz1!B155-DATE(YEAR(B155),1,1)+1)/365)+((DATE(YEAR(B154),12,31)-Arkusz1!B154)/366))),IF(F155=1,(1+(('Symulacja Pożyczka'!$B$5+'Symulacja Pożyczka'!$C$22)/100)*(((Arkusz1!B155-DATE(YEAR(B155),1,1)+1)/366)+((DATE(YEAR(B154),12,31)-Arkusz1!B154)/365))),0))</f>
        <v>0</v>
      </c>
      <c r="H155">
        <f t="shared" ca="1" si="20"/>
        <v>0</v>
      </c>
      <c r="I155">
        <f t="shared" ca="1" si="21"/>
        <v>1.0021232876712329</v>
      </c>
      <c r="J155">
        <f t="shared" ca="1" si="22"/>
        <v>1.0021232876712329</v>
      </c>
      <c r="K155">
        <f ca="1">PRODUCT($J$3:J155)</f>
        <v>1.373658781265676</v>
      </c>
      <c r="L155">
        <f t="shared" ca="1" si="23"/>
        <v>0.72798282487490062</v>
      </c>
      <c r="M155">
        <f ca="1">SUM($L$3:L155)</f>
        <v>131.02499232928696</v>
      </c>
      <c r="O155">
        <f ca="1">(Q154*'Arkusz1 (+0)'!J155)-Q154</f>
        <v>-813.02070784446551</v>
      </c>
      <c r="P155" s="16">
        <f t="shared" ca="1" si="24"/>
        <v>12396.872447672358</v>
      </c>
      <c r="Q155" s="17">
        <f t="shared" ca="1" si="25"/>
        <v>-395303.39936797007</v>
      </c>
    </row>
    <row r="156" spans="1:17" x14ac:dyDescent="0.35">
      <c r="A156">
        <v>154</v>
      </c>
      <c r="B156" s="14">
        <f t="shared" ca="1" si="26"/>
        <v>50756</v>
      </c>
      <c r="C156" s="15">
        <f ca="1">(1+(('Symulacja Pożyczka'!$B$5+'Symulacja Pożyczka'!$C$18)/100)*('Arkusz1 (+0)'!B156-'Arkusz1 (+0)'!B155)/365)</f>
        <v>1.002054794520548</v>
      </c>
      <c r="D156" s="15">
        <f ca="1">(1+(('Symulacja Pożyczka'!$B$5+'Symulacja Pożyczka'!$C$18)/100)*('Arkusz1 (+0)'!B156-'Arkusz1 (+0)'!B155)/366)</f>
        <v>1.0020491803278688</v>
      </c>
      <c r="E156" s="15">
        <f t="shared" ca="1" si="18"/>
        <v>0</v>
      </c>
      <c r="F156" s="15">
        <f t="shared" ca="1" si="19"/>
        <v>0</v>
      </c>
      <c r="G156">
        <f ca="1">IF(E156=1,(1+(('Symulacja Pożyczka'!$B$5+'Symulacja Pożyczka'!$C$18)/100)*(((Arkusz1!B156-DATE(YEAR(B156),1,1)+1)/365)+((DATE(YEAR(B155),12,31)-Arkusz1!B155)/366))),IF(F156=1,(1+(('Symulacja Pożyczka'!$B$5+'Symulacja Pożyczka'!$C$22)/100)*(((Arkusz1!B156-DATE(YEAR(B156),1,1)+1)/366)+((DATE(YEAR(B155),12,31)-Arkusz1!B155)/365))),0))</f>
        <v>0</v>
      </c>
      <c r="H156">
        <f t="shared" ca="1" si="20"/>
        <v>0</v>
      </c>
      <c r="I156">
        <f t="shared" ca="1" si="21"/>
        <v>1.002054794520548</v>
      </c>
      <c r="J156">
        <f t="shared" ca="1" si="22"/>
        <v>1.002054794520548</v>
      </c>
      <c r="K156">
        <f ca="1">PRODUCT($J$3:J156)</f>
        <v>1.3764813678025234</v>
      </c>
      <c r="L156">
        <f t="shared" ca="1" si="23"/>
        <v>0.72649003712737847</v>
      </c>
      <c r="M156">
        <f ca="1">SUM($L$3:L156)</f>
        <v>131.75148236641434</v>
      </c>
      <c r="O156">
        <f ca="1">(Q155*'Arkusz1 (+0)'!J156)-Q155</f>
        <v>-812.26725897530559</v>
      </c>
      <c r="P156" s="16">
        <f t="shared" ca="1" si="24"/>
        <v>12396.118998803198</v>
      </c>
      <c r="Q156" s="17">
        <f t="shared" ca="1" si="25"/>
        <v>-407699.51836677326</v>
      </c>
    </row>
    <row r="157" spans="1:17" x14ac:dyDescent="0.35">
      <c r="A157">
        <v>155</v>
      </c>
      <c r="B157" s="14">
        <f t="shared" ca="1" si="26"/>
        <v>50787</v>
      </c>
      <c r="C157" s="15">
        <f ca="1">(1+(('Symulacja Pożyczka'!$B$5+'Symulacja Pożyczka'!$C$18)/100)*('Arkusz1 (+0)'!B157-'Arkusz1 (+0)'!B156)/365)</f>
        <v>1.0021232876712329</v>
      </c>
      <c r="D157" s="15">
        <f ca="1">(1+(('Symulacja Pożyczka'!$B$5+'Symulacja Pożyczka'!$C$18)/100)*('Arkusz1 (+0)'!B157-'Arkusz1 (+0)'!B156)/366)</f>
        <v>1.0021174863387978</v>
      </c>
      <c r="E157" s="15">
        <f t="shared" ca="1" si="18"/>
        <v>0</v>
      </c>
      <c r="F157" s="15">
        <f t="shared" ca="1" si="19"/>
        <v>0</v>
      </c>
      <c r="G157">
        <f ca="1">IF(E157=1,(1+(('Symulacja Pożyczka'!$B$5+'Symulacja Pożyczka'!$C$18)/100)*(((Arkusz1!B157-DATE(YEAR(B157),1,1)+1)/365)+((DATE(YEAR(B156),12,31)-Arkusz1!B156)/366))),IF(F157=1,(1+(('Symulacja Pożyczka'!$B$5+'Symulacja Pożyczka'!$C$22)/100)*(((Arkusz1!B157-DATE(YEAR(B157),1,1)+1)/366)+((DATE(YEAR(B156),12,31)-Arkusz1!B156)/365))),0))</f>
        <v>0</v>
      </c>
      <c r="H157">
        <f t="shared" ca="1" si="20"/>
        <v>0</v>
      </c>
      <c r="I157">
        <f t="shared" ca="1" si="21"/>
        <v>1.0021232876712329</v>
      </c>
      <c r="J157">
        <f t="shared" ca="1" si="22"/>
        <v>1.0021232876712329</v>
      </c>
      <c r="K157">
        <f ca="1">PRODUCT($J$3:J157)</f>
        <v>1.3794040337204603</v>
      </c>
      <c r="L157">
        <f t="shared" ca="1" si="23"/>
        <v>0.72495075812041054</v>
      </c>
      <c r="M157">
        <f ca="1">SUM($L$3:L157)</f>
        <v>132.47643312453474</v>
      </c>
      <c r="O157">
        <f ca="1">(Q156*'Arkusz1 (+0)'!J157)-Q156</f>
        <v>-865.66336091578705</v>
      </c>
      <c r="P157" s="16">
        <f t="shared" ca="1" si="24"/>
        <v>12449.51510074368</v>
      </c>
      <c r="Q157" s="17">
        <f t="shared" ca="1" si="25"/>
        <v>-420149.03346751694</v>
      </c>
    </row>
    <row r="158" spans="1:17" x14ac:dyDescent="0.35">
      <c r="A158">
        <v>156</v>
      </c>
      <c r="B158" s="14">
        <f t="shared" ca="1" si="26"/>
        <v>50818</v>
      </c>
      <c r="C158" s="15">
        <f ca="1">(1+(('Symulacja Pożyczka'!$B$5+'Symulacja Pożyczka'!$C$18)/100)*('Arkusz1 (+0)'!B158-'Arkusz1 (+0)'!B157)/365)</f>
        <v>1.0021232876712329</v>
      </c>
      <c r="D158" s="15">
        <f ca="1">(1+(('Symulacja Pożyczka'!$B$5+'Symulacja Pożyczka'!$C$18)/100)*('Arkusz1 (+0)'!B158-'Arkusz1 (+0)'!B157)/366)</f>
        <v>1.0021174863387978</v>
      </c>
      <c r="E158" s="15">
        <f t="shared" ca="1" si="18"/>
        <v>0</v>
      </c>
      <c r="F158" s="15">
        <f t="shared" ca="1" si="19"/>
        <v>0</v>
      </c>
      <c r="G158">
        <f ca="1">IF(E158=1,(1+(('Symulacja Pożyczka'!$B$5+'Symulacja Pożyczka'!$C$18)/100)*(((Arkusz1!B158-DATE(YEAR(B158),1,1)+1)/365)+((DATE(YEAR(B157),12,31)-Arkusz1!B157)/366))),IF(F158=1,(1+(('Symulacja Pożyczka'!$B$5+'Symulacja Pożyczka'!$C$22)/100)*(((Arkusz1!B158-DATE(YEAR(B158),1,1)+1)/366)+((DATE(YEAR(B157),12,31)-Arkusz1!B157)/365))),0))</f>
        <v>0</v>
      </c>
      <c r="H158">
        <f t="shared" ca="1" si="20"/>
        <v>0</v>
      </c>
      <c r="I158">
        <f t="shared" ca="1" si="21"/>
        <v>1.0021232876712329</v>
      </c>
      <c r="J158">
        <f t="shared" ca="1" si="22"/>
        <v>1.0021232876712329</v>
      </c>
      <c r="K158">
        <f ca="1">PRODUCT($J$3:J158)</f>
        <v>1.382332905298908</v>
      </c>
      <c r="L158">
        <f t="shared" ca="1" si="23"/>
        <v>0.72341474052067478</v>
      </c>
      <c r="M158">
        <f ca="1">SUM($L$3:L158)</f>
        <v>133.1998478650554</v>
      </c>
      <c r="O158">
        <f ca="1">(Q157*'Arkusz1 (+0)'!J158)-Q157</f>
        <v>-892.0972628419986</v>
      </c>
      <c r="P158" s="16">
        <f t="shared" ca="1" si="24"/>
        <v>12475.949002669891</v>
      </c>
      <c r="Q158" s="17">
        <f t="shared" ca="1" si="25"/>
        <v>-432624.98247018683</v>
      </c>
    </row>
    <row r="159" spans="1:17" x14ac:dyDescent="0.35">
      <c r="A159">
        <v>157</v>
      </c>
      <c r="B159" s="14">
        <f t="shared" ca="1" si="26"/>
        <v>50846</v>
      </c>
      <c r="C159" s="15">
        <f ca="1">(1+(('Symulacja Pożyczka'!$B$5+'Symulacja Pożyczka'!$C$18)/100)*('Arkusz1 (+0)'!B159-'Arkusz1 (+0)'!B158)/365)</f>
        <v>1.001917808219178</v>
      </c>
      <c r="D159" s="15">
        <f ca="1">(1+(('Symulacja Pożyczka'!$B$5+'Symulacja Pożyczka'!$C$18)/100)*('Arkusz1 (+0)'!B159-'Arkusz1 (+0)'!B158)/366)</f>
        <v>1.0019125683060108</v>
      </c>
      <c r="E159" s="15">
        <f t="shared" ca="1" si="18"/>
        <v>0</v>
      </c>
      <c r="F159" s="15">
        <f t="shared" ca="1" si="19"/>
        <v>0</v>
      </c>
      <c r="G159">
        <f ca="1">IF(E159=1,(1+(('Symulacja Pożyczka'!$B$5+'Symulacja Pożyczka'!$C$18)/100)*(((Arkusz1!B159-DATE(YEAR(B159),1,1)+1)/365)+((DATE(YEAR(B158),12,31)-Arkusz1!B158)/366))),IF(F159=1,(1+(('Symulacja Pożyczka'!$B$5+'Symulacja Pożyczka'!$C$22)/100)*(((Arkusz1!B159-DATE(YEAR(B159),1,1)+1)/366)+((DATE(YEAR(B158),12,31)-Arkusz1!B158)/365))),0))</f>
        <v>0</v>
      </c>
      <c r="H159">
        <f t="shared" ca="1" si="20"/>
        <v>0</v>
      </c>
      <c r="I159">
        <f t="shared" ca="1" si="21"/>
        <v>1.001917808219178</v>
      </c>
      <c r="J159">
        <f t="shared" ca="1" si="22"/>
        <v>1.001917808219178</v>
      </c>
      <c r="K159">
        <f ca="1">PRODUCT($J$3:J159)</f>
        <v>1.3849839547063303</v>
      </c>
      <c r="L159">
        <f t="shared" ca="1" si="23"/>
        <v>0.72203002540346273</v>
      </c>
      <c r="M159">
        <f ca="1">SUM($L$3:L159)</f>
        <v>133.92187789045886</v>
      </c>
      <c r="O159">
        <f ca="1">(Q158*'Arkusz1 (+0)'!J159)-Q158</f>
        <v>-829.69174720306182</v>
      </c>
      <c r="P159" s="16">
        <f t="shared" ca="1" si="24"/>
        <v>12413.543487030955</v>
      </c>
      <c r="Q159" s="17">
        <f t="shared" ca="1" si="25"/>
        <v>-445038.52595721779</v>
      </c>
    </row>
    <row r="160" spans="1:17" x14ac:dyDescent="0.35">
      <c r="A160">
        <v>158</v>
      </c>
      <c r="B160" s="14">
        <f t="shared" ca="1" si="26"/>
        <v>50877</v>
      </c>
      <c r="C160" s="15">
        <f ca="1">(1+(('Symulacja Pożyczka'!$B$5+'Symulacja Pożyczka'!$C$18)/100)*('Arkusz1 (+0)'!B160-'Arkusz1 (+0)'!B159)/365)</f>
        <v>1.0021232876712329</v>
      </c>
      <c r="D160" s="15">
        <f ca="1">(1+(('Symulacja Pożyczka'!$B$5+'Symulacja Pożyczka'!$C$18)/100)*('Arkusz1 (+0)'!B160-'Arkusz1 (+0)'!B159)/366)</f>
        <v>1.0021174863387978</v>
      </c>
      <c r="E160" s="15">
        <f t="shared" ca="1" si="18"/>
        <v>0</v>
      </c>
      <c r="F160" s="15">
        <f t="shared" ca="1" si="19"/>
        <v>0</v>
      </c>
      <c r="G160">
        <f ca="1">IF(E160=1,(1+(('Symulacja Pożyczka'!$B$5+'Symulacja Pożyczka'!$C$18)/100)*(((Arkusz1!B160-DATE(YEAR(B160),1,1)+1)/365)+((DATE(YEAR(B159),12,31)-Arkusz1!B159)/366))),IF(F160=1,(1+(('Symulacja Pożyczka'!$B$5+'Symulacja Pożyczka'!$C$22)/100)*(((Arkusz1!B160-DATE(YEAR(B160),1,1)+1)/366)+((DATE(YEAR(B159),12,31)-Arkusz1!B159)/365))),0))</f>
        <v>0</v>
      </c>
      <c r="H160">
        <f t="shared" ca="1" si="20"/>
        <v>0</v>
      </c>
      <c r="I160">
        <f t="shared" ca="1" si="21"/>
        <v>1.0021232876712329</v>
      </c>
      <c r="J160">
        <f t="shared" ca="1" si="22"/>
        <v>1.0021232876712329</v>
      </c>
      <c r="K160">
        <f ca="1">PRODUCT($J$3:J160)</f>
        <v>1.3879246740622138</v>
      </c>
      <c r="L160">
        <f t="shared" ca="1" si="23"/>
        <v>0.72050019621970851</v>
      </c>
      <c r="M160">
        <f ca="1">SUM($L$3:L160)</f>
        <v>134.64237808667858</v>
      </c>
      <c r="O160">
        <f ca="1">(Q159*'Arkusz1 (+0)'!J160)-Q159</f>
        <v>-944.94481538864784</v>
      </c>
      <c r="P160" s="16">
        <f t="shared" ca="1" si="24"/>
        <v>12528.796555216541</v>
      </c>
      <c r="Q160" s="17">
        <f t="shared" ca="1" si="25"/>
        <v>-457567.32251243433</v>
      </c>
    </row>
    <row r="161" spans="1:17" x14ac:dyDescent="0.35">
      <c r="A161">
        <v>159</v>
      </c>
      <c r="B161" s="14">
        <f t="shared" ca="1" si="26"/>
        <v>50907</v>
      </c>
      <c r="C161" s="15">
        <f ca="1">(1+(('Symulacja Pożyczka'!$B$5+'Symulacja Pożyczka'!$C$18)/100)*('Arkusz1 (+0)'!B161-'Arkusz1 (+0)'!B160)/365)</f>
        <v>1.002054794520548</v>
      </c>
      <c r="D161" s="15">
        <f ca="1">(1+(('Symulacja Pożyczka'!$B$5+'Symulacja Pożyczka'!$C$18)/100)*('Arkusz1 (+0)'!B161-'Arkusz1 (+0)'!B160)/366)</f>
        <v>1.0020491803278688</v>
      </c>
      <c r="E161" s="15">
        <f t="shared" ca="1" si="18"/>
        <v>0</v>
      </c>
      <c r="F161" s="15">
        <f t="shared" ca="1" si="19"/>
        <v>0</v>
      </c>
      <c r="G161">
        <f ca="1">IF(E161=1,(1+(('Symulacja Pożyczka'!$B$5+'Symulacja Pożyczka'!$C$18)/100)*(((Arkusz1!B161-DATE(YEAR(B161),1,1)+1)/365)+((DATE(YEAR(B160),12,31)-Arkusz1!B160)/366))),IF(F161=1,(1+(('Symulacja Pożyczka'!$B$5+'Symulacja Pożyczka'!$C$22)/100)*(((Arkusz1!B161-DATE(YEAR(B161),1,1)+1)/366)+((DATE(YEAR(B160),12,31)-Arkusz1!B160)/365))),0))</f>
        <v>0</v>
      </c>
      <c r="H161">
        <f t="shared" ca="1" si="20"/>
        <v>0</v>
      </c>
      <c r="I161">
        <f t="shared" ca="1" si="21"/>
        <v>1.002054794520548</v>
      </c>
      <c r="J161">
        <f t="shared" ca="1" si="22"/>
        <v>1.002054794520548</v>
      </c>
      <c r="K161">
        <f ca="1">PRODUCT($J$3:J161)</f>
        <v>1.3907765740774103</v>
      </c>
      <c r="L161">
        <f t="shared" ca="1" si="23"/>
        <v>0.71902275220832146</v>
      </c>
      <c r="M161">
        <f ca="1">SUM($L$3:L161)</f>
        <v>135.36140083888691</v>
      </c>
      <c r="O161">
        <f ca="1">(Q160*'Arkusz1 (+0)'!J161)-Q160</f>
        <v>-940.20682708040113</v>
      </c>
      <c r="P161" s="16">
        <f t="shared" ca="1" si="24"/>
        <v>12524.058566908294</v>
      </c>
      <c r="Q161" s="17">
        <f t="shared" ca="1" si="25"/>
        <v>-470091.38107934262</v>
      </c>
    </row>
    <row r="162" spans="1:17" x14ac:dyDescent="0.35">
      <c r="A162">
        <v>160</v>
      </c>
      <c r="B162" s="14">
        <f t="shared" ca="1" si="26"/>
        <v>50938</v>
      </c>
      <c r="C162" s="15">
        <f ca="1">(1+(('Symulacja Pożyczka'!$B$5+'Symulacja Pożyczka'!$C$18)/100)*('Arkusz1 (+0)'!B162-'Arkusz1 (+0)'!B161)/365)</f>
        <v>1.0021232876712329</v>
      </c>
      <c r="D162" s="15">
        <f ca="1">(1+(('Symulacja Pożyczka'!$B$5+'Symulacja Pożyczka'!$C$18)/100)*('Arkusz1 (+0)'!B162-'Arkusz1 (+0)'!B161)/366)</f>
        <v>1.0021174863387978</v>
      </c>
      <c r="E162" s="15">
        <f t="shared" ca="1" si="18"/>
        <v>0</v>
      </c>
      <c r="F162" s="15">
        <f t="shared" ca="1" si="19"/>
        <v>0</v>
      </c>
      <c r="G162">
        <f ca="1">IF(E162=1,(1+(('Symulacja Pożyczka'!$B$5+'Symulacja Pożyczka'!$C$18)/100)*(((Arkusz1!B162-DATE(YEAR(B162),1,1)+1)/365)+((DATE(YEAR(B161),12,31)-Arkusz1!B161)/366))),IF(F162=1,(1+(('Symulacja Pożyczka'!$B$5+'Symulacja Pożyczka'!$C$22)/100)*(((Arkusz1!B162-DATE(YEAR(B162),1,1)+1)/366)+((DATE(YEAR(B161),12,31)-Arkusz1!B161)/365))),0))</f>
        <v>0</v>
      </c>
      <c r="H162">
        <f t="shared" ca="1" si="20"/>
        <v>0</v>
      </c>
      <c r="I162">
        <f t="shared" ca="1" si="21"/>
        <v>1.0021232876712329</v>
      </c>
      <c r="J162">
        <f t="shared" ca="1" si="22"/>
        <v>1.0021232876712329</v>
      </c>
      <c r="K162">
        <f ca="1">PRODUCT($J$3:J162)</f>
        <v>1.3937295928305884</v>
      </c>
      <c r="L162">
        <f t="shared" ca="1" si="23"/>
        <v>0.71749929480155106</v>
      </c>
      <c r="M162">
        <f ca="1">SUM($L$3:L162)</f>
        <v>136.07890013368845</v>
      </c>
      <c r="O162">
        <f ca="1">(Q161*'Arkusz1 (+0)'!J162)-Q161</f>
        <v>-998.13923379860353</v>
      </c>
      <c r="P162" s="16">
        <f t="shared" ca="1" si="24"/>
        <v>12581.990973626496</v>
      </c>
      <c r="Q162" s="17">
        <f t="shared" ca="1" si="25"/>
        <v>-482673.37205296912</v>
      </c>
    </row>
    <row r="163" spans="1:17" x14ac:dyDescent="0.35">
      <c r="A163">
        <v>161</v>
      </c>
      <c r="B163" s="14">
        <f t="shared" ca="1" si="26"/>
        <v>50968</v>
      </c>
      <c r="C163" s="15">
        <f ca="1">(1+(('Symulacja Pożyczka'!$B$5+'Symulacja Pożyczka'!$C$18)/100)*('Arkusz1 (+0)'!B163-'Arkusz1 (+0)'!B162)/365)</f>
        <v>1.002054794520548</v>
      </c>
      <c r="D163" s="15">
        <f ca="1">(1+(('Symulacja Pożyczka'!$B$5+'Symulacja Pożyczka'!$C$18)/100)*('Arkusz1 (+0)'!B163-'Arkusz1 (+0)'!B162)/366)</f>
        <v>1.0020491803278688</v>
      </c>
      <c r="E163" s="15">
        <f t="shared" ca="1" si="18"/>
        <v>0</v>
      </c>
      <c r="F163" s="15">
        <f t="shared" ca="1" si="19"/>
        <v>0</v>
      </c>
      <c r="G163">
        <f ca="1">IF(E163=1,(1+(('Symulacja Pożyczka'!$B$5+'Symulacja Pożyczka'!$C$18)/100)*(((Arkusz1!B163-DATE(YEAR(B163),1,1)+1)/365)+((DATE(YEAR(B162),12,31)-Arkusz1!B162)/366))),IF(F163=1,(1+(('Symulacja Pożyczka'!$B$5+'Symulacja Pożyczka'!$C$22)/100)*(((Arkusz1!B163-DATE(YEAR(B163),1,1)+1)/366)+((DATE(YEAR(B162),12,31)-Arkusz1!B162)/365))),0))</f>
        <v>0</v>
      </c>
      <c r="H163">
        <f t="shared" ca="1" si="20"/>
        <v>0</v>
      </c>
      <c r="I163">
        <f t="shared" ca="1" si="21"/>
        <v>1.002054794520548</v>
      </c>
      <c r="J163">
        <f t="shared" ca="1" si="22"/>
        <v>1.002054794520548</v>
      </c>
      <c r="K163">
        <f ca="1">PRODUCT($J$3:J163)</f>
        <v>1.3965934207610624</v>
      </c>
      <c r="L163">
        <f t="shared" ca="1" si="23"/>
        <v>0.71602800438158876</v>
      </c>
      <c r="M163">
        <f ca="1">SUM($L$3:L163)</f>
        <v>136.79492813807005</v>
      </c>
      <c r="O163">
        <f ca="1">(Q162*'Arkusz1 (+0)'!J163)-Q162</f>
        <v>-991.79460010887124</v>
      </c>
      <c r="P163" s="16">
        <f t="shared" ca="1" si="24"/>
        <v>12575.646339936764</v>
      </c>
      <c r="Q163" s="17">
        <f t="shared" ca="1" si="25"/>
        <v>-495249.01839290588</v>
      </c>
    </row>
    <row r="164" spans="1:17" x14ac:dyDescent="0.35">
      <c r="A164">
        <v>162</v>
      </c>
      <c r="B164" s="14">
        <f t="shared" ca="1" si="26"/>
        <v>50999</v>
      </c>
      <c r="C164" s="15">
        <f ca="1">(1+(('Symulacja Pożyczka'!$B$5+'Symulacja Pożyczka'!$C$18)/100)*('Arkusz1 (+0)'!B164-'Arkusz1 (+0)'!B163)/365)</f>
        <v>1.0021232876712329</v>
      </c>
      <c r="D164" s="15">
        <f ca="1">(1+(('Symulacja Pożyczka'!$B$5+'Symulacja Pożyczka'!$C$18)/100)*('Arkusz1 (+0)'!B164-'Arkusz1 (+0)'!B163)/366)</f>
        <v>1.0021174863387978</v>
      </c>
      <c r="E164" s="15">
        <f t="shared" ca="1" si="18"/>
        <v>0</v>
      </c>
      <c r="F164" s="15">
        <f t="shared" ca="1" si="19"/>
        <v>0</v>
      </c>
      <c r="G164">
        <f ca="1">IF(E164=1,(1+(('Symulacja Pożyczka'!$B$5+'Symulacja Pożyczka'!$C$18)/100)*(((Arkusz1!B164-DATE(YEAR(B164),1,1)+1)/365)+((DATE(YEAR(B163),12,31)-Arkusz1!B163)/366))),IF(F164=1,(1+(('Symulacja Pożyczka'!$B$5+'Symulacja Pożyczka'!$C$22)/100)*(((Arkusz1!B164-DATE(YEAR(B164),1,1)+1)/366)+((DATE(YEAR(B163),12,31)-Arkusz1!B163)/365))),0))</f>
        <v>0</v>
      </c>
      <c r="H164">
        <f t="shared" ca="1" si="20"/>
        <v>0</v>
      </c>
      <c r="I164">
        <f t="shared" ca="1" si="21"/>
        <v>1.0021232876712329</v>
      </c>
      <c r="J164">
        <f t="shared" ca="1" si="22"/>
        <v>1.0021232876712329</v>
      </c>
      <c r="K164">
        <f ca="1">PRODUCT($J$3:J164)</f>
        <v>1.3995587903530895</v>
      </c>
      <c r="L164">
        <f t="shared" ca="1" si="23"/>
        <v>0.71451089221319075</v>
      </c>
      <c r="M164">
        <f ca="1">SUM($L$3:L164)</f>
        <v>137.50943903028323</v>
      </c>
      <c r="O164">
        <f ca="1">(Q163*'Arkusz1 (+0)'!J164)-Q163</f>
        <v>-1051.5561349438503</v>
      </c>
      <c r="P164" s="16">
        <f t="shared" ca="1" si="24"/>
        <v>12635.407874771743</v>
      </c>
      <c r="Q164" s="17">
        <f t="shared" ca="1" si="25"/>
        <v>-507884.42626767763</v>
      </c>
    </row>
    <row r="165" spans="1:17" x14ac:dyDescent="0.35">
      <c r="A165">
        <v>163</v>
      </c>
      <c r="B165" s="14">
        <f t="shared" ca="1" si="26"/>
        <v>51030</v>
      </c>
      <c r="C165" s="15">
        <f ca="1">(1+(('Symulacja Pożyczka'!$B$5+'Symulacja Pożyczka'!$C$18)/100)*('Arkusz1 (+0)'!B165-'Arkusz1 (+0)'!B164)/365)</f>
        <v>1.0021232876712329</v>
      </c>
      <c r="D165" s="15">
        <f ca="1">(1+(('Symulacja Pożyczka'!$B$5+'Symulacja Pożyczka'!$C$18)/100)*('Arkusz1 (+0)'!B165-'Arkusz1 (+0)'!B164)/366)</f>
        <v>1.0021174863387978</v>
      </c>
      <c r="E165" s="15">
        <f t="shared" ca="1" si="18"/>
        <v>0</v>
      </c>
      <c r="F165" s="15">
        <f t="shared" ca="1" si="19"/>
        <v>0</v>
      </c>
      <c r="G165">
        <f ca="1">IF(E165=1,(1+(('Symulacja Pożyczka'!$B$5+'Symulacja Pożyczka'!$C$18)/100)*(((Arkusz1!B165-DATE(YEAR(B165),1,1)+1)/365)+((DATE(YEAR(B164),12,31)-Arkusz1!B164)/366))),IF(F165=1,(1+(('Symulacja Pożyczka'!$B$5+'Symulacja Pożyczka'!$C$22)/100)*(((Arkusz1!B165-DATE(YEAR(B165),1,1)+1)/366)+((DATE(YEAR(B164),12,31)-Arkusz1!B164)/365))),0))</f>
        <v>0</v>
      </c>
      <c r="H165">
        <f t="shared" ca="1" si="20"/>
        <v>0</v>
      </c>
      <c r="I165">
        <f t="shared" ca="1" si="21"/>
        <v>1.0021232876712329</v>
      </c>
      <c r="J165">
        <f t="shared" ca="1" si="22"/>
        <v>1.0021232876712329</v>
      </c>
      <c r="K165">
        <f ca="1">PRODUCT($J$3:J165)</f>
        <v>1.4025304562778118</v>
      </c>
      <c r="L165">
        <f t="shared" ca="1" si="23"/>
        <v>0.71299699448517428</v>
      </c>
      <c r="M165">
        <f ca="1">SUM($L$3:L165)</f>
        <v>138.2224360247684</v>
      </c>
      <c r="O165">
        <f ca="1">(Q164*'Arkusz1 (+0)'!J165)-Q164</f>
        <v>-1078.384740705369</v>
      </c>
      <c r="P165" s="16">
        <f t="shared" ca="1" si="24"/>
        <v>12662.236480533262</v>
      </c>
      <c r="Q165" s="17">
        <f t="shared" ca="1" si="25"/>
        <v>-520546.66274821089</v>
      </c>
    </row>
    <row r="166" spans="1:17" x14ac:dyDescent="0.35">
      <c r="A166">
        <v>164</v>
      </c>
      <c r="B166" s="14">
        <f t="shared" ca="1" si="26"/>
        <v>51060</v>
      </c>
      <c r="C166" s="15">
        <f ca="1">(1+(('Symulacja Pożyczka'!$B$5+'Symulacja Pożyczka'!$C$18)/100)*('Arkusz1 (+0)'!B166-'Arkusz1 (+0)'!B165)/365)</f>
        <v>1.002054794520548</v>
      </c>
      <c r="D166" s="15">
        <f ca="1">(1+(('Symulacja Pożyczka'!$B$5+'Symulacja Pożyczka'!$C$18)/100)*('Arkusz1 (+0)'!B166-'Arkusz1 (+0)'!B165)/366)</f>
        <v>1.0020491803278688</v>
      </c>
      <c r="E166" s="15">
        <f t="shared" ca="1" si="18"/>
        <v>0</v>
      </c>
      <c r="F166" s="15">
        <f t="shared" ca="1" si="19"/>
        <v>0</v>
      </c>
      <c r="G166">
        <f ca="1">IF(E166=1,(1+(('Symulacja Pożyczka'!$B$5+'Symulacja Pożyczka'!$C$18)/100)*(((Arkusz1!B166-DATE(YEAR(B166),1,1)+1)/365)+((DATE(YEAR(B165),12,31)-Arkusz1!B165)/366))),IF(F166=1,(1+(('Symulacja Pożyczka'!$B$5+'Symulacja Pożyczka'!$C$22)/100)*(((Arkusz1!B166-DATE(YEAR(B166),1,1)+1)/366)+((DATE(YEAR(B165),12,31)-Arkusz1!B165)/365))),0))</f>
        <v>0</v>
      </c>
      <c r="H166">
        <f t="shared" ca="1" si="20"/>
        <v>0</v>
      </c>
      <c r="I166">
        <f t="shared" ca="1" si="21"/>
        <v>1.002054794520548</v>
      </c>
      <c r="J166">
        <f t="shared" ca="1" si="22"/>
        <v>1.002054794520548</v>
      </c>
      <c r="K166">
        <f ca="1">PRODUCT($J$3:J166)</f>
        <v>1.4054123681742732</v>
      </c>
      <c r="L166">
        <f t="shared" ca="1" si="23"/>
        <v>0.71153493639668797</v>
      </c>
      <c r="M166">
        <f ca="1">SUM($L$3:L166)</f>
        <v>138.93397096116507</v>
      </c>
      <c r="O166">
        <f ca="1">(Q165*'Arkusz1 (+0)'!J166)-Q165</f>
        <v>-1069.6164303045953</v>
      </c>
      <c r="P166" s="16">
        <f t="shared" ca="1" si="24"/>
        <v>12653.468170132488</v>
      </c>
      <c r="Q166" s="17">
        <f t="shared" ca="1" si="25"/>
        <v>-533200.13091834332</v>
      </c>
    </row>
    <row r="167" spans="1:17" x14ac:dyDescent="0.35">
      <c r="A167">
        <v>165</v>
      </c>
      <c r="B167" s="14">
        <f t="shared" ca="1" si="26"/>
        <v>51091</v>
      </c>
      <c r="C167" s="15">
        <f ca="1">(1+(('Symulacja Pożyczka'!$B$5+'Symulacja Pożyczka'!$C$18)/100)*('Arkusz1 (+0)'!B167-'Arkusz1 (+0)'!B166)/365)</f>
        <v>1.0021232876712329</v>
      </c>
      <c r="D167" s="15">
        <f ca="1">(1+(('Symulacja Pożyczka'!$B$5+'Symulacja Pożyczka'!$C$18)/100)*('Arkusz1 (+0)'!B167-'Arkusz1 (+0)'!B166)/366)</f>
        <v>1.0021174863387978</v>
      </c>
      <c r="E167" s="15">
        <f t="shared" ca="1" si="18"/>
        <v>0</v>
      </c>
      <c r="F167" s="15">
        <f t="shared" ca="1" si="19"/>
        <v>0</v>
      </c>
      <c r="G167">
        <f ca="1">IF(E167=1,(1+(('Symulacja Pożyczka'!$B$5+'Symulacja Pożyczka'!$C$18)/100)*(((Arkusz1!B167-DATE(YEAR(B167),1,1)+1)/365)+((DATE(YEAR(B166),12,31)-Arkusz1!B166)/366))),IF(F167=1,(1+(('Symulacja Pożyczka'!$B$5+'Symulacja Pożyczka'!$C$22)/100)*(((Arkusz1!B167-DATE(YEAR(B167),1,1)+1)/366)+((DATE(YEAR(B166),12,31)-Arkusz1!B166)/365))),0))</f>
        <v>0</v>
      </c>
      <c r="H167">
        <f t="shared" ca="1" si="20"/>
        <v>0</v>
      </c>
      <c r="I167">
        <f t="shared" ca="1" si="21"/>
        <v>1.0021232876712329</v>
      </c>
      <c r="J167">
        <f t="shared" ca="1" si="22"/>
        <v>1.0021232876712329</v>
      </c>
      <c r="K167">
        <f ca="1">PRODUCT($J$3:J167)</f>
        <v>1.4083964629286159</v>
      </c>
      <c r="L167">
        <f t="shared" ca="1" si="23"/>
        <v>0.71002734409074175</v>
      </c>
      <c r="M167">
        <f ca="1">SUM($L$3:L167)</f>
        <v>139.64399830525582</v>
      </c>
      <c r="O167">
        <f ca="1">(Q166*'Arkusz1 (+0)'!J167)-Q166</f>
        <v>-1132.1372642787173</v>
      </c>
      <c r="P167" s="16">
        <f t="shared" ca="1" si="24"/>
        <v>12715.98900410661</v>
      </c>
      <c r="Q167" s="17">
        <f t="shared" ca="1" si="25"/>
        <v>-545916.11992244993</v>
      </c>
    </row>
    <row r="168" spans="1:17" x14ac:dyDescent="0.35">
      <c r="A168">
        <v>166</v>
      </c>
      <c r="B168" s="14">
        <f t="shared" ca="1" si="26"/>
        <v>51121</v>
      </c>
      <c r="C168" s="15">
        <f ca="1">(1+(('Symulacja Pożyczka'!$B$5+'Symulacja Pożyczka'!$C$18)/100)*('Arkusz1 (+0)'!B168-'Arkusz1 (+0)'!B167)/365)</f>
        <v>1.002054794520548</v>
      </c>
      <c r="D168" s="15">
        <f ca="1">(1+(('Symulacja Pożyczka'!$B$5+'Symulacja Pożyczka'!$C$18)/100)*('Arkusz1 (+0)'!B168-'Arkusz1 (+0)'!B167)/366)</f>
        <v>1.0020491803278688</v>
      </c>
      <c r="E168" s="15">
        <f t="shared" ca="1" si="18"/>
        <v>0</v>
      </c>
      <c r="F168" s="15">
        <f t="shared" ca="1" si="19"/>
        <v>0</v>
      </c>
      <c r="G168">
        <f ca="1">IF(E168=1,(1+(('Symulacja Pożyczka'!$B$5+'Symulacja Pożyczka'!$C$18)/100)*(((Arkusz1!B168-DATE(YEAR(B168),1,1)+1)/365)+((DATE(YEAR(B167),12,31)-Arkusz1!B167)/366))),IF(F168=1,(1+(('Symulacja Pożyczka'!$B$5+'Symulacja Pożyczka'!$C$22)/100)*(((Arkusz1!B168-DATE(YEAR(B168),1,1)+1)/366)+((DATE(YEAR(B167),12,31)-Arkusz1!B167)/365))),0))</f>
        <v>0</v>
      </c>
      <c r="H168">
        <f t="shared" ca="1" si="20"/>
        <v>0</v>
      </c>
      <c r="I168">
        <f t="shared" ca="1" si="21"/>
        <v>1.002054794520548</v>
      </c>
      <c r="J168">
        <f t="shared" ca="1" si="22"/>
        <v>1.002054794520548</v>
      </c>
      <c r="K168">
        <f ca="1">PRODUCT($J$3:J168)</f>
        <v>1.4112904282634009</v>
      </c>
      <c r="L168">
        <f t="shared" ca="1" si="23"/>
        <v>0.70857137551092475</v>
      </c>
      <c r="M168">
        <f ca="1">SUM($L$3:L168)</f>
        <v>140.35256968076675</v>
      </c>
      <c r="O168">
        <f ca="1">(Q167*'Arkusz1 (+0)'!J168)-Q167</f>
        <v>-1121.7454518955201</v>
      </c>
      <c r="P168" s="16">
        <f t="shared" ca="1" si="24"/>
        <v>12705.597191723413</v>
      </c>
      <c r="Q168" s="17">
        <f t="shared" ca="1" si="25"/>
        <v>-558621.71711417334</v>
      </c>
    </row>
    <row r="169" spans="1:17" x14ac:dyDescent="0.35">
      <c r="A169">
        <v>167</v>
      </c>
      <c r="B169" s="14">
        <f t="shared" ca="1" si="26"/>
        <v>51152</v>
      </c>
      <c r="C169" s="15">
        <f ca="1">(1+(('Symulacja Pożyczka'!$B$5+'Symulacja Pożyczka'!$C$18)/100)*('Arkusz1 (+0)'!B169-'Arkusz1 (+0)'!B168)/365)</f>
        <v>1.0021232876712329</v>
      </c>
      <c r="D169" s="15">
        <f ca="1">(1+(('Symulacja Pożyczka'!$B$5+'Symulacja Pożyczka'!$C$18)/100)*('Arkusz1 (+0)'!B169-'Arkusz1 (+0)'!B168)/366)</f>
        <v>1.0021174863387978</v>
      </c>
      <c r="E169" s="15">
        <f t="shared" ca="1" si="18"/>
        <v>0</v>
      </c>
      <c r="F169" s="15">
        <f t="shared" ca="1" si="19"/>
        <v>1</v>
      </c>
      <c r="G169">
        <f ca="1">IF(E169=1,(1+(('Symulacja Pożyczka'!$B$5+'Symulacja Pożyczka'!$C$18)/100)*(((Arkusz1!B169-DATE(YEAR(B169),1,1)+1)/365)+((DATE(YEAR(B168),12,31)-Arkusz1!B168)/366))),IF(F169=1,(1+(('Symulacja Pożyczka'!$B$5+'Symulacja Pożyczka'!$C$22)/100)*(((Arkusz1!B169-DATE(YEAR(B169),1,1)+1)/366)+((DATE(YEAR(B168),12,31)-Arkusz1!B168)/365))),0))</f>
        <v>1.0021201062953813</v>
      </c>
      <c r="H169">
        <f t="shared" ca="1" si="20"/>
        <v>1</v>
      </c>
      <c r="I169">
        <f t="shared" ca="1" si="21"/>
        <v>1.0021174863387978</v>
      </c>
      <c r="J169">
        <f t="shared" ca="1" si="22"/>
        <v>1.0021201062953813</v>
      </c>
      <c r="K169">
        <f ca="1">PRODUCT($J$3:J169)</f>
        <v>1.4142825139849735</v>
      </c>
      <c r="L169">
        <f t="shared" ca="1" si="23"/>
        <v>0.70707230706143398</v>
      </c>
      <c r="M169">
        <f ca="1">SUM($L$3:L169)</f>
        <v>141.05964198782817</v>
      </c>
      <c r="O169">
        <f ca="1">(Q168*'Arkusz1 (+0)'!J169)-Q168</f>
        <v>-1184.3374191904441</v>
      </c>
      <c r="P169" s="16">
        <f t="shared" ca="1" si="24"/>
        <v>12768.189159018337</v>
      </c>
      <c r="Q169" s="17">
        <f t="shared" ca="1" si="25"/>
        <v>-571389.90627319168</v>
      </c>
    </row>
    <row r="170" spans="1:17" x14ac:dyDescent="0.35">
      <c r="A170">
        <v>168</v>
      </c>
      <c r="B170" s="14">
        <f t="shared" ca="1" si="26"/>
        <v>51183</v>
      </c>
      <c r="C170" s="15">
        <f ca="1">(1+(('Symulacja Pożyczka'!$B$5+'Symulacja Pożyczka'!$C$18)/100)*('Arkusz1 (+0)'!B170-'Arkusz1 (+0)'!B169)/365)</f>
        <v>1.0021232876712329</v>
      </c>
      <c r="D170" s="15">
        <f ca="1">(1+(('Symulacja Pożyczka'!$B$5+'Symulacja Pożyczka'!$C$18)/100)*('Arkusz1 (+0)'!B170-'Arkusz1 (+0)'!B169)/366)</f>
        <v>1.0021174863387978</v>
      </c>
      <c r="E170" s="15">
        <f t="shared" ca="1" si="18"/>
        <v>0</v>
      </c>
      <c r="F170" s="15">
        <f t="shared" ca="1" si="19"/>
        <v>0</v>
      </c>
      <c r="G170">
        <f ca="1">IF(E170=1,(1+(('Symulacja Pożyczka'!$B$5+'Symulacja Pożyczka'!$C$18)/100)*(((Arkusz1!B170-DATE(YEAR(B170),1,1)+1)/365)+((DATE(YEAR(B169),12,31)-Arkusz1!B169)/366))),IF(F170=1,(1+(('Symulacja Pożyczka'!$B$5+'Symulacja Pożyczka'!$C$22)/100)*(((Arkusz1!B170-DATE(YEAR(B170),1,1)+1)/366)+((DATE(YEAR(B169),12,31)-Arkusz1!B169)/365))),0))</f>
        <v>0</v>
      </c>
      <c r="H170">
        <f t="shared" ca="1" si="20"/>
        <v>1</v>
      </c>
      <c r="I170">
        <f t="shared" ca="1" si="21"/>
        <v>1.0021174863387978</v>
      </c>
      <c r="J170">
        <f t="shared" ca="1" si="22"/>
        <v>1.0021174863387978</v>
      </c>
      <c r="K170">
        <f ca="1">PRODUCT($J$3:J170)</f>
        <v>1.4172772378875373</v>
      </c>
      <c r="L170">
        <f t="shared" ca="1" si="23"/>
        <v>0.7055782547460564</v>
      </c>
      <c r="M170">
        <f ca="1">SUM($L$3:L170)</f>
        <v>141.76522024257423</v>
      </c>
      <c r="O170">
        <f ca="1">(Q169*'Arkusz1 (+0)'!J170)-Q169</f>
        <v>-1209.9103206604486</v>
      </c>
      <c r="P170" s="16">
        <f t="shared" ca="1" si="24"/>
        <v>12793.762060488341</v>
      </c>
      <c r="Q170" s="17">
        <f t="shared" ca="1" si="25"/>
        <v>-584183.66833368002</v>
      </c>
    </row>
    <row r="171" spans="1:17" x14ac:dyDescent="0.35">
      <c r="A171">
        <v>169</v>
      </c>
      <c r="B171" s="14">
        <f t="shared" ca="1" si="26"/>
        <v>51212</v>
      </c>
      <c r="C171" s="15">
        <f ca="1">(1+(('Symulacja Pożyczka'!$B$5+'Symulacja Pożyczka'!$C$18)/100)*('Arkusz1 (+0)'!B171-'Arkusz1 (+0)'!B170)/365)</f>
        <v>1.0019863013698631</v>
      </c>
      <c r="D171" s="15">
        <f ca="1">(1+(('Symulacja Pożyczka'!$B$5+'Symulacja Pożyczka'!$C$18)/100)*('Arkusz1 (+0)'!B171-'Arkusz1 (+0)'!B170)/366)</f>
        <v>1.0019808743169398</v>
      </c>
      <c r="E171" s="15">
        <f t="shared" ca="1" si="18"/>
        <v>0</v>
      </c>
      <c r="F171" s="15">
        <f t="shared" ca="1" si="19"/>
        <v>0</v>
      </c>
      <c r="G171">
        <f ca="1">IF(E171=1,(1+(('Symulacja Pożyczka'!$B$5+'Symulacja Pożyczka'!$C$18)/100)*(((Arkusz1!B171-DATE(YEAR(B171),1,1)+1)/365)+((DATE(YEAR(B170),12,31)-Arkusz1!B170)/366))),IF(F171=1,(1+(('Symulacja Pożyczka'!$B$5+'Symulacja Pożyczka'!$C$22)/100)*(((Arkusz1!B171-DATE(YEAR(B171),1,1)+1)/366)+((DATE(YEAR(B170),12,31)-Arkusz1!B170)/365))),0))</f>
        <v>0</v>
      </c>
      <c r="H171">
        <f t="shared" ca="1" si="20"/>
        <v>1</v>
      </c>
      <c r="I171">
        <f t="shared" ca="1" si="21"/>
        <v>1.0019808743169398</v>
      </c>
      <c r="J171">
        <f t="shared" ca="1" si="22"/>
        <v>1.0019808743169398</v>
      </c>
      <c r="K171">
        <f ca="1">PRODUCT($J$3:J171)</f>
        <v>1.4200846859680523</v>
      </c>
      <c r="L171">
        <f t="shared" ca="1" si="23"/>
        <v>0.70418335602169646</v>
      </c>
      <c r="M171">
        <f ca="1">SUM($L$3:L171)</f>
        <v>142.46940359859593</v>
      </c>
      <c r="O171">
        <f ca="1">(Q170*'Arkusz1 (+0)'!J171)-Q170</f>
        <v>-1157.1944249778753</v>
      </c>
      <c r="P171" s="16">
        <f t="shared" ca="1" si="24"/>
        <v>12741.046164805768</v>
      </c>
      <c r="Q171" s="17">
        <f t="shared" ca="1" si="25"/>
        <v>-596924.71449848579</v>
      </c>
    </row>
    <row r="172" spans="1:17" x14ac:dyDescent="0.35">
      <c r="A172">
        <v>170</v>
      </c>
      <c r="B172" s="14">
        <f t="shared" ca="1" si="26"/>
        <v>51243</v>
      </c>
      <c r="C172" s="15">
        <f ca="1">(1+(('Symulacja Pożyczka'!$B$5+'Symulacja Pożyczka'!$C$18)/100)*('Arkusz1 (+0)'!B172-'Arkusz1 (+0)'!B171)/365)</f>
        <v>1.0021232876712329</v>
      </c>
      <c r="D172" s="15">
        <f ca="1">(1+(('Symulacja Pożyczka'!$B$5+'Symulacja Pożyczka'!$C$18)/100)*('Arkusz1 (+0)'!B172-'Arkusz1 (+0)'!B171)/366)</f>
        <v>1.0021174863387978</v>
      </c>
      <c r="E172" s="15">
        <f t="shared" ca="1" si="18"/>
        <v>0</v>
      </c>
      <c r="F172" s="15">
        <f t="shared" ca="1" si="19"/>
        <v>0</v>
      </c>
      <c r="G172">
        <f ca="1">IF(E172=1,(1+(('Symulacja Pożyczka'!$B$5+'Symulacja Pożyczka'!$C$18)/100)*(((Arkusz1!B172-DATE(YEAR(B172),1,1)+1)/365)+((DATE(YEAR(B171),12,31)-Arkusz1!B171)/366))),IF(F172=1,(1+(('Symulacja Pożyczka'!$B$5+'Symulacja Pożyczka'!$C$22)/100)*(((Arkusz1!B172-DATE(YEAR(B172),1,1)+1)/366)+((DATE(YEAR(B171),12,31)-Arkusz1!B171)/365))),0))</f>
        <v>0</v>
      </c>
      <c r="H172">
        <f t="shared" ca="1" si="20"/>
        <v>1</v>
      </c>
      <c r="I172">
        <f t="shared" ca="1" si="21"/>
        <v>1.0021174863387978</v>
      </c>
      <c r="J172">
        <f t="shared" ca="1" si="22"/>
        <v>1.0021174863387978</v>
      </c>
      <c r="K172">
        <f ca="1">PRODUCT($J$3:J172)</f>
        <v>1.4230916958905255</v>
      </c>
      <c r="L172">
        <f t="shared" ca="1" si="23"/>
        <v>0.70269540809471998</v>
      </c>
      <c r="M172">
        <f ca="1">SUM($L$3:L172)</f>
        <v>143.17209900669064</v>
      </c>
      <c r="O172">
        <f ca="1">(Q171*'Arkusz1 (+0)'!J172)-Q171</f>
        <v>-1263.9799282413442</v>
      </c>
      <c r="P172" s="16">
        <f t="shared" ca="1" si="24"/>
        <v>12847.831668069237</v>
      </c>
      <c r="Q172" s="17">
        <f t="shared" ca="1" si="25"/>
        <v>-609772.54616655502</v>
      </c>
    </row>
    <row r="173" spans="1:17" x14ac:dyDescent="0.35">
      <c r="A173">
        <v>171</v>
      </c>
      <c r="B173" s="14">
        <f t="shared" ca="1" si="26"/>
        <v>51273</v>
      </c>
      <c r="C173" s="15">
        <f ca="1">(1+(('Symulacja Pożyczka'!$B$5+'Symulacja Pożyczka'!$C$18)/100)*('Arkusz1 (+0)'!B173-'Arkusz1 (+0)'!B172)/365)</f>
        <v>1.002054794520548</v>
      </c>
      <c r="D173" s="15">
        <f ca="1">(1+(('Symulacja Pożyczka'!$B$5+'Symulacja Pożyczka'!$C$18)/100)*('Arkusz1 (+0)'!B173-'Arkusz1 (+0)'!B172)/366)</f>
        <v>1.0020491803278688</v>
      </c>
      <c r="E173" s="15">
        <f t="shared" ca="1" si="18"/>
        <v>0</v>
      </c>
      <c r="F173" s="15">
        <f t="shared" ca="1" si="19"/>
        <v>0</v>
      </c>
      <c r="G173">
        <f ca="1">IF(E173=1,(1+(('Symulacja Pożyczka'!$B$5+'Symulacja Pożyczka'!$C$18)/100)*(((Arkusz1!B173-DATE(YEAR(B173),1,1)+1)/365)+((DATE(YEAR(B172),12,31)-Arkusz1!B172)/366))),IF(F173=1,(1+(('Symulacja Pożyczka'!$B$5+'Symulacja Pożyczka'!$C$22)/100)*(((Arkusz1!B173-DATE(YEAR(B173),1,1)+1)/366)+((DATE(YEAR(B172),12,31)-Arkusz1!B172)/365))),0))</f>
        <v>0</v>
      </c>
      <c r="H173">
        <f t="shared" ca="1" si="20"/>
        <v>1</v>
      </c>
      <c r="I173">
        <f t="shared" ca="1" si="21"/>
        <v>1.0020491803278688</v>
      </c>
      <c r="J173">
        <f t="shared" ca="1" si="22"/>
        <v>1.0020491803278688</v>
      </c>
      <c r="K173">
        <f ca="1">PRODUCT($J$3:J173)</f>
        <v>1.4260078673984979</v>
      </c>
      <c r="L173">
        <f t="shared" ca="1" si="23"/>
        <v>0.70125840317019095</v>
      </c>
      <c r="M173">
        <f ca="1">SUM($L$3:L173)</f>
        <v>143.87335740986083</v>
      </c>
      <c r="O173">
        <f ca="1">(Q172*'Arkusz1 (+0)'!J173)-Q172</f>
        <v>-1249.5339060790138</v>
      </c>
      <c r="P173" s="16">
        <f t="shared" ca="1" si="24"/>
        <v>12833.385645906907</v>
      </c>
      <c r="Q173" s="17">
        <f t="shared" ca="1" si="25"/>
        <v>-622605.93181246193</v>
      </c>
    </row>
    <row r="174" spans="1:17" x14ac:dyDescent="0.35">
      <c r="A174">
        <v>172</v>
      </c>
      <c r="B174" s="14">
        <f t="shared" ca="1" si="26"/>
        <v>51304</v>
      </c>
      <c r="C174" s="15">
        <f ca="1">(1+(('Symulacja Pożyczka'!$B$5+'Symulacja Pożyczka'!$C$18)/100)*('Arkusz1 (+0)'!B174-'Arkusz1 (+0)'!B173)/365)</f>
        <v>1.0021232876712329</v>
      </c>
      <c r="D174" s="15">
        <f ca="1">(1+(('Symulacja Pożyczka'!$B$5+'Symulacja Pożyczka'!$C$18)/100)*('Arkusz1 (+0)'!B174-'Arkusz1 (+0)'!B173)/366)</f>
        <v>1.0021174863387978</v>
      </c>
      <c r="E174" s="15">
        <f t="shared" ca="1" si="18"/>
        <v>0</v>
      </c>
      <c r="F174" s="15">
        <f t="shared" ca="1" si="19"/>
        <v>0</v>
      </c>
      <c r="G174">
        <f ca="1">IF(E174=1,(1+(('Symulacja Pożyczka'!$B$5+'Symulacja Pożyczka'!$C$18)/100)*(((Arkusz1!B174-DATE(YEAR(B174),1,1)+1)/365)+((DATE(YEAR(B173),12,31)-Arkusz1!B173)/366))),IF(F174=1,(1+(('Symulacja Pożyczka'!$B$5+'Symulacja Pożyczka'!$C$22)/100)*(((Arkusz1!B174-DATE(YEAR(B174),1,1)+1)/366)+((DATE(YEAR(B173),12,31)-Arkusz1!B173)/365))),0))</f>
        <v>0</v>
      </c>
      <c r="H174">
        <f t="shared" ca="1" si="20"/>
        <v>1</v>
      </c>
      <c r="I174">
        <f t="shared" ca="1" si="21"/>
        <v>1.0021174863387978</v>
      </c>
      <c r="J174">
        <f t="shared" ca="1" si="22"/>
        <v>1.0021174863387978</v>
      </c>
      <c r="K174">
        <f ca="1">PRODUCT($J$3:J174)</f>
        <v>1.4290274195767325</v>
      </c>
      <c r="L174">
        <f t="shared" ca="1" si="23"/>
        <v>0.69977663570387805</v>
      </c>
      <c r="M174">
        <f ca="1">SUM($L$3:L174)</f>
        <v>144.5731340455647</v>
      </c>
      <c r="O174">
        <f ca="1">(Q173*'Arkusz1 (+0)'!J174)-Q173</f>
        <v>-1318.3595550673781</v>
      </c>
      <c r="P174" s="16">
        <f t="shared" ca="1" si="24"/>
        <v>12902.211294895271</v>
      </c>
      <c r="Q174" s="17">
        <f t="shared" ca="1" si="25"/>
        <v>-635508.1431073572</v>
      </c>
    </row>
    <row r="175" spans="1:17" x14ac:dyDescent="0.35">
      <c r="A175">
        <v>173</v>
      </c>
      <c r="B175" s="14">
        <f t="shared" ca="1" si="26"/>
        <v>51334</v>
      </c>
      <c r="C175" s="15">
        <f ca="1">(1+(('Symulacja Pożyczka'!$B$5+'Symulacja Pożyczka'!$C$18)/100)*('Arkusz1 (+0)'!B175-'Arkusz1 (+0)'!B174)/365)</f>
        <v>1.002054794520548</v>
      </c>
      <c r="D175" s="15">
        <f ca="1">(1+(('Symulacja Pożyczka'!$B$5+'Symulacja Pożyczka'!$C$18)/100)*('Arkusz1 (+0)'!B175-'Arkusz1 (+0)'!B174)/366)</f>
        <v>1.0020491803278688</v>
      </c>
      <c r="E175" s="15">
        <f t="shared" ca="1" si="18"/>
        <v>0</v>
      </c>
      <c r="F175" s="15">
        <f t="shared" ca="1" si="19"/>
        <v>0</v>
      </c>
      <c r="G175">
        <f ca="1">IF(E175=1,(1+(('Symulacja Pożyczka'!$B$5+'Symulacja Pożyczka'!$C$18)/100)*(((Arkusz1!B175-DATE(YEAR(B175),1,1)+1)/365)+((DATE(YEAR(B174),12,31)-Arkusz1!B174)/366))),IF(F175=1,(1+(('Symulacja Pożyczka'!$B$5+'Symulacja Pożyczka'!$C$22)/100)*(((Arkusz1!B175-DATE(YEAR(B175),1,1)+1)/366)+((DATE(YEAR(B174),12,31)-Arkusz1!B174)/365))),0))</f>
        <v>0</v>
      </c>
      <c r="H175">
        <f t="shared" ca="1" si="20"/>
        <v>1</v>
      </c>
      <c r="I175">
        <f t="shared" ca="1" si="21"/>
        <v>1.0020491803278688</v>
      </c>
      <c r="J175">
        <f t="shared" ca="1" si="22"/>
        <v>1.0020491803278688</v>
      </c>
      <c r="K175">
        <f ca="1">PRODUCT($J$3:J175)</f>
        <v>1.4319557544529142</v>
      </c>
      <c r="L175">
        <f t="shared" ca="1" si="23"/>
        <v>0.69834559963904397</v>
      </c>
      <c r="M175">
        <f ca="1">SUM($L$3:L175)</f>
        <v>145.27147964520375</v>
      </c>
      <c r="O175">
        <f ca="1">(Q174*'Arkusz1 (+0)'!J175)-Q174</f>
        <v>-1302.2707850560546</v>
      </c>
      <c r="P175" s="16">
        <f t="shared" ca="1" si="24"/>
        <v>12886.122524883947</v>
      </c>
      <c r="Q175" s="17">
        <f t="shared" ca="1" si="25"/>
        <v>-648394.26563224115</v>
      </c>
    </row>
    <row r="176" spans="1:17" x14ac:dyDescent="0.35">
      <c r="A176">
        <v>174</v>
      </c>
      <c r="B176" s="14">
        <f t="shared" ca="1" si="26"/>
        <v>51365</v>
      </c>
      <c r="C176" s="15">
        <f ca="1">(1+(('Symulacja Pożyczka'!$B$5+'Symulacja Pożyczka'!$C$18)/100)*('Arkusz1 (+0)'!B176-'Arkusz1 (+0)'!B175)/365)</f>
        <v>1.0021232876712329</v>
      </c>
      <c r="D176" s="15">
        <f ca="1">(1+(('Symulacja Pożyczka'!$B$5+'Symulacja Pożyczka'!$C$18)/100)*('Arkusz1 (+0)'!B176-'Arkusz1 (+0)'!B175)/366)</f>
        <v>1.0021174863387978</v>
      </c>
      <c r="E176" s="15">
        <f t="shared" ca="1" si="18"/>
        <v>0</v>
      </c>
      <c r="F176" s="15">
        <f t="shared" ca="1" si="19"/>
        <v>0</v>
      </c>
      <c r="G176">
        <f ca="1">IF(E176=1,(1+(('Symulacja Pożyczka'!$B$5+'Symulacja Pożyczka'!$C$18)/100)*(((Arkusz1!B176-DATE(YEAR(B176),1,1)+1)/365)+((DATE(YEAR(B175),12,31)-Arkusz1!B175)/366))),IF(F176=1,(1+(('Symulacja Pożyczka'!$B$5+'Symulacja Pożyczka'!$C$22)/100)*(((Arkusz1!B176-DATE(YEAR(B176),1,1)+1)/366)+((DATE(YEAR(B175),12,31)-Arkusz1!B175)/365))),0))</f>
        <v>0</v>
      </c>
      <c r="H176">
        <f t="shared" ca="1" si="20"/>
        <v>1</v>
      </c>
      <c r="I176">
        <f t="shared" ca="1" si="21"/>
        <v>1.0021174863387978</v>
      </c>
      <c r="J176">
        <f t="shared" ca="1" si="22"/>
        <v>1.0021174863387978</v>
      </c>
      <c r="K176">
        <f ca="1">PRODUCT($J$3:J176)</f>
        <v>1.4349879012007312</v>
      </c>
      <c r="L176">
        <f t="shared" ca="1" si="23"/>
        <v>0.6968699869617343</v>
      </c>
      <c r="M176">
        <f ca="1">SUM($L$3:L176)</f>
        <v>145.96834963216548</v>
      </c>
      <c r="O176">
        <f ca="1">(Q175*'Arkusz1 (+0)'!J176)-Q175</f>
        <v>-1372.9659996310947</v>
      </c>
      <c r="P176" s="16">
        <f t="shared" ca="1" si="24"/>
        <v>12956.817739458987</v>
      </c>
      <c r="Q176" s="17">
        <f t="shared" ca="1" si="25"/>
        <v>-661351.08337170014</v>
      </c>
    </row>
    <row r="177" spans="1:17" x14ac:dyDescent="0.35">
      <c r="A177">
        <v>175</v>
      </c>
      <c r="B177" s="14">
        <f t="shared" ca="1" si="26"/>
        <v>51396</v>
      </c>
      <c r="C177" s="15">
        <f ca="1">(1+(('Symulacja Pożyczka'!$B$5+'Symulacja Pożyczka'!$C$18)/100)*('Arkusz1 (+0)'!B177-'Arkusz1 (+0)'!B176)/365)</f>
        <v>1.0021232876712329</v>
      </c>
      <c r="D177" s="15">
        <f ca="1">(1+(('Symulacja Pożyczka'!$B$5+'Symulacja Pożyczka'!$C$18)/100)*('Arkusz1 (+0)'!B177-'Arkusz1 (+0)'!B176)/366)</f>
        <v>1.0021174863387978</v>
      </c>
      <c r="E177" s="15">
        <f t="shared" ca="1" si="18"/>
        <v>0</v>
      </c>
      <c r="F177" s="15">
        <f t="shared" ca="1" si="19"/>
        <v>0</v>
      </c>
      <c r="G177">
        <f ca="1">IF(E177=1,(1+(('Symulacja Pożyczka'!$B$5+'Symulacja Pożyczka'!$C$18)/100)*(((Arkusz1!B177-DATE(YEAR(B177),1,1)+1)/365)+((DATE(YEAR(B176),12,31)-Arkusz1!B176)/366))),IF(F177=1,(1+(('Symulacja Pożyczka'!$B$5+'Symulacja Pożyczka'!$C$22)/100)*(((Arkusz1!B177-DATE(YEAR(B177),1,1)+1)/366)+((DATE(YEAR(B176),12,31)-Arkusz1!B176)/365))),0))</f>
        <v>0</v>
      </c>
      <c r="H177">
        <f t="shared" ca="1" si="20"/>
        <v>1</v>
      </c>
      <c r="I177">
        <f t="shared" ca="1" si="21"/>
        <v>1.0021174863387978</v>
      </c>
      <c r="J177">
        <f t="shared" ca="1" si="22"/>
        <v>1.0021174863387978</v>
      </c>
      <c r="K177">
        <f ca="1">PRODUCT($J$3:J177)</f>
        <v>1.4380264684778639</v>
      </c>
      <c r="L177">
        <f t="shared" ca="1" si="23"/>
        <v>0.69539749227181447</v>
      </c>
      <c r="M177">
        <f ca="1">SUM($L$3:L177)</f>
        <v>146.66374712443729</v>
      </c>
      <c r="O177">
        <f ca="1">(Q176*'Arkusz1 (+0)'!J177)-Q176</f>
        <v>-1400.4018841887591</v>
      </c>
      <c r="P177" s="16">
        <f t="shared" ca="1" si="24"/>
        <v>12984.253624016652</v>
      </c>
      <c r="Q177" s="17">
        <f t="shared" ca="1" si="25"/>
        <v>-674335.33699571679</v>
      </c>
    </row>
    <row r="178" spans="1:17" x14ac:dyDescent="0.35">
      <c r="A178">
        <v>176</v>
      </c>
      <c r="B178" s="14">
        <f t="shared" ca="1" si="26"/>
        <v>51426</v>
      </c>
      <c r="C178" s="15">
        <f ca="1">(1+(('Symulacja Pożyczka'!$B$5+'Symulacja Pożyczka'!$C$18)/100)*('Arkusz1 (+0)'!B178-'Arkusz1 (+0)'!B177)/365)</f>
        <v>1.002054794520548</v>
      </c>
      <c r="D178" s="15">
        <f ca="1">(1+(('Symulacja Pożyczka'!$B$5+'Symulacja Pożyczka'!$C$18)/100)*('Arkusz1 (+0)'!B178-'Arkusz1 (+0)'!B177)/366)</f>
        <v>1.0020491803278688</v>
      </c>
      <c r="E178" s="15">
        <f t="shared" ca="1" si="18"/>
        <v>0</v>
      </c>
      <c r="F178" s="15">
        <f t="shared" ca="1" si="19"/>
        <v>0</v>
      </c>
      <c r="G178">
        <f ca="1">IF(E178=1,(1+(('Symulacja Pożyczka'!$B$5+'Symulacja Pożyczka'!$C$18)/100)*(((Arkusz1!B178-DATE(YEAR(B178),1,1)+1)/365)+((DATE(YEAR(B177),12,31)-Arkusz1!B177)/366))),IF(F178=1,(1+(('Symulacja Pożyczka'!$B$5+'Symulacja Pożyczka'!$C$22)/100)*(((Arkusz1!B178-DATE(YEAR(B178),1,1)+1)/366)+((DATE(YEAR(B177),12,31)-Arkusz1!B177)/365))),0))</f>
        <v>0</v>
      </c>
      <c r="H178">
        <f t="shared" ca="1" si="20"/>
        <v>1</v>
      </c>
      <c r="I178">
        <f t="shared" ca="1" si="21"/>
        <v>1.0020491803278688</v>
      </c>
      <c r="J178">
        <f t="shared" ca="1" si="22"/>
        <v>1.0020491803278688</v>
      </c>
      <c r="K178">
        <f ca="1">PRODUCT($J$3:J178)</f>
        <v>1.4409732440280234</v>
      </c>
      <c r="L178">
        <f t="shared" ca="1" si="23"/>
        <v>0.69397541151052244</v>
      </c>
      <c r="M178">
        <f ca="1">SUM($L$3:L178)</f>
        <v>147.35772253594783</v>
      </c>
      <c r="O178">
        <f ca="1">(Q177*'Arkusz1 (+0)'!J178)-Q177</f>
        <v>-1381.8347069583833</v>
      </c>
      <c r="P178" s="16">
        <f t="shared" ca="1" si="24"/>
        <v>12965.686446786276</v>
      </c>
      <c r="Q178" s="17">
        <f t="shared" ca="1" si="25"/>
        <v>-687301.02344250306</v>
      </c>
    </row>
    <row r="179" spans="1:17" x14ac:dyDescent="0.35">
      <c r="A179">
        <v>177</v>
      </c>
      <c r="B179" s="14">
        <f t="shared" ca="1" si="26"/>
        <v>51457</v>
      </c>
      <c r="C179" s="15">
        <f ca="1">(1+(('Symulacja Pożyczka'!$B$5+'Symulacja Pożyczka'!$C$18)/100)*('Arkusz1 (+0)'!B179-'Arkusz1 (+0)'!B178)/365)</f>
        <v>1.0021232876712329</v>
      </c>
      <c r="D179" s="15">
        <f ca="1">(1+(('Symulacja Pożyczka'!$B$5+'Symulacja Pożyczka'!$C$18)/100)*('Arkusz1 (+0)'!B179-'Arkusz1 (+0)'!B178)/366)</f>
        <v>1.0021174863387978</v>
      </c>
      <c r="E179" s="15">
        <f t="shared" ca="1" si="18"/>
        <v>0</v>
      </c>
      <c r="F179" s="15">
        <f t="shared" ca="1" si="19"/>
        <v>0</v>
      </c>
      <c r="G179">
        <f ca="1">IF(E179=1,(1+(('Symulacja Pożyczka'!$B$5+'Symulacja Pożyczka'!$C$18)/100)*(((Arkusz1!B179-DATE(YEAR(B179),1,1)+1)/365)+((DATE(YEAR(B178),12,31)-Arkusz1!B178)/366))),IF(F179=1,(1+(('Symulacja Pożyczka'!$B$5+'Symulacja Pożyczka'!$C$22)/100)*(((Arkusz1!B179-DATE(YEAR(B179),1,1)+1)/366)+((DATE(YEAR(B178),12,31)-Arkusz1!B178)/365))),0))</f>
        <v>0</v>
      </c>
      <c r="H179">
        <f t="shared" ca="1" si="20"/>
        <v>1</v>
      </c>
      <c r="I179">
        <f t="shared" ca="1" si="21"/>
        <v>1.0021174863387978</v>
      </c>
      <c r="J179">
        <f t="shared" ca="1" si="22"/>
        <v>1.0021174863387978</v>
      </c>
      <c r="K179">
        <f ca="1">PRODUCT($J$3:J179)</f>
        <v>1.444024485186826</v>
      </c>
      <c r="L179">
        <f t="shared" ca="1" si="23"/>
        <v>0.69250903309345291</v>
      </c>
      <c r="M179">
        <f ca="1">SUM($L$3:L179)</f>
        <v>148.05023156904127</v>
      </c>
      <c r="O179">
        <f ca="1">(Q178*'Arkusz1 (+0)'!J179)-Q178</f>
        <v>-1455.3505277812947</v>
      </c>
      <c r="P179" s="16">
        <f t="shared" ca="1" si="24"/>
        <v>13039.202267609187</v>
      </c>
      <c r="Q179" s="17">
        <f t="shared" ca="1" si="25"/>
        <v>-700340.22571011225</v>
      </c>
    </row>
    <row r="180" spans="1:17" x14ac:dyDescent="0.35">
      <c r="A180">
        <v>178</v>
      </c>
      <c r="B180" s="14">
        <f t="shared" ca="1" si="26"/>
        <v>51487</v>
      </c>
      <c r="C180" s="15">
        <f ca="1">(1+(('Symulacja Pożyczka'!$B$5+'Symulacja Pożyczka'!$C$18)/100)*('Arkusz1 (+0)'!B180-'Arkusz1 (+0)'!B179)/365)</f>
        <v>1.002054794520548</v>
      </c>
      <c r="D180" s="15">
        <f ca="1">(1+(('Symulacja Pożyczka'!$B$5+'Symulacja Pożyczka'!$C$18)/100)*('Arkusz1 (+0)'!B180-'Arkusz1 (+0)'!B179)/366)</f>
        <v>1.0020491803278688</v>
      </c>
      <c r="E180" s="15">
        <f t="shared" ca="1" si="18"/>
        <v>0</v>
      </c>
      <c r="F180" s="15">
        <f t="shared" ca="1" si="19"/>
        <v>0</v>
      </c>
      <c r="G180">
        <f ca="1">IF(E180=1,(1+(('Symulacja Pożyczka'!$B$5+'Symulacja Pożyczka'!$C$18)/100)*(((Arkusz1!B180-DATE(YEAR(B180),1,1)+1)/365)+((DATE(YEAR(B179),12,31)-Arkusz1!B179)/366))),IF(F180=1,(1+(('Symulacja Pożyczka'!$B$5+'Symulacja Pożyczka'!$C$22)/100)*(((Arkusz1!B180-DATE(YEAR(B180),1,1)+1)/366)+((DATE(YEAR(B179),12,31)-Arkusz1!B179)/365))),0))</f>
        <v>0</v>
      </c>
      <c r="H180">
        <f t="shared" ca="1" si="20"/>
        <v>1</v>
      </c>
      <c r="I180">
        <f t="shared" ca="1" si="21"/>
        <v>1.0020491803278688</v>
      </c>
      <c r="J180">
        <f t="shared" ca="1" si="22"/>
        <v>1.0020491803278688</v>
      </c>
      <c r="K180">
        <f ca="1">PRODUCT($J$3:J180)</f>
        <v>1.4469835517548317</v>
      </c>
      <c r="L180">
        <f t="shared" ca="1" si="23"/>
        <v>0.69109285920164631</v>
      </c>
      <c r="M180">
        <f ca="1">SUM($L$3:L180)</f>
        <v>148.74132442824293</v>
      </c>
      <c r="O180">
        <f ca="1">(Q179*'Arkusz1 (+0)'!J180)-Q179</f>
        <v>-1435.1234133404214</v>
      </c>
      <c r="P180" s="16">
        <f t="shared" ca="1" si="24"/>
        <v>13018.975153168314</v>
      </c>
      <c r="Q180" s="17">
        <f t="shared" ca="1" si="25"/>
        <v>-713359.20086328057</v>
      </c>
    </row>
    <row r="181" spans="1:17" x14ac:dyDescent="0.35">
      <c r="A181">
        <v>179</v>
      </c>
      <c r="B181" s="14">
        <f t="shared" ca="1" si="26"/>
        <v>51518</v>
      </c>
      <c r="C181" s="15">
        <f ca="1">(1+(('Symulacja Pożyczka'!$B$5+'Symulacja Pożyczka'!$C$18)/100)*('Arkusz1 (+0)'!B181-'Arkusz1 (+0)'!B180)/365)</f>
        <v>1.0021232876712329</v>
      </c>
      <c r="D181" s="15">
        <f ca="1">(1+(('Symulacja Pożyczka'!$B$5+'Symulacja Pożyczka'!$C$18)/100)*('Arkusz1 (+0)'!B181-'Arkusz1 (+0)'!B180)/366)</f>
        <v>1.0021174863387978</v>
      </c>
      <c r="E181" s="15">
        <f t="shared" ca="1" si="18"/>
        <v>1</v>
      </c>
      <c r="F181" s="15">
        <f t="shared" ca="1" si="19"/>
        <v>0</v>
      </c>
      <c r="G181">
        <f ca="1">IF(E181=1,(1+(('Symulacja Pożyczka'!$B$5+'Symulacja Pożyczka'!$C$18)/100)*(((Arkusz1!B181-DATE(YEAR(B181),1,1)+1)/365)+((DATE(YEAR(B180),12,31)-Arkusz1!B180)/366))),IF(F181=1,(1+(('Symulacja Pożyczka'!$B$5+'Symulacja Pożyczka'!$C$22)/100)*(((Arkusz1!B181-DATE(YEAR(B181),1,1)+1)/366)+((DATE(YEAR(B180),12,31)-Arkusz1!B180)/365))),0))</f>
        <v>1.0021206677146492</v>
      </c>
      <c r="H181">
        <f t="shared" ca="1" si="20"/>
        <v>0</v>
      </c>
      <c r="I181">
        <f t="shared" ca="1" si="21"/>
        <v>1.0021232876712329</v>
      </c>
      <c r="J181">
        <f t="shared" ca="1" si="22"/>
        <v>1.0021206677146492</v>
      </c>
      <c r="K181">
        <f ca="1">PRODUCT($J$3:J181)</f>
        <v>1.4500521230566668</v>
      </c>
      <c r="L181">
        <f t="shared" ca="1" si="23"/>
        <v>0.68963038231482998</v>
      </c>
      <c r="M181">
        <f ca="1">SUM($L$3:L181)</f>
        <v>149.43095481055775</v>
      </c>
      <c r="O181">
        <f ca="1">(Q180*'Arkusz1 (+0)'!J181)-Q180</f>
        <v>-1512.797826218768</v>
      </c>
      <c r="P181" s="16">
        <f t="shared" ca="1" si="24"/>
        <v>13096.649566046661</v>
      </c>
      <c r="Q181" s="17">
        <f t="shared" ca="1" si="25"/>
        <v>-726455.85042932723</v>
      </c>
    </row>
    <row r="182" spans="1:17" x14ac:dyDescent="0.35">
      <c r="A182">
        <v>180</v>
      </c>
      <c r="B182" s="14">
        <f t="shared" ca="1" si="26"/>
        <v>51549</v>
      </c>
      <c r="C182" s="15">
        <f ca="1">(1+(('Symulacja Pożyczka'!$B$5+'Symulacja Pożyczka'!$C$18)/100)*('Arkusz1 (+0)'!B182-'Arkusz1 (+0)'!B181)/365)</f>
        <v>1.0021232876712329</v>
      </c>
      <c r="D182" s="15">
        <f ca="1">(1+(('Symulacja Pożyczka'!$B$5+'Symulacja Pożyczka'!$C$18)/100)*('Arkusz1 (+0)'!B182-'Arkusz1 (+0)'!B181)/366)</f>
        <v>1.0021174863387978</v>
      </c>
      <c r="E182" s="15">
        <f t="shared" ca="1" si="18"/>
        <v>0</v>
      </c>
      <c r="F182" s="15">
        <f t="shared" ca="1" si="19"/>
        <v>0</v>
      </c>
      <c r="G182">
        <f ca="1">IF(E182=1,(1+(('Symulacja Pożyczka'!$B$5+'Symulacja Pożyczka'!$C$18)/100)*(((Arkusz1!B182-DATE(YEAR(B182),1,1)+1)/365)+((DATE(YEAR(B181),12,31)-Arkusz1!B181)/366))),IF(F182=1,(1+(('Symulacja Pożyczka'!$B$5+'Symulacja Pożyczka'!$C$22)/100)*(((Arkusz1!B182-DATE(YEAR(B182),1,1)+1)/366)+((DATE(YEAR(B181),12,31)-Arkusz1!B181)/365))),0))</f>
        <v>0</v>
      </c>
      <c r="H182">
        <f t="shared" ca="1" si="20"/>
        <v>0</v>
      </c>
      <c r="I182">
        <f t="shared" ca="1" si="21"/>
        <v>1.0021232876712329</v>
      </c>
      <c r="J182">
        <f t="shared" ca="1" si="22"/>
        <v>1.0021232876712329</v>
      </c>
      <c r="K182">
        <f ca="1">PRODUCT($J$3:J182)</f>
        <v>1.453131000852198</v>
      </c>
      <c r="L182">
        <f t="shared" ca="1" si="23"/>
        <v>0.68816920113433921</v>
      </c>
      <c r="M182">
        <f ca="1">SUM($L$3:L182)</f>
        <v>150.11912401169209</v>
      </c>
      <c r="O182">
        <f ca="1">(Q181*'Arkusz1 (+0)'!J182)-Q181</f>
        <v>-1542.4747509115841</v>
      </c>
      <c r="P182" s="16">
        <f t="shared" ca="1" si="24"/>
        <v>13126.326490739477</v>
      </c>
      <c r="Q182" s="17">
        <f t="shared" ca="1" si="25"/>
        <v>-739582.1769200667</v>
      </c>
    </row>
  </sheetData>
  <pageMargins left="0.7" right="0.7" top="0.75" bottom="0.75" header="0.3" footer="0.3"/>
  <pageSetup paperSize="9" orientation="portrait" horizontalDpi="300" verticalDpi="0" r:id="rId1"/>
</worksheet>
</file>

<file path=docProps/app.xml><?xml version="1.0" encoding="utf-8"?>
<Properties xmlns="http://schemas.openxmlformats.org/officeDocument/2006/extended-properties" xmlns:vt="http://schemas.openxmlformats.org/officeDocument/2006/docPropsVTypes">
  <Template> </Template>
  <TotalTime>0</TotalTime>
  <Application> </Application>
  <DocSecurity>0</DocSecurity>
  <ScaleCrop>false</ScaleCrop>
  <HeadingPairs>
    <vt:vector size="4" baseType="variant">
      <vt:variant>
        <vt:lpstr>Arkusze</vt:lpstr>
      </vt:variant>
      <vt:variant>
        <vt:i4>28</vt:i4>
      </vt:variant>
      <vt:variant>
        <vt:lpstr>Nazwane zakresy</vt:lpstr>
      </vt:variant>
      <vt:variant>
        <vt:i4>14</vt:i4>
      </vt:variant>
    </vt:vector>
  </HeadingPairs>
  <TitlesOfParts>
    <vt:vector size="42" baseType="lpstr">
      <vt:lpstr>Dane do harmonogramu</vt:lpstr>
      <vt:lpstr>Arkusz2</vt:lpstr>
      <vt:lpstr>Roboczy harmonogram</vt:lpstr>
      <vt:lpstr>Roboczy harmonogram_1</vt:lpstr>
      <vt:lpstr>Roboczy harmonogram_2</vt:lpstr>
      <vt:lpstr>kpir3</vt:lpstr>
      <vt:lpstr>KPiR_kalkulator</vt:lpstr>
      <vt:lpstr>KPIR</vt:lpstr>
      <vt:lpstr>Ryczałt_karta_kalkulator</vt:lpstr>
      <vt:lpstr>Rycz_karta dane</vt:lpstr>
      <vt:lpstr>Zmiana_formy_kalkulator</vt:lpstr>
      <vt:lpstr>rycz3</vt:lpstr>
      <vt:lpstr>dochod_2022</vt:lpstr>
      <vt:lpstr>dochod_2023</vt:lpstr>
      <vt:lpstr>Najem_kalkulator</vt:lpstr>
      <vt:lpstr>Symulacja zdolności</vt:lpstr>
      <vt:lpstr>Symulacja Linia_kredytowa</vt:lpstr>
      <vt:lpstr>Symulacja Pożyczka</vt:lpstr>
      <vt:lpstr>Harmonogram Pożyczka</vt:lpstr>
      <vt:lpstr>Arkusz1</vt:lpstr>
      <vt:lpstr>Arkusz1 (2)</vt:lpstr>
      <vt:lpstr>Arkusz1 (3)</vt:lpstr>
      <vt:lpstr>Arkusz1 (4)</vt:lpstr>
      <vt:lpstr>Arkusz1 (5)</vt:lpstr>
      <vt:lpstr>Arkusz1 (+3)</vt:lpstr>
      <vt:lpstr>Arkusz1 (+5)</vt:lpstr>
      <vt:lpstr>Arkusz1 (+10)</vt:lpstr>
      <vt:lpstr>Arkusz1 (+0)</vt:lpstr>
      <vt:lpstr>'Harmonogram Pożyczka'!Obszar_wydruku</vt:lpstr>
      <vt:lpstr>'Symulacja Pożyczka'!Obszar_wydruku</vt:lpstr>
      <vt:lpstr>ProwizjaKredytowana</vt:lpstr>
      <vt:lpstr>rngWarOneKw</vt:lpstr>
      <vt:lpstr>rngWarOneKwProw</vt:lpstr>
      <vt:lpstr>RngWarOneProw</vt:lpstr>
      <vt:lpstr>rngWarSecKw</vt:lpstr>
      <vt:lpstr>rngWarSecKwProw</vt:lpstr>
      <vt:lpstr>RngWarSecProw</vt:lpstr>
      <vt:lpstr>rngWarThirdKw</vt:lpstr>
      <vt:lpstr>rngWarThirdKwProw</vt:lpstr>
      <vt:lpstr>RngWarThirdProw</vt:lpstr>
      <vt:lpstr>'Harmonogram Pożyczka'!start_wydruku</vt:lpstr>
      <vt:lpstr>'Harmonogram Pożyczka'!wydruk_start</vt:lpstr>
    </vt:vector>
  </TitlesOfParts>
  <Manager> </Manager>
  <Company> </Company>
  <LinksUpToDate>false</LinksUpToDate>
  <SharedDoc>false</SharedDoc>
  <HyperlinksChanged>false</HyperlinksChanged>
  <AppVersion>1.0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